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srgssr.sharepoint.com/sites/MetechnoIPOrchestrator/Freigegebene Dokumente/IO-Prozess/IO-Gerätefiles/40 Nevion/40A import update by Nevion (blau)/Change/"/>
    </mc:Choice>
  </mc:AlternateContent>
  <xr:revisionPtr revIDLastSave="408" documentId="6_{5A7336AE-675D-400D-8B78-9E785021B37C}" xr6:coauthVersionLast="46" xr6:coauthVersionMax="46" xr10:uidLastSave="{C728E8D0-1C5A-4C48-B133-C85F96E52478}"/>
  <bookViews>
    <workbookView xWindow="28680" yWindow="-120" windowWidth="29040" windowHeight="15840" tabRatio="297" activeTab="2" xr2:uid="{268188F4-3915-41D9-B24B-6EE97302B25D}"/>
  </bookViews>
  <sheets>
    <sheet name="Changelog" sheetId="14" r:id="rId1"/>
    <sheet name="BOM" sheetId="1" r:id="rId2"/>
    <sheet name="Sender-Receiver" sheetId="3" r:id="rId3"/>
    <sheet name="Nevion" sheetId="16" r:id="rId4"/>
    <sheet name="Dropdown" sheetId="15" state="hidden" r:id="rId5"/>
    <sheet name="SP - Device Type Gateway" sheetId="5" state="hidden" r:id="rId6"/>
    <sheet name="SP - Manufacturer" sheetId="13" state="hidden" r:id="rId7"/>
    <sheet name="SP - Dev. Type GW" sheetId="8" state="hidden" r:id="rId8"/>
    <sheet name="SP - Device Location" sheetId="7" state="hidden" r:id="rId9"/>
    <sheet name="SP - Workplace Usage" sheetId="12" state="hidden" r:id="rId10"/>
    <sheet name="SP - Workplace Room" sheetId="11" state="hidden" r:id="rId11"/>
    <sheet name="SP - ST2022-7" sheetId="10" state="hidden" r:id="rId12"/>
    <sheet name="SP - Driver" sheetId="9" state="hidden" r:id="rId13"/>
  </sheets>
  <definedNames>
    <definedName name="dev_location">'SP - Device Location'!$A:$A</definedName>
    <definedName name="dev_type_gw">'SP - Device Type Gateway'!$A:$A</definedName>
    <definedName name="driver">'SP - Driver'!$A:$A</definedName>
    <definedName name="drivertag">'SP - Driver'!$D:$D</definedName>
    <definedName name="manufacturer">'SP - Manufacturer'!$A:$A</definedName>
    <definedName name="query__1" localSheetId="5" hidden="1">'SP - Device Type Gateway'!$A$1:$C$10</definedName>
    <definedName name="query__2" localSheetId="8" hidden="1">'SP - Device Location'!$A$1:$C$61</definedName>
    <definedName name="query__3" localSheetId="7" hidden="1">'SP - Dev. Type GW'!$A$1:$C$10</definedName>
    <definedName name="query__4" localSheetId="12" hidden="1">'SP - Driver'!$A$1:$D$5</definedName>
    <definedName name="query__6" localSheetId="11" hidden="1">'SP - ST2022-7'!$A$1:$C$3</definedName>
    <definedName name="query__7" localSheetId="10" hidden="1">'SP - Workplace Room'!$A$1:$C$62</definedName>
    <definedName name="query__8" localSheetId="9" hidden="1">'SP - Workplace Usage'!$A$1:$C$24</definedName>
    <definedName name="query__9" localSheetId="6" hidden="1">'SP - Manufacturer'!$A$1:$C$4</definedName>
    <definedName name="ST2022_7">'SP - ST2022-7'!$A:$A</definedName>
    <definedName name="workplace_room">'SP - Workplace Room'!$A:$A</definedName>
    <definedName name="workplace_usage">'SP - Workplace Usage'!$A:$A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32" i="16" l="1"/>
  <c r="Y633" i="16"/>
  <c r="Y634" i="16"/>
  <c r="Y635" i="16"/>
  <c r="Y636" i="16"/>
  <c r="Y637" i="16"/>
  <c r="Y638" i="16"/>
  <c r="Y639" i="16"/>
  <c r="Y640" i="16"/>
  <c r="Y641" i="16"/>
  <c r="Y642" i="16"/>
  <c r="Y643" i="16"/>
  <c r="Y644" i="16"/>
  <c r="Y645" i="16"/>
  <c r="Y646" i="16"/>
  <c r="Y647" i="16"/>
  <c r="Y648" i="16"/>
  <c r="Y649" i="16"/>
  <c r="Y650" i="16"/>
  <c r="Y651" i="16"/>
  <c r="Y652" i="16"/>
  <c r="Y653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Y590" i="16"/>
  <c r="Y591" i="16"/>
  <c r="Y592" i="16"/>
  <c r="Y593" i="16"/>
  <c r="Y594" i="16"/>
  <c r="Y595" i="16"/>
  <c r="Y596" i="16"/>
  <c r="Y597" i="16"/>
  <c r="Y598" i="16"/>
  <c r="Y599" i="16"/>
  <c r="Y600" i="16"/>
  <c r="Y601" i="16"/>
  <c r="Y602" i="16"/>
  <c r="Y603" i="16"/>
  <c r="Y604" i="16"/>
  <c r="Y605" i="16"/>
  <c r="Y606" i="16"/>
  <c r="Y607" i="16"/>
  <c r="Y608" i="16"/>
  <c r="Y609" i="16"/>
  <c r="Y610" i="16"/>
  <c r="Y611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Y548" i="16"/>
  <c r="Y549" i="16"/>
  <c r="Y550" i="16"/>
  <c r="Y551" i="16"/>
  <c r="Y552" i="16"/>
  <c r="Y553" i="16"/>
  <c r="Y554" i="16"/>
  <c r="Y555" i="16"/>
  <c r="Y556" i="16"/>
  <c r="Y557" i="16"/>
  <c r="Y558" i="16"/>
  <c r="Y559" i="16"/>
  <c r="Y560" i="16"/>
  <c r="Y561" i="16"/>
  <c r="Y562" i="16"/>
  <c r="Y563" i="16"/>
  <c r="Y564" i="16"/>
  <c r="Y565" i="16"/>
  <c r="Y566" i="16"/>
  <c r="Y567" i="16"/>
  <c r="Y568" i="16"/>
  <c r="Y569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612" i="16"/>
  <c r="Y612" i="16"/>
  <c r="M613" i="16"/>
  <c r="Y613" i="16"/>
  <c r="M614" i="16"/>
  <c r="Y614" i="16"/>
  <c r="M615" i="16"/>
  <c r="Y615" i="16"/>
  <c r="M616" i="16"/>
  <c r="Y616" i="16"/>
  <c r="M617" i="16"/>
  <c r="Y617" i="16"/>
  <c r="M618" i="16"/>
  <c r="Y618" i="16"/>
  <c r="M619" i="16"/>
  <c r="Y619" i="16"/>
  <c r="M620" i="16"/>
  <c r="Y620" i="16"/>
  <c r="M621" i="16"/>
  <c r="Y621" i="16"/>
  <c r="M622" i="16"/>
  <c r="Y622" i="16"/>
  <c r="M623" i="16"/>
  <c r="Y623" i="16"/>
  <c r="M624" i="16"/>
  <c r="Y624" i="16"/>
  <c r="M625" i="16"/>
  <c r="Y625" i="16"/>
  <c r="M626" i="16"/>
  <c r="Y626" i="16"/>
  <c r="M627" i="16"/>
  <c r="Y627" i="16"/>
  <c r="M628" i="16"/>
  <c r="Y628" i="16"/>
  <c r="M629" i="16"/>
  <c r="Y629" i="16"/>
  <c r="M630" i="16"/>
  <c r="Y630" i="16"/>
  <c r="M631" i="16"/>
  <c r="Y631" i="16"/>
  <c r="Y515" i="16"/>
  <c r="Y507" i="16"/>
  <c r="M506" i="16"/>
  <c r="Y508" i="16"/>
  <c r="Y509" i="16"/>
  <c r="Y510" i="16"/>
  <c r="Y511" i="16"/>
  <c r="Y512" i="16"/>
  <c r="Y513" i="16"/>
  <c r="Y514" i="16"/>
  <c r="Y516" i="16"/>
  <c r="Y517" i="16"/>
  <c r="Y518" i="16"/>
  <c r="Y519" i="16"/>
  <c r="Y520" i="16"/>
  <c r="Y521" i="16"/>
  <c r="Y522" i="16"/>
  <c r="Y523" i="16"/>
  <c r="Y524" i="16"/>
  <c r="Y525" i="16"/>
  <c r="Y526" i="16"/>
  <c r="Y527" i="16"/>
  <c r="M508" i="16"/>
  <c r="M509" i="16"/>
  <c r="M510" i="16"/>
  <c r="M511" i="16"/>
  <c r="M512" i="16"/>
  <c r="M513" i="16"/>
  <c r="M514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Y528" i="16"/>
  <c r="M529" i="16"/>
  <c r="Y529" i="16"/>
  <c r="M530" i="16"/>
  <c r="Y530" i="16"/>
  <c r="M531" i="16"/>
  <c r="Y531" i="16"/>
  <c r="M532" i="16"/>
  <c r="Y532" i="16"/>
  <c r="M533" i="16"/>
  <c r="Y533" i="16"/>
  <c r="M534" i="16"/>
  <c r="Y534" i="16"/>
  <c r="M535" i="16"/>
  <c r="Y535" i="16"/>
  <c r="M536" i="16"/>
  <c r="Y536" i="16"/>
  <c r="M537" i="16"/>
  <c r="Y537" i="16"/>
  <c r="M538" i="16"/>
  <c r="Y538" i="16"/>
  <c r="M539" i="16"/>
  <c r="Y539" i="16"/>
  <c r="M540" i="16"/>
  <c r="Y540" i="16"/>
  <c r="M541" i="16"/>
  <c r="Y541" i="16"/>
  <c r="M542" i="16"/>
  <c r="Y542" i="16"/>
  <c r="M543" i="16"/>
  <c r="Y543" i="16"/>
  <c r="M544" i="16"/>
  <c r="Y544" i="16"/>
  <c r="M545" i="16"/>
  <c r="Y545" i="16"/>
  <c r="M546" i="16"/>
  <c r="Y546" i="16"/>
  <c r="M515" i="16" l="1"/>
  <c r="M507" i="16"/>
  <c r="Y506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47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2" i="16"/>
  <c r="BI590" i="3" l="1"/>
  <c r="BI589" i="3"/>
  <c r="BI588" i="3"/>
  <c r="BI587" i="3"/>
  <c r="BI586" i="3"/>
  <c r="BI585" i="3"/>
  <c r="BI584" i="3"/>
  <c r="BI583" i="3"/>
  <c r="BI582" i="3"/>
  <c r="BI581" i="3"/>
  <c r="BI580" i="3"/>
  <c r="BI579" i="3"/>
  <c r="BI578" i="3"/>
  <c r="BI577" i="3"/>
  <c r="BI576" i="3"/>
  <c r="BI575" i="3"/>
  <c r="BI574" i="3"/>
  <c r="BI573" i="3"/>
  <c r="BI572" i="3"/>
  <c r="BI571" i="3"/>
  <c r="BI570" i="3"/>
  <c r="BI569" i="3"/>
  <c r="BI568" i="3"/>
  <c r="BI567" i="3"/>
  <c r="BI566" i="3"/>
  <c r="BI565" i="3"/>
  <c r="BI564" i="3"/>
  <c r="BI563" i="3"/>
  <c r="BI562" i="3"/>
  <c r="BI561" i="3"/>
  <c r="BI560" i="3"/>
  <c r="BI559" i="3"/>
  <c r="BI558" i="3"/>
  <c r="BI557" i="3"/>
  <c r="BI556" i="3"/>
  <c r="BI555" i="3"/>
  <c r="BI554" i="3"/>
  <c r="BI553" i="3"/>
  <c r="BI552" i="3"/>
  <c r="BI551" i="3"/>
  <c r="BI550" i="3"/>
  <c r="BI549" i="3"/>
  <c r="BI548" i="3"/>
  <c r="BI547" i="3"/>
  <c r="BI546" i="3"/>
  <c r="BI545" i="3"/>
  <c r="BI544" i="3"/>
  <c r="BI543" i="3"/>
  <c r="BI542" i="3"/>
  <c r="BI541" i="3"/>
  <c r="BI540" i="3"/>
  <c r="BI539" i="3"/>
  <c r="BI538" i="3"/>
  <c r="BI537" i="3"/>
  <c r="BI536" i="3"/>
  <c r="BI535" i="3"/>
  <c r="BI534" i="3"/>
  <c r="BI533" i="3"/>
  <c r="BI532" i="3"/>
  <c r="BI531" i="3"/>
  <c r="BI530" i="3"/>
  <c r="BI529" i="3"/>
  <c r="BI528" i="3"/>
  <c r="BI507" i="3"/>
  <c r="Y3" i="16" l="1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Y240" i="16"/>
  <c r="Y241" i="16"/>
  <c r="Y242" i="16"/>
  <c r="Y243" i="16"/>
  <c r="Y244" i="16"/>
  <c r="Y245" i="16"/>
  <c r="Y246" i="16"/>
  <c r="Y247" i="16"/>
  <c r="Y248" i="16"/>
  <c r="Y249" i="16"/>
  <c r="Y250" i="16"/>
  <c r="Y251" i="16"/>
  <c r="Y252" i="16"/>
  <c r="Y253" i="16"/>
  <c r="Y254" i="16"/>
  <c r="Y255" i="16"/>
  <c r="Y256" i="16"/>
  <c r="Y257" i="16"/>
  <c r="Y258" i="16"/>
  <c r="Y259" i="16"/>
  <c r="Y260" i="16"/>
  <c r="Y261" i="16"/>
  <c r="Y262" i="16"/>
  <c r="Y263" i="16"/>
  <c r="Y264" i="16"/>
  <c r="Y265" i="16"/>
  <c r="Y266" i="16"/>
  <c r="Y267" i="16"/>
  <c r="Y268" i="16"/>
  <c r="Y269" i="16"/>
  <c r="Y270" i="16"/>
  <c r="Y271" i="16"/>
  <c r="Y272" i="16"/>
  <c r="Y273" i="16"/>
  <c r="Y274" i="16"/>
  <c r="Y275" i="16"/>
  <c r="Y276" i="16"/>
  <c r="Y277" i="16"/>
  <c r="Y278" i="16"/>
  <c r="Y279" i="16"/>
  <c r="Y280" i="16"/>
  <c r="Y281" i="16"/>
  <c r="Y282" i="16"/>
  <c r="Y283" i="16"/>
  <c r="Y284" i="16"/>
  <c r="Y285" i="16"/>
  <c r="Y286" i="16"/>
  <c r="Y287" i="16"/>
  <c r="Y288" i="16"/>
  <c r="Y289" i="16"/>
  <c r="Y290" i="16"/>
  <c r="Y291" i="16"/>
  <c r="Y292" i="16"/>
  <c r="Y293" i="16"/>
  <c r="Y294" i="16"/>
  <c r="Y295" i="16"/>
  <c r="Y296" i="16"/>
  <c r="Y297" i="16"/>
  <c r="Y298" i="16"/>
  <c r="Y299" i="16"/>
  <c r="Y300" i="16"/>
  <c r="Y301" i="16"/>
  <c r="Y302" i="16"/>
  <c r="Y303" i="16"/>
  <c r="Y304" i="16"/>
  <c r="Y305" i="16"/>
  <c r="Y306" i="16"/>
  <c r="Y307" i="16"/>
  <c r="Y308" i="16"/>
  <c r="Y309" i="16"/>
  <c r="Y310" i="16"/>
  <c r="Y311" i="16"/>
  <c r="Y312" i="16"/>
  <c r="Y313" i="16"/>
  <c r="Y314" i="16"/>
  <c r="Y315" i="16"/>
  <c r="Y316" i="16"/>
  <c r="Y317" i="16"/>
  <c r="Y318" i="16"/>
  <c r="Y319" i="16"/>
  <c r="Y320" i="16"/>
  <c r="Y321" i="16"/>
  <c r="Y322" i="16"/>
  <c r="Y323" i="16"/>
  <c r="Y324" i="16"/>
  <c r="Y325" i="16"/>
  <c r="Y326" i="16"/>
  <c r="Y327" i="16"/>
  <c r="Y328" i="16"/>
  <c r="Y329" i="16"/>
  <c r="Y330" i="16"/>
  <c r="Y331" i="16"/>
  <c r="Y332" i="16"/>
  <c r="Y333" i="16"/>
  <c r="Y334" i="16"/>
  <c r="Y335" i="16"/>
  <c r="Y336" i="16"/>
  <c r="Y337" i="16"/>
  <c r="Y338" i="16"/>
  <c r="Y339" i="16"/>
  <c r="Y340" i="16"/>
  <c r="Y341" i="16"/>
  <c r="Y342" i="16"/>
  <c r="Y343" i="16"/>
  <c r="Y344" i="16"/>
  <c r="Y345" i="16"/>
  <c r="Y346" i="16"/>
  <c r="Y347" i="16"/>
  <c r="Y348" i="16"/>
  <c r="Y349" i="16"/>
  <c r="Y350" i="16"/>
  <c r="Y351" i="16"/>
  <c r="Y352" i="16"/>
  <c r="Y353" i="16"/>
  <c r="Y354" i="16"/>
  <c r="Y355" i="16"/>
  <c r="Y356" i="16"/>
  <c r="Y357" i="16"/>
  <c r="Y358" i="16"/>
  <c r="Y359" i="16"/>
  <c r="Y360" i="16"/>
  <c r="Y361" i="16"/>
  <c r="Y362" i="16"/>
  <c r="Y363" i="16"/>
  <c r="Y364" i="16"/>
  <c r="Y365" i="16"/>
  <c r="Y366" i="16"/>
  <c r="Y367" i="16"/>
  <c r="Y368" i="16"/>
  <c r="Y369" i="16"/>
  <c r="Y370" i="16"/>
  <c r="Y371" i="16"/>
  <c r="Y372" i="16"/>
  <c r="Y373" i="16"/>
  <c r="Y374" i="16"/>
  <c r="Y375" i="16"/>
  <c r="Y376" i="16"/>
  <c r="Y377" i="16"/>
  <c r="Y378" i="16"/>
  <c r="Y379" i="16"/>
  <c r="Y380" i="16"/>
  <c r="Y381" i="16"/>
  <c r="Y382" i="16"/>
  <c r="Y383" i="16"/>
  <c r="Y384" i="16"/>
  <c r="Y385" i="16"/>
  <c r="Y386" i="16"/>
  <c r="Y387" i="16"/>
  <c r="Y388" i="16"/>
  <c r="Y389" i="16"/>
  <c r="Y390" i="16"/>
  <c r="Y391" i="16"/>
  <c r="Y392" i="16"/>
  <c r="Y393" i="16"/>
  <c r="Y394" i="16"/>
  <c r="Y395" i="16"/>
  <c r="Y396" i="16"/>
  <c r="Y397" i="16"/>
  <c r="Y398" i="16"/>
  <c r="Y399" i="16"/>
  <c r="Y400" i="16"/>
  <c r="Y401" i="16"/>
  <c r="Y402" i="16"/>
  <c r="Y403" i="16"/>
  <c r="Y404" i="16"/>
  <c r="Y405" i="16"/>
  <c r="Y406" i="16"/>
  <c r="Y407" i="16"/>
  <c r="Y408" i="16"/>
  <c r="Y409" i="16"/>
  <c r="Y410" i="16"/>
  <c r="Y411" i="16"/>
  <c r="Y412" i="16"/>
  <c r="Y413" i="16"/>
  <c r="Y414" i="16"/>
  <c r="Y415" i="16"/>
  <c r="Y416" i="16"/>
  <c r="Y417" i="16"/>
  <c r="Y418" i="16"/>
  <c r="Y419" i="16"/>
  <c r="Y420" i="16"/>
  <c r="Y421" i="16"/>
  <c r="Y422" i="16"/>
  <c r="Y423" i="16"/>
  <c r="Y424" i="16"/>
  <c r="Y425" i="16"/>
  <c r="Y426" i="16"/>
  <c r="Y427" i="16"/>
  <c r="Y428" i="16"/>
  <c r="Y429" i="16"/>
  <c r="Y430" i="16"/>
  <c r="Y431" i="16"/>
  <c r="Y432" i="16"/>
  <c r="Y433" i="16"/>
  <c r="Y434" i="16"/>
  <c r="Y435" i="16"/>
  <c r="Y436" i="16"/>
  <c r="Y437" i="16"/>
  <c r="Y438" i="16"/>
  <c r="Y439" i="16"/>
  <c r="Y440" i="16"/>
  <c r="Y441" i="16"/>
  <c r="Y442" i="16"/>
  <c r="Y443" i="16"/>
  <c r="Y444" i="16"/>
  <c r="Y445" i="16"/>
  <c r="Y446" i="16"/>
  <c r="Y447" i="16"/>
  <c r="Y448" i="16"/>
  <c r="Y449" i="16"/>
  <c r="Y450" i="16"/>
  <c r="Y451" i="16"/>
  <c r="Y452" i="16"/>
  <c r="Y453" i="16"/>
  <c r="Y454" i="16"/>
  <c r="Y455" i="16"/>
  <c r="Y456" i="16"/>
  <c r="Y457" i="16"/>
  <c r="Y458" i="16"/>
  <c r="Y459" i="16"/>
  <c r="Y460" i="16"/>
  <c r="Y461" i="16"/>
  <c r="Y462" i="16"/>
  <c r="Y463" i="16"/>
  <c r="Y464" i="16"/>
  <c r="Y465" i="16"/>
  <c r="Y466" i="16"/>
  <c r="Y467" i="16"/>
  <c r="Y468" i="16"/>
  <c r="Y469" i="16"/>
  <c r="Y470" i="16"/>
  <c r="Y471" i="16"/>
  <c r="Y472" i="16"/>
  <c r="Y473" i="16"/>
  <c r="Y474" i="16"/>
  <c r="Y475" i="16"/>
  <c r="Y476" i="16"/>
  <c r="Y477" i="16"/>
  <c r="Y478" i="16"/>
  <c r="Y479" i="16"/>
  <c r="Y480" i="16"/>
  <c r="Y481" i="16"/>
  <c r="Y482" i="16"/>
  <c r="Y483" i="16"/>
  <c r="Y484" i="16"/>
  <c r="Y485" i="16"/>
  <c r="Y486" i="16"/>
  <c r="Y487" i="16"/>
  <c r="Y488" i="16"/>
  <c r="Y489" i="16"/>
  <c r="Y490" i="16"/>
  <c r="Y491" i="16"/>
  <c r="Y492" i="16"/>
  <c r="Y493" i="16"/>
  <c r="Y494" i="16"/>
  <c r="Y495" i="16"/>
  <c r="Y496" i="16"/>
  <c r="Y497" i="16"/>
  <c r="Y498" i="16"/>
  <c r="Y499" i="16"/>
  <c r="Y500" i="16"/>
  <c r="Y501" i="16"/>
  <c r="Y502" i="16"/>
  <c r="Y503" i="16"/>
  <c r="Y504" i="16"/>
  <c r="Y505" i="16"/>
  <c r="Y547" i="16"/>
  <c r="Y570" i="16"/>
  <c r="Y571" i="16"/>
  <c r="Y572" i="16"/>
  <c r="Y573" i="16"/>
  <c r="Y574" i="16"/>
  <c r="Y575" i="16"/>
  <c r="Y576" i="16"/>
  <c r="Y577" i="16"/>
  <c r="Y578" i="16"/>
  <c r="Y579" i="16"/>
  <c r="Y580" i="16"/>
  <c r="Y581" i="16"/>
  <c r="Y582" i="16"/>
  <c r="Y583" i="16"/>
  <c r="Y584" i="16"/>
  <c r="Y585" i="16"/>
  <c r="Y586" i="16"/>
  <c r="Y587" i="16"/>
  <c r="Y588" i="16"/>
  <c r="Y589" i="16"/>
  <c r="Y654" i="16"/>
  <c r="Y655" i="16"/>
  <c r="Y656" i="16"/>
  <c r="Y657" i="16"/>
  <c r="Y658" i="16"/>
  <c r="Y659" i="16"/>
  <c r="Y660" i="16"/>
  <c r="Y661" i="16"/>
  <c r="Y662" i="16"/>
  <c r="Y663" i="16"/>
  <c r="Y664" i="16"/>
  <c r="Y665" i="16"/>
  <c r="Y666" i="16"/>
  <c r="Y667" i="16"/>
  <c r="Y668" i="16"/>
  <c r="Y669" i="16"/>
  <c r="Y670" i="16"/>
  <c r="Y671" i="16"/>
  <c r="Y672" i="16"/>
  <c r="Y673" i="16"/>
  <c r="Y674" i="16"/>
  <c r="Y675" i="16"/>
  <c r="Y676" i="16"/>
  <c r="Y677" i="16"/>
  <c r="Y678" i="16"/>
  <c r="Y679" i="16"/>
  <c r="Y680" i="16"/>
  <c r="Y681" i="16"/>
  <c r="Y682" i="16"/>
  <c r="Y683" i="16"/>
  <c r="Y684" i="16"/>
  <c r="Y685" i="16"/>
  <c r="Y686" i="16"/>
  <c r="Y687" i="16"/>
  <c r="Y688" i="16"/>
  <c r="Y689" i="16"/>
  <c r="Y690" i="16"/>
  <c r="Y691" i="16"/>
  <c r="Y692" i="16"/>
  <c r="Y693" i="16"/>
  <c r="Y694" i="16"/>
  <c r="Y695" i="16"/>
  <c r="Y696" i="16"/>
  <c r="Y697" i="16"/>
  <c r="Y698" i="16"/>
  <c r="Y699" i="16"/>
  <c r="Y700" i="16"/>
  <c r="Y701" i="16"/>
  <c r="Y702" i="16"/>
  <c r="Y703" i="16"/>
  <c r="Y704" i="16"/>
  <c r="Y705" i="16"/>
  <c r="Y706" i="16"/>
  <c r="Y707" i="16"/>
  <c r="Y708" i="16"/>
  <c r="Y709" i="16"/>
  <c r="Y710" i="16"/>
  <c r="Y711" i="16"/>
  <c r="Y712" i="16"/>
  <c r="Y713" i="16"/>
  <c r="Y714" i="16"/>
  <c r="Y715" i="16"/>
  <c r="Y716" i="16"/>
  <c r="Y717" i="16"/>
  <c r="Y718" i="16"/>
  <c r="Y719" i="16"/>
  <c r="Y720" i="16"/>
  <c r="Y721" i="16"/>
  <c r="Y722" i="16"/>
  <c r="Y723" i="16"/>
  <c r="Y724" i="16"/>
  <c r="Y725" i="16"/>
  <c r="Y726" i="16"/>
  <c r="Y727" i="16"/>
  <c r="Y728" i="16"/>
  <c r="Y729" i="16"/>
  <c r="Y730" i="16"/>
  <c r="Y731" i="16"/>
  <c r="Y732" i="16"/>
  <c r="Y733" i="16"/>
  <c r="Y734" i="16"/>
  <c r="Y735" i="16"/>
  <c r="Y736" i="16"/>
  <c r="Y737" i="16"/>
  <c r="Y738" i="16"/>
  <c r="Y739" i="16"/>
  <c r="Y740" i="16"/>
  <c r="Y741" i="16"/>
  <c r="Y742" i="16"/>
  <c r="Y743" i="16"/>
  <c r="Y744" i="16"/>
  <c r="Y745" i="16"/>
  <c r="Y746" i="16"/>
  <c r="Y747" i="16"/>
  <c r="Y748" i="16"/>
  <c r="Y749" i="16"/>
  <c r="Y750" i="16"/>
  <c r="Y751" i="16"/>
  <c r="Y752" i="16"/>
  <c r="Y753" i="16"/>
  <c r="Y754" i="16"/>
  <c r="Y755" i="16"/>
  <c r="Y756" i="16"/>
  <c r="Y757" i="16"/>
  <c r="Y2" i="16"/>
  <c r="G3" i="3" l="1"/>
  <c r="B3" i="3" s="1"/>
  <c r="G4" i="3"/>
  <c r="K4" i="3" s="1"/>
  <c r="G5" i="3"/>
  <c r="M5" i="3" s="1"/>
  <c r="G6" i="3"/>
  <c r="P6" i="3" s="1"/>
  <c r="BI3" i="3"/>
  <c r="BI4" i="3"/>
  <c r="BI5" i="3"/>
  <c r="BI6" i="3"/>
  <c r="G7" i="3"/>
  <c r="BI7" i="3"/>
  <c r="G8" i="3"/>
  <c r="Q8" i="3" s="1"/>
  <c r="BI8" i="3"/>
  <c r="G9" i="3"/>
  <c r="Q9" i="3" s="1"/>
  <c r="BI9" i="3"/>
  <c r="G10" i="3"/>
  <c r="J10" i="3" s="1"/>
  <c r="BI10" i="3"/>
  <c r="G11" i="3"/>
  <c r="A11" i="3" s="1"/>
  <c r="BI11" i="3"/>
  <c r="G12" i="3"/>
  <c r="J12" i="3" s="1"/>
  <c r="BI12" i="3"/>
  <c r="G13" i="3"/>
  <c r="J13" i="3" s="1"/>
  <c r="BI13" i="3"/>
  <c r="G14" i="3"/>
  <c r="J14" i="3" s="1"/>
  <c r="BI14" i="3"/>
  <c r="G15" i="3"/>
  <c r="A15" i="3" s="1"/>
  <c r="BI15" i="3"/>
  <c r="G16" i="3"/>
  <c r="A16" i="3" s="1"/>
  <c r="BI16" i="3"/>
  <c r="G17" i="3"/>
  <c r="N17" i="3" s="1"/>
  <c r="BI17" i="3"/>
  <c r="G18" i="3"/>
  <c r="BI18" i="3"/>
  <c r="G19" i="3"/>
  <c r="J19" i="3" s="1"/>
  <c r="BI19" i="3"/>
  <c r="G20" i="3"/>
  <c r="U20" i="3" s="1"/>
  <c r="BI20" i="3"/>
  <c r="G21" i="3"/>
  <c r="Q21" i="3" s="1"/>
  <c r="BI21" i="3"/>
  <c r="G22" i="3"/>
  <c r="A22" i="3" s="1"/>
  <c r="BI22" i="3"/>
  <c r="G23" i="3"/>
  <c r="J23" i="3" s="1"/>
  <c r="BI23" i="3"/>
  <c r="G24" i="3"/>
  <c r="Y24" i="3" s="1"/>
  <c r="BI24" i="3"/>
  <c r="G25" i="3"/>
  <c r="I25" i="3" s="1"/>
  <c r="BI25" i="3"/>
  <c r="G26" i="3"/>
  <c r="I26" i="3" s="1"/>
  <c r="BI26" i="3"/>
  <c r="G27" i="3"/>
  <c r="BI27" i="3"/>
  <c r="G28" i="3"/>
  <c r="BI28" i="3"/>
  <c r="G29" i="3"/>
  <c r="P29" i="3" s="1"/>
  <c r="BI29" i="3"/>
  <c r="G30" i="3"/>
  <c r="A30" i="3" s="1"/>
  <c r="BI30" i="3"/>
  <c r="G31" i="3"/>
  <c r="BI31" i="3"/>
  <c r="G32" i="3"/>
  <c r="A32" i="3" s="1"/>
  <c r="BI32" i="3"/>
  <c r="G33" i="3"/>
  <c r="A33" i="3" s="1"/>
  <c r="BI33" i="3"/>
  <c r="G34" i="3"/>
  <c r="B34" i="3" s="1"/>
  <c r="BI34" i="3"/>
  <c r="G35" i="3"/>
  <c r="P35" i="3" s="1"/>
  <c r="BI35" i="3"/>
  <c r="G36" i="3"/>
  <c r="L36" i="3" s="1"/>
  <c r="BI36" i="3"/>
  <c r="G37" i="3"/>
  <c r="A37" i="3" s="1"/>
  <c r="BI37" i="3"/>
  <c r="G38" i="3"/>
  <c r="BI38" i="3"/>
  <c r="G39" i="3"/>
  <c r="BI39" i="3"/>
  <c r="G40" i="3"/>
  <c r="A40" i="3" s="1"/>
  <c r="BI40" i="3"/>
  <c r="G41" i="3"/>
  <c r="R41" i="3" s="1"/>
  <c r="BI41" i="3"/>
  <c r="G42" i="3"/>
  <c r="BI42" i="3"/>
  <c r="G43" i="3"/>
  <c r="BI43" i="3"/>
  <c r="G44" i="3"/>
  <c r="A44" i="3" s="1"/>
  <c r="BI44" i="3"/>
  <c r="G45" i="3"/>
  <c r="A45" i="3" s="1"/>
  <c r="BI45" i="3"/>
  <c r="G46" i="3"/>
  <c r="N46" i="3" s="1"/>
  <c r="BI46" i="3"/>
  <c r="G47" i="3"/>
  <c r="BI47" i="3"/>
  <c r="G48" i="3"/>
  <c r="BI48" i="3"/>
  <c r="G49" i="3"/>
  <c r="A49" i="3" s="1"/>
  <c r="BI49" i="3"/>
  <c r="G50" i="3"/>
  <c r="N50" i="3" s="1"/>
  <c r="BI50" i="3"/>
  <c r="G51" i="3"/>
  <c r="B51" i="3" s="1"/>
  <c r="BI51" i="3"/>
  <c r="G52" i="3"/>
  <c r="A52" i="3" s="1"/>
  <c r="BI52" i="3"/>
  <c r="G53" i="3"/>
  <c r="A53" i="3" s="1"/>
  <c r="BI53" i="3"/>
  <c r="G54" i="3"/>
  <c r="A54" i="3" s="1"/>
  <c r="BI54" i="3"/>
  <c r="G55" i="3"/>
  <c r="BI55" i="3"/>
  <c r="G56" i="3"/>
  <c r="B56" i="3" s="1"/>
  <c r="BI56" i="3"/>
  <c r="G57" i="3"/>
  <c r="A57" i="3" s="1"/>
  <c r="BI57" i="3"/>
  <c r="G58" i="3"/>
  <c r="BI58" i="3"/>
  <c r="G59" i="3"/>
  <c r="BI59" i="3"/>
  <c r="G60" i="3"/>
  <c r="A60" i="3" s="1"/>
  <c r="BI60" i="3"/>
  <c r="G61" i="3"/>
  <c r="A61" i="3" s="1"/>
  <c r="BI61" i="3"/>
  <c r="G62" i="3"/>
  <c r="BI62" i="3"/>
  <c r="G63" i="3"/>
  <c r="BI63" i="3"/>
  <c r="G64" i="3"/>
  <c r="N64" i="3" s="1"/>
  <c r="BI64" i="3"/>
  <c r="G65" i="3"/>
  <c r="A65" i="3" s="1"/>
  <c r="BI65" i="3"/>
  <c r="G66" i="3"/>
  <c r="A66" i="3" s="1"/>
  <c r="BI66" i="3"/>
  <c r="G67" i="3"/>
  <c r="BI67" i="3"/>
  <c r="G68" i="3"/>
  <c r="U68" i="3" s="1"/>
  <c r="BI68" i="3"/>
  <c r="G69" i="3"/>
  <c r="A69" i="3" s="1"/>
  <c r="BI69" i="3"/>
  <c r="G70" i="3"/>
  <c r="A70" i="3" s="1"/>
  <c r="BI70" i="3"/>
  <c r="G71" i="3"/>
  <c r="P71" i="3" s="1"/>
  <c r="BI71" i="3"/>
  <c r="G72" i="3"/>
  <c r="BI72" i="3"/>
  <c r="G73" i="3"/>
  <c r="B73" i="3" s="1"/>
  <c r="BI73" i="3"/>
  <c r="G74" i="3"/>
  <c r="AF74" i="3" s="1"/>
  <c r="BI74" i="3"/>
  <c r="G75" i="3"/>
  <c r="A75" i="3" s="1"/>
  <c r="BI75" i="3"/>
  <c r="G76" i="3"/>
  <c r="A76" i="3" s="1"/>
  <c r="BI76" i="3"/>
  <c r="G77" i="3"/>
  <c r="N77" i="3" s="1"/>
  <c r="BI77" i="3"/>
  <c r="G78" i="3"/>
  <c r="F78" i="3" s="1"/>
  <c r="AP78" i="3" s="1"/>
  <c r="BI78" i="3"/>
  <c r="G79" i="3"/>
  <c r="BI79" i="3"/>
  <c r="G80" i="3"/>
  <c r="M80" i="3" s="1"/>
  <c r="BI80" i="3"/>
  <c r="G81" i="3"/>
  <c r="A81" i="3" s="1"/>
  <c r="BI81" i="3"/>
  <c r="G82" i="3"/>
  <c r="BI82" i="3"/>
  <c r="G83" i="3"/>
  <c r="BI83" i="3"/>
  <c r="G84" i="3"/>
  <c r="BI84" i="3"/>
  <c r="G85" i="3"/>
  <c r="P85" i="3" s="1"/>
  <c r="BI85" i="3"/>
  <c r="G86" i="3"/>
  <c r="U86" i="3" s="1"/>
  <c r="BI86" i="3"/>
  <c r="G87" i="3"/>
  <c r="BI87" i="3"/>
  <c r="G88" i="3"/>
  <c r="B88" i="3" s="1"/>
  <c r="BI88" i="3"/>
  <c r="G89" i="3"/>
  <c r="A89" i="3" s="1"/>
  <c r="BI89" i="3"/>
  <c r="G90" i="3"/>
  <c r="BI90" i="3"/>
  <c r="G91" i="3"/>
  <c r="BI91" i="3"/>
  <c r="G92" i="3"/>
  <c r="R92" i="3" s="1"/>
  <c r="BI92" i="3"/>
  <c r="G93" i="3"/>
  <c r="A93" i="3" s="1"/>
  <c r="BI93" i="3"/>
  <c r="G94" i="3"/>
  <c r="M94" i="3" s="1"/>
  <c r="BI94" i="3"/>
  <c r="G95" i="3"/>
  <c r="BI95" i="3"/>
  <c r="G96" i="3"/>
  <c r="BI96" i="3"/>
  <c r="G97" i="3"/>
  <c r="A97" i="3" s="1"/>
  <c r="BI97" i="3"/>
  <c r="G98" i="3"/>
  <c r="A98" i="3" s="1"/>
  <c r="BI98" i="3"/>
  <c r="G99" i="3"/>
  <c r="BI99" i="3"/>
  <c r="G100" i="3"/>
  <c r="BI100" i="3"/>
  <c r="G101" i="3"/>
  <c r="A101" i="3" s="1"/>
  <c r="BI101" i="3"/>
  <c r="G102" i="3"/>
  <c r="I102" i="3" s="1"/>
  <c r="BI102" i="3"/>
  <c r="G103" i="3"/>
  <c r="A103" i="3" s="1"/>
  <c r="BI103" i="3"/>
  <c r="G104" i="3"/>
  <c r="A104" i="3" s="1"/>
  <c r="BI104" i="3"/>
  <c r="G105" i="3"/>
  <c r="A105" i="3" s="1"/>
  <c r="BI105" i="3"/>
  <c r="G106" i="3"/>
  <c r="F106" i="3" s="1"/>
  <c r="AP106" i="3" s="1"/>
  <c r="BI106" i="3"/>
  <c r="G107" i="3"/>
  <c r="A107" i="3" s="1"/>
  <c r="BI107" i="3"/>
  <c r="G108" i="3"/>
  <c r="F108" i="3" s="1"/>
  <c r="AP108" i="3" s="1"/>
  <c r="BI108" i="3"/>
  <c r="G109" i="3"/>
  <c r="P109" i="3" s="1"/>
  <c r="BI109" i="3"/>
  <c r="G110" i="3"/>
  <c r="Q110" i="3" s="1"/>
  <c r="BI110" i="3"/>
  <c r="G111" i="3"/>
  <c r="BI111" i="3"/>
  <c r="G112" i="3"/>
  <c r="I112" i="3" s="1"/>
  <c r="BI112" i="3"/>
  <c r="G113" i="3"/>
  <c r="BI113" i="3"/>
  <c r="G114" i="3"/>
  <c r="R114" i="3" s="1"/>
  <c r="BI114" i="3"/>
  <c r="G115" i="3"/>
  <c r="BI115" i="3"/>
  <c r="G116" i="3"/>
  <c r="A116" i="3" s="1"/>
  <c r="BI116" i="3"/>
  <c r="G117" i="3"/>
  <c r="BI117" i="3"/>
  <c r="G118" i="3"/>
  <c r="Y118" i="3" s="1"/>
  <c r="BI118" i="3"/>
  <c r="G119" i="3"/>
  <c r="BI119" i="3"/>
  <c r="G120" i="3"/>
  <c r="A120" i="3" s="1"/>
  <c r="BI120" i="3"/>
  <c r="G121" i="3"/>
  <c r="BI121" i="3"/>
  <c r="G122" i="3"/>
  <c r="A122" i="3" s="1"/>
  <c r="BI122" i="3"/>
  <c r="G123" i="3"/>
  <c r="A123" i="3" s="1"/>
  <c r="BI123" i="3"/>
  <c r="G124" i="3"/>
  <c r="P124" i="3" s="1"/>
  <c r="BI124" i="3"/>
  <c r="G125" i="3"/>
  <c r="BI125" i="3"/>
  <c r="G126" i="3"/>
  <c r="A126" i="3" s="1"/>
  <c r="BI126" i="3"/>
  <c r="G127" i="3"/>
  <c r="L127" i="3" s="1"/>
  <c r="BI127" i="3"/>
  <c r="G128" i="3"/>
  <c r="A128" i="3" s="1"/>
  <c r="BI128" i="3"/>
  <c r="G129" i="3"/>
  <c r="M129" i="3" s="1"/>
  <c r="BI129" i="3"/>
  <c r="G130" i="3"/>
  <c r="Y130" i="3" s="1"/>
  <c r="BI130" i="3"/>
  <c r="G131" i="3"/>
  <c r="A131" i="3" s="1"/>
  <c r="BI131" i="3"/>
  <c r="G132" i="3"/>
  <c r="I132" i="3" s="1"/>
  <c r="BI132" i="3"/>
  <c r="G133" i="3"/>
  <c r="R133" i="3" s="1"/>
  <c r="BI133" i="3"/>
  <c r="G134" i="3"/>
  <c r="A134" i="3" s="1"/>
  <c r="BI134" i="3"/>
  <c r="G135" i="3"/>
  <c r="BI135" i="3"/>
  <c r="G136" i="3"/>
  <c r="U136" i="3" s="1"/>
  <c r="BI136" i="3"/>
  <c r="G137" i="3"/>
  <c r="BI137" i="3"/>
  <c r="G138" i="3"/>
  <c r="A138" i="3" s="1"/>
  <c r="BI138" i="3"/>
  <c r="G139" i="3"/>
  <c r="BI139" i="3"/>
  <c r="G140" i="3"/>
  <c r="U140" i="3" s="1"/>
  <c r="BI140" i="3"/>
  <c r="G141" i="3"/>
  <c r="L141" i="3" s="1"/>
  <c r="BI141" i="3"/>
  <c r="G142" i="3"/>
  <c r="BI142" i="3"/>
  <c r="G143" i="3"/>
  <c r="F143" i="3" s="1"/>
  <c r="AP143" i="3" s="1"/>
  <c r="BI143" i="3"/>
  <c r="G144" i="3"/>
  <c r="BI144" i="3"/>
  <c r="G145" i="3"/>
  <c r="A145" i="3" s="1"/>
  <c r="BI145" i="3"/>
  <c r="G146" i="3"/>
  <c r="BI146" i="3"/>
  <c r="G147" i="3"/>
  <c r="P147" i="3" s="1"/>
  <c r="BI147" i="3"/>
  <c r="G148" i="3"/>
  <c r="M148" i="3" s="1"/>
  <c r="BI148" i="3"/>
  <c r="G149" i="3"/>
  <c r="BI149" i="3"/>
  <c r="G150" i="3"/>
  <c r="N150" i="3" s="1"/>
  <c r="BI150" i="3"/>
  <c r="G151" i="3"/>
  <c r="A151" i="3" s="1"/>
  <c r="BI151" i="3"/>
  <c r="G152" i="3"/>
  <c r="B152" i="3" s="1"/>
  <c r="BI152" i="3"/>
  <c r="G153" i="3"/>
  <c r="A153" i="3" s="1"/>
  <c r="BI153" i="3"/>
  <c r="G154" i="3"/>
  <c r="A154" i="3" s="1"/>
  <c r="BI154" i="3"/>
  <c r="G155" i="3"/>
  <c r="BI155" i="3"/>
  <c r="G156" i="3"/>
  <c r="P156" i="3" s="1"/>
  <c r="BI156" i="3"/>
  <c r="G157" i="3"/>
  <c r="U157" i="3" s="1"/>
  <c r="BI157" i="3"/>
  <c r="G158" i="3"/>
  <c r="F158" i="3" s="1"/>
  <c r="AP158" i="3" s="1"/>
  <c r="BI158" i="3"/>
  <c r="G159" i="3"/>
  <c r="BI159" i="3"/>
  <c r="G160" i="3"/>
  <c r="A160" i="3" s="1"/>
  <c r="BI160" i="3"/>
  <c r="G161" i="3"/>
  <c r="A161" i="3" s="1"/>
  <c r="BI161" i="3"/>
  <c r="G162" i="3"/>
  <c r="P162" i="3" s="1"/>
  <c r="BI162" i="3"/>
  <c r="G163" i="3"/>
  <c r="U163" i="3" s="1"/>
  <c r="BI163" i="3"/>
  <c r="G164" i="3"/>
  <c r="U164" i="3" s="1"/>
  <c r="BI164" i="3"/>
  <c r="G165" i="3"/>
  <c r="A165" i="3" s="1"/>
  <c r="BI165" i="3"/>
  <c r="G166" i="3"/>
  <c r="M166" i="3" s="1"/>
  <c r="BI166" i="3"/>
  <c r="G167" i="3"/>
  <c r="L167" i="3" s="1"/>
  <c r="BI167" i="3"/>
  <c r="G168" i="3"/>
  <c r="N168" i="3" s="1"/>
  <c r="BI168" i="3"/>
  <c r="G169" i="3"/>
  <c r="A169" i="3" s="1"/>
  <c r="BI169" i="3"/>
  <c r="G170" i="3"/>
  <c r="AO170" i="3" s="1"/>
  <c r="BI170" i="3"/>
  <c r="G171" i="3"/>
  <c r="BI171" i="3"/>
  <c r="G172" i="3"/>
  <c r="BI172" i="3"/>
  <c r="G173" i="3"/>
  <c r="A173" i="3" s="1"/>
  <c r="BI173" i="3"/>
  <c r="G174" i="3"/>
  <c r="F174" i="3" s="1"/>
  <c r="AP174" i="3" s="1"/>
  <c r="BI174" i="3"/>
  <c r="G175" i="3"/>
  <c r="N175" i="3" s="1"/>
  <c r="BI175" i="3"/>
  <c r="G176" i="3"/>
  <c r="A176" i="3" s="1"/>
  <c r="BI176" i="3"/>
  <c r="G177" i="3"/>
  <c r="M177" i="3" s="1"/>
  <c r="BI177" i="3"/>
  <c r="G178" i="3"/>
  <c r="A178" i="3" s="1"/>
  <c r="BI178" i="3"/>
  <c r="G179" i="3"/>
  <c r="N179" i="3" s="1"/>
  <c r="BI179" i="3"/>
  <c r="G180" i="3"/>
  <c r="A180" i="3" s="1"/>
  <c r="BI180" i="3"/>
  <c r="G181" i="3"/>
  <c r="BI181" i="3"/>
  <c r="G182" i="3"/>
  <c r="A182" i="3" s="1"/>
  <c r="BI182" i="3"/>
  <c r="G183" i="3"/>
  <c r="M183" i="3" s="1"/>
  <c r="BI183" i="3"/>
  <c r="G184" i="3"/>
  <c r="A184" i="3" s="1"/>
  <c r="BI184" i="3"/>
  <c r="G185" i="3"/>
  <c r="BI185" i="3"/>
  <c r="G186" i="3"/>
  <c r="A186" i="3" s="1"/>
  <c r="BI186" i="3"/>
  <c r="G187" i="3"/>
  <c r="N187" i="3" s="1"/>
  <c r="BI187" i="3"/>
  <c r="G188" i="3"/>
  <c r="A188" i="3" s="1"/>
  <c r="BI188" i="3"/>
  <c r="G189" i="3"/>
  <c r="A189" i="3" s="1"/>
  <c r="BI189" i="3"/>
  <c r="G190" i="3"/>
  <c r="BI190" i="3"/>
  <c r="G191" i="3"/>
  <c r="U191" i="3" s="1"/>
  <c r="BI191" i="3"/>
  <c r="G192" i="3"/>
  <c r="A192" i="3" s="1"/>
  <c r="BI192" i="3"/>
  <c r="G193" i="3"/>
  <c r="A193" i="3" s="1"/>
  <c r="BI193" i="3"/>
  <c r="G194" i="3"/>
  <c r="A194" i="3" s="1"/>
  <c r="BI194" i="3"/>
  <c r="G195" i="3"/>
  <c r="BI195" i="3"/>
  <c r="G196" i="3"/>
  <c r="BI196" i="3"/>
  <c r="G197" i="3"/>
  <c r="A197" i="3" s="1"/>
  <c r="BI197" i="3"/>
  <c r="G198" i="3"/>
  <c r="AF198" i="3" s="1"/>
  <c r="BI198" i="3"/>
  <c r="G199" i="3"/>
  <c r="A199" i="3" s="1"/>
  <c r="BI199" i="3"/>
  <c r="G200" i="3"/>
  <c r="BI200" i="3"/>
  <c r="G201" i="3"/>
  <c r="A201" i="3" s="1"/>
  <c r="BI201" i="3"/>
  <c r="G202" i="3"/>
  <c r="N202" i="3" s="1"/>
  <c r="BI202" i="3"/>
  <c r="G203" i="3"/>
  <c r="AO203" i="3" s="1"/>
  <c r="BI203" i="3"/>
  <c r="G204" i="3"/>
  <c r="BI204" i="3"/>
  <c r="G205" i="3"/>
  <c r="N205" i="3" s="1"/>
  <c r="BI205" i="3"/>
  <c r="G206" i="3"/>
  <c r="AF206" i="3" s="1"/>
  <c r="BI206" i="3"/>
  <c r="G207" i="3"/>
  <c r="A207" i="3" s="1"/>
  <c r="BI207" i="3"/>
  <c r="G208" i="3"/>
  <c r="F208" i="3" s="1"/>
  <c r="AP208" i="3" s="1"/>
  <c r="BI208" i="3"/>
  <c r="G209" i="3"/>
  <c r="A209" i="3" s="1"/>
  <c r="BI209" i="3"/>
  <c r="G210" i="3"/>
  <c r="A210" i="3" s="1"/>
  <c r="BI210" i="3"/>
  <c r="G211" i="3"/>
  <c r="BI211" i="3"/>
  <c r="G212" i="3"/>
  <c r="BI212" i="3"/>
  <c r="G213" i="3"/>
  <c r="A213" i="3" s="1"/>
  <c r="BI213" i="3"/>
  <c r="G214" i="3"/>
  <c r="AG214" i="3" s="1"/>
  <c r="BI214" i="3"/>
  <c r="G215" i="3"/>
  <c r="A215" i="3" s="1"/>
  <c r="BI215" i="3"/>
  <c r="G216" i="3"/>
  <c r="BI216" i="3"/>
  <c r="G217" i="3"/>
  <c r="AC217" i="3" s="1"/>
  <c r="BI217" i="3"/>
  <c r="G218" i="3"/>
  <c r="A218" i="3" s="1"/>
  <c r="BI218" i="3"/>
  <c r="G219" i="3"/>
  <c r="AO219" i="3" s="1"/>
  <c r="BI219" i="3"/>
  <c r="G220" i="3"/>
  <c r="A220" i="3" s="1"/>
  <c r="BI220" i="3"/>
  <c r="G221" i="3"/>
  <c r="N221" i="3" s="1"/>
  <c r="BI221" i="3"/>
  <c r="G222" i="3"/>
  <c r="BI222" i="3"/>
  <c r="G223" i="3"/>
  <c r="W223" i="3" s="1"/>
  <c r="BI223" i="3"/>
  <c r="G224" i="3"/>
  <c r="BI224" i="3"/>
  <c r="G225" i="3"/>
  <c r="AA225" i="3" s="1"/>
  <c r="BI225" i="3"/>
  <c r="G226" i="3"/>
  <c r="BI226" i="3"/>
  <c r="G227" i="3"/>
  <c r="F227" i="3" s="1"/>
  <c r="AP227" i="3" s="1"/>
  <c r="BI227" i="3"/>
  <c r="G228" i="3"/>
  <c r="A228" i="3" s="1"/>
  <c r="BI228" i="3"/>
  <c r="G229" i="3"/>
  <c r="A229" i="3" s="1"/>
  <c r="BI229" i="3"/>
  <c r="G230" i="3"/>
  <c r="A230" i="3" s="1"/>
  <c r="BI230" i="3"/>
  <c r="G231" i="3"/>
  <c r="BI231" i="3"/>
  <c r="G232" i="3"/>
  <c r="V232" i="3" s="1"/>
  <c r="BI232" i="3"/>
  <c r="G233" i="3"/>
  <c r="A233" i="3" s="1"/>
  <c r="BI233" i="3"/>
  <c r="G234" i="3"/>
  <c r="A234" i="3" s="1"/>
  <c r="BI234" i="3"/>
  <c r="G235" i="3"/>
  <c r="F235" i="3" s="1"/>
  <c r="AP235" i="3" s="1"/>
  <c r="BI235" i="3"/>
  <c r="G236" i="3"/>
  <c r="A236" i="3" s="1"/>
  <c r="BI236" i="3"/>
  <c r="G237" i="3"/>
  <c r="N237" i="3" s="1"/>
  <c r="BI237" i="3"/>
  <c r="G238" i="3"/>
  <c r="F238" i="3" s="1"/>
  <c r="AP238" i="3" s="1"/>
  <c r="BI238" i="3"/>
  <c r="G239" i="3"/>
  <c r="BI239" i="3"/>
  <c r="G240" i="3"/>
  <c r="A240" i="3" s="1"/>
  <c r="BI240" i="3"/>
  <c r="G241" i="3"/>
  <c r="B241" i="3" s="1"/>
  <c r="BI241" i="3"/>
  <c r="G242" i="3"/>
  <c r="A242" i="3" s="1"/>
  <c r="BI242" i="3"/>
  <c r="G243" i="3"/>
  <c r="BI243" i="3"/>
  <c r="G244" i="3"/>
  <c r="A244" i="3" s="1"/>
  <c r="BI244" i="3"/>
  <c r="G245" i="3"/>
  <c r="BI245" i="3"/>
  <c r="G246" i="3"/>
  <c r="A246" i="3" s="1"/>
  <c r="BI246" i="3"/>
  <c r="G247" i="3"/>
  <c r="R247" i="3" s="1"/>
  <c r="BI247" i="3"/>
  <c r="G248" i="3"/>
  <c r="I248" i="3" s="1"/>
  <c r="BI248" i="3"/>
  <c r="G249" i="3"/>
  <c r="A249" i="3" s="1"/>
  <c r="BI249" i="3"/>
  <c r="G250" i="3"/>
  <c r="A250" i="3" s="1"/>
  <c r="BI250" i="3"/>
  <c r="G251" i="3"/>
  <c r="B251" i="3" s="1"/>
  <c r="BI251" i="3"/>
  <c r="G252" i="3"/>
  <c r="A252" i="3" s="1"/>
  <c r="BI252" i="3"/>
  <c r="G253" i="3"/>
  <c r="AN253" i="3" s="1"/>
  <c r="BI253" i="3"/>
  <c r="G254" i="3"/>
  <c r="A254" i="3" s="1"/>
  <c r="BI254" i="3"/>
  <c r="G255" i="3"/>
  <c r="B255" i="3" s="1"/>
  <c r="BI255" i="3"/>
  <c r="G256" i="3"/>
  <c r="BI256" i="3"/>
  <c r="G257" i="3"/>
  <c r="A257" i="3" s="1"/>
  <c r="BI257" i="3"/>
  <c r="G258" i="3"/>
  <c r="A258" i="3" s="1"/>
  <c r="BI258" i="3"/>
  <c r="G259" i="3"/>
  <c r="A259" i="3" s="1"/>
  <c r="BI259" i="3"/>
  <c r="G260" i="3"/>
  <c r="A260" i="3" s="1"/>
  <c r="BI260" i="3"/>
  <c r="G261" i="3"/>
  <c r="A261" i="3" s="1"/>
  <c r="BI261" i="3"/>
  <c r="G262" i="3"/>
  <c r="BI262" i="3"/>
  <c r="G263" i="3"/>
  <c r="R263" i="3" s="1"/>
  <c r="BI263" i="3"/>
  <c r="G264" i="3"/>
  <c r="A264" i="3" s="1"/>
  <c r="BI264" i="3"/>
  <c r="G265" i="3"/>
  <c r="BI265" i="3"/>
  <c r="G266" i="3"/>
  <c r="BI266" i="3"/>
  <c r="G267" i="3"/>
  <c r="W267" i="3" s="1"/>
  <c r="BI267" i="3"/>
  <c r="G268" i="3"/>
  <c r="BI268" i="3"/>
  <c r="G269" i="3"/>
  <c r="BI269" i="3"/>
  <c r="G270" i="3"/>
  <c r="AL270" i="3" s="1"/>
  <c r="BJ270" i="3" s="1"/>
  <c r="BI270" i="3"/>
  <c r="G271" i="3"/>
  <c r="AB271" i="3" s="1"/>
  <c r="BI271" i="3"/>
  <c r="G272" i="3"/>
  <c r="BI272" i="3"/>
  <c r="G273" i="3"/>
  <c r="AM273" i="3" s="1"/>
  <c r="BI273" i="3"/>
  <c r="G274" i="3"/>
  <c r="A274" i="3" s="1"/>
  <c r="BI274" i="3"/>
  <c r="G275" i="3"/>
  <c r="R275" i="3" s="1"/>
  <c r="BI275" i="3"/>
  <c r="G276" i="3"/>
  <c r="A276" i="3" s="1"/>
  <c r="BI276" i="3"/>
  <c r="G277" i="3"/>
  <c r="F277" i="3" s="1"/>
  <c r="AP277" i="3" s="1"/>
  <c r="BI277" i="3"/>
  <c r="G278" i="3"/>
  <c r="M278" i="3" s="1"/>
  <c r="BI278" i="3"/>
  <c r="G279" i="3"/>
  <c r="F279" i="3" s="1"/>
  <c r="AP279" i="3" s="1"/>
  <c r="BI279" i="3"/>
  <c r="G280" i="3"/>
  <c r="BI280" i="3"/>
  <c r="G281" i="3"/>
  <c r="B281" i="3" s="1"/>
  <c r="BI281" i="3"/>
  <c r="G282" i="3"/>
  <c r="I282" i="3" s="1"/>
  <c r="BI282" i="3"/>
  <c r="G283" i="3"/>
  <c r="BI283" i="3"/>
  <c r="G284" i="3"/>
  <c r="A284" i="3" s="1"/>
  <c r="BI284" i="3"/>
  <c r="G285" i="3"/>
  <c r="I285" i="3" s="1"/>
  <c r="BI285" i="3"/>
  <c r="G286" i="3"/>
  <c r="N286" i="3" s="1"/>
  <c r="BI286" i="3"/>
  <c r="G287" i="3"/>
  <c r="P287" i="3" s="1"/>
  <c r="BI287" i="3"/>
  <c r="G288" i="3"/>
  <c r="P288" i="3" s="1"/>
  <c r="BI288" i="3"/>
  <c r="G289" i="3"/>
  <c r="W289" i="3" s="1"/>
  <c r="BI289" i="3"/>
  <c r="G290" i="3"/>
  <c r="BI290" i="3"/>
  <c r="G291" i="3"/>
  <c r="A291" i="3" s="1"/>
  <c r="BI291" i="3"/>
  <c r="G292" i="3"/>
  <c r="R292" i="3" s="1"/>
  <c r="BI292" i="3"/>
  <c r="G293" i="3"/>
  <c r="AD293" i="3" s="1"/>
  <c r="BI293" i="3"/>
  <c r="G294" i="3"/>
  <c r="L294" i="3" s="1"/>
  <c r="BI294" i="3"/>
  <c r="G295" i="3"/>
  <c r="A295" i="3" s="1"/>
  <c r="BI295" i="3"/>
  <c r="G296" i="3"/>
  <c r="A296" i="3" s="1"/>
  <c r="BI296" i="3"/>
  <c r="G297" i="3"/>
  <c r="A297" i="3" s="1"/>
  <c r="BI297" i="3"/>
  <c r="G298" i="3"/>
  <c r="BI298" i="3"/>
  <c r="G299" i="3"/>
  <c r="M299" i="3" s="1"/>
  <c r="BI299" i="3"/>
  <c r="G300" i="3"/>
  <c r="A300" i="3" s="1"/>
  <c r="BI300" i="3"/>
  <c r="G301" i="3"/>
  <c r="A301" i="3" s="1"/>
  <c r="BI301" i="3"/>
  <c r="G302" i="3"/>
  <c r="BI302" i="3"/>
  <c r="G303" i="3"/>
  <c r="BI303" i="3"/>
  <c r="G304" i="3"/>
  <c r="F304" i="3" s="1"/>
  <c r="AP304" i="3" s="1"/>
  <c r="BI304" i="3"/>
  <c r="G305" i="3"/>
  <c r="A305" i="3" s="1"/>
  <c r="BI305" i="3"/>
  <c r="G306" i="3"/>
  <c r="A306" i="3" s="1"/>
  <c r="BI306" i="3"/>
  <c r="G307" i="3"/>
  <c r="A307" i="3" s="1"/>
  <c r="BI307" i="3"/>
  <c r="G308" i="3"/>
  <c r="BI308" i="3"/>
  <c r="G309" i="3"/>
  <c r="BI309" i="3"/>
  <c r="G310" i="3"/>
  <c r="A310" i="3" s="1"/>
  <c r="BI310" i="3"/>
  <c r="G311" i="3"/>
  <c r="A311" i="3" s="1"/>
  <c r="BI311" i="3"/>
  <c r="G312" i="3"/>
  <c r="P312" i="3" s="1"/>
  <c r="BI312" i="3"/>
  <c r="G313" i="3"/>
  <c r="N313" i="3" s="1"/>
  <c r="BI313" i="3"/>
  <c r="G314" i="3"/>
  <c r="A314" i="3" s="1"/>
  <c r="BI314" i="3"/>
  <c r="G315" i="3"/>
  <c r="A315" i="3" s="1"/>
  <c r="BI315" i="3"/>
  <c r="G316" i="3"/>
  <c r="F316" i="3" s="1"/>
  <c r="AP316" i="3" s="1"/>
  <c r="BI316" i="3"/>
  <c r="G317" i="3"/>
  <c r="B317" i="3" s="1"/>
  <c r="BI317" i="3"/>
  <c r="G318" i="3"/>
  <c r="M318" i="3" s="1"/>
  <c r="BI318" i="3"/>
  <c r="G319" i="3"/>
  <c r="Q319" i="3" s="1"/>
  <c r="BI319" i="3"/>
  <c r="G320" i="3"/>
  <c r="BI320" i="3"/>
  <c r="G321" i="3"/>
  <c r="A321" i="3" s="1"/>
  <c r="BI321" i="3"/>
  <c r="G322" i="3"/>
  <c r="BI322" i="3"/>
  <c r="G323" i="3"/>
  <c r="A323" i="3" s="1"/>
  <c r="BI323" i="3"/>
  <c r="G324" i="3"/>
  <c r="F324" i="3" s="1"/>
  <c r="AP324" i="3" s="1"/>
  <c r="BI324" i="3"/>
  <c r="G325" i="3"/>
  <c r="A325" i="3" s="1"/>
  <c r="BI325" i="3"/>
  <c r="G326" i="3"/>
  <c r="BI326" i="3"/>
  <c r="G327" i="3"/>
  <c r="A327" i="3" s="1"/>
  <c r="BI327" i="3"/>
  <c r="G328" i="3"/>
  <c r="L328" i="3" s="1"/>
  <c r="BI328" i="3"/>
  <c r="G329" i="3"/>
  <c r="A329" i="3" s="1"/>
  <c r="BI329" i="3"/>
  <c r="G330" i="3"/>
  <c r="A330" i="3" s="1"/>
  <c r="BI330" i="3"/>
  <c r="G331" i="3"/>
  <c r="AD331" i="3" s="1"/>
  <c r="BI331" i="3"/>
  <c r="G332" i="3"/>
  <c r="A332" i="3" s="1"/>
  <c r="BI332" i="3"/>
  <c r="G333" i="3"/>
  <c r="A333" i="3" s="1"/>
  <c r="BI333" i="3"/>
  <c r="G334" i="3"/>
  <c r="A334" i="3" s="1"/>
  <c r="BI334" i="3"/>
  <c r="G335" i="3"/>
  <c r="A335" i="3" s="1"/>
  <c r="BI335" i="3"/>
  <c r="G336" i="3"/>
  <c r="AO336" i="3" s="1"/>
  <c r="BI336" i="3"/>
  <c r="G337" i="3"/>
  <c r="BI337" i="3"/>
  <c r="G338" i="3"/>
  <c r="A338" i="3" s="1"/>
  <c r="BI338" i="3"/>
  <c r="G339" i="3"/>
  <c r="AA339" i="3" s="1"/>
  <c r="BI339" i="3"/>
  <c r="G340" i="3"/>
  <c r="A340" i="3" s="1"/>
  <c r="BI340" i="3"/>
  <c r="G341" i="3"/>
  <c r="AA341" i="3" s="1"/>
  <c r="BI341" i="3"/>
  <c r="G342" i="3"/>
  <c r="A342" i="3" s="1"/>
  <c r="BI342" i="3"/>
  <c r="G343" i="3"/>
  <c r="M343" i="3" s="1"/>
  <c r="BI343" i="3"/>
  <c r="G344" i="3"/>
  <c r="A344" i="3" s="1"/>
  <c r="BI344" i="3"/>
  <c r="G345" i="3"/>
  <c r="A345" i="3" s="1"/>
  <c r="BI345" i="3"/>
  <c r="G346" i="3"/>
  <c r="A346" i="3" s="1"/>
  <c r="BI346" i="3"/>
  <c r="G347" i="3"/>
  <c r="BI347" i="3"/>
  <c r="G348" i="3"/>
  <c r="B348" i="3" s="1"/>
  <c r="BI348" i="3"/>
  <c r="G349" i="3"/>
  <c r="A349" i="3" s="1"/>
  <c r="BI349" i="3"/>
  <c r="G350" i="3"/>
  <c r="P350" i="3" s="1"/>
  <c r="BI350" i="3"/>
  <c r="G351" i="3"/>
  <c r="A351" i="3" s="1"/>
  <c r="BI351" i="3"/>
  <c r="G352" i="3"/>
  <c r="A352" i="3" s="1"/>
  <c r="BI352" i="3"/>
  <c r="G353" i="3"/>
  <c r="A353" i="3" s="1"/>
  <c r="BI353" i="3"/>
  <c r="G354" i="3"/>
  <c r="A354" i="3" s="1"/>
  <c r="BI354" i="3"/>
  <c r="G355" i="3"/>
  <c r="A355" i="3" s="1"/>
  <c r="BI355" i="3"/>
  <c r="G356" i="3"/>
  <c r="BI356" i="3"/>
  <c r="G357" i="3"/>
  <c r="N357" i="3" s="1"/>
  <c r="BI357" i="3"/>
  <c r="G358" i="3"/>
  <c r="A358" i="3" s="1"/>
  <c r="BI358" i="3"/>
  <c r="G359" i="3"/>
  <c r="N359" i="3" s="1"/>
  <c r="BI359" i="3"/>
  <c r="G360" i="3"/>
  <c r="A360" i="3" s="1"/>
  <c r="BI360" i="3"/>
  <c r="G361" i="3"/>
  <c r="N361" i="3" s="1"/>
  <c r="BI361" i="3"/>
  <c r="G362" i="3"/>
  <c r="A362" i="3" s="1"/>
  <c r="BI362" i="3"/>
  <c r="G363" i="3"/>
  <c r="M363" i="3" s="1"/>
  <c r="BI363" i="3"/>
  <c r="G364" i="3"/>
  <c r="A364" i="3" s="1"/>
  <c r="BI364" i="3"/>
  <c r="G365" i="3"/>
  <c r="BI365" i="3"/>
  <c r="G366" i="3"/>
  <c r="A366" i="3" s="1"/>
  <c r="BI366" i="3"/>
  <c r="G367" i="3"/>
  <c r="A367" i="3" s="1"/>
  <c r="BI367" i="3"/>
  <c r="G368" i="3"/>
  <c r="U368" i="3" s="1"/>
  <c r="BI368" i="3"/>
  <c r="G369" i="3"/>
  <c r="A369" i="3" s="1"/>
  <c r="BI369" i="3"/>
  <c r="G370" i="3"/>
  <c r="A370" i="3" s="1"/>
  <c r="BI370" i="3"/>
  <c r="G371" i="3"/>
  <c r="A371" i="3" s="1"/>
  <c r="BI371" i="3"/>
  <c r="G372" i="3"/>
  <c r="BI372" i="3"/>
  <c r="G373" i="3"/>
  <c r="AC373" i="3" s="1"/>
  <c r="BI373" i="3"/>
  <c r="G374" i="3"/>
  <c r="A374" i="3" s="1"/>
  <c r="BI374" i="3"/>
  <c r="G375" i="3"/>
  <c r="A375" i="3" s="1"/>
  <c r="BI375" i="3"/>
  <c r="G376" i="3"/>
  <c r="BI376" i="3"/>
  <c r="G377" i="3"/>
  <c r="P377" i="3" s="1"/>
  <c r="BI377" i="3"/>
  <c r="G378" i="3"/>
  <c r="F378" i="3" s="1"/>
  <c r="AP378" i="3" s="1"/>
  <c r="BI378" i="3"/>
  <c r="G379" i="3"/>
  <c r="A379" i="3" s="1"/>
  <c r="BI379" i="3"/>
  <c r="G380" i="3"/>
  <c r="Q380" i="3" s="1"/>
  <c r="BI380" i="3"/>
  <c r="G381" i="3"/>
  <c r="I381" i="3" s="1"/>
  <c r="BI381" i="3"/>
  <c r="G382" i="3"/>
  <c r="U382" i="3" s="1"/>
  <c r="BI382" i="3"/>
  <c r="G383" i="3"/>
  <c r="A383" i="3" s="1"/>
  <c r="BI383" i="3"/>
  <c r="G384" i="3"/>
  <c r="A384" i="3" s="1"/>
  <c r="BI384" i="3"/>
  <c r="G385" i="3"/>
  <c r="BI385" i="3"/>
  <c r="G386" i="3"/>
  <c r="A386" i="3" s="1"/>
  <c r="BI386" i="3"/>
  <c r="G387" i="3"/>
  <c r="AG387" i="3" s="1"/>
  <c r="BI387" i="3"/>
  <c r="G388" i="3"/>
  <c r="A388" i="3" s="1"/>
  <c r="BI388" i="3"/>
  <c r="G389" i="3"/>
  <c r="A389" i="3" s="1"/>
  <c r="BI389" i="3"/>
  <c r="G390" i="3"/>
  <c r="BI390" i="3"/>
  <c r="G391" i="3"/>
  <c r="BI391" i="3"/>
  <c r="G392" i="3"/>
  <c r="A392" i="3" s="1"/>
  <c r="BI392" i="3"/>
  <c r="G393" i="3"/>
  <c r="A393" i="3" s="1"/>
  <c r="BI393" i="3"/>
  <c r="G394" i="3"/>
  <c r="A394" i="3" s="1"/>
  <c r="BI394" i="3"/>
  <c r="G395" i="3"/>
  <c r="BI395" i="3"/>
  <c r="G396" i="3"/>
  <c r="BI396" i="3"/>
  <c r="G397" i="3"/>
  <c r="BI397" i="3"/>
  <c r="G398" i="3"/>
  <c r="A398" i="3" s="1"/>
  <c r="BI398" i="3"/>
  <c r="G399" i="3"/>
  <c r="A399" i="3" s="1"/>
  <c r="BI399" i="3"/>
  <c r="G400" i="3"/>
  <c r="A400" i="3" s="1"/>
  <c r="BI400" i="3"/>
  <c r="G401" i="3"/>
  <c r="A401" i="3" s="1"/>
  <c r="BI401" i="3"/>
  <c r="G402" i="3"/>
  <c r="BI402" i="3"/>
  <c r="G403" i="3"/>
  <c r="A403" i="3" s="1"/>
  <c r="BI403" i="3"/>
  <c r="G404" i="3"/>
  <c r="A404" i="3" s="1"/>
  <c r="BI404" i="3"/>
  <c r="G405" i="3"/>
  <c r="BI405" i="3"/>
  <c r="G406" i="3"/>
  <c r="A406" i="3" s="1"/>
  <c r="BI406" i="3"/>
  <c r="G407" i="3"/>
  <c r="A407" i="3" s="1"/>
  <c r="BI407" i="3"/>
  <c r="G408" i="3"/>
  <c r="A408" i="3" s="1"/>
  <c r="BI408" i="3"/>
  <c r="G409" i="3"/>
  <c r="M409" i="3" s="1"/>
  <c r="BI409" i="3"/>
  <c r="G410" i="3"/>
  <c r="A410" i="3" s="1"/>
  <c r="BI410" i="3"/>
  <c r="G411" i="3"/>
  <c r="A411" i="3" s="1"/>
  <c r="BI411" i="3"/>
  <c r="G412" i="3"/>
  <c r="B412" i="3" s="1"/>
  <c r="BI412" i="3"/>
  <c r="G413" i="3"/>
  <c r="M413" i="3" s="1"/>
  <c r="BI413" i="3"/>
  <c r="G414" i="3"/>
  <c r="A414" i="3" s="1"/>
  <c r="BI414" i="3"/>
  <c r="G415" i="3"/>
  <c r="A415" i="3" s="1"/>
  <c r="BI415" i="3"/>
  <c r="G416" i="3"/>
  <c r="B416" i="3" s="1"/>
  <c r="BI416" i="3"/>
  <c r="G417" i="3"/>
  <c r="A417" i="3" s="1"/>
  <c r="BI417" i="3"/>
  <c r="G418" i="3"/>
  <c r="A418" i="3" s="1"/>
  <c r="BI418" i="3"/>
  <c r="G419" i="3"/>
  <c r="B419" i="3" s="1"/>
  <c r="BI419" i="3"/>
  <c r="G420" i="3"/>
  <c r="A420" i="3" s="1"/>
  <c r="BI420" i="3"/>
  <c r="G421" i="3"/>
  <c r="BI421" i="3"/>
  <c r="G422" i="3"/>
  <c r="U422" i="3" s="1"/>
  <c r="BI422" i="3"/>
  <c r="G423" i="3"/>
  <c r="BI423" i="3"/>
  <c r="G424" i="3"/>
  <c r="B424" i="3" s="1"/>
  <c r="BI424" i="3"/>
  <c r="G425" i="3"/>
  <c r="B425" i="3" s="1"/>
  <c r="BI425" i="3"/>
  <c r="G426" i="3"/>
  <c r="A426" i="3" s="1"/>
  <c r="BI426" i="3"/>
  <c r="G427" i="3"/>
  <c r="A427" i="3" s="1"/>
  <c r="BI427" i="3"/>
  <c r="G428" i="3"/>
  <c r="A428" i="3" s="1"/>
  <c r="BI428" i="3"/>
  <c r="G429" i="3"/>
  <c r="B429" i="3" s="1"/>
  <c r="BI429" i="3"/>
  <c r="G430" i="3"/>
  <c r="B430" i="3" s="1"/>
  <c r="BI430" i="3"/>
  <c r="G431" i="3"/>
  <c r="I431" i="3" s="1"/>
  <c r="BI431" i="3"/>
  <c r="G432" i="3"/>
  <c r="R432" i="3" s="1"/>
  <c r="BI432" i="3"/>
  <c r="G433" i="3"/>
  <c r="BI433" i="3"/>
  <c r="G434" i="3"/>
  <c r="U434" i="3" s="1"/>
  <c r="BI434" i="3"/>
  <c r="G435" i="3"/>
  <c r="A435" i="3" s="1"/>
  <c r="BI435" i="3"/>
  <c r="G436" i="3"/>
  <c r="A436" i="3" s="1"/>
  <c r="BI436" i="3"/>
  <c r="G437" i="3"/>
  <c r="W437" i="3" s="1"/>
  <c r="BI437" i="3"/>
  <c r="G438" i="3"/>
  <c r="BI438" i="3"/>
  <c r="G439" i="3"/>
  <c r="A439" i="3" s="1"/>
  <c r="BI439" i="3"/>
  <c r="G440" i="3"/>
  <c r="B440" i="3" s="1"/>
  <c r="BI440" i="3"/>
  <c r="G441" i="3"/>
  <c r="A441" i="3" s="1"/>
  <c r="BI441" i="3"/>
  <c r="G442" i="3"/>
  <c r="A442" i="3" s="1"/>
  <c r="BI442" i="3"/>
  <c r="G443" i="3"/>
  <c r="I443" i="3" s="1"/>
  <c r="BI443" i="3"/>
  <c r="G444" i="3"/>
  <c r="A444" i="3" s="1"/>
  <c r="BI444" i="3"/>
  <c r="G445" i="3"/>
  <c r="U445" i="3" s="1"/>
  <c r="BI445" i="3"/>
  <c r="G446" i="3"/>
  <c r="BI446" i="3"/>
  <c r="G447" i="3"/>
  <c r="R447" i="3" s="1"/>
  <c r="BI447" i="3"/>
  <c r="G448" i="3"/>
  <c r="A448" i="3" s="1"/>
  <c r="BI448" i="3"/>
  <c r="G449" i="3"/>
  <c r="I449" i="3" s="1"/>
  <c r="BI449" i="3"/>
  <c r="G450" i="3"/>
  <c r="A450" i="3" s="1"/>
  <c r="BI450" i="3"/>
  <c r="G451" i="3"/>
  <c r="A451" i="3" s="1"/>
  <c r="BI451" i="3"/>
  <c r="G452" i="3"/>
  <c r="A452" i="3" s="1"/>
  <c r="BI452" i="3"/>
  <c r="G453" i="3"/>
  <c r="W453" i="3" s="1"/>
  <c r="BI453" i="3"/>
  <c r="G454" i="3"/>
  <c r="A454" i="3" s="1"/>
  <c r="BI454" i="3"/>
  <c r="G455" i="3"/>
  <c r="A455" i="3" s="1"/>
  <c r="BI455" i="3"/>
  <c r="G456" i="3"/>
  <c r="B456" i="3" s="1"/>
  <c r="BI456" i="3"/>
  <c r="G457" i="3"/>
  <c r="A457" i="3" s="1"/>
  <c r="BI457" i="3"/>
  <c r="G458" i="3"/>
  <c r="R458" i="3" s="1"/>
  <c r="BI458" i="3"/>
  <c r="G459" i="3"/>
  <c r="A459" i="3" s="1"/>
  <c r="BI459" i="3"/>
  <c r="G460" i="3"/>
  <c r="BI460" i="3"/>
  <c r="G461" i="3"/>
  <c r="W461" i="3" s="1"/>
  <c r="BI461" i="3"/>
  <c r="G462" i="3"/>
  <c r="A462" i="3" s="1"/>
  <c r="BI462" i="3"/>
  <c r="G463" i="3"/>
  <c r="R463" i="3" s="1"/>
  <c r="BI463" i="3"/>
  <c r="G464" i="3"/>
  <c r="A464" i="3" s="1"/>
  <c r="BI464" i="3"/>
  <c r="G465" i="3"/>
  <c r="L465" i="3" s="1"/>
  <c r="BI465" i="3"/>
  <c r="G466" i="3"/>
  <c r="A466" i="3" s="1"/>
  <c r="BI466" i="3"/>
  <c r="G467" i="3"/>
  <c r="R467" i="3" s="1"/>
  <c r="BI467" i="3"/>
  <c r="G468" i="3"/>
  <c r="A468" i="3" s="1"/>
  <c r="BI468" i="3"/>
  <c r="G469" i="3"/>
  <c r="BI469" i="3"/>
  <c r="G470" i="3"/>
  <c r="A470" i="3" s="1"/>
  <c r="BI470" i="3"/>
  <c r="G471" i="3"/>
  <c r="A471" i="3" s="1"/>
  <c r="BI471" i="3"/>
  <c r="G472" i="3"/>
  <c r="I472" i="3" s="1"/>
  <c r="BI472" i="3"/>
  <c r="G473" i="3"/>
  <c r="BI473" i="3"/>
  <c r="G474" i="3"/>
  <c r="BI474" i="3"/>
  <c r="G475" i="3"/>
  <c r="A475" i="3" s="1"/>
  <c r="BI475" i="3"/>
  <c r="G476" i="3"/>
  <c r="BI476" i="3"/>
  <c r="G477" i="3"/>
  <c r="I477" i="3" s="1"/>
  <c r="BI477" i="3"/>
  <c r="G478" i="3"/>
  <c r="L478" i="3" s="1"/>
  <c r="BI478" i="3"/>
  <c r="G479" i="3"/>
  <c r="A479" i="3" s="1"/>
  <c r="BI479" i="3"/>
  <c r="G480" i="3"/>
  <c r="A480" i="3" s="1"/>
  <c r="BI480" i="3"/>
  <c r="G481" i="3"/>
  <c r="A481" i="3" s="1"/>
  <c r="BI481" i="3"/>
  <c r="G482" i="3"/>
  <c r="A482" i="3" s="1"/>
  <c r="BI482" i="3"/>
  <c r="G483" i="3"/>
  <c r="N483" i="3" s="1"/>
  <c r="BI483" i="3"/>
  <c r="G484" i="3"/>
  <c r="L484" i="3" s="1"/>
  <c r="BI484" i="3"/>
  <c r="G485" i="3"/>
  <c r="BI485" i="3"/>
  <c r="G486" i="3"/>
  <c r="A486" i="3" s="1"/>
  <c r="BI486" i="3"/>
  <c r="G487" i="3"/>
  <c r="A487" i="3" s="1"/>
  <c r="BI487" i="3"/>
  <c r="G488" i="3"/>
  <c r="I488" i="3" s="1"/>
  <c r="BI488" i="3"/>
  <c r="G489" i="3"/>
  <c r="BI489" i="3"/>
  <c r="G490" i="3"/>
  <c r="A490" i="3" s="1"/>
  <c r="BI490" i="3"/>
  <c r="G491" i="3"/>
  <c r="A491" i="3" s="1"/>
  <c r="BI491" i="3"/>
  <c r="G492" i="3"/>
  <c r="BI492" i="3"/>
  <c r="G493" i="3"/>
  <c r="F493" i="3" s="1"/>
  <c r="AP493" i="3" s="1"/>
  <c r="BI493" i="3"/>
  <c r="G494" i="3"/>
  <c r="BI494" i="3"/>
  <c r="G495" i="3"/>
  <c r="BI495" i="3"/>
  <c r="G496" i="3"/>
  <c r="A496" i="3" s="1"/>
  <c r="BI496" i="3"/>
  <c r="G497" i="3"/>
  <c r="M497" i="3" s="1"/>
  <c r="BI497" i="3"/>
  <c r="G498" i="3"/>
  <c r="A498" i="3" s="1"/>
  <c r="BI498" i="3"/>
  <c r="G499" i="3"/>
  <c r="Q499" i="3" s="1"/>
  <c r="BI499" i="3"/>
  <c r="G500" i="3"/>
  <c r="A500" i="3" s="1"/>
  <c r="BI500" i="3"/>
  <c r="G501" i="3"/>
  <c r="A501" i="3" s="1"/>
  <c r="BI501" i="3"/>
  <c r="G502" i="3"/>
  <c r="A502" i="3" s="1"/>
  <c r="BI502" i="3"/>
  <c r="G503" i="3"/>
  <c r="BI503" i="3"/>
  <c r="G504" i="3"/>
  <c r="BI504" i="3"/>
  <c r="G505" i="3"/>
  <c r="BI505" i="3"/>
  <c r="G506" i="3"/>
  <c r="BI506" i="3"/>
  <c r="G507" i="3"/>
  <c r="G508" i="3"/>
  <c r="A508" i="3" s="1"/>
  <c r="BI508" i="3"/>
  <c r="G509" i="3"/>
  <c r="BI509" i="3"/>
  <c r="G510" i="3"/>
  <c r="A510" i="3" s="1"/>
  <c r="BI510" i="3"/>
  <c r="G511" i="3"/>
  <c r="L511" i="3" s="1"/>
  <c r="BI511" i="3"/>
  <c r="G512" i="3"/>
  <c r="BI512" i="3"/>
  <c r="G513" i="3"/>
  <c r="BI513" i="3"/>
  <c r="G514" i="3"/>
  <c r="BI514" i="3"/>
  <c r="G515" i="3"/>
  <c r="BI515" i="3"/>
  <c r="G516" i="3"/>
  <c r="B516" i="3" s="1"/>
  <c r="BI516" i="3"/>
  <c r="G517" i="3"/>
  <c r="BI517" i="3"/>
  <c r="G518" i="3"/>
  <c r="A518" i="3" s="1"/>
  <c r="BI518" i="3"/>
  <c r="G519" i="3"/>
  <c r="A519" i="3" s="1"/>
  <c r="BI519" i="3"/>
  <c r="G520" i="3"/>
  <c r="BI520" i="3"/>
  <c r="G521" i="3"/>
  <c r="F521" i="3" s="1"/>
  <c r="AP521" i="3" s="1"/>
  <c r="BI521" i="3"/>
  <c r="G522" i="3"/>
  <c r="L522" i="3" s="1"/>
  <c r="BI522" i="3"/>
  <c r="G523" i="3"/>
  <c r="R523" i="3" s="1"/>
  <c r="BI523" i="3"/>
  <c r="G524" i="3"/>
  <c r="A524" i="3" s="1"/>
  <c r="BI524" i="3"/>
  <c r="G525" i="3"/>
  <c r="L525" i="3" s="1"/>
  <c r="BI525" i="3"/>
  <c r="G526" i="3"/>
  <c r="N526" i="3" s="1"/>
  <c r="BI526" i="3"/>
  <c r="G527" i="3"/>
  <c r="BI527" i="3"/>
  <c r="G528" i="3"/>
  <c r="A528" i="3" s="1"/>
  <c r="G529" i="3"/>
  <c r="B529" i="3" s="1"/>
  <c r="G530" i="3"/>
  <c r="Q530" i="3" s="1"/>
  <c r="G531" i="3"/>
  <c r="G532" i="3"/>
  <c r="I532" i="3" s="1"/>
  <c r="G533" i="3"/>
  <c r="G534" i="3"/>
  <c r="B534" i="3" s="1"/>
  <c r="G535" i="3"/>
  <c r="A535" i="3" s="1"/>
  <c r="G536" i="3"/>
  <c r="G537" i="3"/>
  <c r="G538" i="3"/>
  <c r="B538" i="3" s="1"/>
  <c r="G539" i="3"/>
  <c r="A539" i="3" s="1"/>
  <c r="G540" i="3"/>
  <c r="A540" i="3" s="1"/>
  <c r="G541" i="3"/>
  <c r="G542" i="3"/>
  <c r="B542" i="3" s="1"/>
  <c r="G543" i="3"/>
  <c r="G544" i="3"/>
  <c r="G545" i="3"/>
  <c r="A545" i="3" s="1"/>
  <c r="G546" i="3"/>
  <c r="G547" i="3"/>
  <c r="L547" i="3" s="1"/>
  <c r="G548" i="3"/>
  <c r="G549" i="3"/>
  <c r="G550" i="3"/>
  <c r="G551" i="3"/>
  <c r="G552" i="3"/>
  <c r="G553" i="3"/>
  <c r="B553" i="3" s="1"/>
  <c r="G554" i="3"/>
  <c r="AO554" i="3" s="1"/>
  <c r="G555" i="3"/>
  <c r="A555" i="3" s="1"/>
  <c r="G556" i="3"/>
  <c r="F556" i="3" s="1"/>
  <c r="AP556" i="3" s="1"/>
  <c r="G557" i="3"/>
  <c r="A557" i="3" s="1"/>
  <c r="G558" i="3"/>
  <c r="F558" i="3" s="1"/>
  <c r="AP558" i="3" s="1"/>
  <c r="G559" i="3"/>
  <c r="G560" i="3"/>
  <c r="G561" i="3"/>
  <c r="A561" i="3" s="1"/>
  <c r="G562" i="3"/>
  <c r="G563" i="3"/>
  <c r="A563" i="3" s="1"/>
  <c r="G564" i="3"/>
  <c r="AO564" i="3" s="1"/>
  <c r="G565" i="3"/>
  <c r="A565" i="3" s="1"/>
  <c r="G566" i="3"/>
  <c r="F566" i="3" s="1"/>
  <c r="AP566" i="3" s="1"/>
  <c r="G567" i="3"/>
  <c r="N567" i="3" s="1"/>
  <c r="G568" i="3"/>
  <c r="A568" i="3" s="1"/>
  <c r="G569" i="3"/>
  <c r="G570" i="3"/>
  <c r="G571" i="3"/>
  <c r="G572" i="3"/>
  <c r="A572" i="3" s="1"/>
  <c r="G573" i="3"/>
  <c r="G574" i="3"/>
  <c r="A574" i="3" s="1"/>
  <c r="G575" i="3"/>
  <c r="F575" i="3" s="1"/>
  <c r="AP575" i="3" s="1"/>
  <c r="G576" i="3"/>
  <c r="A576" i="3" s="1"/>
  <c r="G577" i="3"/>
  <c r="G578" i="3"/>
  <c r="A578" i="3" s="1"/>
  <c r="G579" i="3"/>
  <c r="R579" i="3" s="1"/>
  <c r="G580" i="3"/>
  <c r="A580" i="3" s="1"/>
  <c r="G581" i="3"/>
  <c r="A581" i="3" s="1"/>
  <c r="G582" i="3"/>
  <c r="A582" i="3" s="1"/>
  <c r="G583" i="3"/>
  <c r="F583" i="3" s="1"/>
  <c r="AP583" i="3" s="1"/>
  <c r="G584" i="3"/>
  <c r="G585" i="3"/>
  <c r="R585" i="3" s="1"/>
  <c r="G586" i="3"/>
  <c r="U586" i="3" s="1"/>
  <c r="G587" i="3"/>
  <c r="G588" i="3"/>
  <c r="G589" i="3"/>
  <c r="I589" i="3" s="1"/>
  <c r="G590" i="3"/>
  <c r="M590" i="3" s="1"/>
  <c r="G591" i="3"/>
  <c r="A591" i="3" s="1"/>
  <c r="BI591" i="3"/>
  <c r="G592" i="3"/>
  <c r="A592" i="3" s="1"/>
  <c r="BI592" i="3"/>
  <c r="G593" i="3"/>
  <c r="A593" i="3" s="1"/>
  <c r="BI593" i="3"/>
  <c r="G594" i="3"/>
  <c r="BI594" i="3"/>
  <c r="G595" i="3"/>
  <c r="F595" i="3" s="1"/>
  <c r="AP595" i="3" s="1"/>
  <c r="BI595" i="3"/>
  <c r="G596" i="3"/>
  <c r="BI596" i="3"/>
  <c r="G597" i="3"/>
  <c r="L597" i="3" s="1"/>
  <c r="BI597" i="3"/>
  <c r="G598" i="3"/>
  <c r="BI598" i="3"/>
  <c r="G599" i="3"/>
  <c r="BI599" i="3"/>
  <c r="G600" i="3"/>
  <c r="AO600" i="3" s="1"/>
  <c r="BI600" i="3"/>
  <c r="G601" i="3"/>
  <c r="A601" i="3" s="1"/>
  <c r="BI601" i="3"/>
  <c r="G602" i="3"/>
  <c r="A602" i="3" s="1"/>
  <c r="BI602" i="3"/>
  <c r="G603" i="3"/>
  <c r="L603" i="3" s="1"/>
  <c r="BI603" i="3"/>
  <c r="G604" i="3"/>
  <c r="BI604" i="3"/>
  <c r="G605" i="3"/>
  <c r="A605" i="3" s="1"/>
  <c r="BI605" i="3"/>
  <c r="G606" i="3"/>
  <c r="A606" i="3" s="1"/>
  <c r="BI606" i="3"/>
  <c r="G607" i="3"/>
  <c r="BI607" i="3"/>
  <c r="G608" i="3"/>
  <c r="BI608" i="3"/>
  <c r="G609" i="3"/>
  <c r="BI609" i="3"/>
  <c r="G610" i="3"/>
  <c r="Q610" i="3" s="1"/>
  <c r="BI610" i="3"/>
  <c r="G611" i="3"/>
  <c r="F611" i="3" s="1"/>
  <c r="AP611" i="3" s="1"/>
  <c r="BI611" i="3"/>
  <c r="G612" i="3"/>
  <c r="BI612" i="3"/>
  <c r="G613" i="3"/>
  <c r="N613" i="3" s="1"/>
  <c r="BI613" i="3"/>
  <c r="G614" i="3"/>
  <c r="BI614" i="3"/>
  <c r="G615" i="3"/>
  <c r="A615" i="3" s="1"/>
  <c r="BI615" i="3"/>
  <c r="G616" i="3"/>
  <c r="B616" i="3" s="1"/>
  <c r="BI616" i="3"/>
  <c r="G617" i="3"/>
  <c r="BI617" i="3"/>
  <c r="G618" i="3"/>
  <c r="BI618" i="3"/>
  <c r="G619" i="3"/>
  <c r="I619" i="3" s="1"/>
  <c r="BI619" i="3"/>
  <c r="G620" i="3"/>
  <c r="Q620" i="3" s="1"/>
  <c r="BI620" i="3"/>
  <c r="G621" i="3"/>
  <c r="A621" i="3" s="1"/>
  <c r="BI621" i="3"/>
  <c r="G622" i="3"/>
  <c r="BI622" i="3"/>
  <c r="G623" i="3"/>
  <c r="AN623" i="3" s="1"/>
  <c r="BI623" i="3"/>
  <c r="G624" i="3"/>
  <c r="A624" i="3" s="1"/>
  <c r="BI624" i="3"/>
  <c r="G625" i="3"/>
  <c r="A625" i="3" s="1"/>
  <c r="BI625" i="3"/>
  <c r="G626" i="3"/>
  <c r="A626" i="3" s="1"/>
  <c r="BI626" i="3"/>
  <c r="G627" i="3"/>
  <c r="A627" i="3" s="1"/>
  <c r="BI627" i="3"/>
  <c r="G628" i="3"/>
  <c r="Y628" i="3" s="1"/>
  <c r="BI628" i="3"/>
  <c r="G629" i="3"/>
  <c r="N629" i="3" s="1"/>
  <c r="BI629" i="3"/>
  <c r="G630" i="3"/>
  <c r="A630" i="3" s="1"/>
  <c r="BI630" i="3"/>
  <c r="G631" i="3"/>
  <c r="I631" i="3" s="1"/>
  <c r="BI631" i="3"/>
  <c r="G632" i="3"/>
  <c r="BI632" i="3"/>
  <c r="G633" i="3"/>
  <c r="F633" i="3" s="1"/>
  <c r="AP633" i="3" s="1"/>
  <c r="BI633" i="3"/>
  <c r="G634" i="3"/>
  <c r="BI634" i="3"/>
  <c r="G635" i="3"/>
  <c r="J635" i="3" s="1"/>
  <c r="BI635" i="3"/>
  <c r="G636" i="3"/>
  <c r="BI636" i="3"/>
  <c r="G637" i="3"/>
  <c r="Y637" i="3" s="1"/>
  <c r="BI637" i="3"/>
  <c r="G638" i="3"/>
  <c r="A638" i="3" s="1"/>
  <c r="BI638" i="3"/>
  <c r="G639" i="3"/>
  <c r="A639" i="3" s="1"/>
  <c r="BI639" i="3"/>
  <c r="G640" i="3"/>
  <c r="B640" i="3" s="1"/>
  <c r="BI640" i="3"/>
  <c r="G641" i="3"/>
  <c r="I641" i="3" s="1"/>
  <c r="BI641" i="3"/>
  <c r="G642" i="3"/>
  <c r="B642" i="3" s="1"/>
  <c r="BI642" i="3"/>
  <c r="G643" i="3"/>
  <c r="F643" i="3" s="1"/>
  <c r="AP643" i="3" s="1"/>
  <c r="BI643" i="3"/>
  <c r="G644" i="3"/>
  <c r="A644" i="3" s="1"/>
  <c r="BI644" i="3"/>
  <c r="G645" i="3"/>
  <c r="P645" i="3" s="1"/>
  <c r="BI645" i="3"/>
  <c r="G646" i="3"/>
  <c r="P646" i="3" s="1"/>
  <c r="BI646" i="3"/>
  <c r="G647" i="3"/>
  <c r="N647" i="3" s="1"/>
  <c r="BI647" i="3"/>
  <c r="G648" i="3"/>
  <c r="BI648" i="3"/>
  <c r="G649" i="3"/>
  <c r="M649" i="3" s="1"/>
  <c r="BI649" i="3"/>
  <c r="G650" i="3"/>
  <c r="BI650" i="3"/>
  <c r="G651" i="3"/>
  <c r="F651" i="3" s="1"/>
  <c r="AP651" i="3" s="1"/>
  <c r="BI651" i="3"/>
  <c r="G652" i="3"/>
  <c r="B652" i="3" s="1"/>
  <c r="BI652" i="3"/>
  <c r="G653" i="3"/>
  <c r="F653" i="3" s="1"/>
  <c r="AP653" i="3" s="1"/>
  <c r="BI653" i="3"/>
  <c r="G654" i="3"/>
  <c r="J654" i="3" s="1"/>
  <c r="BI654" i="3"/>
  <c r="G655" i="3"/>
  <c r="Q655" i="3" s="1"/>
  <c r="BI655" i="3"/>
  <c r="G656" i="3"/>
  <c r="BI656" i="3"/>
  <c r="G657" i="3"/>
  <c r="P657" i="3" s="1"/>
  <c r="BI657" i="3"/>
  <c r="G658" i="3"/>
  <c r="Q658" i="3" s="1"/>
  <c r="BI658" i="3"/>
  <c r="G659" i="3"/>
  <c r="F659" i="3" s="1"/>
  <c r="AP659" i="3" s="1"/>
  <c r="BI659" i="3"/>
  <c r="G660" i="3"/>
  <c r="F660" i="3" s="1"/>
  <c r="AP660" i="3" s="1"/>
  <c r="BI660" i="3"/>
  <c r="G661" i="3"/>
  <c r="F661" i="3" s="1"/>
  <c r="AP661" i="3" s="1"/>
  <c r="BI661" i="3"/>
  <c r="G662" i="3"/>
  <c r="B662" i="3" s="1"/>
  <c r="BI662" i="3"/>
  <c r="G663" i="3"/>
  <c r="B663" i="3" s="1"/>
  <c r="BI663" i="3"/>
  <c r="G664" i="3"/>
  <c r="B664" i="3" s="1"/>
  <c r="BI664" i="3"/>
  <c r="G665" i="3"/>
  <c r="B665" i="3" s="1"/>
  <c r="BI665" i="3"/>
  <c r="G666" i="3"/>
  <c r="F666" i="3" s="1"/>
  <c r="AP666" i="3" s="1"/>
  <c r="BI666" i="3"/>
  <c r="G667" i="3"/>
  <c r="F667" i="3" s="1"/>
  <c r="AP667" i="3" s="1"/>
  <c r="BI667" i="3"/>
  <c r="G668" i="3"/>
  <c r="M668" i="3" s="1"/>
  <c r="BI668" i="3"/>
  <c r="G669" i="3"/>
  <c r="AN669" i="3" s="1"/>
  <c r="BI669" i="3"/>
  <c r="G670" i="3"/>
  <c r="Q670" i="3" s="1"/>
  <c r="BI670" i="3"/>
  <c r="G671" i="3"/>
  <c r="M671" i="3" s="1"/>
  <c r="BI671" i="3"/>
  <c r="G672" i="3"/>
  <c r="M672" i="3" s="1"/>
  <c r="BI672" i="3"/>
  <c r="G673" i="3"/>
  <c r="M673" i="3" s="1"/>
  <c r="BI673" i="3"/>
  <c r="G674" i="3"/>
  <c r="M674" i="3" s="1"/>
  <c r="BI674" i="3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5" i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44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4" i="3"/>
  <c r="H25" i="3"/>
  <c r="H26" i="3"/>
  <c r="H27" i="3"/>
  <c r="H65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45" i="3"/>
  <c r="H46" i="3"/>
  <c r="H47" i="3"/>
  <c r="H48" i="3"/>
  <c r="H86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66" i="3"/>
  <c r="H67" i="3"/>
  <c r="H68" i="3"/>
  <c r="H69" i="3"/>
  <c r="H107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87" i="3"/>
  <c r="H88" i="3"/>
  <c r="H89" i="3"/>
  <c r="H90" i="3"/>
  <c r="H128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08" i="3"/>
  <c r="H109" i="3"/>
  <c r="H110" i="3"/>
  <c r="H111" i="3"/>
  <c r="H149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29" i="3"/>
  <c r="H130" i="3"/>
  <c r="H131" i="3"/>
  <c r="H132" i="3"/>
  <c r="H170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50" i="3"/>
  <c r="H151" i="3"/>
  <c r="H152" i="3"/>
  <c r="H153" i="3"/>
  <c r="H191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71" i="3"/>
  <c r="H172" i="3"/>
  <c r="H173" i="3"/>
  <c r="H174" i="3"/>
  <c r="H212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192" i="3"/>
  <c r="H193" i="3"/>
  <c r="H194" i="3"/>
  <c r="H195" i="3"/>
  <c r="H233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13" i="3"/>
  <c r="H214" i="3"/>
  <c r="H215" i="3"/>
  <c r="H216" i="3"/>
  <c r="H254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34" i="3"/>
  <c r="H235" i="3"/>
  <c r="H236" i="3"/>
  <c r="H237" i="3"/>
  <c r="H275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55" i="3"/>
  <c r="H256" i="3"/>
  <c r="H257" i="3"/>
  <c r="H258" i="3"/>
  <c r="H296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76" i="3"/>
  <c r="H277" i="3"/>
  <c r="H278" i="3"/>
  <c r="H279" i="3"/>
  <c r="H317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297" i="3"/>
  <c r="H298" i="3"/>
  <c r="H299" i="3"/>
  <c r="H300" i="3"/>
  <c r="H338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18" i="3"/>
  <c r="H319" i="3"/>
  <c r="H320" i="3"/>
  <c r="H321" i="3"/>
  <c r="H359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39" i="3"/>
  <c r="H340" i="3"/>
  <c r="H341" i="3"/>
  <c r="H342" i="3"/>
  <c r="H380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60" i="3"/>
  <c r="H361" i="3"/>
  <c r="H362" i="3"/>
  <c r="H363" i="3"/>
  <c r="H401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381" i="3"/>
  <c r="H382" i="3"/>
  <c r="H383" i="3"/>
  <c r="H384" i="3"/>
  <c r="H422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02" i="3"/>
  <c r="H403" i="3"/>
  <c r="H404" i="3"/>
  <c r="H405" i="3"/>
  <c r="H443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23" i="3"/>
  <c r="H424" i="3"/>
  <c r="H425" i="3"/>
  <c r="H426" i="3"/>
  <c r="H464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44" i="3"/>
  <c r="H445" i="3"/>
  <c r="H446" i="3"/>
  <c r="H447" i="3"/>
  <c r="H485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65" i="3"/>
  <c r="H466" i="3"/>
  <c r="H467" i="3"/>
  <c r="H468" i="3"/>
  <c r="H506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486" i="3"/>
  <c r="H487" i="3"/>
  <c r="H488" i="3"/>
  <c r="H489" i="3"/>
  <c r="H527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07" i="3"/>
  <c r="H508" i="3"/>
  <c r="H509" i="3"/>
  <c r="H510" i="3"/>
  <c r="H548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28" i="3"/>
  <c r="H529" i="3"/>
  <c r="H530" i="3"/>
  <c r="H531" i="3"/>
  <c r="H569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49" i="3"/>
  <c r="H550" i="3"/>
  <c r="H551" i="3"/>
  <c r="H552" i="3"/>
  <c r="H590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70" i="3"/>
  <c r="H571" i="3"/>
  <c r="H572" i="3"/>
  <c r="H573" i="3"/>
  <c r="H611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591" i="3"/>
  <c r="H592" i="3"/>
  <c r="H593" i="3"/>
  <c r="H594" i="3"/>
  <c r="H632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12" i="3"/>
  <c r="H613" i="3"/>
  <c r="H614" i="3"/>
  <c r="H615" i="3"/>
  <c r="H653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33" i="3"/>
  <c r="H634" i="3"/>
  <c r="H635" i="3"/>
  <c r="H636" i="3"/>
  <c r="H674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54" i="3"/>
  <c r="H655" i="3"/>
  <c r="H656" i="3"/>
  <c r="H657" i="3"/>
  <c r="H23" i="3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5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BQ468" i="3"/>
  <c r="AU4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A28" i="1"/>
  <c r="AB28" i="1"/>
  <c r="AC28" i="1"/>
  <c r="X517" i="3" s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R5" i="1"/>
  <c r="AS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A5" i="1"/>
  <c r="G12" i="1"/>
  <c r="G13" i="1" s="1"/>
  <c r="G14" i="1" s="1"/>
  <c r="G15" i="1" s="1"/>
  <c r="H12" i="1"/>
  <c r="H13" i="1" s="1"/>
  <c r="H14" i="1" s="1"/>
  <c r="H15" i="1" s="1"/>
  <c r="I12" i="1"/>
  <c r="I13" i="1" s="1"/>
  <c r="I14" i="1" s="1"/>
  <c r="I15" i="1" s="1"/>
  <c r="J12" i="1"/>
  <c r="J13" i="1" s="1"/>
  <c r="J14" i="1" s="1"/>
  <c r="J15" i="1" s="1"/>
  <c r="K12" i="1"/>
  <c r="K13" i="1" s="1"/>
  <c r="K14" i="1" s="1"/>
  <c r="K15" i="1" s="1"/>
  <c r="L12" i="1"/>
  <c r="L13" i="1" s="1"/>
  <c r="L14" i="1" s="1"/>
  <c r="L15" i="1" s="1"/>
  <c r="G16" i="1"/>
  <c r="G17" i="1" s="1"/>
  <c r="G18" i="1" s="1"/>
  <c r="G19" i="1" s="1"/>
  <c r="H16" i="1"/>
  <c r="H17" i="1" s="1"/>
  <c r="H18" i="1" s="1"/>
  <c r="H19" i="1" s="1"/>
  <c r="I16" i="1"/>
  <c r="I17" i="1" s="1"/>
  <c r="I18" i="1" s="1"/>
  <c r="I19" i="1" s="1"/>
  <c r="J16" i="1"/>
  <c r="J17" i="1" s="1"/>
  <c r="J18" i="1" s="1"/>
  <c r="J19" i="1" s="1"/>
  <c r="K16" i="1"/>
  <c r="K17" i="1" s="1"/>
  <c r="K18" i="1" s="1"/>
  <c r="K19" i="1" s="1"/>
  <c r="L16" i="1"/>
  <c r="L17" i="1" s="1"/>
  <c r="L18" i="1" s="1"/>
  <c r="L19" i="1" s="1"/>
  <c r="G20" i="1"/>
  <c r="G21" i="1" s="1"/>
  <c r="G22" i="1" s="1"/>
  <c r="G23" i="1" s="1"/>
  <c r="H20" i="1"/>
  <c r="H21" i="1" s="1"/>
  <c r="H22" i="1" s="1"/>
  <c r="H23" i="1" s="1"/>
  <c r="I20" i="1"/>
  <c r="I21" i="1" s="1"/>
  <c r="I22" i="1" s="1"/>
  <c r="I23" i="1" s="1"/>
  <c r="J20" i="1"/>
  <c r="J21" i="1" s="1"/>
  <c r="J22" i="1" s="1"/>
  <c r="J23" i="1" s="1"/>
  <c r="K20" i="1"/>
  <c r="K21" i="1" s="1"/>
  <c r="K22" i="1" s="1"/>
  <c r="K23" i="1" s="1"/>
  <c r="L20" i="1"/>
  <c r="L21" i="1" s="1"/>
  <c r="L22" i="1" s="1"/>
  <c r="L23" i="1" s="1"/>
  <c r="G24" i="1"/>
  <c r="G25" i="1" s="1"/>
  <c r="G26" i="1" s="1"/>
  <c r="G27" i="1" s="1"/>
  <c r="H24" i="1"/>
  <c r="H25" i="1" s="1"/>
  <c r="H26" i="1" s="1"/>
  <c r="H27" i="1" s="1"/>
  <c r="I24" i="1"/>
  <c r="I25" i="1" s="1"/>
  <c r="I26" i="1" s="1"/>
  <c r="I27" i="1" s="1"/>
  <c r="J24" i="1"/>
  <c r="J25" i="1" s="1"/>
  <c r="J26" i="1" s="1"/>
  <c r="J27" i="1" s="1"/>
  <c r="K24" i="1"/>
  <c r="K25" i="1" s="1"/>
  <c r="K26" i="1" s="1"/>
  <c r="K27" i="1" s="1"/>
  <c r="L24" i="1"/>
  <c r="L25" i="1" s="1"/>
  <c r="L26" i="1" s="1"/>
  <c r="L27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J30" i="1" s="1"/>
  <c r="J31" i="1" s="1"/>
  <c r="K28" i="1"/>
  <c r="K29" i="1" s="1"/>
  <c r="K30" i="1" s="1"/>
  <c r="K31" i="1" s="1"/>
  <c r="L28" i="1"/>
  <c r="L29" i="1" s="1"/>
  <c r="L30" i="1" s="1"/>
  <c r="L31" i="1" s="1"/>
  <c r="G32" i="1"/>
  <c r="G33" i="1" s="1"/>
  <c r="G34" i="1" s="1"/>
  <c r="G35" i="1" s="1"/>
  <c r="H32" i="1"/>
  <c r="H33" i="1" s="1"/>
  <c r="H34" i="1" s="1"/>
  <c r="H35" i="1" s="1"/>
  <c r="I32" i="1"/>
  <c r="I33" i="1" s="1"/>
  <c r="I34" i="1" s="1"/>
  <c r="I35" i="1" s="1"/>
  <c r="J32" i="1"/>
  <c r="J33" i="1" s="1"/>
  <c r="J34" i="1" s="1"/>
  <c r="J35" i="1" s="1"/>
  <c r="K32" i="1"/>
  <c r="K33" i="1" s="1"/>
  <c r="K34" i="1" s="1"/>
  <c r="K35" i="1" s="1"/>
  <c r="L32" i="1"/>
  <c r="L33" i="1" s="1"/>
  <c r="L34" i="1" s="1"/>
  <c r="L35" i="1" s="1"/>
  <c r="L8" i="1"/>
  <c r="L9" i="1" s="1"/>
  <c r="L10" i="1" s="1"/>
  <c r="L11" i="1" s="1"/>
  <c r="K8" i="1"/>
  <c r="K9" i="1" s="1"/>
  <c r="K10" i="1" s="1"/>
  <c r="K11" i="1" s="1"/>
  <c r="J8" i="1"/>
  <c r="J9" i="1" s="1"/>
  <c r="J10" i="1" s="1"/>
  <c r="J11" i="1" s="1"/>
  <c r="I8" i="1"/>
  <c r="I9" i="1" s="1"/>
  <c r="I10" i="1" s="1"/>
  <c r="I11" i="1" s="1"/>
  <c r="H8" i="1"/>
  <c r="H9" i="1" s="1"/>
  <c r="H10" i="1" s="1"/>
  <c r="H11" i="1" s="1"/>
  <c r="G8" i="1"/>
  <c r="G9" i="1" s="1"/>
  <c r="G10" i="1" s="1"/>
  <c r="G11" i="1" s="1"/>
  <c r="L4" i="1"/>
  <c r="L5" i="1" s="1"/>
  <c r="L6" i="1" s="1"/>
  <c r="L7" i="1" s="1"/>
  <c r="K4" i="1"/>
  <c r="K5" i="1" s="1"/>
  <c r="K6" i="1" s="1"/>
  <c r="K7" i="1" s="1"/>
  <c r="G4" i="1"/>
  <c r="G5" i="1" s="1"/>
  <c r="G6" i="1" s="1"/>
  <c r="G7" i="1" s="1"/>
  <c r="J4" i="1"/>
  <c r="J5" i="1" s="1"/>
  <c r="J6" i="1" s="1"/>
  <c r="J7" i="1" s="1"/>
  <c r="I4" i="1"/>
  <c r="I5" i="1" s="1"/>
  <c r="I6" i="1" s="1"/>
  <c r="I7" i="1" s="1"/>
  <c r="H4" i="1"/>
  <c r="H5" i="1" s="1"/>
  <c r="H6" i="1" s="1"/>
  <c r="H7" i="1" s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35" i="1"/>
  <c r="O34" i="1"/>
  <c r="O33" i="1"/>
  <c r="O32" i="1"/>
  <c r="O31" i="1"/>
  <c r="O30" i="1"/>
  <c r="O29" i="1"/>
  <c r="O28" i="1"/>
  <c r="K516" i="3" s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BQ106" i="3"/>
  <c r="BQ87" i="3"/>
  <c r="BQ88" i="3"/>
  <c r="BQ89" i="3"/>
  <c r="BQ90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08" i="3"/>
  <c r="BQ109" i="3"/>
  <c r="BQ110" i="3"/>
  <c r="BQ111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5" i="3"/>
  <c r="BQ146" i="3"/>
  <c r="BQ147" i="3"/>
  <c r="BQ148" i="3"/>
  <c r="BQ129" i="3"/>
  <c r="BQ130" i="3"/>
  <c r="BQ131" i="3"/>
  <c r="BQ132" i="3"/>
  <c r="BQ154" i="3"/>
  <c r="BQ155" i="3"/>
  <c r="BQ156" i="3"/>
  <c r="BQ157" i="3"/>
  <c r="BQ158" i="3"/>
  <c r="BQ159" i="3"/>
  <c r="BQ160" i="3"/>
  <c r="BQ161" i="3"/>
  <c r="BQ162" i="3"/>
  <c r="BQ163" i="3"/>
  <c r="BQ164" i="3"/>
  <c r="BQ165" i="3"/>
  <c r="BQ166" i="3"/>
  <c r="BQ167" i="3"/>
  <c r="BQ168" i="3"/>
  <c r="BQ169" i="3"/>
  <c r="BQ150" i="3"/>
  <c r="BQ151" i="3"/>
  <c r="BQ152" i="3"/>
  <c r="BQ153" i="3"/>
  <c r="BQ175" i="3"/>
  <c r="BQ176" i="3"/>
  <c r="BQ177" i="3"/>
  <c r="BQ178" i="3"/>
  <c r="BQ179" i="3"/>
  <c r="BQ180" i="3"/>
  <c r="BQ181" i="3"/>
  <c r="BQ182" i="3"/>
  <c r="BQ183" i="3"/>
  <c r="BQ184" i="3"/>
  <c r="BQ185" i="3"/>
  <c r="BQ186" i="3"/>
  <c r="BQ187" i="3"/>
  <c r="BQ188" i="3"/>
  <c r="BQ189" i="3"/>
  <c r="BQ190" i="3"/>
  <c r="BQ171" i="3"/>
  <c r="BQ172" i="3"/>
  <c r="BQ173" i="3"/>
  <c r="BQ174" i="3"/>
  <c r="BQ196" i="3"/>
  <c r="BQ197" i="3"/>
  <c r="BQ198" i="3"/>
  <c r="BQ199" i="3"/>
  <c r="BQ200" i="3"/>
  <c r="BQ201" i="3"/>
  <c r="BQ202" i="3"/>
  <c r="BQ203" i="3"/>
  <c r="BQ204" i="3"/>
  <c r="BQ205" i="3"/>
  <c r="BQ206" i="3"/>
  <c r="BQ207" i="3"/>
  <c r="BQ208" i="3"/>
  <c r="BQ209" i="3"/>
  <c r="BQ210" i="3"/>
  <c r="BQ211" i="3"/>
  <c r="BQ192" i="3"/>
  <c r="BQ193" i="3"/>
  <c r="BQ194" i="3"/>
  <c r="BQ195" i="3"/>
  <c r="BQ217" i="3"/>
  <c r="BQ218" i="3"/>
  <c r="BQ219" i="3"/>
  <c r="BQ220" i="3"/>
  <c r="BQ221" i="3"/>
  <c r="BQ222" i="3"/>
  <c r="BQ223" i="3"/>
  <c r="BQ224" i="3"/>
  <c r="BQ225" i="3"/>
  <c r="BQ226" i="3"/>
  <c r="BQ227" i="3"/>
  <c r="BQ228" i="3"/>
  <c r="BQ229" i="3"/>
  <c r="BQ230" i="3"/>
  <c r="BQ231" i="3"/>
  <c r="BQ232" i="3"/>
  <c r="BQ213" i="3"/>
  <c r="BQ214" i="3"/>
  <c r="BQ215" i="3"/>
  <c r="BQ216" i="3"/>
  <c r="BQ238" i="3"/>
  <c r="BQ239" i="3"/>
  <c r="BQ240" i="3"/>
  <c r="BQ241" i="3"/>
  <c r="BQ242" i="3"/>
  <c r="BQ243" i="3"/>
  <c r="BQ244" i="3"/>
  <c r="BQ245" i="3"/>
  <c r="BQ246" i="3"/>
  <c r="BQ247" i="3"/>
  <c r="BQ248" i="3"/>
  <c r="BQ249" i="3"/>
  <c r="BQ250" i="3"/>
  <c r="BQ251" i="3"/>
  <c r="BQ252" i="3"/>
  <c r="BQ253" i="3"/>
  <c r="BQ234" i="3"/>
  <c r="BQ235" i="3"/>
  <c r="BQ236" i="3"/>
  <c r="BQ237" i="3"/>
  <c r="BQ259" i="3"/>
  <c r="BQ260" i="3"/>
  <c r="BQ261" i="3"/>
  <c r="BQ262" i="3"/>
  <c r="BQ263" i="3"/>
  <c r="BQ264" i="3"/>
  <c r="BQ265" i="3"/>
  <c r="BQ266" i="3"/>
  <c r="BQ267" i="3"/>
  <c r="BQ268" i="3"/>
  <c r="BQ269" i="3"/>
  <c r="BQ270" i="3"/>
  <c r="BQ271" i="3"/>
  <c r="BQ272" i="3"/>
  <c r="BQ273" i="3"/>
  <c r="BQ274" i="3"/>
  <c r="BQ255" i="3"/>
  <c r="BQ256" i="3"/>
  <c r="BQ257" i="3"/>
  <c r="BQ258" i="3"/>
  <c r="BQ280" i="3"/>
  <c r="BQ281" i="3"/>
  <c r="BQ282" i="3"/>
  <c r="BQ283" i="3"/>
  <c r="BQ284" i="3"/>
  <c r="BQ285" i="3"/>
  <c r="BQ286" i="3"/>
  <c r="BQ287" i="3"/>
  <c r="BQ288" i="3"/>
  <c r="BQ289" i="3"/>
  <c r="BQ290" i="3"/>
  <c r="BQ291" i="3"/>
  <c r="BQ292" i="3"/>
  <c r="BQ293" i="3"/>
  <c r="BQ294" i="3"/>
  <c r="BQ295" i="3"/>
  <c r="BQ276" i="3"/>
  <c r="BQ277" i="3"/>
  <c r="BQ278" i="3"/>
  <c r="BQ279" i="3"/>
  <c r="BQ301" i="3"/>
  <c r="BQ302" i="3"/>
  <c r="BQ303" i="3"/>
  <c r="BQ304" i="3"/>
  <c r="BQ305" i="3"/>
  <c r="BQ306" i="3"/>
  <c r="BQ307" i="3"/>
  <c r="BQ308" i="3"/>
  <c r="BQ309" i="3"/>
  <c r="BQ310" i="3"/>
  <c r="BQ311" i="3"/>
  <c r="BQ312" i="3"/>
  <c r="BQ313" i="3"/>
  <c r="BQ314" i="3"/>
  <c r="BQ315" i="3"/>
  <c r="BQ316" i="3"/>
  <c r="BQ297" i="3"/>
  <c r="BQ298" i="3"/>
  <c r="BQ299" i="3"/>
  <c r="BQ300" i="3"/>
  <c r="BQ322" i="3"/>
  <c r="BQ323" i="3"/>
  <c r="BQ324" i="3"/>
  <c r="BQ325" i="3"/>
  <c r="BQ326" i="3"/>
  <c r="BQ327" i="3"/>
  <c r="BQ328" i="3"/>
  <c r="BQ329" i="3"/>
  <c r="BQ330" i="3"/>
  <c r="BQ331" i="3"/>
  <c r="BQ332" i="3"/>
  <c r="BQ333" i="3"/>
  <c r="BQ334" i="3"/>
  <c r="BQ335" i="3"/>
  <c r="BQ336" i="3"/>
  <c r="BQ337" i="3"/>
  <c r="BQ318" i="3"/>
  <c r="BQ319" i="3"/>
  <c r="BQ320" i="3"/>
  <c r="BQ321" i="3"/>
  <c r="BQ343" i="3"/>
  <c r="BQ344" i="3"/>
  <c r="BQ345" i="3"/>
  <c r="BQ346" i="3"/>
  <c r="BQ347" i="3"/>
  <c r="BQ348" i="3"/>
  <c r="BQ349" i="3"/>
  <c r="BQ350" i="3"/>
  <c r="BQ351" i="3"/>
  <c r="BQ352" i="3"/>
  <c r="BQ353" i="3"/>
  <c r="BQ354" i="3"/>
  <c r="BQ355" i="3"/>
  <c r="BQ356" i="3"/>
  <c r="BQ357" i="3"/>
  <c r="BQ358" i="3"/>
  <c r="BQ339" i="3"/>
  <c r="BQ340" i="3"/>
  <c r="BQ341" i="3"/>
  <c r="BQ342" i="3"/>
  <c r="BQ364" i="3"/>
  <c r="BQ365" i="3"/>
  <c r="BQ366" i="3"/>
  <c r="BQ367" i="3"/>
  <c r="BQ368" i="3"/>
  <c r="BQ369" i="3"/>
  <c r="BQ370" i="3"/>
  <c r="BQ371" i="3"/>
  <c r="BQ372" i="3"/>
  <c r="BQ373" i="3"/>
  <c r="BQ374" i="3"/>
  <c r="BQ375" i="3"/>
  <c r="BQ376" i="3"/>
  <c r="BQ377" i="3"/>
  <c r="BQ378" i="3"/>
  <c r="BQ379" i="3"/>
  <c r="BQ360" i="3"/>
  <c r="BQ361" i="3"/>
  <c r="BQ362" i="3"/>
  <c r="BQ363" i="3"/>
  <c r="BQ385" i="3"/>
  <c r="BQ386" i="3"/>
  <c r="BQ387" i="3"/>
  <c r="BQ388" i="3"/>
  <c r="BQ389" i="3"/>
  <c r="BQ390" i="3"/>
  <c r="BQ391" i="3"/>
  <c r="BQ392" i="3"/>
  <c r="BQ393" i="3"/>
  <c r="BQ394" i="3"/>
  <c r="BQ395" i="3"/>
  <c r="BQ396" i="3"/>
  <c r="BQ397" i="3"/>
  <c r="BQ398" i="3"/>
  <c r="BQ399" i="3"/>
  <c r="BQ400" i="3"/>
  <c r="BQ381" i="3"/>
  <c r="BQ382" i="3"/>
  <c r="BQ383" i="3"/>
  <c r="BQ384" i="3"/>
  <c r="BQ406" i="3"/>
  <c r="BQ407" i="3"/>
  <c r="BQ408" i="3"/>
  <c r="BQ409" i="3"/>
  <c r="BQ410" i="3"/>
  <c r="BQ411" i="3"/>
  <c r="BQ412" i="3"/>
  <c r="BQ413" i="3"/>
  <c r="BQ414" i="3"/>
  <c r="BQ415" i="3"/>
  <c r="BQ416" i="3"/>
  <c r="BQ417" i="3"/>
  <c r="BQ418" i="3"/>
  <c r="BQ419" i="3"/>
  <c r="BQ420" i="3"/>
  <c r="BQ421" i="3"/>
  <c r="BQ402" i="3"/>
  <c r="BQ403" i="3"/>
  <c r="BQ404" i="3"/>
  <c r="BQ405" i="3"/>
  <c r="BQ427" i="3"/>
  <c r="BQ428" i="3"/>
  <c r="BQ429" i="3"/>
  <c r="BQ430" i="3"/>
  <c r="BQ431" i="3"/>
  <c r="BQ432" i="3"/>
  <c r="BQ433" i="3"/>
  <c r="BQ434" i="3"/>
  <c r="BQ435" i="3"/>
  <c r="BQ436" i="3"/>
  <c r="BQ437" i="3"/>
  <c r="BQ438" i="3"/>
  <c r="BQ439" i="3"/>
  <c r="BQ440" i="3"/>
  <c r="BQ441" i="3"/>
  <c r="BQ442" i="3"/>
  <c r="BQ423" i="3"/>
  <c r="BQ424" i="3"/>
  <c r="BQ425" i="3"/>
  <c r="BQ426" i="3"/>
  <c r="BQ448" i="3"/>
  <c r="BQ449" i="3"/>
  <c r="BQ450" i="3"/>
  <c r="BQ451" i="3"/>
  <c r="BQ452" i="3"/>
  <c r="BQ453" i="3"/>
  <c r="BQ454" i="3"/>
  <c r="BQ455" i="3"/>
  <c r="BQ456" i="3"/>
  <c r="BQ457" i="3"/>
  <c r="BQ458" i="3"/>
  <c r="BQ459" i="3"/>
  <c r="BQ460" i="3"/>
  <c r="BQ461" i="3"/>
  <c r="BQ462" i="3"/>
  <c r="BQ463" i="3"/>
  <c r="BQ444" i="3"/>
  <c r="BQ445" i="3"/>
  <c r="BQ446" i="3"/>
  <c r="BQ447" i="3"/>
  <c r="BQ469" i="3"/>
  <c r="BQ470" i="3"/>
  <c r="BQ471" i="3"/>
  <c r="BQ472" i="3"/>
  <c r="BQ473" i="3"/>
  <c r="BQ474" i="3"/>
  <c r="BQ475" i="3"/>
  <c r="BQ476" i="3"/>
  <c r="BQ477" i="3"/>
  <c r="BQ478" i="3"/>
  <c r="BQ479" i="3"/>
  <c r="BQ480" i="3"/>
  <c r="BQ481" i="3"/>
  <c r="BQ482" i="3"/>
  <c r="BQ483" i="3"/>
  <c r="BQ484" i="3"/>
  <c r="BQ465" i="3"/>
  <c r="BQ466" i="3"/>
  <c r="BQ467" i="3"/>
  <c r="BQ490" i="3"/>
  <c r="BQ491" i="3"/>
  <c r="BQ492" i="3"/>
  <c r="BQ493" i="3"/>
  <c r="BQ494" i="3"/>
  <c r="BQ495" i="3"/>
  <c r="BQ496" i="3"/>
  <c r="BQ497" i="3"/>
  <c r="BQ498" i="3"/>
  <c r="BQ499" i="3"/>
  <c r="BQ500" i="3"/>
  <c r="BQ501" i="3"/>
  <c r="BQ502" i="3"/>
  <c r="BQ503" i="3"/>
  <c r="BQ504" i="3"/>
  <c r="BQ505" i="3"/>
  <c r="BQ486" i="3"/>
  <c r="BQ487" i="3"/>
  <c r="BQ488" i="3"/>
  <c r="BQ489" i="3"/>
  <c r="BQ511" i="3"/>
  <c r="BQ512" i="3"/>
  <c r="BQ513" i="3"/>
  <c r="BQ514" i="3"/>
  <c r="BQ515" i="3"/>
  <c r="BQ516" i="3"/>
  <c r="BQ517" i="3"/>
  <c r="BQ518" i="3"/>
  <c r="BQ519" i="3"/>
  <c r="BQ520" i="3"/>
  <c r="BQ521" i="3"/>
  <c r="BQ522" i="3"/>
  <c r="BQ523" i="3"/>
  <c r="BQ524" i="3"/>
  <c r="BQ525" i="3"/>
  <c r="BQ526" i="3"/>
  <c r="BQ507" i="3"/>
  <c r="BQ508" i="3"/>
  <c r="BQ509" i="3"/>
  <c r="BQ510" i="3"/>
  <c r="BQ532" i="3"/>
  <c r="BQ533" i="3"/>
  <c r="BQ534" i="3"/>
  <c r="BQ535" i="3"/>
  <c r="BQ536" i="3"/>
  <c r="BQ537" i="3"/>
  <c r="BQ538" i="3"/>
  <c r="BQ539" i="3"/>
  <c r="BQ540" i="3"/>
  <c r="BQ541" i="3"/>
  <c r="BQ542" i="3"/>
  <c r="BQ543" i="3"/>
  <c r="BQ544" i="3"/>
  <c r="BQ545" i="3"/>
  <c r="BQ546" i="3"/>
  <c r="BQ547" i="3"/>
  <c r="BQ528" i="3"/>
  <c r="BQ529" i="3"/>
  <c r="BQ530" i="3"/>
  <c r="BQ531" i="3"/>
  <c r="BQ553" i="3"/>
  <c r="BQ554" i="3"/>
  <c r="BQ555" i="3"/>
  <c r="BQ556" i="3"/>
  <c r="BQ557" i="3"/>
  <c r="BQ558" i="3"/>
  <c r="BQ559" i="3"/>
  <c r="BQ560" i="3"/>
  <c r="BQ561" i="3"/>
  <c r="BQ562" i="3"/>
  <c r="BQ563" i="3"/>
  <c r="BQ564" i="3"/>
  <c r="BQ565" i="3"/>
  <c r="BQ566" i="3"/>
  <c r="BQ567" i="3"/>
  <c r="BQ568" i="3"/>
  <c r="BQ549" i="3"/>
  <c r="BQ550" i="3"/>
  <c r="BQ551" i="3"/>
  <c r="BQ552" i="3"/>
  <c r="BQ574" i="3"/>
  <c r="BQ575" i="3"/>
  <c r="BQ576" i="3"/>
  <c r="BQ577" i="3"/>
  <c r="BQ578" i="3"/>
  <c r="BQ579" i="3"/>
  <c r="BQ580" i="3"/>
  <c r="BQ581" i="3"/>
  <c r="BQ582" i="3"/>
  <c r="BQ583" i="3"/>
  <c r="BQ584" i="3"/>
  <c r="BQ585" i="3"/>
  <c r="BQ586" i="3"/>
  <c r="BQ587" i="3"/>
  <c r="BQ588" i="3"/>
  <c r="BQ589" i="3"/>
  <c r="BQ570" i="3"/>
  <c r="BQ571" i="3"/>
  <c r="BQ572" i="3"/>
  <c r="BQ573" i="3"/>
  <c r="BQ595" i="3"/>
  <c r="BQ596" i="3"/>
  <c r="BQ597" i="3"/>
  <c r="BQ598" i="3"/>
  <c r="BQ599" i="3"/>
  <c r="BQ600" i="3"/>
  <c r="BQ601" i="3"/>
  <c r="BQ602" i="3"/>
  <c r="BQ603" i="3"/>
  <c r="BQ604" i="3"/>
  <c r="BQ605" i="3"/>
  <c r="BQ606" i="3"/>
  <c r="BQ607" i="3"/>
  <c r="BQ608" i="3"/>
  <c r="BQ609" i="3"/>
  <c r="BQ610" i="3"/>
  <c r="BQ591" i="3"/>
  <c r="BQ592" i="3"/>
  <c r="BQ593" i="3"/>
  <c r="BQ594" i="3"/>
  <c r="BQ616" i="3"/>
  <c r="BQ617" i="3"/>
  <c r="BQ618" i="3"/>
  <c r="BQ619" i="3"/>
  <c r="BQ620" i="3"/>
  <c r="BQ621" i="3"/>
  <c r="BQ622" i="3"/>
  <c r="BQ623" i="3"/>
  <c r="BQ624" i="3"/>
  <c r="BQ625" i="3"/>
  <c r="BQ626" i="3"/>
  <c r="BQ627" i="3"/>
  <c r="BQ628" i="3"/>
  <c r="BQ629" i="3"/>
  <c r="BQ630" i="3"/>
  <c r="BQ631" i="3"/>
  <c r="BQ612" i="3"/>
  <c r="BQ613" i="3"/>
  <c r="BQ614" i="3"/>
  <c r="BQ615" i="3"/>
  <c r="BQ637" i="3"/>
  <c r="BQ638" i="3"/>
  <c r="BQ639" i="3"/>
  <c r="BQ640" i="3"/>
  <c r="BQ641" i="3"/>
  <c r="BQ642" i="3"/>
  <c r="BQ643" i="3"/>
  <c r="BQ644" i="3"/>
  <c r="BQ645" i="3"/>
  <c r="BQ646" i="3"/>
  <c r="BQ647" i="3"/>
  <c r="BQ648" i="3"/>
  <c r="BQ649" i="3"/>
  <c r="BQ650" i="3"/>
  <c r="BQ651" i="3"/>
  <c r="BQ652" i="3"/>
  <c r="BQ633" i="3"/>
  <c r="BQ634" i="3"/>
  <c r="BQ635" i="3"/>
  <c r="BQ636" i="3"/>
  <c r="BQ658" i="3"/>
  <c r="BQ659" i="3"/>
  <c r="BQ660" i="3"/>
  <c r="BQ661" i="3"/>
  <c r="BQ662" i="3"/>
  <c r="BQ663" i="3"/>
  <c r="BQ664" i="3"/>
  <c r="BQ665" i="3"/>
  <c r="BQ666" i="3"/>
  <c r="BQ667" i="3"/>
  <c r="BQ668" i="3"/>
  <c r="BQ669" i="3"/>
  <c r="BQ670" i="3"/>
  <c r="BQ671" i="3"/>
  <c r="BQ672" i="3"/>
  <c r="BQ673" i="3"/>
  <c r="BQ654" i="3"/>
  <c r="BQ655" i="3"/>
  <c r="BQ656" i="3"/>
  <c r="BQ657" i="3"/>
  <c r="AU3" i="1"/>
  <c r="BQ23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3" i="3"/>
  <c r="BQ4" i="3"/>
  <c r="BQ5" i="3"/>
  <c r="BQ6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24" i="3"/>
  <c r="BQ25" i="3"/>
  <c r="BQ26" i="3"/>
  <c r="BQ27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45" i="3"/>
  <c r="BQ46" i="3"/>
  <c r="BQ47" i="3"/>
  <c r="BQ48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66" i="3"/>
  <c r="BQ67" i="3"/>
  <c r="BQ68" i="3"/>
  <c r="BQ69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65" i="3"/>
  <c r="BQ44" i="3"/>
  <c r="BQ86" i="3"/>
  <c r="BQ107" i="3"/>
  <c r="BQ128" i="3"/>
  <c r="BQ149" i="3"/>
  <c r="BQ170" i="3"/>
  <c r="BQ191" i="3"/>
  <c r="BQ212" i="3"/>
  <c r="BQ233" i="3"/>
  <c r="BQ254" i="3"/>
  <c r="BQ275" i="3"/>
  <c r="BQ296" i="3"/>
  <c r="BQ317" i="3"/>
  <c r="BQ338" i="3"/>
  <c r="BQ359" i="3"/>
  <c r="BQ380" i="3"/>
  <c r="BQ401" i="3"/>
  <c r="BQ422" i="3"/>
  <c r="BQ443" i="3"/>
  <c r="BQ464" i="3"/>
  <c r="BQ485" i="3"/>
  <c r="BQ506" i="3"/>
  <c r="BQ527" i="3"/>
  <c r="BQ548" i="3"/>
  <c r="BQ569" i="3"/>
  <c r="BQ590" i="3"/>
  <c r="BQ611" i="3"/>
  <c r="BQ632" i="3"/>
  <c r="BQ653" i="3"/>
  <c r="BQ674" i="3"/>
  <c r="A91" i="3"/>
  <c r="A195" i="3"/>
  <c r="A280" i="3"/>
  <c r="A231" i="3"/>
  <c r="A219" i="3"/>
  <c r="A227" i="3"/>
  <c r="A171" i="3"/>
  <c r="A211" i="3"/>
  <c r="A177" i="3"/>
  <c r="A147" i="3"/>
  <c r="A143" i="3"/>
  <c r="A135" i="3"/>
  <c r="A115" i="3"/>
  <c r="A119" i="3"/>
  <c r="A87" i="3"/>
  <c r="A99" i="3"/>
  <c r="A83" i="3"/>
  <c r="A59" i="3"/>
  <c r="A80" i="3"/>
  <c r="A95" i="3"/>
  <c r="A31" i="3"/>
  <c r="A39" i="3"/>
  <c r="A47" i="3"/>
  <c r="A55" i="3"/>
  <c r="A247" i="3"/>
  <c r="A8" i="3"/>
  <c r="A4" i="3"/>
  <c r="A7" i="3"/>
  <c r="A27" i="3"/>
  <c r="A6" i="3"/>
  <c r="A5" i="3"/>
  <c r="A71" i="3"/>
  <c r="A48" i="3"/>
  <c r="A245" i="3"/>
  <c r="A516" i="3"/>
  <c r="A292" i="3"/>
  <c r="A92" i="3"/>
  <c r="A183" i="3"/>
  <c r="A203" i="3"/>
  <c r="A67" i="3"/>
  <c r="A567" i="3" l="1"/>
  <c r="A24" i="3"/>
  <c r="AC56" i="3"/>
  <c r="A56" i="3"/>
  <c r="A112" i="3"/>
  <c r="AL80" i="3"/>
  <c r="BJ80" i="3" s="1"/>
  <c r="A12" i="3"/>
  <c r="AE523" i="3"/>
  <c r="A267" i="3"/>
  <c r="A191" i="3"/>
  <c r="A380" i="3"/>
  <c r="A175" i="3"/>
  <c r="V521" i="3"/>
  <c r="A484" i="3"/>
  <c r="A488" i="3"/>
  <c r="A566" i="3"/>
  <c r="X6" i="3"/>
  <c r="A419" i="3"/>
  <c r="A217" i="3"/>
  <c r="A654" i="3"/>
  <c r="A424" i="3"/>
  <c r="A225" i="3"/>
  <c r="J215" i="3"/>
  <c r="A205" i="3"/>
  <c r="AA177" i="3"/>
  <c r="A289" i="3"/>
  <c r="A237" i="3"/>
  <c r="A25" i="3"/>
  <c r="A523" i="3"/>
  <c r="AL177" i="3"/>
  <c r="BJ177" i="3" s="1"/>
  <c r="A493" i="3"/>
  <c r="A241" i="3"/>
  <c r="A94" i="3"/>
  <c r="A378" i="3"/>
  <c r="A350" i="3"/>
  <c r="A413" i="3"/>
  <c r="A430" i="3"/>
  <c r="A318" i="3"/>
  <c r="A286" i="3"/>
  <c r="A166" i="3"/>
  <c r="Z625" i="3"/>
  <c r="A34" i="3"/>
  <c r="J587" i="3"/>
  <c r="A170" i="3"/>
  <c r="Z247" i="3"/>
  <c r="A613" i="3"/>
  <c r="A497" i="3"/>
  <c r="A238" i="3"/>
  <c r="A253" i="3"/>
  <c r="A152" i="3"/>
  <c r="A20" i="3"/>
  <c r="A46" i="3"/>
  <c r="A109" i="3"/>
  <c r="A530" i="3"/>
  <c r="AN631" i="3"/>
  <c r="K5" i="3"/>
  <c r="A287" i="3"/>
  <c r="A168" i="3"/>
  <c r="AM168" i="3"/>
  <c r="A3" i="3"/>
  <c r="A88" i="3"/>
  <c r="A36" i="3"/>
  <c r="A631" i="3"/>
  <c r="A26" i="3"/>
  <c r="A78" i="3"/>
  <c r="A108" i="3"/>
  <c r="Y80" i="3"/>
  <c r="U378" i="3"/>
  <c r="AA56" i="3"/>
  <c r="A620" i="3"/>
  <c r="A156" i="3"/>
  <c r="A148" i="3"/>
  <c r="A158" i="3"/>
  <c r="A304" i="3"/>
  <c r="A336" i="3"/>
  <c r="A106" i="3"/>
  <c r="A85" i="3"/>
  <c r="A164" i="3"/>
  <c r="A162" i="3"/>
  <c r="A288" i="3"/>
  <c r="A547" i="3"/>
  <c r="A660" i="3"/>
  <c r="A263" i="3"/>
  <c r="AB466" i="3"/>
  <c r="AD180" i="3"/>
  <c r="F147" i="3"/>
  <c r="AP147" i="3" s="1"/>
  <c r="AN629" i="3"/>
  <c r="A553" i="3"/>
  <c r="A319" i="3"/>
  <c r="A41" i="3"/>
  <c r="AM493" i="3"/>
  <c r="A629" i="3"/>
  <c r="A21" i="3"/>
  <c r="A343" i="3"/>
  <c r="A255" i="3"/>
  <c r="A363" i="3"/>
  <c r="A29" i="3"/>
  <c r="A157" i="3"/>
  <c r="A17" i="3"/>
  <c r="A478" i="3"/>
  <c r="A422" i="3"/>
  <c r="A9" i="3"/>
  <c r="A359" i="3"/>
  <c r="A124" i="3"/>
  <c r="A328" i="3"/>
  <c r="AC73" i="3"/>
  <c r="AO660" i="3"/>
  <c r="AM613" i="3"/>
  <c r="M483" i="3"/>
  <c r="W80" i="3"/>
  <c r="A377" i="3"/>
  <c r="A653" i="3"/>
  <c r="A317" i="3"/>
  <c r="A73" i="3"/>
  <c r="A341" i="3"/>
  <c r="A368" i="3"/>
  <c r="A456" i="3"/>
  <c r="A324" i="3"/>
  <c r="A443" i="3"/>
  <c r="A132" i="3"/>
  <c r="AE136" i="3"/>
  <c r="X567" i="3"/>
  <c r="A610" i="3"/>
  <c r="A652" i="3"/>
  <c r="A440" i="3"/>
  <c r="A136" i="3"/>
  <c r="A313" i="3"/>
  <c r="A432" i="3"/>
  <c r="A447" i="3"/>
  <c r="AM73" i="3"/>
  <c r="Q136" i="3"/>
  <c r="A339" i="3"/>
  <c r="A373" i="3"/>
  <c r="A453" i="3"/>
  <c r="A449" i="3"/>
  <c r="AE644" i="3"/>
  <c r="AF636" i="3"/>
  <c r="Z622" i="3"/>
  <c r="J591" i="3"/>
  <c r="W473" i="3"/>
  <c r="AE438" i="3"/>
  <c r="AE434" i="3"/>
  <c r="J404" i="3"/>
  <c r="Y374" i="3"/>
  <c r="AG370" i="3"/>
  <c r="AG328" i="3"/>
  <c r="AN309" i="3"/>
  <c r="AA290" i="3"/>
  <c r="AN274" i="3"/>
  <c r="J222" i="3"/>
  <c r="Z199" i="3"/>
  <c r="J195" i="3"/>
  <c r="Y191" i="3"/>
  <c r="AC180" i="3"/>
  <c r="AE169" i="3"/>
  <c r="AC138" i="3"/>
  <c r="AL119" i="3"/>
  <c r="BJ119" i="3" s="1"/>
  <c r="AC115" i="3"/>
  <c r="Z80" i="3"/>
  <c r="AF72" i="3"/>
  <c r="AL34" i="3"/>
  <c r="BJ34" i="3" s="1"/>
  <c r="AA4" i="3"/>
  <c r="A331" i="3"/>
  <c r="A270" i="3"/>
  <c r="X625" i="3"/>
  <c r="Y606" i="3"/>
  <c r="X587" i="3"/>
  <c r="J571" i="3"/>
  <c r="AE567" i="3"/>
  <c r="W560" i="3"/>
  <c r="AA548" i="3"/>
  <c r="W544" i="3"/>
  <c r="K536" i="3"/>
  <c r="W528" i="3"/>
  <c r="AB524" i="3"/>
  <c r="Y515" i="3"/>
  <c r="AD495" i="3"/>
  <c r="AC465" i="3"/>
  <c r="AC434" i="3"/>
  <c r="AG431" i="3"/>
  <c r="W423" i="3"/>
  <c r="AE358" i="3"/>
  <c r="K320" i="3"/>
  <c r="Z270" i="3"/>
  <c r="Z267" i="3"/>
  <c r="AA232" i="3"/>
  <c r="J225" i="3"/>
  <c r="AC95" i="3"/>
  <c r="AF83" i="3"/>
  <c r="Y30" i="3"/>
  <c r="Y4" i="3"/>
  <c r="AC6" i="3"/>
  <c r="L4" i="3"/>
  <c r="AA391" i="3"/>
  <c r="Y339" i="3"/>
  <c r="AN74" i="3"/>
  <c r="A437" i="3"/>
  <c r="Z609" i="3"/>
  <c r="W605" i="3"/>
  <c r="AG601" i="3"/>
  <c r="W582" i="3"/>
  <c r="AN570" i="3"/>
  <c r="Y563" i="3"/>
  <c r="Z551" i="3"/>
  <c r="Z543" i="3"/>
  <c r="AA539" i="3"/>
  <c r="Y535" i="3"/>
  <c r="AB531" i="3"/>
  <c r="K510" i="3"/>
  <c r="K506" i="3"/>
  <c r="AM498" i="3"/>
  <c r="X494" i="3"/>
  <c r="AB418" i="3"/>
  <c r="AM341" i="3"/>
  <c r="AL323" i="3"/>
  <c r="BJ323" i="3" s="1"/>
  <c r="AL304" i="3"/>
  <c r="BJ304" i="3" s="1"/>
  <c r="V266" i="3"/>
  <c r="AF262" i="3"/>
  <c r="AN243" i="3"/>
  <c r="AC239" i="3"/>
  <c r="AF217" i="3"/>
  <c r="AB110" i="3"/>
  <c r="Z90" i="3"/>
  <c r="AF82" i="3"/>
  <c r="U80" i="3"/>
  <c r="X71" i="3"/>
  <c r="AD44" i="3"/>
  <c r="AF36" i="3"/>
  <c r="AA6" i="3"/>
  <c r="A179" i="3"/>
  <c r="A285" i="3"/>
  <c r="A465" i="3"/>
  <c r="A434" i="3"/>
  <c r="J650" i="3"/>
  <c r="W634" i="3"/>
  <c r="AD460" i="3"/>
  <c r="AG444" i="3"/>
  <c r="AG410" i="3"/>
  <c r="AL394" i="3"/>
  <c r="BJ394" i="3" s="1"/>
  <c r="AA378" i="3"/>
  <c r="X376" i="3"/>
  <c r="J372" i="3"/>
  <c r="AG368" i="3"/>
  <c r="X276" i="3"/>
  <c r="AL272" i="3"/>
  <c r="BJ272" i="3" s="1"/>
  <c r="AE269" i="3"/>
  <c r="K213" i="3"/>
  <c r="AG201" i="3"/>
  <c r="AC125" i="3"/>
  <c r="J121" i="3"/>
  <c r="R80" i="3"/>
  <c r="A10" i="3"/>
  <c r="A232" i="3"/>
  <c r="W596" i="3"/>
  <c r="Y577" i="3"/>
  <c r="AA562" i="3"/>
  <c r="K550" i="3"/>
  <c r="V523" i="3"/>
  <c r="Z520" i="3"/>
  <c r="Y513" i="3"/>
  <c r="K509" i="3"/>
  <c r="W490" i="3"/>
  <c r="W486" i="3"/>
  <c r="Y417" i="3"/>
  <c r="I413" i="3"/>
  <c r="X378" i="3"/>
  <c r="K341" i="3"/>
  <c r="AA326" i="3"/>
  <c r="AG322" i="3"/>
  <c r="K303" i="3"/>
  <c r="B299" i="3"/>
  <c r="K246" i="3"/>
  <c r="AA185" i="3"/>
  <c r="AM181" i="3"/>
  <c r="AC66" i="3"/>
  <c r="W58" i="3"/>
  <c r="J39" i="3"/>
  <c r="AB28" i="3"/>
  <c r="W626" i="3"/>
  <c r="AG623" i="3"/>
  <c r="W615" i="3"/>
  <c r="AB482" i="3"/>
  <c r="AL459" i="3"/>
  <c r="BJ459" i="3" s="1"/>
  <c r="AE439" i="3"/>
  <c r="AN405" i="3"/>
  <c r="AL397" i="3"/>
  <c r="BJ397" i="3" s="1"/>
  <c r="AF385" i="3"/>
  <c r="AL337" i="3"/>
  <c r="BJ337" i="3" s="1"/>
  <c r="V318" i="3"/>
  <c r="AF268" i="3"/>
  <c r="AM253" i="3"/>
  <c r="AB249" i="3"/>
  <c r="V226" i="3"/>
  <c r="J223" i="3"/>
  <c r="J212" i="3"/>
  <c r="X204" i="3"/>
  <c r="AA200" i="3"/>
  <c r="AM196" i="3"/>
  <c r="AN128" i="3"/>
  <c r="A14" i="3"/>
  <c r="A391" i="3"/>
  <c r="A130" i="3"/>
  <c r="A281" i="3"/>
  <c r="Z663" i="3"/>
  <c r="J656" i="3"/>
  <c r="AL652" i="3"/>
  <c r="BJ652" i="3" s="1"/>
  <c r="X607" i="3"/>
  <c r="AN599" i="3"/>
  <c r="AN591" i="3"/>
  <c r="AN584" i="3"/>
  <c r="AB580" i="3"/>
  <c r="AM576" i="3"/>
  <c r="Y541" i="3"/>
  <c r="Y537" i="3"/>
  <c r="AB533" i="3"/>
  <c r="AG522" i="3"/>
  <c r="AM519" i="3"/>
  <c r="K508" i="3"/>
  <c r="AN489" i="3"/>
  <c r="AG485" i="3"/>
  <c r="AD466" i="3"/>
  <c r="P378" i="3"/>
  <c r="X347" i="3"/>
  <c r="AL321" i="3"/>
  <c r="BJ321" i="3" s="1"/>
  <c r="W260" i="3"/>
  <c r="AN256" i="3"/>
  <c r="W245" i="3"/>
  <c r="AL104" i="3"/>
  <c r="BJ104" i="3" s="1"/>
  <c r="J100" i="3"/>
  <c r="J96" i="3"/>
  <c r="Z57" i="3"/>
  <c r="AE54" i="3"/>
  <c r="W42" i="3"/>
  <c r="AG38" i="3"/>
  <c r="X27" i="3"/>
  <c r="A86" i="3"/>
  <c r="A140" i="3"/>
  <c r="A372" i="3"/>
  <c r="A181" i="3"/>
  <c r="A223" i="3"/>
  <c r="A185" i="3"/>
  <c r="A499" i="3"/>
  <c r="J606" i="3"/>
  <c r="AC591" i="3"/>
  <c r="J567" i="3"/>
  <c r="Z525" i="3"/>
  <c r="P523" i="3"/>
  <c r="X498" i="3"/>
  <c r="Y341" i="3"/>
  <c r="Z339" i="3"/>
  <c r="AD328" i="3"/>
  <c r="V6" i="3"/>
  <c r="I4" i="3"/>
  <c r="W341" i="3"/>
  <c r="X328" i="3"/>
  <c r="AD299" i="3"/>
  <c r="AG278" i="3"/>
  <c r="V56" i="3"/>
  <c r="Z34" i="3"/>
  <c r="A77" i="3"/>
  <c r="A361" i="3"/>
  <c r="A515" i="3"/>
  <c r="A226" i="3"/>
  <c r="A35" i="3"/>
  <c r="A200" i="3"/>
  <c r="A299" i="3"/>
  <c r="A405" i="3"/>
  <c r="A431" i="3"/>
  <c r="A125" i="3"/>
  <c r="A564" i="3"/>
  <c r="A129" i="3"/>
  <c r="A357" i="3"/>
  <c r="A560" i="3"/>
  <c r="A13" i="3"/>
  <c r="A102" i="3"/>
  <c r="A121" i="3"/>
  <c r="A243" i="3"/>
  <c r="A385" i="3"/>
  <c r="AE666" i="3"/>
  <c r="R663" i="3"/>
  <c r="Q660" i="3"/>
  <c r="AG516" i="3"/>
  <c r="V328" i="3"/>
  <c r="W317" i="3"/>
  <c r="AB299" i="3"/>
  <c r="Z278" i="3"/>
  <c r="N119" i="3"/>
  <c r="AF73" i="3"/>
  <c r="F56" i="3"/>
  <c r="AP56" i="3" s="1"/>
  <c r="Y34" i="3"/>
  <c r="AO5" i="3"/>
  <c r="A534" i="3"/>
  <c r="A477" i="3"/>
  <c r="AN571" i="3"/>
  <c r="AO413" i="3"/>
  <c r="Y299" i="3"/>
  <c r="AE237" i="3"/>
  <c r="A382" i="3"/>
  <c r="A133" i="3"/>
  <c r="A655" i="3"/>
  <c r="A38" i="3"/>
  <c r="A167" i="3"/>
  <c r="A64" i="3"/>
  <c r="A68" i="3"/>
  <c r="A272" i="3"/>
  <c r="A409" i="3"/>
  <c r="X571" i="3"/>
  <c r="AA534" i="3"/>
  <c r="AL413" i="3"/>
  <c r="BJ413" i="3" s="1"/>
  <c r="X373" i="3"/>
  <c r="W299" i="3"/>
  <c r="Q237" i="3"/>
  <c r="AN148" i="3"/>
  <c r="A196" i="3"/>
  <c r="A423" i="3"/>
  <c r="A204" i="3"/>
  <c r="A316" i="3"/>
  <c r="A74" i="3"/>
  <c r="A239" i="3"/>
  <c r="A312" i="3"/>
  <c r="A82" i="3"/>
  <c r="A397" i="3"/>
  <c r="A571" i="3"/>
  <c r="A110" i="3"/>
  <c r="A663" i="3"/>
  <c r="A279" i="3"/>
  <c r="A50" i="3"/>
  <c r="R644" i="3"/>
  <c r="U571" i="3"/>
  <c r="R541" i="3"/>
  <c r="Z534" i="3"/>
  <c r="AG523" i="3"/>
  <c r="AE413" i="3"/>
  <c r="R299" i="3"/>
  <c r="AB247" i="3"/>
  <c r="P237" i="3"/>
  <c r="P226" i="3"/>
  <c r="X223" i="3"/>
  <c r="AL74" i="3"/>
  <c r="BJ74" i="3" s="1"/>
  <c r="A28" i="3"/>
  <c r="A118" i="3"/>
  <c r="A337" i="3"/>
  <c r="X533" i="3"/>
  <c r="X522" i="3"/>
  <c r="R521" i="3"/>
  <c r="AA516" i="3"/>
  <c r="I516" i="3"/>
  <c r="R513" i="3"/>
  <c r="AL282" i="3"/>
  <c r="BJ282" i="3" s="1"/>
  <c r="X100" i="3"/>
  <c r="A293" i="3"/>
  <c r="A23" i="3"/>
  <c r="A326" i="3"/>
  <c r="A58" i="3"/>
  <c r="A376" i="3"/>
  <c r="A589" i="3"/>
  <c r="A320" i="3"/>
  <c r="A412" i="3"/>
  <c r="A221" i="3"/>
  <c r="A309" i="3"/>
  <c r="A51" i="3"/>
  <c r="A262" i="3"/>
  <c r="A273" i="3"/>
  <c r="A266" i="3"/>
  <c r="A282" i="3"/>
  <c r="A381" i="3"/>
  <c r="B667" i="3"/>
  <c r="AN613" i="3"/>
  <c r="N606" i="3"/>
  <c r="U567" i="3"/>
  <c r="F533" i="3"/>
  <c r="AP533" i="3" s="1"/>
  <c r="P522" i="3"/>
  <c r="B521" i="3"/>
  <c r="Z516" i="3"/>
  <c r="F516" i="3"/>
  <c r="AP516" i="3" s="1"/>
  <c r="Q513" i="3"/>
  <c r="AO462" i="3"/>
  <c r="AL293" i="3"/>
  <c r="BJ293" i="3" s="1"/>
  <c r="AG282" i="3"/>
  <c r="U187" i="3"/>
  <c r="AA150" i="3"/>
  <c r="R100" i="3"/>
  <c r="Q64" i="3"/>
  <c r="Y57" i="3"/>
  <c r="X56" i="3"/>
  <c r="A489" i="3"/>
  <c r="A584" i="3"/>
  <c r="AE536" i="3"/>
  <c r="X516" i="3"/>
  <c r="AF363" i="3"/>
  <c r="AC331" i="3"/>
  <c r="AN80" i="3"/>
  <c r="I80" i="3"/>
  <c r="P74" i="3"/>
  <c r="AA73" i="3"/>
  <c r="Q56" i="3"/>
  <c r="AE5" i="3"/>
  <c r="A575" i="3"/>
  <c r="A222" i="3"/>
  <c r="A348" i="3"/>
  <c r="A150" i="3"/>
  <c r="A235" i="3"/>
  <c r="A294" i="3"/>
  <c r="A202" i="3"/>
  <c r="A42" i="3"/>
  <c r="A96" i="3"/>
  <c r="AC660" i="3"/>
  <c r="Z536" i="3"/>
  <c r="AM521" i="3"/>
  <c r="V516" i="3"/>
  <c r="Y95" i="3"/>
  <c r="AM80" i="3"/>
  <c r="F80" i="3"/>
  <c r="AP80" i="3" s="1"/>
  <c r="I74" i="3"/>
  <c r="R73" i="3"/>
  <c r="AO56" i="3"/>
  <c r="L56" i="3"/>
  <c r="AE50" i="3"/>
  <c r="Y516" i="3"/>
  <c r="A187" i="3"/>
  <c r="A472" i="3"/>
  <c r="A174" i="3"/>
  <c r="A256" i="3"/>
  <c r="A533" i="3"/>
  <c r="A513" i="3"/>
  <c r="A463" i="3"/>
  <c r="A509" i="3"/>
  <c r="A251" i="3"/>
  <c r="A387" i="3"/>
  <c r="A141" i="3"/>
  <c r="A429" i="3"/>
  <c r="A485" i="3"/>
  <c r="A100" i="3"/>
  <c r="A521" i="3"/>
  <c r="A198" i="3"/>
  <c r="A416" i="3"/>
  <c r="A522" i="3"/>
  <c r="A587" i="3"/>
  <c r="Y660" i="3"/>
  <c r="AG654" i="3"/>
  <c r="AG629" i="3"/>
  <c r="AN605" i="3"/>
  <c r="AA591" i="3"/>
  <c r="AO567" i="3"/>
  <c r="Y536" i="3"/>
  <c r="Y534" i="3"/>
  <c r="Y521" i="3"/>
  <c r="AM516" i="3"/>
  <c r="M516" i="3"/>
  <c r="X489" i="3"/>
  <c r="Z422" i="3"/>
  <c r="AG378" i="3"/>
  <c r="AN119" i="3"/>
  <c r="B74" i="3"/>
  <c r="N73" i="3"/>
  <c r="AG56" i="3"/>
  <c r="K56" i="3"/>
  <c r="AL42" i="3"/>
  <c r="BJ42" i="3" s="1"/>
  <c r="A425" i="3"/>
  <c r="A303" i="3"/>
  <c r="A90" i="3"/>
  <c r="A529" i="3"/>
  <c r="A269" i="3"/>
  <c r="A597" i="3"/>
  <c r="A19" i="3"/>
  <c r="A277" i="3"/>
  <c r="A322" i="3"/>
  <c r="R660" i="3"/>
  <c r="AG625" i="3"/>
  <c r="AG567" i="3"/>
  <c r="AN522" i="3"/>
  <c r="X521" i="3"/>
  <c r="AL516" i="3"/>
  <c r="BJ516" i="3" s="1"/>
  <c r="L516" i="3"/>
  <c r="W489" i="3"/>
  <c r="AC466" i="3"/>
  <c r="N412" i="3"/>
  <c r="AF378" i="3"/>
  <c r="AD320" i="3"/>
  <c r="AA317" i="3"/>
  <c r="AF267" i="3"/>
  <c r="Y256" i="3"/>
  <c r="F222" i="3"/>
  <c r="AP222" i="3" s="1"/>
  <c r="AO148" i="3"/>
  <c r="W119" i="3"/>
  <c r="J58" i="3"/>
  <c r="AE56" i="3"/>
  <c r="J56" i="3"/>
  <c r="M42" i="3"/>
  <c r="B648" i="3"/>
  <c r="A648" i="3"/>
  <c r="Y648" i="3"/>
  <c r="A347" i="3"/>
  <c r="A275" i="3"/>
  <c r="A445" i="3"/>
  <c r="A114" i="3"/>
  <c r="A248" i="3"/>
  <c r="Z632" i="3"/>
  <c r="M632" i="3"/>
  <c r="AE632" i="3"/>
  <c r="W612" i="3"/>
  <c r="U612" i="3"/>
  <c r="AO612" i="3"/>
  <c r="A612" i="3"/>
  <c r="F517" i="3"/>
  <c r="AP517" i="3" s="1"/>
  <c r="AB517" i="3"/>
  <c r="AD517" i="3"/>
  <c r="AL517" i="3"/>
  <c r="BJ517" i="3" s="1"/>
  <c r="A517" i="3"/>
  <c r="Q517" i="3"/>
  <c r="V517" i="3"/>
  <c r="I487" i="3"/>
  <c r="AN487" i="3"/>
  <c r="AA111" i="3"/>
  <c r="A111" i="3"/>
  <c r="M32" i="3"/>
  <c r="Q32" i="3"/>
  <c r="V32" i="3"/>
  <c r="W32" i="3"/>
  <c r="AF32" i="3"/>
  <c r="AM32" i="3"/>
  <c r="AN32" i="3"/>
  <c r="AL301" i="3"/>
  <c r="BJ301" i="3" s="1"/>
  <c r="AN301" i="3"/>
  <c r="J144" i="3"/>
  <c r="AF144" i="3"/>
  <c r="A144" i="3"/>
  <c r="F72" i="3"/>
  <c r="AP72" i="3" s="1"/>
  <c r="AL72" i="3"/>
  <c r="BJ72" i="3" s="1"/>
  <c r="X72" i="3"/>
  <c r="Z72" i="3"/>
  <c r="Z659" i="3"/>
  <c r="A659" i="3"/>
  <c r="R659" i="3"/>
  <c r="AE558" i="3"/>
  <c r="A558" i="3"/>
  <c r="AA496" i="3"/>
  <c r="Q496" i="3"/>
  <c r="R496" i="3"/>
  <c r="AA382" i="3"/>
  <c r="AO382" i="3"/>
  <c r="Q382" i="3"/>
  <c r="R382" i="3"/>
  <c r="M308" i="3"/>
  <c r="A308" i="3"/>
  <c r="A532" i="3"/>
  <c r="A658" i="3"/>
  <c r="A467" i="3"/>
  <c r="A554" i="3"/>
  <c r="AG514" i="3"/>
  <c r="A514" i="3"/>
  <c r="AN474" i="3"/>
  <c r="AB474" i="3"/>
  <c r="A474" i="3"/>
  <c r="R433" i="3"/>
  <c r="A433" i="3"/>
  <c r="I278" i="3"/>
  <c r="P278" i="3"/>
  <c r="AL278" i="3"/>
  <c r="BJ278" i="3" s="1"/>
  <c r="V278" i="3"/>
  <c r="AN278" i="3"/>
  <c r="A278" i="3"/>
  <c r="W278" i="3"/>
  <c r="Y278" i="3"/>
  <c r="K278" i="3"/>
  <c r="AA278" i="3"/>
  <c r="L278" i="3"/>
  <c r="AE278" i="3"/>
  <c r="AG176" i="3"/>
  <c r="AD176" i="3"/>
  <c r="J139" i="3"/>
  <c r="AF139" i="3"/>
  <c r="A139" i="3"/>
  <c r="Z650" i="3"/>
  <c r="A650" i="3"/>
  <c r="AD512" i="3"/>
  <c r="A512" i="3"/>
  <c r="A206" i="3"/>
  <c r="U597" i="3"/>
  <c r="P597" i="3"/>
  <c r="AC597" i="3"/>
  <c r="AG597" i="3"/>
  <c r="AN597" i="3"/>
  <c r="F597" i="3"/>
  <c r="AP597" i="3" s="1"/>
  <c r="F271" i="3"/>
  <c r="AP271" i="3" s="1"/>
  <c r="P271" i="3"/>
  <c r="R271" i="3"/>
  <c r="A271" i="3"/>
  <c r="W271" i="3"/>
  <c r="AA271" i="3"/>
  <c r="V265" i="3"/>
  <c r="A265" i="3"/>
  <c r="AE165" i="3"/>
  <c r="Z165" i="3"/>
  <c r="A268" i="3"/>
  <c r="A544" i="3"/>
  <c r="M669" i="3"/>
  <c r="Z669" i="3"/>
  <c r="X658" i="3"/>
  <c r="F634" i="3"/>
  <c r="AP634" i="3" s="1"/>
  <c r="Y634" i="3"/>
  <c r="A634" i="3"/>
  <c r="B634" i="3"/>
  <c r="L564" i="3"/>
  <c r="B536" i="3"/>
  <c r="L536" i="3"/>
  <c r="AG536" i="3"/>
  <c r="M536" i="3"/>
  <c r="AL536" i="3"/>
  <c r="BJ536" i="3" s="1"/>
  <c r="V536" i="3"/>
  <c r="AM536" i="3"/>
  <c r="A536" i="3"/>
  <c r="W536" i="3"/>
  <c r="I536" i="3"/>
  <c r="AA536" i="3"/>
  <c r="I492" i="3"/>
  <c r="A492" i="3"/>
  <c r="X365" i="3"/>
  <c r="A365" i="3"/>
  <c r="AO365" i="3"/>
  <c r="B340" i="3"/>
  <c r="Q340" i="3"/>
  <c r="AE340" i="3"/>
  <c r="AA283" i="3"/>
  <c r="AD283" i="3"/>
  <c r="AN283" i="3"/>
  <c r="A283" i="3"/>
  <c r="B216" i="3"/>
  <c r="A216" i="3"/>
  <c r="AA149" i="3"/>
  <c r="A149" i="3"/>
  <c r="A113" i="3"/>
  <c r="AG113" i="3"/>
  <c r="B43" i="3"/>
  <c r="A43" i="3"/>
  <c r="A72" i="3"/>
  <c r="A214" i="3"/>
  <c r="AF648" i="3"/>
  <c r="I624" i="3"/>
  <c r="W624" i="3"/>
  <c r="AM624" i="3"/>
  <c r="W421" i="3"/>
  <c r="AO421" i="3"/>
  <c r="A421" i="3"/>
  <c r="N337" i="3"/>
  <c r="P337" i="3"/>
  <c r="W337" i="3"/>
  <c r="Q219" i="3"/>
  <c r="N219" i="3"/>
  <c r="AC219" i="3"/>
  <c r="V189" i="3"/>
  <c r="B189" i="3"/>
  <c r="P178" i="3"/>
  <c r="J178" i="3"/>
  <c r="Q178" i="3"/>
  <c r="X178" i="3"/>
  <c r="Q146" i="3"/>
  <c r="A146" i="3"/>
  <c r="B142" i="3"/>
  <c r="I142" i="3"/>
  <c r="J142" i="3"/>
  <c r="A142" i="3"/>
  <c r="R142" i="3"/>
  <c r="AN142" i="3"/>
  <c r="X131" i="3"/>
  <c r="AL131" i="3"/>
  <c r="BJ131" i="3" s="1"/>
  <c r="I76" i="3"/>
  <c r="Y76" i="3"/>
  <c r="AC63" i="3"/>
  <c r="A63" i="3"/>
  <c r="L18" i="3"/>
  <c r="A18" i="3"/>
  <c r="A552" i="3"/>
  <c r="N552" i="3"/>
  <c r="B537" i="3"/>
  <c r="A537" i="3"/>
  <c r="B411" i="3"/>
  <c r="I411" i="3"/>
  <c r="AL411" i="3"/>
  <c r="BJ411" i="3" s="1"/>
  <c r="AN411" i="3"/>
  <c r="W224" i="3"/>
  <c r="A224" i="3"/>
  <c r="AO105" i="3"/>
  <c r="I105" i="3"/>
  <c r="A504" i="3"/>
  <c r="Y504" i="3"/>
  <c r="P658" i="3"/>
  <c r="AC658" i="3"/>
  <c r="AG658" i="3"/>
  <c r="AN658" i="3"/>
  <c r="W658" i="3"/>
  <c r="B200" i="3"/>
  <c r="AM200" i="3"/>
  <c r="V200" i="3"/>
  <c r="W200" i="3"/>
  <c r="A290" i="3"/>
  <c r="W598" i="3"/>
  <c r="A598" i="3"/>
  <c r="J574" i="3"/>
  <c r="F574" i="3"/>
  <c r="AP574" i="3" s="1"/>
  <c r="F559" i="3"/>
  <c r="AP559" i="3" s="1"/>
  <c r="A559" i="3"/>
  <c r="K505" i="3"/>
  <c r="A505" i="3"/>
  <c r="L476" i="3"/>
  <c r="A476" i="3"/>
  <c r="AC462" i="3"/>
  <c r="U462" i="3"/>
  <c r="AB462" i="3"/>
  <c r="AN395" i="3"/>
  <c r="A395" i="3"/>
  <c r="Q356" i="3"/>
  <c r="A356" i="3"/>
  <c r="M302" i="3"/>
  <c r="A302" i="3"/>
  <c r="AD297" i="3"/>
  <c r="Y297" i="3"/>
  <c r="M234" i="3"/>
  <c r="K234" i="3"/>
  <c r="AN163" i="3"/>
  <c r="P163" i="3"/>
  <c r="R163" i="3"/>
  <c r="A163" i="3"/>
  <c r="U159" i="3"/>
  <c r="A159" i="3"/>
  <c r="X155" i="3"/>
  <c r="A155" i="3"/>
  <c r="F137" i="3"/>
  <c r="AP137" i="3" s="1"/>
  <c r="R137" i="3"/>
  <c r="X137" i="3"/>
  <c r="AA137" i="3"/>
  <c r="AN137" i="3"/>
  <c r="A137" i="3"/>
  <c r="AF79" i="3"/>
  <c r="A79" i="3"/>
  <c r="Q62" i="3"/>
  <c r="J62" i="3"/>
  <c r="N62" i="3"/>
  <c r="R62" i="3"/>
  <c r="A62" i="3"/>
  <c r="W660" i="3"/>
  <c r="AB571" i="3"/>
  <c r="I525" i="3"/>
  <c r="AB523" i="3"/>
  <c r="AE508" i="3"/>
  <c r="V498" i="3"/>
  <c r="AB489" i="3"/>
  <c r="P465" i="3"/>
  <c r="B431" i="3"/>
  <c r="AN413" i="3"/>
  <c r="B413" i="3"/>
  <c r="I412" i="3"/>
  <c r="Y363" i="3"/>
  <c r="Y331" i="3"/>
  <c r="F318" i="3"/>
  <c r="AP318" i="3" s="1"/>
  <c r="X232" i="3"/>
  <c r="F226" i="3"/>
  <c r="AP226" i="3" s="1"/>
  <c r="AL183" i="3"/>
  <c r="BJ183" i="3" s="1"/>
  <c r="R95" i="3"/>
  <c r="AD50" i="3"/>
  <c r="K42" i="3"/>
  <c r="B39" i="3"/>
  <c r="U6" i="3"/>
  <c r="AA5" i="3"/>
  <c r="AO4" i="3"/>
  <c r="F4" i="3"/>
  <c r="AP4" i="3" s="1"/>
  <c r="N6" i="3"/>
  <c r="Y5" i="3"/>
  <c r="AN4" i="3"/>
  <c r="AG42" i="3"/>
  <c r="W34" i="3"/>
  <c r="AG6" i="3"/>
  <c r="K6" i="3"/>
  <c r="V5" i="3"/>
  <c r="AC4" i="3"/>
  <c r="AC3" i="3"/>
  <c r="A511" i="3"/>
  <c r="AA670" i="3"/>
  <c r="AO668" i="3"/>
  <c r="B666" i="3"/>
  <c r="AL660" i="3"/>
  <c r="BJ660" i="3" s="1"/>
  <c r="P660" i="3"/>
  <c r="AE654" i="3"/>
  <c r="W652" i="3"/>
  <c r="AN615" i="3"/>
  <c r="AE610" i="3"/>
  <c r="R571" i="3"/>
  <c r="AM530" i="3"/>
  <c r="N523" i="3"/>
  <c r="L513" i="3"/>
  <c r="N489" i="3"/>
  <c r="AN472" i="3"/>
  <c r="R466" i="3"/>
  <c r="AC413" i="3"/>
  <c r="AO412" i="3"/>
  <c r="AM378" i="3"/>
  <c r="N378" i="3"/>
  <c r="AA350" i="3"/>
  <c r="R328" i="3"/>
  <c r="Q299" i="3"/>
  <c r="AN286" i="3"/>
  <c r="W282" i="3"/>
  <c r="AC225" i="3"/>
  <c r="Q223" i="3"/>
  <c r="Z204" i="3"/>
  <c r="V201" i="3"/>
  <c r="Z177" i="3"/>
  <c r="AA174" i="3"/>
  <c r="U132" i="3"/>
  <c r="AL129" i="3"/>
  <c r="BJ129" i="3" s="1"/>
  <c r="M119" i="3"/>
  <c r="V90" i="3"/>
  <c r="AF80" i="3"/>
  <c r="P80" i="3"/>
  <c r="F73" i="3"/>
  <c r="AP73" i="3" s="1"/>
  <c r="W56" i="3"/>
  <c r="AF42" i="3"/>
  <c r="AO38" i="3"/>
  <c r="N34" i="3"/>
  <c r="AO12" i="3"/>
  <c r="AD6" i="3"/>
  <c r="J6" i="3"/>
  <c r="U5" i="3"/>
  <c r="AB4" i="3"/>
  <c r="AA3" i="3"/>
  <c r="A525" i="3"/>
  <c r="AA668" i="3"/>
  <c r="AG660" i="3"/>
  <c r="L660" i="3"/>
  <c r="AC654" i="3"/>
  <c r="U652" i="3"/>
  <c r="AN649" i="3"/>
  <c r="Z615" i="3"/>
  <c r="W610" i="3"/>
  <c r="U589" i="3"/>
  <c r="F571" i="3"/>
  <c r="AP571" i="3" s="1"/>
  <c r="AG563" i="3"/>
  <c r="N560" i="3"/>
  <c r="U553" i="3"/>
  <c r="R539" i="3"/>
  <c r="Y530" i="3"/>
  <c r="F523" i="3"/>
  <c r="AP523" i="3" s="1"/>
  <c r="AN516" i="3"/>
  <c r="W516" i="3"/>
  <c r="F513" i="3"/>
  <c r="AP513" i="3" s="1"/>
  <c r="L499" i="3"/>
  <c r="I489" i="3"/>
  <c r="X472" i="3"/>
  <c r="L466" i="3"/>
  <c r="W413" i="3"/>
  <c r="AE412" i="3"/>
  <c r="AO394" i="3"/>
  <c r="AB381" i="3"/>
  <c r="AL378" i="3"/>
  <c r="BJ378" i="3" s="1"/>
  <c r="M378" i="3"/>
  <c r="AG318" i="3"/>
  <c r="AG286" i="3"/>
  <c r="AF277" i="3"/>
  <c r="N174" i="3"/>
  <c r="AE80" i="3"/>
  <c r="N80" i="3"/>
  <c r="U71" i="3"/>
  <c r="AC68" i="3"/>
  <c r="P51" i="3"/>
  <c r="AB42" i="3"/>
  <c r="M34" i="3"/>
  <c r="Q5" i="3"/>
  <c r="A495" i="3"/>
  <c r="AE660" i="3"/>
  <c r="J660" i="3"/>
  <c r="I654" i="3"/>
  <c r="P610" i="3"/>
  <c r="AB575" i="3"/>
  <c r="M563" i="3"/>
  <c r="U413" i="3"/>
  <c r="U412" i="3"/>
  <c r="AN397" i="3"/>
  <c r="AF324" i="3"/>
  <c r="AF318" i="3"/>
  <c r="W292" i="3"/>
  <c r="K286" i="3"/>
  <c r="N277" i="3"/>
  <c r="AN255" i="3"/>
  <c r="AE246" i="3"/>
  <c r="AF226" i="3"/>
  <c r="AN147" i="3"/>
  <c r="Z109" i="3"/>
  <c r="AC80" i="3"/>
  <c r="J80" i="3"/>
  <c r="AB64" i="3"/>
  <c r="Z42" i="3"/>
  <c r="N413" i="3"/>
  <c r="P412" i="3"/>
  <c r="AO363" i="3"/>
  <c r="R318" i="3"/>
  <c r="AD232" i="3"/>
  <c r="AD187" i="3"/>
  <c r="AB95" i="3"/>
  <c r="AA64" i="3"/>
  <c r="P42" i="3"/>
  <c r="AN34" i="3"/>
  <c r="AG5" i="3"/>
  <c r="I5" i="3"/>
  <c r="F638" i="3"/>
  <c r="AP638" i="3" s="1"/>
  <c r="AE638" i="3"/>
  <c r="AF546" i="3"/>
  <c r="A546" i="3"/>
  <c r="P117" i="3"/>
  <c r="J117" i="3"/>
  <c r="Z117" i="3"/>
  <c r="AA117" i="3"/>
  <c r="AE648" i="3"/>
  <c r="R640" i="3"/>
  <c r="W586" i="3"/>
  <c r="N584" i="3"/>
  <c r="B584" i="3"/>
  <c r="Y584" i="3"/>
  <c r="AE584" i="3"/>
  <c r="AL584" i="3"/>
  <c r="BJ584" i="3" s="1"/>
  <c r="AG569" i="3"/>
  <c r="A569" i="3"/>
  <c r="J553" i="3"/>
  <c r="I553" i="3"/>
  <c r="AC553" i="3"/>
  <c r="M553" i="3"/>
  <c r="AE553" i="3"/>
  <c r="P553" i="3"/>
  <c r="AL553" i="3"/>
  <c r="BJ553" i="3" s="1"/>
  <c r="Q553" i="3"/>
  <c r="AN553" i="3"/>
  <c r="W553" i="3"/>
  <c r="V526" i="3"/>
  <c r="F351" i="3"/>
  <c r="AP351" i="3" s="1"/>
  <c r="K351" i="3"/>
  <c r="N351" i="3"/>
  <c r="Y351" i="3"/>
  <c r="Z351" i="3"/>
  <c r="M351" i="3"/>
  <c r="AC351" i="3"/>
  <c r="AF351" i="3"/>
  <c r="AC640" i="3"/>
  <c r="V501" i="3"/>
  <c r="R501" i="3"/>
  <c r="R396" i="3"/>
  <c r="Q396" i="3"/>
  <c r="AO396" i="3"/>
  <c r="AL396" i="3"/>
  <c r="BJ396" i="3" s="1"/>
  <c r="AM396" i="3"/>
  <c r="AN396" i="3"/>
  <c r="Z257" i="3"/>
  <c r="W257" i="3"/>
  <c r="AE84" i="3"/>
  <c r="I84" i="3"/>
  <c r="N84" i="3"/>
  <c r="AC84" i="3"/>
  <c r="F84" i="3"/>
  <c r="AP84" i="3" s="1"/>
  <c r="W84" i="3"/>
  <c r="A550" i="3"/>
  <c r="M670" i="3"/>
  <c r="AO670" i="3"/>
  <c r="Z648" i="3"/>
  <c r="Y626" i="3"/>
  <c r="AN626" i="3"/>
  <c r="AO626" i="3"/>
  <c r="K504" i="3"/>
  <c r="AE504" i="3"/>
  <c r="X244" i="3"/>
  <c r="Y244" i="3"/>
  <c r="W244" i="3"/>
  <c r="AE244" i="3"/>
  <c r="Q172" i="3"/>
  <c r="AA172" i="3"/>
  <c r="A172" i="3"/>
  <c r="Z87" i="3"/>
  <c r="AC87" i="3"/>
  <c r="AD87" i="3"/>
  <c r="F87" i="3"/>
  <c r="AP87" i="3" s="1"/>
  <c r="I87" i="3"/>
  <c r="M87" i="3"/>
  <c r="X87" i="3"/>
  <c r="Y87" i="3"/>
  <c r="AO87" i="3"/>
  <c r="U640" i="3"/>
  <c r="AE640" i="3"/>
  <c r="AF640" i="3"/>
  <c r="Q640" i="3"/>
  <c r="B586" i="3"/>
  <c r="Y586" i="3"/>
  <c r="Z586" i="3"/>
  <c r="AN586" i="3"/>
  <c r="AO586" i="3"/>
  <c r="I586" i="3"/>
  <c r="J561" i="3"/>
  <c r="W561" i="3"/>
  <c r="AE561" i="3"/>
  <c r="R538" i="3"/>
  <c r="V538" i="3"/>
  <c r="AF538" i="3"/>
  <c r="A586" i="3"/>
  <c r="A117" i="3"/>
  <c r="A396" i="3"/>
  <c r="A640" i="3"/>
  <c r="A583" i="3"/>
  <c r="AO674" i="3"/>
  <c r="Z671" i="3"/>
  <c r="W649" i="3"/>
  <c r="N648" i="3"/>
  <c r="M616" i="3"/>
  <c r="Y616" i="3"/>
  <c r="Z616" i="3"/>
  <c r="A616" i="3"/>
  <c r="AN616" i="3"/>
  <c r="L520" i="3"/>
  <c r="AG520" i="3"/>
  <c r="A520" i="3"/>
  <c r="AA494" i="3"/>
  <c r="AM494" i="3"/>
  <c r="A494" i="3"/>
  <c r="X145" i="3"/>
  <c r="Z145" i="3"/>
  <c r="I526" i="3"/>
  <c r="X526" i="3"/>
  <c r="AF526" i="3"/>
  <c r="AN526" i="3"/>
  <c r="L526" i="3"/>
  <c r="L507" i="3"/>
  <c r="AA507" i="3"/>
  <c r="J402" i="3"/>
  <c r="A402" i="3"/>
  <c r="A662" i="3"/>
  <c r="Q674" i="3"/>
  <c r="L671" i="3"/>
  <c r="AN659" i="3"/>
  <c r="J648" i="3"/>
  <c r="I639" i="3"/>
  <c r="J639" i="3"/>
  <c r="R639" i="3"/>
  <c r="AB553" i="3"/>
  <c r="AM514" i="3"/>
  <c r="R390" i="3"/>
  <c r="AA390" i="3"/>
  <c r="Y390" i="3"/>
  <c r="AC390" i="3"/>
  <c r="A390" i="3"/>
  <c r="AN390" i="3"/>
  <c r="P353" i="3"/>
  <c r="AA353" i="3"/>
  <c r="AC353" i="3"/>
  <c r="AF353" i="3"/>
  <c r="M353" i="3"/>
  <c r="N353" i="3"/>
  <c r="W353" i="3"/>
  <c r="AL353" i="3"/>
  <c r="BJ353" i="3" s="1"/>
  <c r="N230" i="3"/>
  <c r="F230" i="3"/>
  <c r="AP230" i="3" s="1"/>
  <c r="L230" i="3"/>
  <c r="V230" i="3"/>
  <c r="Z230" i="3"/>
  <c r="B230" i="3"/>
  <c r="J230" i="3"/>
  <c r="AA230" i="3"/>
  <c r="AD230" i="3"/>
  <c r="AO230" i="3"/>
  <c r="W220" i="3"/>
  <c r="F220" i="3"/>
  <c r="AP220" i="3" s="1"/>
  <c r="U220" i="3"/>
  <c r="Z220" i="3"/>
  <c r="AG220" i="3"/>
  <c r="A657" i="3"/>
  <c r="A84" i="3"/>
  <c r="A538" i="3"/>
  <c r="A212" i="3"/>
  <c r="A208" i="3"/>
  <c r="A526" i="3"/>
  <c r="AA659" i="3"/>
  <c r="I649" i="3"/>
  <c r="X649" i="3"/>
  <c r="AE649" i="3"/>
  <c r="AG649" i="3"/>
  <c r="A649" i="3"/>
  <c r="F649" i="3"/>
  <c r="AP649" i="3" s="1"/>
  <c r="B630" i="3"/>
  <c r="AF601" i="3"/>
  <c r="U585" i="3"/>
  <c r="AF585" i="3"/>
  <c r="A585" i="3"/>
  <c r="AG585" i="3"/>
  <c r="F570" i="3"/>
  <c r="AP570" i="3" s="1"/>
  <c r="AM566" i="3"/>
  <c r="N566" i="3"/>
  <c r="AA553" i="3"/>
  <c r="V457" i="3"/>
  <c r="AO457" i="3"/>
  <c r="Y306" i="3"/>
  <c r="W306" i="3"/>
  <c r="AL306" i="3"/>
  <c r="BJ306" i="3" s="1"/>
  <c r="A127" i="3"/>
  <c r="A507" i="3"/>
  <c r="F648" i="3"/>
  <c r="AP648" i="3" s="1"/>
  <c r="Q648" i="3"/>
  <c r="AL648" i="3"/>
  <c r="BJ648" i="3" s="1"/>
  <c r="R648" i="3"/>
  <c r="AN648" i="3"/>
  <c r="U648" i="3"/>
  <c r="AO648" i="3"/>
  <c r="I648" i="3"/>
  <c r="AC648" i="3"/>
  <c r="B638" i="3"/>
  <c r="AG627" i="3"/>
  <c r="U627" i="3"/>
  <c r="I592" i="3"/>
  <c r="AM592" i="3"/>
  <c r="B527" i="3"/>
  <c r="A527" i="3"/>
  <c r="Q527" i="3"/>
  <c r="X514" i="3"/>
  <c r="F514" i="3"/>
  <c r="AP514" i="3" s="1"/>
  <c r="M514" i="3"/>
  <c r="N514" i="3"/>
  <c r="Q514" i="3"/>
  <c r="AB514" i="3"/>
  <c r="AD514" i="3"/>
  <c r="L190" i="3"/>
  <c r="J190" i="3"/>
  <c r="AM190" i="3"/>
  <c r="A190" i="3"/>
  <c r="B438" i="3"/>
  <c r="P438" i="3"/>
  <c r="AL409" i="3"/>
  <c r="BJ409" i="3" s="1"/>
  <c r="P409" i="3"/>
  <c r="AC386" i="3"/>
  <c r="AA386" i="3"/>
  <c r="M371" i="3"/>
  <c r="AG371" i="3"/>
  <c r="L264" i="3"/>
  <c r="AN264" i="3"/>
  <c r="V215" i="3"/>
  <c r="Q215" i="3"/>
  <c r="U202" i="3"/>
  <c r="B202" i="3"/>
  <c r="AF202" i="3"/>
  <c r="P202" i="3"/>
  <c r="Q202" i="3"/>
  <c r="V202" i="3"/>
  <c r="Q114" i="3"/>
  <c r="Z114" i="3"/>
  <c r="AA114" i="3"/>
  <c r="B114" i="3"/>
  <c r="AN114" i="3"/>
  <c r="M114" i="3"/>
  <c r="AO114" i="3"/>
  <c r="P114" i="3"/>
  <c r="J21" i="3"/>
  <c r="W21" i="3"/>
  <c r="I634" i="3"/>
  <c r="AM612" i="3"/>
  <c r="U610" i="3"/>
  <c r="AM597" i="3"/>
  <c r="I597" i="3"/>
  <c r="Y539" i="3"/>
  <c r="AE511" i="3"/>
  <c r="AE506" i="3"/>
  <c r="R498" i="3"/>
  <c r="W487" i="3"/>
  <c r="M465" i="3"/>
  <c r="N456" i="3"/>
  <c r="N415" i="3"/>
  <c r="U415" i="3"/>
  <c r="P389" i="3"/>
  <c r="Z389" i="3"/>
  <c r="L352" i="3"/>
  <c r="AC352" i="3"/>
  <c r="AG352" i="3"/>
  <c r="B309" i="3"/>
  <c r="Q309" i="3"/>
  <c r="R309" i="3"/>
  <c r="AA309" i="3"/>
  <c r="W222" i="3"/>
  <c r="L222" i="3"/>
  <c r="Z222" i="3"/>
  <c r="AC222" i="3"/>
  <c r="AD222" i="3"/>
  <c r="M76" i="3"/>
  <c r="J76" i="3"/>
  <c r="U76" i="3"/>
  <c r="AC76" i="3"/>
  <c r="AE76" i="3"/>
  <c r="AL76" i="3"/>
  <c r="BJ76" i="3" s="1"/>
  <c r="AN412" i="3"/>
  <c r="P411" i="3"/>
  <c r="N411" i="3"/>
  <c r="AO385" i="3"/>
  <c r="M357" i="3"/>
  <c r="L331" i="3"/>
  <c r="AO331" i="3"/>
  <c r="J331" i="3"/>
  <c r="K331" i="3"/>
  <c r="X331" i="3"/>
  <c r="K288" i="3"/>
  <c r="X288" i="3"/>
  <c r="AF269" i="3"/>
  <c r="X256" i="3"/>
  <c r="K174" i="3"/>
  <c r="J174" i="3"/>
  <c r="Q174" i="3"/>
  <c r="X174" i="3"/>
  <c r="Z174" i="3"/>
  <c r="I163" i="3"/>
  <c r="W163" i="3"/>
  <c r="F163" i="3"/>
  <c r="AP163" i="3" s="1"/>
  <c r="AC163" i="3"/>
  <c r="J163" i="3"/>
  <c r="AE163" i="3"/>
  <c r="M163" i="3"/>
  <c r="AF163" i="3"/>
  <c r="M147" i="3"/>
  <c r="Z147" i="3"/>
  <c r="AA147" i="3"/>
  <c r="AE147" i="3"/>
  <c r="L98" i="3"/>
  <c r="P98" i="3"/>
  <c r="AD98" i="3"/>
  <c r="AC60" i="3"/>
  <c r="B60" i="3"/>
  <c r="V60" i="3"/>
  <c r="Q49" i="3"/>
  <c r="P49" i="3"/>
  <c r="AO467" i="3"/>
  <c r="B427" i="3"/>
  <c r="U427" i="3"/>
  <c r="AF423" i="3"/>
  <c r="M412" i="3"/>
  <c r="Y412" i="3"/>
  <c r="L412" i="3"/>
  <c r="AL412" i="3"/>
  <c r="BJ412" i="3" s="1"/>
  <c r="F370" i="3"/>
  <c r="AP370" i="3" s="1"/>
  <c r="U370" i="3"/>
  <c r="AC370" i="3"/>
  <c r="F337" i="3"/>
  <c r="AP337" i="3" s="1"/>
  <c r="Q337" i="3"/>
  <c r="X337" i="3"/>
  <c r="Y337" i="3"/>
  <c r="AF337" i="3"/>
  <c r="F283" i="3"/>
  <c r="AP283" i="3" s="1"/>
  <c r="P283" i="3"/>
  <c r="R283" i="3"/>
  <c r="W283" i="3"/>
  <c r="Z277" i="3"/>
  <c r="AM277" i="3"/>
  <c r="B228" i="3"/>
  <c r="AD228" i="3"/>
  <c r="AE224" i="3"/>
  <c r="Q224" i="3"/>
  <c r="Z224" i="3"/>
  <c r="V223" i="3"/>
  <c r="B223" i="3"/>
  <c r="Y223" i="3"/>
  <c r="K223" i="3"/>
  <c r="AE223" i="3"/>
  <c r="L223" i="3"/>
  <c r="AF223" i="3"/>
  <c r="P223" i="3"/>
  <c r="AG223" i="3"/>
  <c r="Z113" i="3"/>
  <c r="AN113" i="3"/>
  <c r="AA107" i="3"/>
  <c r="Q107" i="3"/>
  <c r="AG107" i="3"/>
  <c r="L55" i="3"/>
  <c r="AO55" i="3"/>
  <c r="A483" i="3"/>
  <c r="A438" i="3"/>
  <c r="A506" i="3"/>
  <c r="L669" i="3"/>
  <c r="R661" i="3"/>
  <c r="AA660" i="3"/>
  <c r="B660" i="3"/>
  <c r="L658" i="3"/>
  <c r="AB655" i="3"/>
  <c r="B654" i="3"/>
  <c r="Q644" i="3"/>
  <c r="AM634" i="3"/>
  <c r="J631" i="3"/>
  <c r="J629" i="3"/>
  <c r="F625" i="3"/>
  <c r="AP625" i="3" s="1"/>
  <c r="AG619" i="3"/>
  <c r="X615" i="3"/>
  <c r="W613" i="3"/>
  <c r="AO606" i="3"/>
  <c r="AM605" i="3"/>
  <c r="Z597" i="3"/>
  <c r="N591" i="3"/>
  <c r="J575" i="3"/>
  <c r="AG544" i="3"/>
  <c r="AD525" i="3"/>
  <c r="P517" i="3"/>
  <c r="AF516" i="3"/>
  <c r="R516" i="3"/>
  <c r="AE510" i="3"/>
  <c r="AA493" i="3"/>
  <c r="I486" i="3"/>
  <c r="AN483" i="3"/>
  <c r="X467" i="3"/>
  <c r="AE423" i="3"/>
  <c r="AC412" i="3"/>
  <c r="AL311" i="3"/>
  <c r="BJ311" i="3" s="1"/>
  <c r="AN311" i="3"/>
  <c r="AA293" i="3"/>
  <c r="K253" i="3"/>
  <c r="AD253" i="3"/>
  <c r="AF253" i="3"/>
  <c r="W247" i="3"/>
  <c r="Q221" i="3"/>
  <c r="M221" i="3"/>
  <c r="AA221" i="3"/>
  <c r="AO221" i="3"/>
  <c r="AE202" i="3"/>
  <c r="Y177" i="3"/>
  <c r="M173" i="3"/>
  <c r="AA173" i="3"/>
  <c r="AF173" i="3"/>
  <c r="AL163" i="3"/>
  <c r="BJ163" i="3" s="1"/>
  <c r="AL133" i="3"/>
  <c r="BJ133" i="3" s="1"/>
  <c r="L38" i="3"/>
  <c r="N38" i="3"/>
  <c r="X38" i="3"/>
  <c r="AO658" i="3"/>
  <c r="F658" i="3"/>
  <c r="AP658" i="3" s="1"/>
  <c r="B655" i="3"/>
  <c r="AG637" i="3"/>
  <c r="AA634" i="3"/>
  <c r="F615" i="3"/>
  <c r="AP615" i="3" s="1"/>
  <c r="J613" i="3"/>
  <c r="AL606" i="3"/>
  <c r="BJ606" i="3" s="1"/>
  <c r="AG605" i="3"/>
  <c r="W597" i="3"/>
  <c r="F591" i="3"/>
  <c r="AP591" i="3" s="1"/>
  <c r="Q547" i="3"/>
  <c r="AB544" i="3"/>
  <c r="AN536" i="3"/>
  <c r="X536" i="3"/>
  <c r="AB525" i="3"/>
  <c r="AN521" i="3"/>
  <c r="I517" i="3"/>
  <c r="AE516" i="3"/>
  <c r="N516" i="3"/>
  <c r="Y510" i="3"/>
  <c r="AD489" i="3"/>
  <c r="W488" i="3"/>
  <c r="X483" i="3"/>
  <c r="V467" i="3"/>
  <c r="AB412" i="3"/>
  <c r="AO411" i="3"/>
  <c r="M403" i="3"/>
  <c r="AL403" i="3"/>
  <c r="BJ403" i="3" s="1"/>
  <c r="U369" i="3"/>
  <c r="AO369" i="3"/>
  <c r="AO337" i="3"/>
  <c r="F293" i="3"/>
  <c r="AP293" i="3" s="1"/>
  <c r="AM223" i="3"/>
  <c r="AG222" i="3"/>
  <c r="AC202" i="3"/>
  <c r="Q191" i="3"/>
  <c r="AE191" i="3"/>
  <c r="AG174" i="3"/>
  <c r="AG163" i="3"/>
  <c r="B148" i="3"/>
  <c r="I148" i="3"/>
  <c r="R148" i="3"/>
  <c r="Z148" i="3"/>
  <c r="AE148" i="3"/>
  <c r="L131" i="3"/>
  <c r="F131" i="3"/>
  <c r="AP131" i="3" s="1"/>
  <c r="N131" i="3"/>
  <c r="Y131" i="3"/>
  <c r="Z131" i="3"/>
  <c r="AF131" i="3"/>
  <c r="B128" i="3"/>
  <c r="M128" i="3"/>
  <c r="P128" i="3"/>
  <c r="AA128" i="3"/>
  <c r="AC114" i="3"/>
  <c r="F81" i="3"/>
  <c r="AP81" i="3" s="1"/>
  <c r="N81" i="3"/>
  <c r="Z634" i="3"/>
  <c r="AD533" i="3"/>
  <c r="AA525" i="3"/>
  <c r="AE465" i="3"/>
  <c r="AG423" i="3"/>
  <c r="R423" i="3"/>
  <c r="AF406" i="3"/>
  <c r="AO406" i="3"/>
  <c r="AM337" i="3"/>
  <c r="AA284" i="3"/>
  <c r="N284" i="3"/>
  <c r="W284" i="3"/>
  <c r="K268" i="3"/>
  <c r="M268" i="3"/>
  <c r="AL268" i="3"/>
  <c r="BJ268" i="3" s="1"/>
  <c r="AN268" i="3"/>
  <c r="B249" i="3"/>
  <c r="AD249" i="3"/>
  <c r="AA247" i="3"/>
  <c r="B247" i="3"/>
  <c r="AN247" i="3"/>
  <c r="K247" i="3"/>
  <c r="P247" i="3"/>
  <c r="AA223" i="3"/>
  <c r="Q222" i="3"/>
  <c r="Y215" i="3"/>
  <c r="AA202" i="3"/>
  <c r="F177" i="3"/>
  <c r="AP177" i="3" s="1"/>
  <c r="J177" i="3"/>
  <c r="AF177" i="3"/>
  <c r="P177" i="3"/>
  <c r="AO177" i="3"/>
  <c r="U177" i="3"/>
  <c r="V177" i="3"/>
  <c r="AD174" i="3"/>
  <c r="Y163" i="3"/>
  <c r="AG133" i="3"/>
  <c r="Y133" i="3"/>
  <c r="AA133" i="3"/>
  <c r="AN133" i="3"/>
  <c r="X114" i="3"/>
  <c r="AM106" i="3"/>
  <c r="AC106" i="3"/>
  <c r="P413" i="3"/>
  <c r="Q378" i="3"/>
  <c r="AG365" i="3"/>
  <c r="N363" i="3"/>
  <c r="L339" i="3"/>
  <c r="P328" i="3"/>
  <c r="AF297" i="3"/>
  <c r="X294" i="3"/>
  <c r="Z245" i="3"/>
  <c r="F234" i="3"/>
  <c r="AP234" i="3" s="1"/>
  <c r="M219" i="3"/>
  <c r="L201" i="3"/>
  <c r="N200" i="3"/>
  <c r="AL179" i="3"/>
  <c r="BJ179" i="3" s="1"/>
  <c r="AG168" i="3"/>
  <c r="M165" i="3"/>
  <c r="Q150" i="3"/>
  <c r="AA130" i="3"/>
  <c r="J73" i="3"/>
  <c r="I64" i="3"/>
  <c r="L57" i="3"/>
  <c r="AO43" i="3"/>
  <c r="Y42" i="3"/>
  <c r="AB36" i="3"/>
  <c r="AA12" i="3"/>
  <c r="AE6" i="3"/>
  <c r="M6" i="3"/>
  <c r="AD5" i="3"/>
  <c r="F5" i="3"/>
  <c r="AP5" i="3" s="1"/>
  <c r="W4" i="3"/>
  <c r="Z3" i="3"/>
  <c r="K359" i="3"/>
  <c r="AE336" i="3"/>
  <c r="AN328" i="3"/>
  <c r="I328" i="3"/>
  <c r="K200" i="3"/>
  <c r="AD179" i="3"/>
  <c r="AC132" i="3"/>
  <c r="Z36" i="3"/>
  <c r="AE20" i="3"/>
  <c r="N4" i="3"/>
  <c r="W3" i="3"/>
  <c r="AB132" i="3"/>
  <c r="AO109" i="3"/>
  <c r="AO90" i="3"/>
  <c r="AO68" i="3"/>
  <c r="AC58" i="3"/>
  <c r="Y36" i="3"/>
  <c r="AD20" i="3"/>
  <c r="M36" i="3"/>
  <c r="AF34" i="3"/>
  <c r="AL25" i="3"/>
  <c r="BJ25" i="3" s="1"/>
  <c r="M20" i="3"/>
  <c r="AO13" i="3"/>
  <c r="Y328" i="3"/>
  <c r="AD318" i="3"/>
  <c r="AF278" i="3"/>
  <c r="N278" i="3"/>
  <c r="AC200" i="3"/>
  <c r="AA178" i="3"/>
  <c r="M132" i="3"/>
  <c r="Y129" i="3"/>
  <c r="F109" i="3"/>
  <c r="AP109" i="3" s="1"/>
  <c r="B90" i="3"/>
  <c r="F68" i="3"/>
  <c r="AP68" i="3" s="1"/>
  <c r="F58" i="3"/>
  <c r="AP58" i="3" s="1"/>
  <c r="K36" i="3"/>
  <c r="AA13" i="3"/>
  <c r="AD673" i="3"/>
  <c r="AA633" i="3"/>
  <c r="L607" i="3"/>
  <c r="I607" i="3"/>
  <c r="AF607" i="3"/>
  <c r="AF596" i="3"/>
  <c r="AB590" i="3"/>
  <c r="B549" i="3"/>
  <c r="X549" i="3"/>
  <c r="K540" i="3"/>
  <c r="Y540" i="3"/>
  <c r="L503" i="3"/>
  <c r="AA503" i="3"/>
  <c r="AF503" i="3"/>
  <c r="AA298" i="3"/>
  <c r="M298" i="3"/>
  <c r="AN298" i="3"/>
  <c r="P298" i="3"/>
  <c r="R298" i="3"/>
  <c r="W298" i="3"/>
  <c r="AF298" i="3"/>
  <c r="L298" i="3"/>
  <c r="X298" i="3"/>
  <c r="AL298" i="3"/>
  <c r="BJ298" i="3" s="1"/>
  <c r="A503" i="3"/>
  <c r="A549" i="3"/>
  <c r="Z673" i="3"/>
  <c r="AN650" i="3"/>
  <c r="AG639" i="3"/>
  <c r="AB638" i="3"/>
  <c r="W633" i="3"/>
  <c r="I616" i="3"/>
  <c r="AB616" i="3"/>
  <c r="P613" i="3"/>
  <c r="AC607" i="3"/>
  <c r="Y596" i="3"/>
  <c r="AG591" i="3"/>
  <c r="L591" i="3"/>
  <c r="AA590" i="3"/>
  <c r="I583" i="3"/>
  <c r="AG583" i="3"/>
  <c r="AN583" i="3"/>
  <c r="F580" i="3"/>
  <c r="AP580" i="3" s="1"/>
  <c r="L580" i="3"/>
  <c r="N580" i="3"/>
  <c r="Q580" i="3"/>
  <c r="X580" i="3"/>
  <c r="F560" i="3"/>
  <c r="AP560" i="3" s="1"/>
  <c r="AE560" i="3"/>
  <c r="AO560" i="3"/>
  <c r="F557" i="3"/>
  <c r="AP557" i="3" s="1"/>
  <c r="X557" i="3"/>
  <c r="P535" i="3"/>
  <c r="Q535" i="3"/>
  <c r="AL535" i="3"/>
  <c r="BJ535" i="3" s="1"/>
  <c r="AM535" i="3"/>
  <c r="B532" i="3"/>
  <c r="F532" i="3"/>
  <c r="AP532" i="3" s="1"/>
  <c r="AF532" i="3"/>
  <c r="L532" i="3"/>
  <c r="AM532" i="3"/>
  <c r="R532" i="3"/>
  <c r="V532" i="3"/>
  <c r="W532" i="3"/>
  <c r="AM515" i="3"/>
  <c r="W441" i="3"/>
  <c r="I441" i="3"/>
  <c r="U441" i="3"/>
  <c r="AG607" i="3"/>
  <c r="AL604" i="3"/>
  <c r="BJ604" i="3" s="1"/>
  <c r="U604" i="3"/>
  <c r="J578" i="3"/>
  <c r="Y578" i="3"/>
  <c r="AB578" i="3"/>
  <c r="AF578" i="3"/>
  <c r="AN578" i="3"/>
  <c r="L531" i="3"/>
  <c r="AA531" i="3"/>
  <c r="N531" i="3"/>
  <c r="AD531" i="3"/>
  <c r="P531" i="3"/>
  <c r="AL531" i="3"/>
  <c r="BJ531" i="3" s="1"/>
  <c r="V531" i="3"/>
  <c r="AM531" i="3"/>
  <c r="X531" i="3"/>
  <c r="AN531" i="3"/>
  <c r="L673" i="3"/>
  <c r="AN671" i="3"/>
  <c r="AB660" i="3"/>
  <c r="M660" i="3"/>
  <c r="AM659" i="3"/>
  <c r="AM655" i="3"/>
  <c r="U654" i="3"/>
  <c r="X652" i="3"/>
  <c r="Y650" i="3"/>
  <c r="Z649" i="3"/>
  <c r="AA648" i="3"/>
  <c r="M648" i="3"/>
  <c r="AC644" i="3"/>
  <c r="F642" i="3"/>
  <c r="AP642" i="3" s="1"/>
  <c r="W640" i="3"/>
  <c r="AF639" i="3"/>
  <c r="J638" i="3"/>
  <c r="U634" i="3"/>
  <c r="M633" i="3"/>
  <c r="AL616" i="3"/>
  <c r="BJ616" i="3" s="1"/>
  <c r="L613" i="3"/>
  <c r="Z607" i="3"/>
  <c r="AC603" i="3"/>
  <c r="L593" i="3"/>
  <c r="X593" i="3"/>
  <c r="AF591" i="3"/>
  <c r="AA522" i="3"/>
  <c r="V502" i="3"/>
  <c r="F502" i="3"/>
  <c r="AP502" i="3" s="1"/>
  <c r="AG452" i="3"/>
  <c r="AE452" i="3"/>
  <c r="B420" i="3"/>
  <c r="AL420" i="3"/>
  <c r="BJ420" i="3" s="1"/>
  <c r="AC420" i="3"/>
  <c r="A556" i="3"/>
  <c r="U618" i="3"/>
  <c r="AL618" i="3"/>
  <c r="BJ618" i="3" s="1"/>
  <c r="U607" i="3"/>
  <c r="P591" i="3"/>
  <c r="U591" i="3"/>
  <c r="AM591" i="3"/>
  <c r="I591" i="3"/>
  <c r="Z591" i="3"/>
  <c r="J559" i="3"/>
  <c r="Y559" i="3"/>
  <c r="AC559" i="3"/>
  <c r="AE559" i="3"/>
  <c r="Z531" i="3"/>
  <c r="W398" i="3"/>
  <c r="F398" i="3"/>
  <c r="AP398" i="3" s="1"/>
  <c r="R398" i="3"/>
  <c r="L345" i="3"/>
  <c r="Q345" i="3"/>
  <c r="W345" i="3"/>
  <c r="Y345" i="3"/>
  <c r="Z345" i="3"/>
  <c r="AC345" i="3"/>
  <c r="K345" i="3"/>
  <c r="AA345" i="3"/>
  <c r="J338" i="3"/>
  <c r="P338" i="3"/>
  <c r="V338" i="3"/>
  <c r="A461" i="3"/>
  <c r="A645" i="3"/>
  <c r="A562" i="3"/>
  <c r="A298" i="3"/>
  <c r="A603" i="3"/>
  <c r="A600" i="3"/>
  <c r="AO672" i="3"/>
  <c r="AD669" i="3"/>
  <c r="Q668" i="3"/>
  <c r="AN660" i="3"/>
  <c r="X660" i="3"/>
  <c r="I660" i="3"/>
  <c r="P659" i="3"/>
  <c r="U649" i="3"/>
  <c r="AM648" i="3"/>
  <c r="W648" i="3"/>
  <c r="AE645" i="3"/>
  <c r="B644" i="3"/>
  <c r="I640" i="3"/>
  <c r="F639" i="3"/>
  <c r="AP639" i="3" s="1"/>
  <c r="AO632" i="3"/>
  <c r="F631" i="3"/>
  <c r="AP631" i="3" s="1"/>
  <c r="P629" i="3"/>
  <c r="AF625" i="3"/>
  <c r="U616" i="3"/>
  <c r="AG613" i="3"/>
  <c r="R607" i="3"/>
  <c r="U602" i="3"/>
  <c r="AL602" i="3"/>
  <c r="BJ602" i="3" s="1"/>
  <c r="AM595" i="3"/>
  <c r="X591" i="3"/>
  <c r="AN589" i="3"/>
  <c r="J581" i="3"/>
  <c r="F581" i="3"/>
  <c r="AP581" i="3" s="1"/>
  <c r="U578" i="3"/>
  <c r="F569" i="3"/>
  <c r="AP569" i="3" s="1"/>
  <c r="M555" i="3"/>
  <c r="W555" i="3"/>
  <c r="X555" i="3"/>
  <c r="Y555" i="3"/>
  <c r="AG555" i="3"/>
  <c r="N539" i="3"/>
  <c r="Z539" i="3"/>
  <c r="B539" i="3"/>
  <c r="AB539" i="3"/>
  <c r="L539" i="3"/>
  <c r="AE539" i="3"/>
  <c r="M539" i="3"/>
  <c r="AN539" i="3"/>
  <c r="P539" i="3"/>
  <c r="AG532" i="3"/>
  <c r="Y531" i="3"/>
  <c r="B524" i="3"/>
  <c r="F524" i="3"/>
  <c r="AP524" i="3" s="1"/>
  <c r="Z524" i="3"/>
  <c r="AA524" i="3"/>
  <c r="AL405" i="3"/>
  <c r="BJ405" i="3" s="1"/>
  <c r="M405" i="3"/>
  <c r="P405" i="3"/>
  <c r="P393" i="3"/>
  <c r="AA393" i="3"/>
  <c r="M596" i="3"/>
  <c r="I596" i="3"/>
  <c r="AA596" i="3"/>
  <c r="I590" i="3"/>
  <c r="U590" i="3"/>
  <c r="B515" i="3"/>
  <c r="Z515" i="3"/>
  <c r="AD515" i="3"/>
  <c r="F515" i="3"/>
  <c r="AP515" i="3" s="1"/>
  <c r="I515" i="3"/>
  <c r="L515" i="3"/>
  <c r="V515" i="3"/>
  <c r="A590" i="3"/>
  <c r="A607" i="3"/>
  <c r="A531" i="3"/>
  <c r="AA672" i="3"/>
  <c r="AC656" i="3"/>
  <c r="AC645" i="3"/>
  <c r="AE613" i="3"/>
  <c r="P607" i="3"/>
  <c r="AF604" i="3"/>
  <c r="AO596" i="3"/>
  <c r="W591" i="3"/>
  <c r="AN590" i="3"/>
  <c r="AM589" i="3"/>
  <c r="R578" i="3"/>
  <c r="K544" i="3"/>
  <c r="AF544" i="3"/>
  <c r="B544" i="3"/>
  <c r="AL544" i="3"/>
  <c r="BJ544" i="3" s="1"/>
  <c r="N544" i="3"/>
  <c r="AM544" i="3"/>
  <c r="P544" i="3"/>
  <c r="Q544" i="3"/>
  <c r="AE532" i="3"/>
  <c r="M531" i="3"/>
  <c r="M522" i="3"/>
  <c r="Y522" i="3"/>
  <c r="AL522" i="3"/>
  <c r="BJ522" i="3" s="1"/>
  <c r="N522" i="3"/>
  <c r="Z522" i="3"/>
  <c r="AM522" i="3"/>
  <c r="B522" i="3"/>
  <c r="Q522" i="3"/>
  <c r="AB522" i="3"/>
  <c r="F522" i="3"/>
  <c r="AP522" i="3" s="1"/>
  <c r="R522" i="3"/>
  <c r="AD522" i="3"/>
  <c r="I522" i="3"/>
  <c r="V522" i="3"/>
  <c r="AE522" i="3"/>
  <c r="K522" i="3"/>
  <c r="W522" i="3"/>
  <c r="AF522" i="3"/>
  <c r="L519" i="3"/>
  <c r="AB519" i="3"/>
  <c r="AD519" i="3"/>
  <c r="AN475" i="3"/>
  <c r="AE475" i="3"/>
  <c r="AG475" i="3"/>
  <c r="U436" i="3"/>
  <c r="R436" i="3"/>
  <c r="B385" i="3"/>
  <c r="X385" i="3"/>
  <c r="Y385" i="3"/>
  <c r="Z385" i="3"/>
  <c r="AL385" i="3"/>
  <c r="BJ385" i="3" s="1"/>
  <c r="AN385" i="3"/>
  <c r="I385" i="3"/>
  <c r="M385" i="3"/>
  <c r="P385" i="3"/>
  <c r="Q385" i="3"/>
  <c r="B354" i="3"/>
  <c r="X354" i="3"/>
  <c r="A596" i="3"/>
  <c r="A642" i="3"/>
  <c r="A604" i="3"/>
  <c r="A646" i="3"/>
  <c r="A458" i="3"/>
  <c r="A473" i="3"/>
  <c r="AN673" i="3"/>
  <c r="Q672" i="3"/>
  <c r="Q669" i="3"/>
  <c r="Q656" i="3"/>
  <c r="AM649" i="3"/>
  <c r="L649" i="3"/>
  <c r="R645" i="3"/>
  <c r="AG633" i="3"/>
  <c r="R632" i="3"/>
  <c r="J625" i="3"/>
  <c r="J616" i="3"/>
  <c r="AC613" i="3"/>
  <c r="AN607" i="3"/>
  <c r="N607" i="3"/>
  <c r="Q604" i="3"/>
  <c r="AM596" i="3"/>
  <c r="R591" i="3"/>
  <c r="AL590" i="3"/>
  <c r="BJ590" i="3" s="1"/>
  <c r="X589" i="3"/>
  <c r="U583" i="3"/>
  <c r="AE580" i="3"/>
  <c r="N578" i="3"/>
  <c r="Q560" i="3"/>
  <c r="L549" i="3"/>
  <c r="W540" i="3"/>
  <c r="Y532" i="3"/>
  <c r="I531" i="3"/>
  <c r="AB491" i="3"/>
  <c r="AE491" i="3"/>
  <c r="X468" i="3"/>
  <c r="L468" i="3"/>
  <c r="N468" i="3"/>
  <c r="AG468" i="3"/>
  <c r="J410" i="3"/>
  <c r="M410" i="3"/>
  <c r="Q410" i="3"/>
  <c r="AO410" i="3"/>
  <c r="R410" i="3"/>
  <c r="Z410" i="3"/>
  <c r="AA410" i="3"/>
  <c r="AE410" i="3"/>
  <c r="L407" i="3"/>
  <c r="P407" i="3"/>
  <c r="M387" i="3"/>
  <c r="R387" i="3"/>
  <c r="AF387" i="3"/>
  <c r="B387" i="3"/>
  <c r="J387" i="3"/>
  <c r="AN387" i="3"/>
  <c r="AO387" i="3"/>
  <c r="AG298" i="3"/>
  <c r="J586" i="3"/>
  <c r="B582" i="3"/>
  <c r="M567" i="3"/>
  <c r="AO553" i="3"/>
  <c r="Y553" i="3"/>
  <c r="F553" i="3"/>
  <c r="AP553" i="3" s="1"/>
  <c r="Q538" i="3"/>
  <c r="B533" i="3"/>
  <c r="AL526" i="3"/>
  <c r="BJ526" i="3" s="1"/>
  <c r="K526" i="3"/>
  <c r="Y525" i="3"/>
  <c r="AD523" i="3"/>
  <c r="B523" i="3"/>
  <c r="AL521" i="3"/>
  <c r="BJ521" i="3" s="1"/>
  <c r="M521" i="3"/>
  <c r="AA520" i="3"/>
  <c r="Y508" i="3"/>
  <c r="Y506" i="3"/>
  <c r="R493" i="3"/>
  <c r="AG487" i="3"/>
  <c r="AG477" i="3"/>
  <c r="AG443" i="3"/>
  <c r="AL421" i="3"/>
  <c r="BJ421" i="3" s="1"/>
  <c r="L414" i="3"/>
  <c r="AL414" i="3"/>
  <c r="BJ414" i="3" s="1"/>
  <c r="L409" i="3"/>
  <c r="AO402" i="3"/>
  <c r="Y388" i="3"/>
  <c r="I388" i="3"/>
  <c r="J388" i="3"/>
  <c r="F382" i="3"/>
  <c r="AP382" i="3" s="1"/>
  <c r="AC382" i="3"/>
  <c r="J382" i="3"/>
  <c r="AF382" i="3"/>
  <c r="N382" i="3"/>
  <c r="AM382" i="3"/>
  <c r="F365" i="3"/>
  <c r="AP365" i="3" s="1"/>
  <c r="AC350" i="3"/>
  <c r="AO350" i="3"/>
  <c r="B350" i="3"/>
  <c r="AE326" i="3"/>
  <c r="W326" i="3"/>
  <c r="L320" i="3"/>
  <c r="P293" i="3"/>
  <c r="I293" i="3"/>
  <c r="M293" i="3"/>
  <c r="Q293" i="3"/>
  <c r="Y293" i="3"/>
  <c r="AB293" i="3"/>
  <c r="F291" i="3"/>
  <c r="AP291" i="3" s="1"/>
  <c r="AF291" i="3"/>
  <c r="X192" i="3"/>
  <c r="AD192" i="3"/>
  <c r="R24" i="3"/>
  <c r="L24" i="3"/>
  <c r="AD24" i="3"/>
  <c r="M24" i="3"/>
  <c r="AF24" i="3"/>
  <c r="N24" i="3"/>
  <c r="AG24" i="3"/>
  <c r="P24" i="3"/>
  <c r="AN24" i="3"/>
  <c r="V24" i="3"/>
  <c r="W24" i="3"/>
  <c r="AB24" i="3"/>
  <c r="AD527" i="3"/>
  <c r="Q525" i="3"/>
  <c r="AE521" i="3"/>
  <c r="L521" i="3"/>
  <c r="Y501" i="3"/>
  <c r="AN499" i="3"/>
  <c r="AD487" i="3"/>
  <c r="X465" i="3"/>
  <c r="K465" i="3"/>
  <c r="W418" i="3"/>
  <c r="Y418" i="3"/>
  <c r="AO415" i="3"/>
  <c r="J370" i="3"/>
  <c r="X370" i="3"/>
  <c r="Y370" i="3"/>
  <c r="AA370" i="3"/>
  <c r="AO357" i="3"/>
  <c r="F341" i="3"/>
  <c r="AP341" i="3" s="1"/>
  <c r="M341" i="3"/>
  <c r="AC341" i="3"/>
  <c r="N341" i="3"/>
  <c r="AF341" i="3"/>
  <c r="P341" i="3"/>
  <c r="AG341" i="3"/>
  <c r="Q341" i="3"/>
  <c r="AL341" i="3"/>
  <c r="BJ341" i="3" s="1"/>
  <c r="X341" i="3"/>
  <c r="AO341" i="3"/>
  <c r="K254" i="3"/>
  <c r="W254" i="3"/>
  <c r="AE254" i="3"/>
  <c r="X254" i="3"/>
  <c r="AN254" i="3"/>
  <c r="J209" i="3"/>
  <c r="AC209" i="3"/>
  <c r="AE209" i="3"/>
  <c r="M195" i="3"/>
  <c r="B175" i="3"/>
  <c r="Q175" i="3"/>
  <c r="V175" i="3"/>
  <c r="AD175" i="3"/>
  <c r="U175" i="3"/>
  <c r="AA175" i="3"/>
  <c r="AC146" i="3"/>
  <c r="P146" i="3"/>
  <c r="AB146" i="3"/>
  <c r="B102" i="3"/>
  <c r="J102" i="3"/>
  <c r="AC102" i="3"/>
  <c r="AF102" i="3"/>
  <c r="U102" i="3"/>
  <c r="AE102" i="3"/>
  <c r="I30" i="3"/>
  <c r="B30" i="3"/>
  <c r="AB30" i="3"/>
  <c r="F30" i="3"/>
  <c r="AP30" i="3" s="1"/>
  <c r="AD30" i="3"/>
  <c r="M30" i="3"/>
  <c r="AL30" i="3"/>
  <c r="BJ30" i="3" s="1"/>
  <c r="P30" i="3"/>
  <c r="AN30" i="3"/>
  <c r="Q30" i="3"/>
  <c r="R30" i="3"/>
  <c r="AA30" i="3"/>
  <c r="X527" i="3"/>
  <c r="AE526" i="3"/>
  <c r="M525" i="3"/>
  <c r="AA523" i="3"/>
  <c r="AD521" i="3"/>
  <c r="I521" i="3"/>
  <c r="AA514" i="3"/>
  <c r="AN513" i="3"/>
  <c r="X501" i="3"/>
  <c r="AA499" i="3"/>
  <c r="AB487" i="3"/>
  <c r="AG465" i="3"/>
  <c r="Y415" i="3"/>
  <c r="M402" i="3"/>
  <c r="R402" i="3"/>
  <c r="AL402" i="3"/>
  <c r="BJ402" i="3" s="1"/>
  <c r="AG381" i="3"/>
  <c r="P359" i="3"/>
  <c r="AF357" i="3"/>
  <c r="L349" i="3"/>
  <c r="Y349" i="3"/>
  <c r="AC349" i="3"/>
  <c r="AF349" i="3"/>
  <c r="Q325" i="3"/>
  <c r="R325" i="3"/>
  <c r="AL325" i="3"/>
  <c r="BJ325" i="3" s="1"/>
  <c r="F320" i="3"/>
  <c r="AP320" i="3" s="1"/>
  <c r="P320" i="3"/>
  <c r="X320" i="3"/>
  <c r="Y320" i="3"/>
  <c r="AA320" i="3"/>
  <c r="I320" i="3"/>
  <c r="AF320" i="3"/>
  <c r="AM292" i="3"/>
  <c r="L274" i="3"/>
  <c r="W274" i="3"/>
  <c r="Y274" i="3"/>
  <c r="AM274" i="3"/>
  <c r="I167" i="3"/>
  <c r="F167" i="3"/>
  <c r="AP167" i="3" s="1"/>
  <c r="M167" i="3"/>
  <c r="AC167" i="3"/>
  <c r="AD167" i="3"/>
  <c r="Z167" i="3"/>
  <c r="AE167" i="3"/>
  <c r="AM167" i="3"/>
  <c r="B156" i="3"/>
  <c r="W156" i="3"/>
  <c r="AC156" i="3"/>
  <c r="M156" i="3"/>
  <c r="AN156" i="3"/>
  <c r="N156" i="3"/>
  <c r="AO156" i="3"/>
  <c r="U156" i="3"/>
  <c r="Z156" i="3"/>
  <c r="AF156" i="3"/>
  <c r="M66" i="3"/>
  <c r="AB66" i="3"/>
  <c r="AL586" i="3"/>
  <c r="BJ586" i="3" s="1"/>
  <c r="AM584" i="3"/>
  <c r="Y571" i="3"/>
  <c r="AM567" i="3"/>
  <c r="AF553" i="3"/>
  <c r="R553" i="3"/>
  <c r="N536" i="3"/>
  <c r="R527" i="3"/>
  <c r="Z526" i="3"/>
  <c r="AN525" i="3"/>
  <c r="Z521" i="3"/>
  <c r="AD516" i="3"/>
  <c r="P516" i="3"/>
  <c r="AF507" i="3"/>
  <c r="X487" i="3"/>
  <c r="AE471" i="3"/>
  <c r="I471" i="3"/>
  <c r="AF465" i="3"/>
  <c r="W415" i="3"/>
  <c r="AN403" i="3"/>
  <c r="AN389" i="3"/>
  <c r="AB382" i="3"/>
  <c r="AC381" i="3"/>
  <c r="Y373" i="3"/>
  <c r="Y362" i="3"/>
  <c r="M362" i="3"/>
  <c r="N362" i="3"/>
  <c r="AC357" i="3"/>
  <c r="Y316" i="3"/>
  <c r="AE316" i="3"/>
  <c r="AF316" i="3"/>
  <c r="AG316" i="3"/>
  <c r="AA292" i="3"/>
  <c r="K277" i="3"/>
  <c r="Q277" i="3"/>
  <c r="AN277" i="3"/>
  <c r="R277" i="3"/>
  <c r="V277" i="3"/>
  <c r="W277" i="3"/>
  <c r="B277" i="3"/>
  <c r="AB277" i="3"/>
  <c r="B212" i="3"/>
  <c r="Z212" i="3"/>
  <c r="K212" i="3"/>
  <c r="AD212" i="3"/>
  <c r="Q212" i="3"/>
  <c r="AM212" i="3"/>
  <c r="U212" i="3"/>
  <c r="AO212" i="3"/>
  <c r="L212" i="3"/>
  <c r="W212" i="3"/>
  <c r="X212" i="3"/>
  <c r="AA212" i="3"/>
  <c r="AG212" i="3"/>
  <c r="L96" i="3"/>
  <c r="X96" i="3"/>
  <c r="I96" i="3"/>
  <c r="AF96" i="3"/>
  <c r="K96" i="3"/>
  <c r="AN96" i="3"/>
  <c r="R96" i="3"/>
  <c r="V96" i="3"/>
  <c r="W96" i="3"/>
  <c r="AD96" i="3"/>
  <c r="AG96" i="3"/>
  <c r="R93" i="3"/>
  <c r="V93" i="3"/>
  <c r="B93" i="3"/>
  <c r="AC93" i="3"/>
  <c r="I93" i="3"/>
  <c r="AD93" i="3"/>
  <c r="N93" i="3"/>
  <c r="P93" i="3"/>
  <c r="U93" i="3"/>
  <c r="AB93" i="3"/>
  <c r="AF93" i="3"/>
  <c r="AG93" i="3"/>
  <c r="Z511" i="3"/>
  <c r="U430" i="3"/>
  <c r="I427" i="3"/>
  <c r="P415" i="3"/>
  <c r="L403" i="3"/>
  <c r="U373" i="3"/>
  <c r="L359" i="3"/>
  <c r="Z359" i="3"/>
  <c r="M304" i="3"/>
  <c r="K304" i="3"/>
  <c r="R304" i="3"/>
  <c r="AA304" i="3"/>
  <c r="AF304" i="3"/>
  <c r="I158" i="3"/>
  <c r="Y158" i="3"/>
  <c r="B158" i="3"/>
  <c r="AE158" i="3"/>
  <c r="J158" i="3"/>
  <c r="AM158" i="3"/>
  <c r="Q158" i="3"/>
  <c r="AN158" i="3"/>
  <c r="R158" i="3"/>
  <c r="U158" i="3"/>
  <c r="Z158" i="3"/>
  <c r="AF158" i="3"/>
  <c r="AO158" i="3"/>
  <c r="M120" i="3"/>
  <c r="P120" i="3"/>
  <c r="U120" i="3"/>
  <c r="U444" i="3"/>
  <c r="AF444" i="3"/>
  <c r="AC384" i="3"/>
  <c r="F384" i="3"/>
  <c r="AP384" i="3" s="1"/>
  <c r="U384" i="3"/>
  <c r="M381" i="3"/>
  <c r="Q381" i="3"/>
  <c r="Z381" i="3"/>
  <c r="V330" i="3"/>
  <c r="F330" i="3"/>
  <c r="AP330" i="3" s="1"/>
  <c r="W330" i="3"/>
  <c r="AF330" i="3"/>
  <c r="AO330" i="3"/>
  <c r="Y324" i="3"/>
  <c r="R324" i="3"/>
  <c r="V324" i="3"/>
  <c r="W324" i="3"/>
  <c r="AE324" i="3"/>
  <c r="AG324" i="3"/>
  <c r="F292" i="3"/>
  <c r="AP292" i="3" s="1"/>
  <c r="AD292" i="3"/>
  <c r="M292" i="3"/>
  <c r="AE292" i="3"/>
  <c r="N292" i="3"/>
  <c r="AF292" i="3"/>
  <c r="P292" i="3"/>
  <c r="AG292" i="3"/>
  <c r="V292" i="3"/>
  <c r="AG171" i="3"/>
  <c r="L171" i="3"/>
  <c r="AC171" i="3"/>
  <c r="AO171" i="3"/>
  <c r="AA351" i="3"/>
  <c r="L351" i="3"/>
  <c r="Z282" i="3"/>
  <c r="F267" i="3"/>
  <c r="AP267" i="3" s="1"/>
  <c r="R267" i="3"/>
  <c r="I262" i="3"/>
  <c r="AG262" i="3"/>
  <c r="AD237" i="3"/>
  <c r="B237" i="3"/>
  <c r="N226" i="3"/>
  <c r="U226" i="3"/>
  <c r="L181" i="3"/>
  <c r="AE181" i="3"/>
  <c r="F173" i="3"/>
  <c r="AP173" i="3" s="1"/>
  <c r="AD173" i="3"/>
  <c r="AL173" i="3"/>
  <c r="BJ173" i="3" s="1"/>
  <c r="K173" i="3"/>
  <c r="L173" i="3"/>
  <c r="Z150" i="3"/>
  <c r="U150" i="3"/>
  <c r="AC150" i="3"/>
  <c r="F150" i="3"/>
  <c r="AP150" i="3" s="1"/>
  <c r="AN150" i="3"/>
  <c r="M150" i="3"/>
  <c r="AO150" i="3"/>
  <c r="P119" i="3"/>
  <c r="AM119" i="3"/>
  <c r="X119" i="3"/>
  <c r="F119" i="3"/>
  <c r="AP119" i="3" s="1"/>
  <c r="AA119" i="3"/>
  <c r="J119" i="3"/>
  <c r="AC119" i="3"/>
  <c r="P111" i="3"/>
  <c r="AO111" i="3"/>
  <c r="L100" i="3"/>
  <c r="I100" i="3"/>
  <c r="AF100" i="3"/>
  <c r="K100" i="3"/>
  <c r="AN100" i="3"/>
  <c r="V100" i="3"/>
  <c r="W100" i="3"/>
  <c r="J86" i="3"/>
  <c r="W86" i="3"/>
  <c r="W44" i="3"/>
  <c r="L44" i="3"/>
  <c r="M44" i="3"/>
  <c r="B38" i="3"/>
  <c r="K38" i="3"/>
  <c r="Z38" i="3"/>
  <c r="M38" i="3"/>
  <c r="AF38" i="3"/>
  <c r="P38" i="3"/>
  <c r="AL38" i="3"/>
  <c r="BJ38" i="3" s="1"/>
  <c r="W38" i="3"/>
  <c r="AN38" i="3"/>
  <c r="V179" i="3"/>
  <c r="AF179" i="3"/>
  <c r="K179" i="3"/>
  <c r="M179" i="3"/>
  <c r="M170" i="3"/>
  <c r="AE170" i="3"/>
  <c r="L168" i="3"/>
  <c r="Q168" i="3"/>
  <c r="Y168" i="3"/>
  <c r="F125" i="3"/>
  <c r="AP125" i="3" s="1"/>
  <c r="R125" i="3"/>
  <c r="AL125" i="3"/>
  <c r="BJ125" i="3" s="1"/>
  <c r="AM331" i="3"/>
  <c r="U331" i="3"/>
  <c r="K244" i="3"/>
  <c r="P244" i="3"/>
  <c r="V178" i="3"/>
  <c r="AM178" i="3"/>
  <c r="F178" i="3"/>
  <c r="AP178" i="3" s="1"/>
  <c r="Y178" i="3"/>
  <c r="L178" i="3"/>
  <c r="AC178" i="3"/>
  <c r="N178" i="3"/>
  <c r="AD178" i="3"/>
  <c r="U151" i="3"/>
  <c r="R151" i="3"/>
  <c r="AM121" i="3"/>
  <c r="AA68" i="3"/>
  <c r="B68" i="3"/>
  <c r="N68" i="3"/>
  <c r="Z68" i="3"/>
  <c r="AB68" i="3"/>
  <c r="M64" i="3"/>
  <c r="AC64" i="3"/>
  <c r="P64" i="3"/>
  <c r="AG64" i="3"/>
  <c r="R64" i="3"/>
  <c r="Z64" i="3"/>
  <c r="V41" i="3"/>
  <c r="U41" i="3"/>
  <c r="B37" i="3"/>
  <c r="I37" i="3"/>
  <c r="V37" i="3"/>
  <c r="B29" i="3"/>
  <c r="R29" i="3"/>
  <c r="V29" i="3"/>
  <c r="AD29" i="3"/>
  <c r="AE29" i="3"/>
  <c r="AG29" i="3"/>
  <c r="AL29" i="3"/>
  <c r="BJ29" i="3" s="1"/>
  <c r="J406" i="3"/>
  <c r="J396" i="3"/>
  <c r="AL391" i="3"/>
  <c r="BJ391" i="3" s="1"/>
  <c r="W390" i="3"/>
  <c r="Z386" i="3"/>
  <c r="AC378" i="3"/>
  <c r="B378" i="3"/>
  <c r="Y369" i="3"/>
  <c r="J358" i="3"/>
  <c r="AO351" i="3"/>
  <c r="W351" i="3"/>
  <c r="Z343" i="3"/>
  <c r="P340" i="3"/>
  <c r="AG337" i="3"/>
  <c r="B337" i="3"/>
  <c r="AL331" i="3"/>
  <c r="BJ331" i="3" s="1"/>
  <c r="Q331" i="3"/>
  <c r="R306" i="3"/>
  <c r="R297" i="3"/>
  <c r="I286" i="3"/>
  <c r="W276" i="3"/>
  <c r="P272" i="3"/>
  <c r="W263" i="3"/>
  <c r="AA237" i="3"/>
  <c r="AA228" i="3"/>
  <c r="AE226" i="3"/>
  <c r="B217" i="3"/>
  <c r="AE217" i="3"/>
  <c r="AL178" i="3"/>
  <c r="BJ178" i="3" s="1"/>
  <c r="Z121" i="3"/>
  <c r="AF119" i="3"/>
  <c r="AG100" i="3"/>
  <c r="AO64" i="3"/>
  <c r="AB38" i="3"/>
  <c r="J22" i="3"/>
  <c r="M22" i="3"/>
  <c r="W22" i="3"/>
  <c r="AD22" i="3"/>
  <c r="AO22" i="3"/>
  <c r="Y413" i="3"/>
  <c r="W412" i="3"/>
  <c r="B396" i="3"/>
  <c r="L391" i="3"/>
  <c r="Q386" i="3"/>
  <c r="AL351" i="3"/>
  <c r="BJ351" i="3" s="1"/>
  <c r="Q351" i="3"/>
  <c r="AG331" i="3"/>
  <c r="N331" i="3"/>
  <c r="L306" i="3"/>
  <c r="R281" i="3"/>
  <c r="K276" i="3"/>
  <c r="B269" i="3"/>
  <c r="AM269" i="3"/>
  <c r="AN267" i="3"/>
  <c r="F263" i="3"/>
  <c r="AP263" i="3" s="1"/>
  <c r="U237" i="3"/>
  <c r="Z228" i="3"/>
  <c r="AA226" i="3"/>
  <c r="B191" i="3"/>
  <c r="V191" i="3"/>
  <c r="Z191" i="3"/>
  <c r="F191" i="3"/>
  <c r="AP191" i="3" s="1"/>
  <c r="AM191" i="3"/>
  <c r="K191" i="3"/>
  <c r="AO191" i="3"/>
  <c r="U180" i="3"/>
  <c r="Y180" i="3"/>
  <c r="AG178" i="3"/>
  <c r="AO173" i="3"/>
  <c r="F169" i="3"/>
  <c r="AP169" i="3" s="1"/>
  <c r="U169" i="3"/>
  <c r="AF169" i="3"/>
  <c r="AL169" i="3"/>
  <c r="BJ169" i="3" s="1"/>
  <c r="AF150" i="3"/>
  <c r="J147" i="3"/>
  <c r="AC147" i="3"/>
  <c r="N147" i="3"/>
  <c r="AF147" i="3"/>
  <c r="U147" i="3"/>
  <c r="X147" i="3"/>
  <c r="N127" i="3"/>
  <c r="AL127" i="3"/>
  <c r="BJ127" i="3" s="1"/>
  <c r="Y119" i="3"/>
  <c r="M110" i="3"/>
  <c r="F110" i="3"/>
  <c r="AP110" i="3" s="1"/>
  <c r="U110" i="3"/>
  <c r="AC110" i="3"/>
  <c r="AD100" i="3"/>
  <c r="AE79" i="3"/>
  <c r="M72" i="3"/>
  <c r="AA72" i="3"/>
  <c r="B72" i="3"/>
  <c r="AG72" i="3"/>
  <c r="I72" i="3"/>
  <c r="Q72" i="3"/>
  <c r="AM67" i="3"/>
  <c r="AO67" i="3"/>
  <c r="AF64" i="3"/>
  <c r="J43" i="3"/>
  <c r="I43" i="3"/>
  <c r="Y38" i="3"/>
  <c r="AO352" i="3"/>
  <c r="AG351" i="3"/>
  <c r="P351" i="3"/>
  <c r="AE331" i="3"/>
  <c r="M331" i="3"/>
  <c r="AF317" i="3"/>
  <c r="AN244" i="3"/>
  <c r="AE188" i="3"/>
  <c r="AG188" i="3"/>
  <c r="N121" i="3"/>
  <c r="F121" i="3"/>
  <c r="AP121" i="3" s="1"/>
  <c r="X121" i="3"/>
  <c r="AC121" i="3"/>
  <c r="AG121" i="3"/>
  <c r="AB63" i="3"/>
  <c r="I63" i="3"/>
  <c r="AL63" i="3"/>
  <c r="BJ63" i="3" s="1"/>
  <c r="B35" i="3"/>
  <c r="R35" i="3"/>
  <c r="AE32" i="3"/>
  <c r="P32" i="3"/>
  <c r="AE21" i="3"/>
  <c r="AC20" i="3"/>
  <c r="Y12" i="3"/>
  <c r="X222" i="3"/>
  <c r="AA204" i="3"/>
  <c r="AD202" i="3"/>
  <c r="F202" i="3"/>
  <c r="AP202" i="3" s="1"/>
  <c r="V187" i="3"/>
  <c r="AE177" i="3"/>
  <c r="K177" i="3"/>
  <c r="AO174" i="3"/>
  <c r="U174" i="3"/>
  <c r="Z163" i="3"/>
  <c r="L163" i="3"/>
  <c r="AA148" i="3"/>
  <c r="W131" i="3"/>
  <c r="AF114" i="3"/>
  <c r="N114" i="3"/>
  <c r="AG109" i="3"/>
  <c r="Y90" i="3"/>
  <c r="Z76" i="3"/>
  <c r="Z73" i="3"/>
  <c r="AF56" i="3"/>
  <c r="U56" i="3"/>
  <c r="L42" i="3"/>
  <c r="AD32" i="3"/>
  <c r="L32" i="3"/>
  <c r="Y21" i="3"/>
  <c r="Y20" i="3"/>
  <c r="Q12" i="3"/>
  <c r="AF6" i="3"/>
  <c r="Q6" i="3"/>
  <c r="AN5" i="3"/>
  <c r="R5" i="3"/>
  <c r="AE4" i="3"/>
  <c r="J4" i="3"/>
  <c r="P3" i="3"/>
  <c r="AB32" i="3"/>
  <c r="K32" i="3"/>
  <c r="N268" i="3"/>
  <c r="AO222" i="3"/>
  <c r="P222" i="3"/>
  <c r="AM221" i="3"/>
  <c r="AF220" i="3"/>
  <c r="AE219" i="3"/>
  <c r="AE174" i="3"/>
  <c r="P174" i="3"/>
  <c r="N165" i="3"/>
  <c r="AM163" i="3"/>
  <c r="X163" i="3"/>
  <c r="W148" i="3"/>
  <c r="AM131" i="3"/>
  <c r="J131" i="3"/>
  <c r="AC129" i="3"/>
  <c r="AB114" i="3"/>
  <c r="I114" i="3"/>
  <c r="Y109" i="3"/>
  <c r="R98" i="3"/>
  <c r="U90" i="3"/>
  <c r="AL84" i="3"/>
  <c r="BJ84" i="3" s="1"/>
  <c r="W76" i="3"/>
  <c r="AN73" i="3"/>
  <c r="Q73" i="3"/>
  <c r="X57" i="3"/>
  <c r="AD56" i="3"/>
  <c r="P56" i="3"/>
  <c r="Q51" i="3"/>
  <c r="I39" i="3"/>
  <c r="AA32" i="3"/>
  <c r="I32" i="3"/>
  <c r="X32" i="3"/>
  <c r="B32" i="3"/>
  <c r="W230" i="3"/>
  <c r="AF222" i="3"/>
  <c r="K222" i="3"/>
  <c r="Z221" i="3"/>
  <c r="AC174" i="3"/>
  <c r="M174" i="3"/>
  <c r="P148" i="3"/>
  <c r="AO136" i="3"/>
  <c r="AN76" i="3"/>
  <c r="N76" i="3"/>
  <c r="AG73" i="3"/>
  <c r="M73" i="3"/>
  <c r="W60" i="3"/>
  <c r="K58" i="3"/>
  <c r="AA674" i="3"/>
  <c r="AD671" i="3"/>
  <c r="Q671" i="3"/>
  <c r="Q662" i="3"/>
  <c r="AB661" i="3"/>
  <c r="N657" i="3"/>
  <c r="AG656" i="3"/>
  <c r="W656" i="3"/>
  <c r="I656" i="3"/>
  <c r="U623" i="3"/>
  <c r="M594" i="3"/>
  <c r="AB594" i="3"/>
  <c r="AM577" i="3"/>
  <c r="N576" i="3"/>
  <c r="AF542" i="3"/>
  <c r="K542" i="3"/>
  <c r="AD541" i="3"/>
  <c r="A661" i="3"/>
  <c r="A668" i="3"/>
  <c r="A609" i="3"/>
  <c r="U674" i="3"/>
  <c r="AB673" i="3"/>
  <c r="P673" i="3"/>
  <c r="U672" i="3"/>
  <c r="AB671" i="3"/>
  <c r="P671" i="3"/>
  <c r="U670" i="3"/>
  <c r="AB669" i="3"/>
  <c r="P669" i="3"/>
  <c r="U668" i="3"/>
  <c r="P662" i="3"/>
  <c r="AA661" i="3"/>
  <c r="AA658" i="3"/>
  <c r="J658" i="3"/>
  <c r="AC657" i="3"/>
  <c r="F657" i="3"/>
  <c r="AP657" i="3" s="1"/>
  <c r="AF656" i="3"/>
  <c r="U656" i="3"/>
  <c r="F656" i="3"/>
  <c r="AP656" i="3" s="1"/>
  <c r="P655" i="3"/>
  <c r="P653" i="3"/>
  <c r="U650" i="3"/>
  <c r="W647" i="3"/>
  <c r="U641" i="3"/>
  <c r="J637" i="3"/>
  <c r="Y635" i="3"/>
  <c r="AN633" i="3"/>
  <c r="U633" i="3"/>
  <c r="AL632" i="3"/>
  <c r="BJ632" i="3" s="1"/>
  <c r="P632" i="3"/>
  <c r="B624" i="3"/>
  <c r="AN624" i="3"/>
  <c r="R623" i="3"/>
  <c r="AL612" i="3"/>
  <c r="BJ612" i="3" s="1"/>
  <c r="AM609" i="3"/>
  <c r="I603" i="3"/>
  <c r="AA603" i="3"/>
  <c r="AN603" i="3"/>
  <c r="U600" i="3"/>
  <c r="I599" i="3"/>
  <c r="X579" i="3"/>
  <c r="AF577" i="3"/>
  <c r="J576" i="3"/>
  <c r="Y561" i="3"/>
  <c r="K552" i="3"/>
  <c r="B552" i="3"/>
  <c r="AG552" i="3"/>
  <c r="P552" i="3"/>
  <c r="AM552" i="3"/>
  <c r="Q552" i="3"/>
  <c r="W552" i="3"/>
  <c r="AD542" i="3"/>
  <c r="F542" i="3"/>
  <c r="AP542" i="3" s="1"/>
  <c r="V518" i="3"/>
  <c r="Z518" i="3"/>
  <c r="AA518" i="3"/>
  <c r="I459" i="3"/>
  <c r="J459" i="3"/>
  <c r="Y459" i="3"/>
  <c r="K459" i="3"/>
  <c r="AC459" i="3"/>
  <c r="V459" i="3"/>
  <c r="X459" i="3"/>
  <c r="R459" i="3"/>
  <c r="AO459" i="3"/>
  <c r="B459" i="3"/>
  <c r="M459" i="3"/>
  <c r="P459" i="3"/>
  <c r="W459" i="3"/>
  <c r="AE459" i="3"/>
  <c r="AF459" i="3"/>
  <c r="AG459" i="3"/>
  <c r="Q673" i="3"/>
  <c r="AM657" i="3"/>
  <c r="Q653" i="3"/>
  <c r="AG647" i="3"/>
  <c r="L637" i="3"/>
  <c r="AE635" i="3"/>
  <c r="I608" i="3"/>
  <c r="B608" i="3"/>
  <c r="Y600" i="3"/>
  <c r="J599" i="3"/>
  <c r="Q588" i="3"/>
  <c r="AF588" i="3"/>
  <c r="W565" i="3"/>
  <c r="J565" i="3"/>
  <c r="Y565" i="3"/>
  <c r="I541" i="3"/>
  <c r="X541" i="3"/>
  <c r="AL541" i="3"/>
  <c r="BJ541" i="3" s="1"/>
  <c r="M541" i="3"/>
  <c r="Z541" i="3"/>
  <c r="AN541" i="3"/>
  <c r="N541" i="3"/>
  <c r="AA541" i="3"/>
  <c r="P541" i="3"/>
  <c r="AB541" i="3"/>
  <c r="R500" i="3"/>
  <c r="Y500" i="3"/>
  <c r="Q500" i="3"/>
  <c r="F500" i="3"/>
  <c r="AP500" i="3" s="1"/>
  <c r="K500" i="3"/>
  <c r="M500" i="3"/>
  <c r="X500" i="3"/>
  <c r="AA500" i="3"/>
  <c r="AD500" i="3"/>
  <c r="AF500" i="3"/>
  <c r="N355" i="3"/>
  <c r="AL355" i="3"/>
  <c r="BJ355" i="3" s="1"/>
  <c r="Q355" i="3"/>
  <c r="AM355" i="3"/>
  <c r="W355" i="3"/>
  <c r="AO355" i="3"/>
  <c r="K355" i="3"/>
  <c r="AA355" i="3"/>
  <c r="L355" i="3"/>
  <c r="X355" i="3"/>
  <c r="Y355" i="3"/>
  <c r="Z355" i="3"/>
  <c r="AG355" i="3"/>
  <c r="B355" i="3"/>
  <c r="A669" i="3"/>
  <c r="A647" i="3"/>
  <c r="A670" i="3"/>
  <c r="R674" i="3"/>
  <c r="AO673" i="3"/>
  <c r="AA673" i="3"/>
  <c r="N673" i="3"/>
  <c r="R672" i="3"/>
  <c r="AO671" i="3"/>
  <c r="AA671" i="3"/>
  <c r="N671" i="3"/>
  <c r="R670" i="3"/>
  <c r="AO669" i="3"/>
  <c r="AA669" i="3"/>
  <c r="N669" i="3"/>
  <c r="R668" i="3"/>
  <c r="AB667" i="3"/>
  <c r="M662" i="3"/>
  <c r="Z661" i="3"/>
  <c r="AC659" i="3"/>
  <c r="Y658" i="3"/>
  <c r="I658" i="3"/>
  <c r="AB657" i="3"/>
  <c r="B657" i="3"/>
  <c r="AE656" i="3"/>
  <c r="R656" i="3"/>
  <c r="B656" i="3"/>
  <c r="F655" i="3"/>
  <c r="AP655" i="3" s="1"/>
  <c r="W654" i="3"/>
  <c r="B653" i="3"/>
  <c r="AO650" i="3"/>
  <c r="M650" i="3"/>
  <c r="AL649" i="3"/>
  <c r="BJ649" i="3" s="1"/>
  <c r="N649" i="3"/>
  <c r="F647" i="3"/>
  <c r="AP647" i="3" s="1"/>
  <c r="AC638" i="3"/>
  <c r="I637" i="3"/>
  <c r="X635" i="3"/>
  <c r="AM633" i="3"/>
  <c r="N633" i="3"/>
  <c r="AF632" i="3"/>
  <c r="N632" i="3"/>
  <c r="AM629" i="3"/>
  <c r="AA625" i="3"/>
  <c r="J623" i="3"/>
  <c r="AO618" i="3"/>
  <c r="AA616" i="3"/>
  <c r="Y612" i="3"/>
  <c r="B606" i="3"/>
  <c r="I606" i="3"/>
  <c r="AB606" i="3"/>
  <c r="M606" i="3"/>
  <c r="AN606" i="3"/>
  <c r="R601" i="3"/>
  <c r="U601" i="3"/>
  <c r="B600" i="3"/>
  <c r="F599" i="3"/>
  <c r="AP599" i="3" s="1"/>
  <c r="AM593" i="3"/>
  <c r="AL592" i="3"/>
  <c r="BJ592" i="3" s="1"/>
  <c r="AN592" i="3"/>
  <c r="F576" i="3"/>
  <c r="AP576" i="3" s="1"/>
  <c r="Y575" i="3"/>
  <c r="AE575" i="3"/>
  <c r="F563" i="3"/>
  <c r="AP563" i="3" s="1"/>
  <c r="X563" i="3"/>
  <c r="X561" i="3"/>
  <c r="J557" i="3"/>
  <c r="U557" i="3"/>
  <c r="Y557" i="3"/>
  <c r="AC557" i="3"/>
  <c r="AE557" i="3"/>
  <c r="AB542" i="3"/>
  <c r="V541" i="3"/>
  <c r="R641" i="3"/>
  <c r="F641" i="3"/>
  <c r="AP641" i="3" s="1"/>
  <c r="N579" i="3"/>
  <c r="AE579" i="3"/>
  <c r="I542" i="3"/>
  <c r="V542" i="3"/>
  <c r="AE542" i="3"/>
  <c r="L542" i="3"/>
  <c r="X542" i="3"/>
  <c r="AG542" i="3"/>
  <c r="M542" i="3"/>
  <c r="Y542" i="3"/>
  <c r="AL542" i="3"/>
  <c r="BJ542" i="3" s="1"/>
  <c r="N542" i="3"/>
  <c r="Z542" i="3"/>
  <c r="AM542" i="3"/>
  <c r="A673" i="3"/>
  <c r="A608" i="3"/>
  <c r="A632" i="3"/>
  <c r="A594" i="3"/>
  <c r="AN674" i="3"/>
  <c r="P674" i="3"/>
  <c r="AM673" i="3"/>
  <c r="Y673" i="3"/>
  <c r="K673" i="3"/>
  <c r="AN672" i="3"/>
  <c r="P672" i="3"/>
  <c r="AM671" i="3"/>
  <c r="Y671" i="3"/>
  <c r="K671" i="3"/>
  <c r="AN670" i="3"/>
  <c r="P670" i="3"/>
  <c r="AM669" i="3"/>
  <c r="Y669" i="3"/>
  <c r="K669" i="3"/>
  <c r="AN668" i="3"/>
  <c r="P668" i="3"/>
  <c r="AO662" i="3"/>
  <c r="Q661" i="3"/>
  <c r="Z657" i="3"/>
  <c r="AB656" i="3"/>
  <c r="P656" i="3"/>
  <c r="R654" i="3"/>
  <c r="AC653" i="3"/>
  <c r="AN651" i="3"/>
  <c r="AM650" i="3"/>
  <c r="I650" i="3"/>
  <c r="Y638" i="3"/>
  <c r="AF637" i="3"/>
  <c r="AF633" i="3"/>
  <c r="J633" i="3"/>
  <c r="AB632" i="3"/>
  <c r="J632" i="3"/>
  <c r="AE629" i="3"/>
  <c r="R625" i="3"/>
  <c r="AL624" i="3"/>
  <c r="BJ624" i="3" s="1"/>
  <c r="AM623" i="3"/>
  <c r="AA619" i="3"/>
  <c r="Z618" i="3"/>
  <c r="N616" i="3"/>
  <c r="AE616" i="3"/>
  <c r="I615" i="3"/>
  <c r="AM615" i="3"/>
  <c r="F613" i="3"/>
  <c r="AP613" i="3" s="1"/>
  <c r="I613" i="3"/>
  <c r="AA613" i="3"/>
  <c r="Q612" i="3"/>
  <c r="AA606" i="3"/>
  <c r="Y602" i="3"/>
  <c r="J597" i="3"/>
  <c r="AA597" i="3"/>
  <c r="N597" i="3"/>
  <c r="AE597" i="3"/>
  <c r="U596" i="3"/>
  <c r="AL594" i="3"/>
  <c r="BJ594" i="3" s="1"/>
  <c r="U593" i="3"/>
  <c r="F589" i="3"/>
  <c r="AP589" i="3" s="1"/>
  <c r="W589" i="3"/>
  <c r="AG589" i="3"/>
  <c r="U584" i="3"/>
  <c r="J583" i="3"/>
  <c r="X581" i="3"/>
  <c r="AB574" i="3"/>
  <c r="AE566" i="3"/>
  <c r="AF566" i="3"/>
  <c r="F564" i="3"/>
  <c r="AP564" i="3" s="1"/>
  <c r="X564" i="3"/>
  <c r="AE562" i="3"/>
  <c r="N561" i="3"/>
  <c r="AL552" i="3"/>
  <c r="BJ552" i="3" s="1"/>
  <c r="F549" i="3"/>
  <c r="AP549" i="3" s="1"/>
  <c r="V549" i="3"/>
  <c r="Y549" i="3"/>
  <c r="AM549" i="3"/>
  <c r="AN549" i="3"/>
  <c r="K546" i="3"/>
  <c r="P546" i="3"/>
  <c r="R546" i="3"/>
  <c r="AA546" i="3"/>
  <c r="W542" i="3"/>
  <c r="Q541" i="3"/>
  <c r="X537" i="3"/>
  <c r="F537" i="3"/>
  <c r="AP537" i="3" s="1"/>
  <c r="AD537" i="3"/>
  <c r="AA657" i="3"/>
  <c r="N600" i="3"/>
  <c r="P600" i="3"/>
  <c r="W600" i="3"/>
  <c r="F577" i="3"/>
  <c r="AP577" i="3" s="1"/>
  <c r="J577" i="3"/>
  <c r="AE577" i="3"/>
  <c r="AA542" i="3"/>
  <c r="A542" i="3"/>
  <c r="A618" i="3"/>
  <c r="A633" i="3"/>
  <c r="A599" i="3"/>
  <c r="AD674" i="3"/>
  <c r="I674" i="3"/>
  <c r="AL673" i="3"/>
  <c r="BJ673" i="3" s="1"/>
  <c r="W673" i="3"/>
  <c r="J673" i="3"/>
  <c r="AD672" i="3"/>
  <c r="I672" i="3"/>
  <c r="AL671" i="3"/>
  <c r="BJ671" i="3" s="1"/>
  <c r="W671" i="3"/>
  <c r="J671" i="3"/>
  <c r="AD670" i="3"/>
  <c r="I670" i="3"/>
  <c r="AL669" i="3"/>
  <c r="BJ669" i="3" s="1"/>
  <c r="W669" i="3"/>
  <c r="J669" i="3"/>
  <c r="AD668" i="3"/>
  <c r="I668" i="3"/>
  <c r="AC662" i="3"/>
  <c r="AO661" i="3"/>
  <c r="P661" i="3"/>
  <c r="Q659" i="3"/>
  <c r="AL658" i="3"/>
  <c r="BJ658" i="3" s="1"/>
  <c r="U658" i="3"/>
  <c r="R657" i="3"/>
  <c r="AO656" i="3"/>
  <c r="AA656" i="3"/>
  <c r="M656" i="3"/>
  <c r="AN655" i="3"/>
  <c r="Q654" i="3"/>
  <c r="AB653" i="3"/>
  <c r="AO652" i="3"/>
  <c r="Y651" i="3"/>
  <c r="AC650" i="3"/>
  <c r="B650" i="3"/>
  <c r="AA649" i="3"/>
  <c r="J649" i="3"/>
  <c r="AC646" i="3"/>
  <c r="AL640" i="3"/>
  <c r="BJ640" i="3" s="1"/>
  <c r="F640" i="3"/>
  <c r="AP640" i="3" s="1"/>
  <c r="W638" i="3"/>
  <c r="AE637" i="3"/>
  <c r="AN634" i="3"/>
  <c r="AE633" i="3"/>
  <c r="AA632" i="3"/>
  <c r="I632" i="3"/>
  <c r="AC629" i="3"/>
  <c r="B626" i="3"/>
  <c r="U626" i="3"/>
  <c r="L625" i="3"/>
  <c r="Y624" i="3"/>
  <c r="Z619" i="3"/>
  <c r="Y618" i="3"/>
  <c r="AO616" i="3"/>
  <c r="W616" i="3"/>
  <c r="Z613" i="3"/>
  <c r="M612" i="3"/>
  <c r="AN608" i="3"/>
  <c r="AE607" i="3"/>
  <c r="Z606" i="3"/>
  <c r="AM600" i="3"/>
  <c r="X597" i="3"/>
  <c r="AA594" i="3"/>
  <c r="B590" i="3"/>
  <c r="J590" i="3"/>
  <c r="AO590" i="3"/>
  <c r="N590" i="3"/>
  <c r="F578" i="3"/>
  <c r="AP578" i="3" s="1"/>
  <c r="AE578" i="3"/>
  <c r="L578" i="3"/>
  <c r="AM578" i="3"/>
  <c r="AF575" i="3"/>
  <c r="AM554" i="3"/>
  <c r="L554" i="3"/>
  <c r="AF552" i="3"/>
  <c r="P550" i="3"/>
  <c r="R542" i="3"/>
  <c r="AM541" i="3"/>
  <c r="L541" i="3"/>
  <c r="B540" i="3"/>
  <c r="X540" i="3"/>
  <c r="AM540" i="3"/>
  <c r="AN540" i="3"/>
  <c r="B535" i="3"/>
  <c r="X535" i="3"/>
  <c r="AN535" i="3"/>
  <c r="I535" i="3"/>
  <c r="Z535" i="3"/>
  <c r="L535" i="3"/>
  <c r="AA535" i="3"/>
  <c r="M535" i="3"/>
  <c r="AB535" i="3"/>
  <c r="N535" i="3"/>
  <c r="AD535" i="3"/>
  <c r="M529" i="3"/>
  <c r="AB529" i="3"/>
  <c r="Q529" i="3"/>
  <c r="R529" i="3"/>
  <c r="Z529" i="3"/>
  <c r="AA529" i="3"/>
  <c r="F623" i="3"/>
  <c r="AP623" i="3" s="1"/>
  <c r="P623" i="3"/>
  <c r="X599" i="3"/>
  <c r="U599" i="3"/>
  <c r="AG599" i="3"/>
  <c r="Y576" i="3"/>
  <c r="L576" i="3"/>
  <c r="X576" i="3"/>
  <c r="A588" i="3"/>
  <c r="A623" i="3"/>
  <c r="A671" i="3"/>
  <c r="F674" i="3"/>
  <c r="AP674" i="3" s="1"/>
  <c r="V673" i="3"/>
  <c r="AC672" i="3"/>
  <c r="AG671" i="3"/>
  <c r="V671" i="3"/>
  <c r="AC670" i="3"/>
  <c r="V669" i="3"/>
  <c r="AB662" i="3"/>
  <c r="N661" i="3"/>
  <c r="AC637" i="3"/>
  <c r="Q636" i="3"/>
  <c r="I636" i="3"/>
  <c r="I633" i="3"/>
  <c r="R633" i="3"/>
  <c r="AL633" i="3"/>
  <c r="BJ633" i="3" s="1"/>
  <c r="AF623" i="3"/>
  <c r="X619" i="3"/>
  <c r="W618" i="3"/>
  <c r="B614" i="3"/>
  <c r="AM614" i="3"/>
  <c r="AM608" i="3"/>
  <c r="W602" i="3"/>
  <c r="Z602" i="3"/>
  <c r="AL600" i="3"/>
  <c r="BJ600" i="3" s="1"/>
  <c r="AM599" i="3"/>
  <c r="AM598" i="3"/>
  <c r="B598" i="3"/>
  <c r="AL598" i="3"/>
  <c r="BJ598" i="3" s="1"/>
  <c r="U594" i="3"/>
  <c r="R593" i="3"/>
  <c r="AG593" i="3"/>
  <c r="AN593" i="3"/>
  <c r="AL588" i="3"/>
  <c r="BJ588" i="3" s="1"/>
  <c r="AF576" i="3"/>
  <c r="AE565" i="3"/>
  <c r="L561" i="3"/>
  <c r="F561" i="3"/>
  <c r="AP561" i="3" s="1"/>
  <c r="AC561" i="3"/>
  <c r="M561" i="3"/>
  <c r="AG561" i="3"/>
  <c r="U561" i="3"/>
  <c r="AO561" i="3"/>
  <c r="AB552" i="3"/>
  <c r="Q542" i="3"/>
  <c r="AG541" i="3"/>
  <c r="F541" i="3"/>
  <c r="AP541" i="3" s="1"/>
  <c r="AN653" i="3"/>
  <c r="F609" i="3"/>
  <c r="AP609" i="3" s="1"/>
  <c r="AN609" i="3"/>
  <c r="AC674" i="3"/>
  <c r="AG673" i="3"/>
  <c r="I673" i="3"/>
  <c r="F672" i="3"/>
  <c r="AP672" i="3" s="1"/>
  <c r="I671" i="3"/>
  <c r="F670" i="3"/>
  <c r="AP670" i="3" s="1"/>
  <c r="AG669" i="3"/>
  <c r="I669" i="3"/>
  <c r="AC668" i="3"/>
  <c r="F668" i="3"/>
  <c r="AP668" i="3" s="1"/>
  <c r="AN661" i="3"/>
  <c r="AO657" i="3"/>
  <c r="Q657" i="3"/>
  <c r="AN656" i="3"/>
  <c r="Y656" i="3"/>
  <c r="L656" i="3"/>
  <c r="AA653" i="3"/>
  <c r="X651" i="3"/>
  <c r="AA650" i="3"/>
  <c r="B632" i="3"/>
  <c r="U632" i="3"/>
  <c r="AN632" i="3"/>
  <c r="A579" i="3"/>
  <c r="A674" i="3"/>
  <c r="A651" i="3"/>
  <c r="A541" i="3"/>
  <c r="A637" i="3"/>
  <c r="A656" i="3"/>
  <c r="A641" i="3"/>
  <c r="A619" i="3"/>
  <c r="A577" i="3"/>
  <c r="AB674" i="3"/>
  <c r="B674" i="3"/>
  <c r="AE673" i="3"/>
  <c r="U673" i="3"/>
  <c r="B673" i="3"/>
  <c r="AB672" i="3"/>
  <c r="B672" i="3"/>
  <c r="AE671" i="3"/>
  <c r="U671" i="3"/>
  <c r="B671" i="3"/>
  <c r="AB670" i="3"/>
  <c r="B670" i="3"/>
  <c r="AE669" i="3"/>
  <c r="U669" i="3"/>
  <c r="B669" i="3"/>
  <c r="AB668" i="3"/>
  <c r="B668" i="3"/>
  <c r="R666" i="3"/>
  <c r="AA663" i="3"/>
  <c r="AA662" i="3"/>
  <c r="AM661" i="3"/>
  <c r="B661" i="3"/>
  <c r="AO659" i="3"/>
  <c r="N659" i="3"/>
  <c r="AF658" i="3"/>
  <c r="M658" i="3"/>
  <c r="AN657" i="3"/>
  <c r="AL656" i="3"/>
  <c r="BJ656" i="3" s="1"/>
  <c r="X656" i="3"/>
  <c r="AC655" i="3"/>
  <c r="AF654" i="3"/>
  <c r="F654" i="3"/>
  <c r="AP654" i="3" s="1"/>
  <c r="R653" i="3"/>
  <c r="W651" i="3"/>
  <c r="AL647" i="3"/>
  <c r="BJ647" i="3" s="1"/>
  <c r="U639" i="3"/>
  <c r="AL639" i="3"/>
  <c r="BJ639" i="3" s="1"/>
  <c r="I638" i="3"/>
  <c r="P637" i="3"/>
  <c r="J634" i="3"/>
  <c r="AO634" i="3"/>
  <c r="X633" i="3"/>
  <c r="Y632" i="3"/>
  <c r="L629" i="3"/>
  <c r="F627" i="3"/>
  <c r="AP627" i="3" s="1"/>
  <c r="W627" i="3"/>
  <c r="AM625" i="3"/>
  <c r="I625" i="3"/>
  <c r="U624" i="3"/>
  <c r="X623" i="3"/>
  <c r="L619" i="3"/>
  <c r="J618" i="3"/>
  <c r="AM616" i="3"/>
  <c r="P616" i="3"/>
  <c r="AG615" i="3"/>
  <c r="U613" i="3"/>
  <c r="AN612" i="3"/>
  <c r="B610" i="3"/>
  <c r="AM610" i="3"/>
  <c r="U608" i="3"/>
  <c r="F607" i="3"/>
  <c r="AP607" i="3" s="1"/>
  <c r="J607" i="3"/>
  <c r="AA607" i="3"/>
  <c r="U606" i="3"/>
  <c r="Z603" i="3"/>
  <c r="AE600" i="3"/>
  <c r="W599" i="3"/>
  <c r="B596" i="3"/>
  <c r="J596" i="3"/>
  <c r="AL596" i="3"/>
  <c r="BJ596" i="3" s="1"/>
  <c r="Q596" i="3"/>
  <c r="AN596" i="3"/>
  <c r="P594" i="3"/>
  <c r="U588" i="3"/>
  <c r="I584" i="3"/>
  <c r="P584" i="3"/>
  <c r="AO584" i="3"/>
  <c r="W584" i="3"/>
  <c r="X583" i="3"/>
  <c r="W583" i="3"/>
  <c r="AM583" i="3"/>
  <c r="AN577" i="3"/>
  <c r="AE576" i="3"/>
  <c r="L575" i="3"/>
  <c r="Y574" i="3"/>
  <c r="AE574" i="3"/>
  <c r="L567" i="3"/>
  <c r="W567" i="3"/>
  <c r="Y567" i="3"/>
  <c r="X565" i="3"/>
  <c r="AC563" i="3"/>
  <c r="AM561" i="3"/>
  <c r="X552" i="3"/>
  <c r="N550" i="3"/>
  <c r="AB550" i="3"/>
  <c r="AF550" i="3"/>
  <c r="AN542" i="3"/>
  <c r="P542" i="3"/>
  <c r="AE541" i="3"/>
  <c r="B541" i="3"/>
  <c r="AM500" i="3"/>
  <c r="I524" i="3"/>
  <c r="Q524" i="3"/>
  <c r="AM524" i="3"/>
  <c r="F509" i="3"/>
  <c r="AP509" i="3" s="1"/>
  <c r="X509" i="3"/>
  <c r="L509" i="3"/>
  <c r="F505" i="3"/>
  <c r="AP505" i="3" s="1"/>
  <c r="X505" i="3"/>
  <c r="L505" i="3"/>
  <c r="F497" i="3"/>
  <c r="AP497" i="3" s="1"/>
  <c r="AM497" i="3"/>
  <c r="AA497" i="3"/>
  <c r="K495" i="3"/>
  <c r="R495" i="3"/>
  <c r="AM495" i="3"/>
  <c r="Q495" i="3"/>
  <c r="M416" i="3"/>
  <c r="L416" i="3"/>
  <c r="AE416" i="3"/>
  <c r="N416" i="3"/>
  <c r="AL416" i="3"/>
  <c r="BJ416" i="3" s="1"/>
  <c r="W416" i="3"/>
  <c r="Y416" i="3"/>
  <c r="AB416" i="3"/>
  <c r="U416" i="3"/>
  <c r="F555" i="3"/>
  <c r="AP555" i="3" s="1"/>
  <c r="F534" i="3"/>
  <c r="AP534" i="3" s="1"/>
  <c r="AD532" i="3"/>
  <c r="P532" i="3"/>
  <c r="Y526" i="3"/>
  <c r="B525" i="3"/>
  <c r="P525" i="3"/>
  <c r="AL525" i="3"/>
  <c r="BJ525" i="3" s="1"/>
  <c r="Y524" i="3"/>
  <c r="X520" i="3"/>
  <c r="AN515" i="3"/>
  <c r="X515" i="3"/>
  <c r="B514" i="3"/>
  <c r="L514" i="3"/>
  <c r="Z514" i="3"/>
  <c r="K514" i="3"/>
  <c r="Y514" i="3"/>
  <c r="AN514" i="3"/>
  <c r="AD511" i="3"/>
  <c r="AE507" i="3"/>
  <c r="AE503" i="3"/>
  <c r="I491" i="3"/>
  <c r="W491" i="3"/>
  <c r="AD491" i="3"/>
  <c r="V491" i="3"/>
  <c r="W467" i="3"/>
  <c r="B461" i="3"/>
  <c r="B448" i="3"/>
  <c r="AG448" i="3"/>
  <c r="I448" i="3"/>
  <c r="AE445" i="3"/>
  <c r="W445" i="3"/>
  <c r="P441" i="3"/>
  <c r="R441" i="3"/>
  <c r="AG441" i="3"/>
  <c r="B441" i="3"/>
  <c r="AF441" i="3"/>
  <c r="AE420" i="3"/>
  <c r="AN414" i="3"/>
  <c r="N329" i="3"/>
  <c r="AL329" i="3"/>
  <c r="BJ329" i="3" s="1"/>
  <c r="AB329" i="3"/>
  <c r="AD329" i="3"/>
  <c r="AA532" i="3"/>
  <c r="N532" i="3"/>
  <c r="B528" i="3"/>
  <c r="AN528" i="3"/>
  <c r="B526" i="3"/>
  <c r="M526" i="3"/>
  <c r="AA526" i="3"/>
  <c r="R524" i="3"/>
  <c r="W520" i="3"/>
  <c r="P515" i="3"/>
  <c r="AB515" i="3"/>
  <c r="N515" i="3"/>
  <c r="AA515" i="3"/>
  <c r="F510" i="3"/>
  <c r="AP510" i="3" s="1"/>
  <c r="X510" i="3"/>
  <c r="M510" i="3"/>
  <c r="F506" i="3"/>
  <c r="AP506" i="3" s="1"/>
  <c r="X506" i="3"/>
  <c r="M506" i="3"/>
  <c r="X481" i="3"/>
  <c r="AN481" i="3"/>
  <c r="B455" i="3"/>
  <c r="P455" i="3"/>
  <c r="R455" i="3"/>
  <c r="AE455" i="3"/>
  <c r="W455" i="3"/>
  <c r="I434" i="3"/>
  <c r="B434" i="3"/>
  <c r="R434" i="3"/>
  <c r="AF434" i="3"/>
  <c r="B422" i="3"/>
  <c r="N422" i="3"/>
  <c r="P422" i="3"/>
  <c r="AC422" i="3"/>
  <c r="AB422" i="3"/>
  <c r="AO416" i="3"/>
  <c r="AE344" i="3"/>
  <c r="J344" i="3"/>
  <c r="N335" i="3"/>
  <c r="W335" i="3"/>
  <c r="X335" i="3"/>
  <c r="Z335" i="3"/>
  <c r="K335" i="3"/>
  <c r="L335" i="3"/>
  <c r="AC335" i="3"/>
  <c r="AL335" i="3"/>
  <c r="BJ335" i="3" s="1"/>
  <c r="AM335" i="3"/>
  <c r="B335" i="3"/>
  <c r="AM553" i="3"/>
  <c r="Z553" i="3"/>
  <c r="N553" i="3"/>
  <c r="AM539" i="3"/>
  <c r="Q539" i="3"/>
  <c r="AM538" i="3"/>
  <c r="AN532" i="3"/>
  <c r="Z532" i="3"/>
  <c r="M532" i="3"/>
  <c r="B531" i="3"/>
  <c r="F531" i="3"/>
  <c r="AP531" i="3" s="1"/>
  <c r="AM526" i="3"/>
  <c r="W526" i="3"/>
  <c r="X525" i="3"/>
  <c r="AN524" i="3"/>
  <c r="P524" i="3"/>
  <c r="P521" i="3"/>
  <c r="AB521" i="3"/>
  <c r="N521" i="3"/>
  <c r="AA521" i="3"/>
  <c r="AL515" i="3"/>
  <c r="BJ515" i="3" s="1"/>
  <c r="R515" i="3"/>
  <c r="W514" i="3"/>
  <c r="AE513" i="3"/>
  <c r="Z513" i="3"/>
  <c r="AD508" i="3"/>
  <c r="AD504" i="3"/>
  <c r="F498" i="3"/>
  <c r="AP498" i="3" s="1"/>
  <c r="AA498" i="3"/>
  <c r="Y498" i="3"/>
  <c r="I490" i="3"/>
  <c r="AN477" i="3"/>
  <c r="X466" i="3"/>
  <c r="Z466" i="3"/>
  <c r="I466" i="3"/>
  <c r="N466" i="3"/>
  <c r="B466" i="3"/>
  <c r="AG466" i="3"/>
  <c r="AE447" i="3"/>
  <c r="AF440" i="3"/>
  <c r="B436" i="3"/>
  <c r="AG436" i="3"/>
  <c r="L420" i="3"/>
  <c r="AN416" i="3"/>
  <c r="AE414" i="3"/>
  <c r="N400" i="3"/>
  <c r="AL400" i="3"/>
  <c r="BJ400" i="3" s="1"/>
  <c r="B400" i="3"/>
  <c r="AM400" i="3"/>
  <c r="M400" i="3"/>
  <c r="AL524" i="3"/>
  <c r="BJ524" i="3" s="1"/>
  <c r="N524" i="3"/>
  <c r="K520" i="3"/>
  <c r="P520" i="3"/>
  <c r="N520" i="3"/>
  <c r="AN520" i="3"/>
  <c r="AG515" i="3"/>
  <c r="Q515" i="3"/>
  <c r="K511" i="3"/>
  <c r="X511" i="3"/>
  <c r="M511" i="3"/>
  <c r="AE509" i="3"/>
  <c r="K507" i="3"/>
  <c r="X507" i="3"/>
  <c r="M507" i="3"/>
  <c r="AE505" i="3"/>
  <c r="K503" i="3"/>
  <c r="X503" i="3"/>
  <c r="M503" i="3"/>
  <c r="B467" i="3"/>
  <c r="AF467" i="3"/>
  <c r="L467" i="3"/>
  <c r="AG467" i="3"/>
  <c r="AL467" i="3"/>
  <c r="BJ467" i="3" s="1"/>
  <c r="M467" i="3"/>
  <c r="AC467" i="3"/>
  <c r="P440" i="3"/>
  <c r="AG433" i="3"/>
  <c r="AF425" i="3"/>
  <c r="J420" i="3"/>
  <c r="AC416" i="3"/>
  <c r="Y414" i="3"/>
  <c r="AE591" i="3"/>
  <c r="AC580" i="3"/>
  <c r="AC555" i="3"/>
  <c r="AG553" i="3"/>
  <c r="X553" i="3"/>
  <c r="L553" i="3"/>
  <c r="X544" i="3"/>
  <c r="AD539" i="3"/>
  <c r="AE538" i="3"/>
  <c r="AF536" i="3"/>
  <c r="P536" i="3"/>
  <c r="AL532" i="3"/>
  <c r="BJ532" i="3" s="1"/>
  <c r="X532" i="3"/>
  <c r="K532" i="3"/>
  <c r="AG531" i="3"/>
  <c r="Q531" i="3"/>
  <c r="AN530" i="3"/>
  <c r="AG526" i="3"/>
  <c r="P526" i="3"/>
  <c r="AM525" i="3"/>
  <c r="N525" i="3"/>
  <c r="AD524" i="3"/>
  <c r="M524" i="3"/>
  <c r="I523" i="3"/>
  <c r="Q523" i="3"/>
  <c r="AG521" i="3"/>
  <c r="Q521" i="3"/>
  <c r="AM520" i="3"/>
  <c r="AE515" i="3"/>
  <c r="M515" i="3"/>
  <c r="AL514" i="3"/>
  <c r="BJ514" i="3" s="1"/>
  <c r="P514" i="3"/>
  <c r="AG513" i="3"/>
  <c r="AB512" i="3"/>
  <c r="AD509" i="3"/>
  <c r="AD505" i="3"/>
  <c r="F501" i="3"/>
  <c r="AP501" i="3" s="1"/>
  <c r="AN501" i="3"/>
  <c r="M501" i="3"/>
  <c r="AA501" i="3"/>
  <c r="K499" i="3"/>
  <c r="AM499" i="3"/>
  <c r="AD499" i="3"/>
  <c r="F496" i="3"/>
  <c r="AP496" i="3" s="1"/>
  <c r="Y496" i="3"/>
  <c r="AF496" i="3"/>
  <c r="X496" i="3"/>
  <c r="F494" i="3"/>
  <c r="AP494" i="3" s="1"/>
  <c r="V494" i="3"/>
  <c r="Y494" i="3"/>
  <c r="R494" i="3"/>
  <c r="K489" i="3"/>
  <c r="M489" i="3"/>
  <c r="AG489" i="3"/>
  <c r="V489" i="3"/>
  <c r="L489" i="3"/>
  <c r="AE489" i="3"/>
  <c r="M477" i="3"/>
  <c r="I475" i="3"/>
  <c r="M475" i="3"/>
  <c r="X475" i="3"/>
  <c r="AD475" i="3"/>
  <c r="W470" i="3"/>
  <c r="AB470" i="3"/>
  <c r="X470" i="3"/>
  <c r="B468" i="3"/>
  <c r="P468" i="3"/>
  <c r="R468" i="3"/>
  <c r="AB468" i="3"/>
  <c r="AN468" i="3"/>
  <c r="Z468" i="3"/>
  <c r="AE441" i="3"/>
  <c r="AE435" i="3"/>
  <c r="I435" i="3"/>
  <c r="AC435" i="3"/>
  <c r="AG435" i="3"/>
  <c r="U431" i="3"/>
  <c r="W431" i="3"/>
  <c r="AE431" i="3"/>
  <c r="AF431" i="3"/>
  <c r="R431" i="3"/>
  <c r="AE425" i="3"/>
  <c r="B418" i="3"/>
  <c r="AO418" i="3"/>
  <c r="P416" i="3"/>
  <c r="J408" i="3"/>
  <c r="AF408" i="3"/>
  <c r="AL408" i="3"/>
  <c r="BJ408" i="3" s="1"/>
  <c r="Z408" i="3"/>
  <c r="R408" i="3"/>
  <c r="AA408" i="3"/>
  <c r="Q408" i="3"/>
  <c r="J364" i="3"/>
  <c r="M364" i="3"/>
  <c r="X364" i="3"/>
  <c r="AF364" i="3"/>
  <c r="AC364" i="3"/>
  <c r="AF510" i="3"/>
  <c r="Y509" i="3"/>
  <c r="F508" i="3"/>
  <c r="AP508" i="3" s="1"/>
  <c r="X508" i="3"/>
  <c r="L508" i="3"/>
  <c r="AF506" i="3"/>
  <c r="Y505" i="3"/>
  <c r="F504" i="3"/>
  <c r="AP504" i="3" s="1"/>
  <c r="X504" i="3"/>
  <c r="L504" i="3"/>
  <c r="R497" i="3"/>
  <c r="W440" i="3"/>
  <c r="AC440" i="3"/>
  <c r="AG440" i="3"/>
  <c r="B433" i="3"/>
  <c r="I433" i="3"/>
  <c r="AF433" i="3"/>
  <c r="AE433" i="3"/>
  <c r="I420" i="3"/>
  <c r="P420" i="3"/>
  <c r="AN420" i="3"/>
  <c r="U420" i="3"/>
  <c r="W420" i="3"/>
  <c r="Z420" i="3"/>
  <c r="AB420" i="3"/>
  <c r="N420" i="3"/>
  <c r="I416" i="3"/>
  <c r="M414" i="3"/>
  <c r="B414" i="3"/>
  <c r="AB414" i="3"/>
  <c r="I414" i="3"/>
  <c r="AC414" i="3"/>
  <c r="P414" i="3"/>
  <c r="U414" i="3"/>
  <c r="W414" i="3"/>
  <c r="N414" i="3"/>
  <c r="AO414" i="3"/>
  <c r="Z462" i="3"/>
  <c r="P462" i="3"/>
  <c r="R462" i="3"/>
  <c r="B444" i="3"/>
  <c r="W444" i="3"/>
  <c r="AE444" i="3"/>
  <c r="B439" i="3"/>
  <c r="P439" i="3"/>
  <c r="R439" i="3"/>
  <c r="U417" i="3"/>
  <c r="AB417" i="3"/>
  <c r="AO417" i="3"/>
  <c r="AC415" i="3"/>
  <c r="AN409" i="3"/>
  <c r="AA395" i="3"/>
  <c r="P395" i="3"/>
  <c r="AL395" i="3"/>
  <c r="BJ395" i="3" s="1"/>
  <c r="L395" i="3"/>
  <c r="I390" i="3"/>
  <c r="N390" i="3"/>
  <c r="AL390" i="3"/>
  <c r="BJ390" i="3" s="1"/>
  <c r="P390" i="3"/>
  <c r="AM390" i="3"/>
  <c r="F390" i="3"/>
  <c r="AP390" i="3" s="1"/>
  <c r="AB390" i="3"/>
  <c r="B381" i="3"/>
  <c r="U381" i="3"/>
  <c r="X381" i="3"/>
  <c r="P381" i="3"/>
  <c r="AL381" i="3"/>
  <c r="BJ381" i="3" s="1"/>
  <c r="J366" i="3"/>
  <c r="AF366" i="3"/>
  <c r="F366" i="3"/>
  <c r="AP366" i="3" s="1"/>
  <c r="AO349" i="3"/>
  <c r="N261" i="3"/>
  <c r="AE261" i="3"/>
  <c r="Q261" i="3"/>
  <c r="AF261" i="3"/>
  <c r="F261" i="3"/>
  <c r="AP261" i="3" s="1"/>
  <c r="AB261" i="3"/>
  <c r="I261" i="3"/>
  <c r="AM261" i="3"/>
  <c r="K261" i="3"/>
  <c r="AN261" i="3"/>
  <c r="R261" i="3"/>
  <c r="V261" i="3"/>
  <c r="B261" i="3"/>
  <c r="AA261" i="3"/>
  <c r="F236" i="3"/>
  <c r="AP236" i="3" s="1"/>
  <c r="V236" i="3"/>
  <c r="AF236" i="3"/>
  <c r="J236" i="3"/>
  <c r="W236" i="3"/>
  <c r="AG236" i="3"/>
  <c r="K236" i="3"/>
  <c r="X236" i="3"/>
  <c r="AL236" i="3"/>
  <c r="BJ236" i="3" s="1"/>
  <c r="L236" i="3"/>
  <c r="Y236" i="3"/>
  <c r="AO236" i="3"/>
  <c r="M236" i="3"/>
  <c r="P236" i="3"/>
  <c r="Q236" i="3"/>
  <c r="U236" i="3"/>
  <c r="AA236" i="3"/>
  <c r="B236" i="3"/>
  <c r="AE236" i="3"/>
  <c r="N376" i="3"/>
  <c r="P376" i="3"/>
  <c r="J336" i="3"/>
  <c r="B336" i="3"/>
  <c r="P336" i="3"/>
  <c r="AA336" i="3"/>
  <c r="AG312" i="3"/>
  <c r="R312" i="3"/>
  <c r="W266" i="3"/>
  <c r="AG266" i="3"/>
  <c r="AL266" i="3"/>
  <c r="BJ266" i="3" s="1"/>
  <c r="X266" i="3"/>
  <c r="W251" i="3"/>
  <c r="R251" i="3"/>
  <c r="Z251" i="3"/>
  <c r="AA251" i="3"/>
  <c r="P251" i="3"/>
  <c r="AB251" i="3"/>
  <c r="AF251" i="3"/>
  <c r="AN251" i="3"/>
  <c r="F251" i="3"/>
  <c r="AP251" i="3" s="1"/>
  <c r="U238" i="3"/>
  <c r="V238" i="3"/>
  <c r="W238" i="3"/>
  <c r="AE238" i="3"/>
  <c r="AF238" i="3"/>
  <c r="AG238" i="3"/>
  <c r="J238" i="3"/>
  <c r="AL197" i="3"/>
  <c r="BJ197" i="3" s="1"/>
  <c r="J197" i="3"/>
  <c r="N197" i="3"/>
  <c r="V197" i="3"/>
  <c r="AC197" i="3"/>
  <c r="Z194" i="3"/>
  <c r="AD194" i="3"/>
  <c r="AG194" i="3"/>
  <c r="K194" i="3"/>
  <c r="P194" i="3"/>
  <c r="X194" i="3"/>
  <c r="AO194" i="3"/>
  <c r="X182" i="3"/>
  <c r="Q182" i="3"/>
  <c r="U182" i="3"/>
  <c r="AC182" i="3"/>
  <c r="AL182" i="3"/>
  <c r="BJ182" i="3" s="1"/>
  <c r="I398" i="3"/>
  <c r="N398" i="3"/>
  <c r="AM398" i="3"/>
  <c r="P398" i="3"/>
  <c r="AN398" i="3"/>
  <c r="B398" i="3"/>
  <c r="AC398" i="3"/>
  <c r="B388" i="3"/>
  <c r="AC388" i="3"/>
  <c r="AL388" i="3"/>
  <c r="BJ388" i="3" s="1"/>
  <c r="X388" i="3"/>
  <c r="AA380" i="3"/>
  <c r="N380" i="3"/>
  <c r="F368" i="3"/>
  <c r="AP368" i="3" s="1"/>
  <c r="AF368" i="3"/>
  <c r="Z347" i="3"/>
  <c r="N347" i="3"/>
  <c r="Q334" i="3"/>
  <c r="P334" i="3"/>
  <c r="AA334" i="3"/>
  <c r="AE334" i="3"/>
  <c r="M326" i="3"/>
  <c r="F326" i="3"/>
  <c r="AP326" i="3" s="1"/>
  <c r="AF326" i="3"/>
  <c r="L326" i="3"/>
  <c r="AL326" i="3"/>
  <c r="BJ326" i="3" s="1"/>
  <c r="P326" i="3"/>
  <c r="R326" i="3"/>
  <c r="AD326" i="3"/>
  <c r="K315" i="3"/>
  <c r="AL315" i="3"/>
  <c r="BJ315" i="3" s="1"/>
  <c r="R301" i="3"/>
  <c r="K301" i="3"/>
  <c r="Q301" i="3"/>
  <c r="W301" i="3"/>
  <c r="Y301" i="3"/>
  <c r="AB301" i="3"/>
  <c r="B301" i="3"/>
  <c r="I280" i="3"/>
  <c r="K280" i="3"/>
  <c r="AN280" i="3"/>
  <c r="L280" i="3"/>
  <c r="W280" i="3"/>
  <c r="Y280" i="3"/>
  <c r="Z280" i="3"/>
  <c r="AA280" i="3"/>
  <c r="AL280" i="3"/>
  <c r="BJ280" i="3" s="1"/>
  <c r="M280" i="3"/>
  <c r="B235" i="3"/>
  <c r="L235" i="3"/>
  <c r="AD235" i="3"/>
  <c r="P235" i="3"/>
  <c r="AE235" i="3"/>
  <c r="Q235" i="3"/>
  <c r="AG235" i="3"/>
  <c r="U235" i="3"/>
  <c r="AM235" i="3"/>
  <c r="V235" i="3"/>
  <c r="Z235" i="3"/>
  <c r="AA235" i="3"/>
  <c r="AC235" i="3"/>
  <c r="J235" i="3"/>
  <c r="M411" i="3"/>
  <c r="U411" i="3"/>
  <c r="W411" i="3"/>
  <c r="I396" i="3"/>
  <c r="N396" i="3"/>
  <c r="AC396" i="3"/>
  <c r="P396" i="3"/>
  <c r="AF396" i="3"/>
  <c r="F396" i="3"/>
  <c r="AP396" i="3" s="1"/>
  <c r="Z396" i="3"/>
  <c r="J394" i="3"/>
  <c r="AF394" i="3"/>
  <c r="M386" i="3"/>
  <c r="N386" i="3"/>
  <c r="AN386" i="3"/>
  <c r="M373" i="3"/>
  <c r="F373" i="3"/>
  <c r="AP373" i="3" s="1"/>
  <c r="AG373" i="3"/>
  <c r="J373" i="3"/>
  <c r="AO373" i="3"/>
  <c r="N373" i="3"/>
  <c r="AA373" i="3"/>
  <c r="N339" i="3"/>
  <c r="AO339" i="3"/>
  <c r="Q339" i="3"/>
  <c r="W339" i="3"/>
  <c r="K339" i="3"/>
  <c r="AC339" i="3"/>
  <c r="M323" i="3"/>
  <c r="P323" i="3"/>
  <c r="R323" i="3"/>
  <c r="Z323" i="3"/>
  <c r="AA323" i="3"/>
  <c r="K270" i="3"/>
  <c r="AE270" i="3"/>
  <c r="L270" i="3"/>
  <c r="AG270" i="3"/>
  <c r="N270" i="3"/>
  <c r="AN270" i="3"/>
  <c r="V270" i="3"/>
  <c r="W270" i="3"/>
  <c r="X270" i="3"/>
  <c r="Y270" i="3"/>
  <c r="I270" i="3"/>
  <c r="AM270" i="3"/>
  <c r="AA265" i="3"/>
  <c r="K262" i="3"/>
  <c r="Z262" i="3"/>
  <c r="L262" i="3"/>
  <c r="AA262" i="3"/>
  <c r="P262" i="3"/>
  <c r="AM262" i="3"/>
  <c r="V262" i="3"/>
  <c r="AN262" i="3"/>
  <c r="W262" i="3"/>
  <c r="X262" i="3"/>
  <c r="Y262" i="3"/>
  <c r="M262" i="3"/>
  <c r="AL262" i="3"/>
  <c r="BJ262" i="3" s="1"/>
  <c r="I250" i="3"/>
  <c r="AE250" i="3"/>
  <c r="K250" i="3"/>
  <c r="AF250" i="3"/>
  <c r="L250" i="3"/>
  <c r="AG250" i="3"/>
  <c r="W250" i="3"/>
  <c r="X250" i="3"/>
  <c r="Y250" i="3"/>
  <c r="AA250" i="3"/>
  <c r="M250" i="3"/>
  <c r="F240" i="3"/>
  <c r="AP240" i="3" s="1"/>
  <c r="Q240" i="3"/>
  <c r="U240" i="3"/>
  <c r="V240" i="3"/>
  <c r="AD240" i="3"/>
  <c r="AE240" i="3"/>
  <c r="AG240" i="3"/>
  <c r="B240" i="3"/>
  <c r="AE216" i="3"/>
  <c r="AD216" i="3"/>
  <c r="V216" i="3"/>
  <c r="U216" i="3"/>
  <c r="I485" i="3"/>
  <c r="W485" i="3"/>
  <c r="X485" i="3"/>
  <c r="V483" i="3"/>
  <c r="W483" i="3"/>
  <c r="I473" i="3"/>
  <c r="X473" i="3"/>
  <c r="AN473" i="3"/>
  <c r="J465" i="3"/>
  <c r="R465" i="3"/>
  <c r="AO465" i="3"/>
  <c r="V465" i="3"/>
  <c r="U423" i="3"/>
  <c r="B423" i="3"/>
  <c r="I423" i="3"/>
  <c r="AE411" i="3"/>
  <c r="AL407" i="3"/>
  <c r="BJ407" i="3" s="1"/>
  <c r="AN407" i="3"/>
  <c r="M407" i="3"/>
  <c r="AL398" i="3"/>
  <c r="BJ398" i="3" s="1"/>
  <c r="AB396" i="3"/>
  <c r="F389" i="3"/>
  <c r="AP389" i="3" s="1"/>
  <c r="AB389" i="3"/>
  <c r="AL389" i="3"/>
  <c r="BJ389" i="3" s="1"/>
  <c r="Q389" i="3"/>
  <c r="P354" i="3"/>
  <c r="AA354" i="3"/>
  <c r="AE354" i="3"/>
  <c r="AG354" i="3"/>
  <c r="J354" i="3"/>
  <c r="P352" i="3"/>
  <c r="V352" i="3"/>
  <c r="X352" i="3"/>
  <c r="AA352" i="3"/>
  <c r="B352" i="3"/>
  <c r="B349" i="3"/>
  <c r="P349" i="3"/>
  <c r="W349" i="3"/>
  <c r="X349" i="3"/>
  <c r="K349" i="3"/>
  <c r="AM349" i="3"/>
  <c r="AG343" i="3"/>
  <c r="AL343" i="3"/>
  <c r="BJ343" i="3" s="1"/>
  <c r="N343" i="3"/>
  <c r="Q303" i="3"/>
  <c r="AB303" i="3"/>
  <c r="AD303" i="3"/>
  <c r="AL303" i="3"/>
  <c r="BJ303" i="3" s="1"/>
  <c r="M303" i="3"/>
  <c r="V273" i="3"/>
  <c r="I273" i="3"/>
  <c r="AN273" i="3"/>
  <c r="N273" i="3"/>
  <c r="Q273" i="3"/>
  <c r="W273" i="3"/>
  <c r="Z273" i="3"/>
  <c r="AE273" i="3"/>
  <c r="AF273" i="3"/>
  <c r="F273" i="3"/>
  <c r="AP273" i="3" s="1"/>
  <c r="B415" i="3"/>
  <c r="AE415" i="3"/>
  <c r="I415" i="3"/>
  <c r="AL415" i="3"/>
  <c r="BJ415" i="3" s="1"/>
  <c r="AC411" i="3"/>
  <c r="AB398" i="3"/>
  <c r="Y396" i="3"/>
  <c r="M390" i="3"/>
  <c r="X361" i="3"/>
  <c r="AC361" i="3"/>
  <c r="L361" i="3"/>
  <c r="F265" i="3"/>
  <c r="AP265" i="3" s="1"/>
  <c r="W265" i="3"/>
  <c r="AN265" i="3"/>
  <c r="I265" i="3"/>
  <c r="Z265" i="3"/>
  <c r="K265" i="3"/>
  <c r="AD265" i="3"/>
  <c r="N265" i="3"/>
  <c r="AE265" i="3"/>
  <c r="P265" i="3"/>
  <c r="AF265" i="3"/>
  <c r="Q265" i="3"/>
  <c r="AM265" i="3"/>
  <c r="R265" i="3"/>
  <c r="B265" i="3"/>
  <c r="AB265" i="3"/>
  <c r="Z261" i="3"/>
  <c r="AD236" i="3"/>
  <c r="AG517" i="3"/>
  <c r="M493" i="3"/>
  <c r="AB465" i="3"/>
  <c r="N462" i="3"/>
  <c r="R444" i="3"/>
  <c r="W439" i="3"/>
  <c r="W417" i="3"/>
  <c r="AN415" i="3"/>
  <c r="Y411" i="3"/>
  <c r="Y398" i="3"/>
  <c r="P397" i="3"/>
  <c r="L397" i="3"/>
  <c r="M397" i="3"/>
  <c r="W396" i="3"/>
  <c r="M395" i="3"/>
  <c r="B390" i="3"/>
  <c r="AM388" i="3"/>
  <c r="AO386" i="3"/>
  <c r="B383" i="3"/>
  <c r="AL383" i="3"/>
  <c r="BJ383" i="3" s="1"/>
  <c r="AN381" i="3"/>
  <c r="F381" i="3"/>
  <c r="AP381" i="3" s="1"/>
  <c r="M366" i="3"/>
  <c r="F353" i="3"/>
  <c r="AP353" i="3" s="1"/>
  <c r="B353" i="3"/>
  <c r="X353" i="3"/>
  <c r="AM353" i="3"/>
  <c r="K353" i="3"/>
  <c r="Y353" i="3"/>
  <c r="AO353" i="3"/>
  <c r="L353" i="3"/>
  <c r="Z353" i="3"/>
  <c r="Q353" i="3"/>
  <c r="AG353" i="3"/>
  <c r="AL339" i="3"/>
  <c r="BJ339" i="3" s="1"/>
  <c r="AL308" i="3"/>
  <c r="BJ308" i="3" s="1"/>
  <c r="W261" i="3"/>
  <c r="I252" i="3"/>
  <c r="W252" i="3"/>
  <c r="X252" i="3"/>
  <c r="Y252" i="3"/>
  <c r="AC236" i="3"/>
  <c r="L227" i="3"/>
  <c r="U227" i="3"/>
  <c r="V227" i="3"/>
  <c r="AC227" i="3"/>
  <c r="AD227" i="3"/>
  <c r="AE227" i="3"/>
  <c r="AG227" i="3"/>
  <c r="J227" i="3"/>
  <c r="Y359" i="3"/>
  <c r="AO340" i="3"/>
  <c r="AG330" i="3"/>
  <c r="AE320" i="3"/>
  <c r="M320" i="3"/>
  <c r="AL318" i="3"/>
  <c r="BJ318" i="3" s="1"/>
  <c r="P318" i="3"/>
  <c r="AB317" i="3"/>
  <c r="W309" i="3"/>
  <c r="X306" i="3"/>
  <c r="AN304" i="3"/>
  <c r="P304" i="3"/>
  <c r="AF293" i="3"/>
  <c r="K292" i="3"/>
  <c r="X292" i="3"/>
  <c r="AL292" i="3"/>
  <c r="BJ292" i="3" s="1"/>
  <c r="AL276" i="3"/>
  <c r="BJ276" i="3" s="1"/>
  <c r="I274" i="3"/>
  <c r="AE274" i="3"/>
  <c r="AG274" i="3"/>
  <c r="K264" i="3"/>
  <c r="Y264" i="3"/>
  <c r="Z264" i="3"/>
  <c r="B253" i="3"/>
  <c r="Q253" i="3"/>
  <c r="W253" i="3"/>
  <c r="Z253" i="3"/>
  <c r="V233" i="3"/>
  <c r="AC233" i="3"/>
  <c r="AE233" i="3"/>
  <c r="B218" i="3"/>
  <c r="AA218" i="3"/>
  <c r="AC218" i="3"/>
  <c r="AE218" i="3"/>
  <c r="B214" i="3"/>
  <c r="L214" i="3"/>
  <c r="AD214" i="3"/>
  <c r="P214" i="3"/>
  <c r="AF214" i="3"/>
  <c r="K214" i="3"/>
  <c r="AM214" i="3"/>
  <c r="Q214" i="3"/>
  <c r="AO214" i="3"/>
  <c r="V214" i="3"/>
  <c r="W214" i="3"/>
  <c r="W207" i="3"/>
  <c r="Y207" i="3"/>
  <c r="AA207" i="3"/>
  <c r="B207" i="3"/>
  <c r="L207" i="3"/>
  <c r="N207" i="3"/>
  <c r="AE207" i="3"/>
  <c r="AG207" i="3"/>
  <c r="Q317" i="3"/>
  <c r="AL309" i="3"/>
  <c r="BJ309" i="3" s="1"/>
  <c r="P309" i="3"/>
  <c r="L286" i="3"/>
  <c r="Z286" i="3"/>
  <c r="N234" i="3"/>
  <c r="AD234" i="3"/>
  <c r="P234" i="3"/>
  <c r="AG234" i="3"/>
  <c r="Q234" i="3"/>
  <c r="AL234" i="3"/>
  <c r="BJ234" i="3" s="1"/>
  <c r="W234" i="3"/>
  <c r="AO234" i="3"/>
  <c r="AC214" i="3"/>
  <c r="K206" i="3"/>
  <c r="AG206" i="3"/>
  <c r="P206" i="3"/>
  <c r="AM206" i="3"/>
  <c r="Q206" i="3"/>
  <c r="AO206" i="3"/>
  <c r="J206" i="3"/>
  <c r="V206" i="3"/>
  <c r="W206" i="3"/>
  <c r="Z206" i="3"/>
  <c r="AC206" i="3"/>
  <c r="AA318" i="3"/>
  <c r="N317" i="3"/>
  <c r="AF309" i="3"/>
  <c r="M309" i="3"/>
  <c r="Y304" i="3"/>
  <c r="AN302" i="3"/>
  <c r="K293" i="3"/>
  <c r="N293" i="3"/>
  <c r="AE286" i="3"/>
  <c r="B239" i="3"/>
  <c r="L239" i="3"/>
  <c r="Z239" i="3"/>
  <c r="AA239" i="3"/>
  <c r="AC234" i="3"/>
  <c r="Z214" i="3"/>
  <c r="B204" i="3"/>
  <c r="U204" i="3"/>
  <c r="AE204" i="3"/>
  <c r="F204" i="3"/>
  <c r="AP204" i="3" s="1"/>
  <c r="V204" i="3"/>
  <c r="AF204" i="3"/>
  <c r="J204" i="3"/>
  <c r="W204" i="3"/>
  <c r="AG204" i="3"/>
  <c r="K204" i="3"/>
  <c r="AC204" i="3"/>
  <c r="L204" i="3"/>
  <c r="AD204" i="3"/>
  <c r="N204" i="3"/>
  <c r="AM204" i="3"/>
  <c r="P204" i="3"/>
  <c r="AO204" i="3"/>
  <c r="Q204" i="3"/>
  <c r="J193" i="3"/>
  <c r="AD193" i="3"/>
  <c r="N193" i="3"/>
  <c r="AF193" i="3"/>
  <c r="P193" i="3"/>
  <c r="AL193" i="3"/>
  <c r="BJ193" i="3" s="1"/>
  <c r="F193" i="3"/>
  <c r="AP193" i="3" s="1"/>
  <c r="Q193" i="3"/>
  <c r="V193" i="3"/>
  <c r="W193" i="3"/>
  <c r="AA193" i="3"/>
  <c r="AC193" i="3"/>
  <c r="B184" i="3"/>
  <c r="AO184" i="3"/>
  <c r="U184" i="3"/>
  <c r="Y184" i="3"/>
  <c r="AC184" i="3"/>
  <c r="L184" i="3"/>
  <c r="M184" i="3"/>
  <c r="AD184" i="3"/>
  <c r="M487" i="3"/>
  <c r="AL406" i="3"/>
  <c r="BJ406" i="3" s="1"/>
  <c r="L405" i="3"/>
  <c r="P403" i="3"/>
  <c r="Q402" i="3"/>
  <c r="AC385" i="3"/>
  <c r="Z378" i="3"/>
  <c r="J378" i="3"/>
  <c r="N370" i="3"/>
  <c r="Y365" i="3"/>
  <c r="AG359" i="3"/>
  <c r="X357" i="3"/>
  <c r="AM351" i="3"/>
  <c r="X351" i="3"/>
  <c r="B351" i="3"/>
  <c r="AO345" i="3"/>
  <c r="N345" i="3"/>
  <c r="B341" i="3"/>
  <c r="AC337" i="3"/>
  <c r="M337" i="3"/>
  <c r="AF328" i="3"/>
  <c r="M328" i="3"/>
  <c r="P324" i="3"/>
  <c r="AN320" i="3"/>
  <c r="V320" i="3"/>
  <c r="W318" i="3"/>
  <c r="AN317" i="3"/>
  <c r="M317" i="3"/>
  <c r="AD309" i="3"/>
  <c r="K309" i="3"/>
  <c r="X304" i="3"/>
  <c r="P302" i="3"/>
  <c r="AN299" i="3"/>
  <c r="P299" i="3"/>
  <c r="AN293" i="3"/>
  <c r="W293" i="3"/>
  <c r="Z292" i="3"/>
  <c r="L292" i="3"/>
  <c r="Y286" i="3"/>
  <c r="K283" i="3"/>
  <c r="I283" i="3"/>
  <c r="AN281" i="3"/>
  <c r="AE275" i="3"/>
  <c r="N274" i="3"/>
  <c r="B271" i="3"/>
  <c r="K271" i="3"/>
  <c r="AF271" i="3"/>
  <c r="N271" i="3"/>
  <c r="AN271" i="3"/>
  <c r="AL264" i="3"/>
  <c r="BJ264" i="3" s="1"/>
  <c r="P253" i="3"/>
  <c r="AA249" i="3"/>
  <c r="F237" i="3"/>
  <c r="AP237" i="3" s="1"/>
  <c r="V237" i="3"/>
  <c r="AG237" i="3"/>
  <c r="J237" i="3"/>
  <c r="X237" i="3"/>
  <c r="AL237" i="3"/>
  <c r="BJ237" i="3" s="1"/>
  <c r="L237" i="3"/>
  <c r="Y237" i="3"/>
  <c r="AM237" i="3"/>
  <c r="M237" i="3"/>
  <c r="Z237" i="3"/>
  <c r="AO237" i="3"/>
  <c r="AA234" i="3"/>
  <c r="P233" i="3"/>
  <c r="B226" i="3"/>
  <c r="Q226" i="3"/>
  <c r="AC226" i="3"/>
  <c r="J226" i="3"/>
  <c r="W226" i="3"/>
  <c r="AG226" i="3"/>
  <c r="K226" i="3"/>
  <c r="X226" i="3"/>
  <c r="AL226" i="3"/>
  <c r="BJ226" i="3" s="1"/>
  <c r="L226" i="3"/>
  <c r="Y226" i="3"/>
  <c r="AM226" i="3"/>
  <c r="M226" i="3"/>
  <c r="Z226" i="3"/>
  <c r="AO226" i="3"/>
  <c r="X214" i="3"/>
  <c r="AO205" i="3"/>
  <c r="AO378" i="3"/>
  <c r="Y378" i="3"/>
  <c r="AM370" i="3"/>
  <c r="AF359" i="3"/>
  <c r="AA358" i="3"/>
  <c r="AL345" i="3"/>
  <c r="BJ345" i="3" s="1"/>
  <c r="AA337" i="3"/>
  <c r="K337" i="3"/>
  <c r="W331" i="3"/>
  <c r="AE328" i="3"/>
  <c r="AL324" i="3"/>
  <c r="BJ324" i="3" s="1"/>
  <c r="K324" i="3"/>
  <c r="AG320" i="3"/>
  <c r="R320" i="3"/>
  <c r="AL317" i="3"/>
  <c r="BJ317" i="3" s="1"/>
  <c r="K317" i="3"/>
  <c r="AB309" i="3"/>
  <c r="F309" i="3"/>
  <c r="AP309" i="3" s="1"/>
  <c r="AN306" i="3"/>
  <c r="W304" i="3"/>
  <c r="AL299" i="3"/>
  <c r="BJ299" i="3" s="1"/>
  <c r="K299" i="3"/>
  <c r="AM293" i="3"/>
  <c r="V293" i="3"/>
  <c r="AN292" i="3"/>
  <c r="Y292" i="3"/>
  <c r="I292" i="3"/>
  <c r="X286" i="3"/>
  <c r="AF283" i="3"/>
  <c r="V281" i="3"/>
  <c r="AN276" i="3"/>
  <c r="M274" i="3"/>
  <c r="AD271" i="3"/>
  <c r="M264" i="3"/>
  <c r="N253" i="3"/>
  <c r="AF246" i="3"/>
  <c r="F243" i="3"/>
  <c r="AP243" i="3" s="1"/>
  <c r="AC237" i="3"/>
  <c r="Z234" i="3"/>
  <c r="F233" i="3"/>
  <c r="AP233" i="3" s="1"/>
  <c r="F232" i="3"/>
  <c r="AP232" i="3" s="1"/>
  <c r="K232" i="3"/>
  <c r="AE232" i="3"/>
  <c r="L232" i="3"/>
  <c r="AF232" i="3"/>
  <c r="N232" i="3"/>
  <c r="AM232" i="3"/>
  <c r="P232" i="3"/>
  <c r="B229" i="3"/>
  <c r="U229" i="3"/>
  <c r="AD226" i="3"/>
  <c r="J214" i="3"/>
  <c r="AF208" i="3"/>
  <c r="AD208" i="3"/>
  <c r="W286" i="3"/>
  <c r="AM276" i="3"/>
  <c r="Q275" i="3"/>
  <c r="AF275" i="3"/>
  <c r="F249" i="3"/>
  <c r="AP249" i="3" s="1"/>
  <c r="K249" i="3"/>
  <c r="Z249" i="3"/>
  <c r="X234" i="3"/>
  <c r="B233" i="3"/>
  <c r="F214" i="3"/>
  <c r="AP214" i="3" s="1"/>
  <c r="B205" i="3"/>
  <c r="K205" i="3"/>
  <c r="AA205" i="3"/>
  <c r="L205" i="3"/>
  <c r="AE205" i="3"/>
  <c r="M205" i="3"/>
  <c r="AL205" i="3"/>
  <c r="BJ205" i="3" s="1"/>
  <c r="Q205" i="3"/>
  <c r="X205" i="3"/>
  <c r="Y205" i="3"/>
  <c r="Z205" i="3"/>
  <c r="AM205" i="3"/>
  <c r="B203" i="3"/>
  <c r="Q203" i="3"/>
  <c r="Z203" i="3"/>
  <c r="AA203" i="3"/>
  <c r="M203" i="3"/>
  <c r="N203" i="3"/>
  <c r="P203" i="3"/>
  <c r="AC203" i="3"/>
  <c r="AE203" i="3"/>
  <c r="J186" i="3"/>
  <c r="U186" i="3"/>
  <c r="X186" i="3"/>
  <c r="AL186" i="3"/>
  <c r="BJ186" i="3" s="1"/>
  <c r="AO186" i="3"/>
  <c r="B195" i="3"/>
  <c r="Q195" i="3"/>
  <c r="X195" i="3"/>
  <c r="Y195" i="3"/>
  <c r="B190" i="3"/>
  <c r="Q190" i="3"/>
  <c r="U190" i="3"/>
  <c r="V190" i="3"/>
  <c r="J189" i="3"/>
  <c r="AG189" i="3"/>
  <c r="L189" i="3"/>
  <c r="AM189" i="3"/>
  <c r="N189" i="3"/>
  <c r="AO189" i="3"/>
  <c r="F176" i="3"/>
  <c r="AP176" i="3" s="1"/>
  <c r="AL176" i="3"/>
  <c r="BJ176" i="3" s="1"/>
  <c r="L153" i="3"/>
  <c r="AL153" i="3"/>
  <c r="BJ153" i="3" s="1"/>
  <c r="Y145" i="3"/>
  <c r="J145" i="3"/>
  <c r="AA145" i="3"/>
  <c r="L145" i="3"/>
  <c r="AC145" i="3"/>
  <c r="M145" i="3"/>
  <c r="AF145" i="3"/>
  <c r="N145" i="3"/>
  <c r="AL145" i="3"/>
  <c r="BJ145" i="3" s="1"/>
  <c r="P145" i="3"/>
  <c r="AN145" i="3"/>
  <c r="X201" i="3"/>
  <c r="Z201" i="3"/>
  <c r="AE201" i="3"/>
  <c r="AG190" i="3"/>
  <c r="L185" i="3"/>
  <c r="AC185" i="3"/>
  <c r="AG185" i="3"/>
  <c r="K215" i="3"/>
  <c r="AL215" i="3"/>
  <c r="BJ215" i="3" s="1"/>
  <c r="L215" i="3"/>
  <c r="AM215" i="3"/>
  <c r="AO195" i="3"/>
  <c r="F192" i="3"/>
  <c r="AP192" i="3" s="1"/>
  <c r="L192" i="3"/>
  <c r="U192" i="3"/>
  <c r="AD190" i="3"/>
  <c r="AC189" i="3"/>
  <c r="Z183" i="3"/>
  <c r="N183" i="3"/>
  <c r="AA183" i="3"/>
  <c r="AD183" i="3"/>
  <c r="V181" i="3"/>
  <c r="M135" i="3"/>
  <c r="J135" i="3"/>
  <c r="W135" i="3"/>
  <c r="AA135" i="3"/>
  <c r="AL135" i="3"/>
  <c r="BJ135" i="3" s="1"/>
  <c r="AN135" i="3"/>
  <c r="V282" i="3"/>
  <c r="AM278" i="3"/>
  <c r="X278" i="3"/>
  <c r="V269" i="3"/>
  <c r="K267" i="3"/>
  <c r="Y260" i="3"/>
  <c r="AB255" i="3"/>
  <c r="P254" i="3"/>
  <c r="K241" i="3"/>
  <c r="AG230" i="3"/>
  <c r="U230" i="3"/>
  <c r="K228" i="3"/>
  <c r="X225" i="3"/>
  <c r="B220" i="3"/>
  <c r="K220" i="3"/>
  <c r="L220" i="3"/>
  <c r="P219" i="3"/>
  <c r="Z219" i="3"/>
  <c r="AA219" i="3"/>
  <c r="AF215" i="3"/>
  <c r="AM195" i="3"/>
  <c r="AC190" i="3"/>
  <c r="AA189" i="3"/>
  <c r="N181" i="3"/>
  <c r="X180" i="3"/>
  <c r="B180" i="3"/>
  <c r="AM180" i="3"/>
  <c r="L180" i="3"/>
  <c r="AO180" i="3"/>
  <c r="M180" i="3"/>
  <c r="AG175" i="3"/>
  <c r="F175" i="3"/>
  <c r="AP175" i="3" s="1"/>
  <c r="Y172" i="3"/>
  <c r="X139" i="3"/>
  <c r="F139" i="3"/>
  <c r="AP139" i="3" s="1"/>
  <c r="AM139" i="3"/>
  <c r="L139" i="3"/>
  <c r="P139" i="3"/>
  <c r="Y139" i="3"/>
  <c r="Z139" i="3"/>
  <c r="AA139" i="3"/>
  <c r="L123" i="3"/>
  <c r="J123" i="3"/>
  <c r="AN123" i="3"/>
  <c r="Y123" i="3"/>
  <c r="F123" i="3"/>
  <c r="AP123" i="3" s="1"/>
  <c r="M123" i="3"/>
  <c r="W123" i="3"/>
  <c r="X123" i="3"/>
  <c r="Z123" i="3"/>
  <c r="AA123" i="3"/>
  <c r="AL123" i="3"/>
  <c r="BJ123" i="3" s="1"/>
  <c r="K260" i="3"/>
  <c r="M254" i="3"/>
  <c r="F241" i="3"/>
  <c r="AP241" i="3" s="1"/>
  <c r="AF230" i="3"/>
  <c r="Q230" i="3"/>
  <c r="B225" i="3"/>
  <c r="AM220" i="3"/>
  <c r="AC215" i="3"/>
  <c r="J202" i="3"/>
  <c r="W202" i="3"/>
  <c r="AG202" i="3"/>
  <c r="K202" i="3"/>
  <c r="X202" i="3"/>
  <c r="AM202" i="3"/>
  <c r="L202" i="3"/>
  <c r="Z202" i="3"/>
  <c r="AO202" i="3"/>
  <c r="X199" i="3"/>
  <c r="AL195" i="3"/>
  <c r="BJ195" i="3" s="1"/>
  <c r="AA190" i="3"/>
  <c r="X189" i="3"/>
  <c r="B188" i="3"/>
  <c r="N188" i="3"/>
  <c r="V188" i="3"/>
  <c r="AE175" i="3"/>
  <c r="AE230" i="3"/>
  <c r="AA215" i="3"/>
  <c r="Z195" i="3"/>
  <c r="N190" i="3"/>
  <c r="W189" i="3"/>
  <c r="B181" i="3"/>
  <c r="AG181" i="3"/>
  <c r="W181" i="3"/>
  <c r="AA181" i="3"/>
  <c r="AC181" i="3"/>
  <c r="K175" i="3"/>
  <c r="P175" i="3"/>
  <c r="AC175" i="3"/>
  <c r="J175" i="3"/>
  <c r="X175" i="3"/>
  <c r="AL175" i="3"/>
  <c r="BJ175" i="3" s="1"/>
  <c r="L175" i="3"/>
  <c r="Y175" i="3"/>
  <c r="AM175" i="3"/>
  <c r="M175" i="3"/>
  <c r="Z175" i="3"/>
  <c r="AO175" i="3"/>
  <c r="V172" i="3"/>
  <c r="Z172" i="3"/>
  <c r="F172" i="3"/>
  <c r="AP172" i="3" s="1"/>
  <c r="AD172" i="3"/>
  <c r="L172" i="3"/>
  <c r="AG172" i="3"/>
  <c r="M172" i="3"/>
  <c r="AO172" i="3"/>
  <c r="AG200" i="3"/>
  <c r="F200" i="3"/>
  <c r="AP200" i="3" s="1"/>
  <c r="AD191" i="3"/>
  <c r="AA179" i="3"/>
  <c r="AL174" i="3"/>
  <c r="BJ174" i="3" s="1"/>
  <c r="V174" i="3"/>
  <c r="B174" i="3"/>
  <c r="X173" i="3"/>
  <c r="X171" i="3"/>
  <c r="Z170" i="3"/>
  <c r="P169" i="3"/>
  <c r="Y167" i="3"/>
  <c r="Y164" i="3"/>
  <c r="AC158" i="3"/>
  <c r="P158" i="3"/>
  <c r="AC157" i="3"/>
  <c r="AB156" i="3"/>
  <c r="I156" i="3"/>
  <c r="AM151" i="3"/>
  <c r="AB148" i="3"/>
  <c r="AE144" i="3"/>
  <c r="AF142" i="3"/>
  <c r="AN141" i="3"/>
  <c r="AM137" i="3"/>
  <c r="M137" i="3"/>
  <c r="M133" i="3"/>
  <c r="P129" i="3"/>
  <c r="P125" i="3"/>
  <c r="R121" i="3"/>
  <c r="B119" i="3"/>
  <c r="L119" i="3"/>
  <c r="Z119" i="3"/>
  <c r="R119" i="3"/>
  <c r="AG119" i="3"/>
  <c r="Y111" i="3"/>
  <c r="R109" i="3"/>
  <c r="AC107" i="3"/>
  <c r="B106" i="3"/>
  <c r="P106" i="3"/>
  <c r="R106" i="3"/>
  <c r="Y106" i="3"/>
  <c r="AL106" i="3"/>
  <c r="BJ106" i="3" s="1"/>
  <c r="F79" i="3"/>
  <c r="AP79" i="3" s="1"/>
  <c r="AL79" i="3"/>
  <c r="BJ79" i="3" s="1"/>
  <c r="M79" i="3"/>
  <c r="AM79" i="3"/>
  <c r="P79" i="3"/>
  <c r="AN79" i="3"/>
  <c r="R79" i="3"/>
  <c r="U79" i="3"/>
  <c r="W79" i="3"/>
  <c r="B53" i="3"/>
  <c r="P53" i="3"/>
  <c r="Q53" i="3"/>
  <c r="AA53" i="3"/>
  <c r="AD53" i="3"/>
  <c r="AE53" i="3"/>
  <c r="AL223" i="3"/>
  <c r="BJ223" i="3" s="1"/>
  <c r="AF200" i="3"/>
  <c r="Z179" i="3"/>
  <c r="W173" i="3"/>
  <c r="P171" i="3"/>
  <c r="X170" i="3"/>
  <c r="U167" i="3"/>
  <c r="AB158" i="3"/>
  <c r="N158" i="3"/>
  <c r="AA156" i="3"/>
  <c r="F156" i="3"/>
  <c r="AP156" i="3" s="1"/>
  <c r="Z151" i="3"/>
  <c r="AC142" i="3"/>
  <c r="AL138" i="3"/>
  <c r="BJ138" i="3" s="1"/>
  <c r="AG137" i="3"/>
  <c r="J137" i="3"/>
  <c r="J133" i="3"/>
  <c r="B132" i="3"/>
  <c r="AO132" i="3"/>
  <c r="N129" i="3"/>
  <c r="N125" i="3"/>
  <c r="Y122" i="3"/>
  <c r="AA122" i="3"/>
  <c r="F113" i="3"/>
  <c r="AP113" i="3" s="1"/>
  <c r="J113" i="3"/>
  <c r="M113" i="3"/>
  <c r="U113" i="3"/>
  <c r="AA113" i="3"/>
  <c r="U173" i="3"/>
  <c r="N171" i="3"/>
  <c r="R167" i="3"/>
  <c r="AA158" i="3"/>
  <c r="M158" i="3"/>
  <c r="W142" i="3"/>
  <c r="AB138" i="3"/>
  <c r="AF137" i="3"/>
  <c r="AM129" i="3"/>
  <c r="AM125" i="3"/>
  <c r="R111" i="3"/>
  <c r="B111" i="3"/>
  <c r="AC111" i="3"/>
  <c r="J111" i="3"/>
  <c r="AF111" i="3"/>
  <c r="N111" i="3"/>
  <c r="AM111" i="3"/>
  <c r="Q111" i="3"/>
  <c r="P47" i="3"/>
  <c r="Q47" i="3"/>
  <c r="AA47" i="3"/>
  <c r="K40" i="3"/>
  <c r="L40" i="3"/>
  <c r="X40" i="3"/>
  <c r="M138" i="3"/>
  <c r="B137" i="3"/>
  <c r="P137" i="3"/>
  <c r="AL137" i="3"/>
  <c r="BJ137" i="3" s="1"/>
  <c r="W129" i="3"/>
  <c r="R129" i="3"/>
  <c r="J129" i="3"/>
  <c r="AF129" i="3"/>
  <c r="W125" i="3"/>
  <c r="L125" i="3"/>
  <c r="AG125" i="3"/>
  <c r="X125" i="3"/>
  <c r="B109" i="3"/>
  <c r="I109" i="3"/>
  <c r="AA109" i="3"/>
  <c r="J109" i="3"/>
  <c r="AB109" i="3"/>
  <c r="N109" i="3"/>
  <c r="AC109" i="3"/>
  <c r="Q109" i="3"/>
  <c r="AL109" i="3"/>
  <c r="BJ109" i="3" s="1"/>
  <c r="U107" i="3"/>
  <c r="B107" i="3"/>
  <c r="AL107" i="3"/>
  <c r="BJ107" i="3" s="1"/>
  <c r="J107" i="3"/>
  <c r="AM107" i="3"/>
  <c r="P107" i="3"/>
  <c r="R107" i="3"/>
  <c r="B70" i="3"/>
  <c r="J70" i="3"/>
  <c r="AC70" i="3"/>
  <c r="AF70" i="3"/>
  <c r="AM70" i="3"/>
  <c r="I67" i="3"/>
  <c r="P67" i="3"/>
  <c r="Q67" i="3"/>
  <c r="X67" i="3"/>
  <c r="Y67" i="3"/>
  <c r="AA67" i="3"/>
  <c r="AB67" i="3"/>
  <c r="N59" i="3"/>
  <c r="P59" i="3"/>
  <c r="X59" i="3"/>
  <c r="AO59" i="3"/>
  <c r="F138" i="3"/>
  <c r="AP138" i="3" s="1"/>
  <c r="Y137" i="3"/>
  <c r="AG129" i="3"/>
  <c r="Y127" i="3"/>
  <c r="AF125" i="3"/>
  <c r="W121" i="3"/>
  <c r="L121" i="3"/>
  <c r="AL121" i="3"/>
  <c r="BJ121" i="3" s="1"/>
  <c r="Y121" i="3"/>
  <c r="AN109" i="3"/>
  <c r="AD94" i="3"/>
  <c r="AB94" i="3"/>
  <c r="AO94" i="3"/>
  <c r="J11" i="3"/>
  <c r="U11" i="3"/>
  <c r="Y11" i="3"/>
  <c r="AA11" i="3"/>
  <c r="AO11" i="3"/>
  <c r="W137" i="3"/>
  <c r="AA129" i="3"/>
  <c r="Z125" i="3"/>
  <c r="AN124" i="3"/>
  <c r="AL124" i="3"/>
  <c r="BJ124" i="3" s="1"/>
  <c r="AB111" i="3"/>
  <c r="P45" i="3"/>
  <c r="Q45" i="3"/>
  <c r="AA45" i="3"/>
  <c r="AD45" i="3"/>
  <c r="AM55" i="3"/>
  <c r="S19" i="16"/>
  <c r="T19" i="16" s="1"/>
  <c r="N3" i="3"/>
  <c r="AE100" i="3"/>
  <c r="U100" i="3"/>
  <c r="B100" i="3"/>
  <c r="AE96" i="3"/>
  <c r="U96" i="3"/>
  <c r="B96" i="3"/>
  <c r="K95" i="3"/>
  <c r="I90" i="3"/>
  <c r="J87" i="3"/>
  <c r="J84" i="3"/>
  <c r="J74" i="3"/>
  <c r="M68" i="3"/>
  <c r="AN66" i="3"/>
  <c r="AF58" i="3"/>
  <c r="B58" i="3"/>
  <c r="AA55" i="3"/>
  <c r="AE44" i="3"/>
  <c r="N42" i="3"/>
  <c r="B41" i="3"/>
  <c r="AD39" i="3"/>
  <c r="P34" i="3"/>
  <c r="AO32" i="3"/>
  <c r="AC32" i="3"/>
  <c r="R32" i="3"/>
  <c r="F32" i="3"/>
  <c r="AP32" i="3" s="1"/>
  <c r="AM30" i="3"/>
  <c r="Z30" i="3"/>
  <c r="N30" i="3"/>
  <c r="N29" i="3"/>
  <c r="AG25" i="3"/>
  <c r="Z24" i="3"/>
  <c r="I24" i="3"/>
  <c r="U22" i="3"/>
  <c r="Q20" i="3"/>
  <c r="U13" i="3"/>
  <c r="AO10" i="3"/>
  <c r="AM6" i="3"/>
  <c r="W6" i="3"/>
  <c r="F6" i="3"/>
  <c r="AP6" i="3" s="1"/>
  <c r="AC5" i="3"/>
  <c r="N5" i="3"/>
  <c r="AM4" i="3"/>
  <c r="U4" i="3"/>
  <c r="AM3" i="3"/>
  <c r="L3" i="3"/>
  <c r="P55" i="3"/>
  <c r="AC39" i="3"/>
  <c r="AL26" i="3"/>
  <c r="BJ26" i="3" s="1"/>
  <c r="Q22" i="3"/>
  <c r="N20" i="3"/>
  <c r="Q13" i="3"/>
  <c r="AA10" i="3"/>
  <c r="AB5" i="3"/>
  <c r="L5" i="3"/>
  <c r="AL4" i="3"/>
  <c r="BJ4" i="3" s="1"/>
  <c r="Q4" i="3"/>
  <c r="AE3" i="3"/>
  <c r="J3" i="3"/>
  <c r="AC100" i="3"/>
  <c r="P100" i="3"/>
  <c r="AC96" i="3"/>
  <c r="P96" i="3"/>
  <c r="AB71" i="3"/>
  <c r="AA58" i="3"/>
  <c r="N55" i="3"/>
  <c r="AE51" i="3"/>
  <c r="AA44" i="3"/>
  <c r="AC43" i="3"/>
  <c r="W39" i="3"/>
  <c r="AD37" i="3"/>
  <c r="AO35" i="3"/>
  <c r="AG30" i="3"/>
  <c r="X30" i="3"/>
  <c r="L30" i="3"/>
  <c r="AE26" i="3"/>
  <c r="Y10" i="3"/>
  <c r="AB100" i="3"/>
  <c r="N100" i="3"/>
  <c r="AB96" i="3"/>
  <c r="N96" i="3"/>
  <c r="AG95" i="3"/>
  <c r="AN90" i="3"/>
  <c r="AA71" i="3"/>
  <c r="X58" i="3"/>
  <c r="AA57" i="3"/>
  <c r="M55" i="3"/>
  <c r="AD51" i="3"/>
  <c r="Z44" i="3"/>
  <c r="AB43" i="3"/>
  <c r="V39" i="3"/>
  <c r="AC37" i="3"/>
  <c r="V35" i="3"/>
  <c r="AG34" i="3"/>
  <c r="K34" i="3"/>
  <c r="AL32" i="3"/>
  <c r="BJ32" i="3" s="1"/>
  <c r="Z32" i="3"/>
  <c r="N32" i="3"/>
  <c r="AF30" i="3"/>
  <c r="W30" i="3"/>
  <c r="K30" i="3"/>
  <c r="AN28" i="3"/>
  <c r="AD26" i="3"/>
  <c r="AG20" i="3"/>
  <c r="L20" i="3"/>
  <c r="Q17" i="3"/>
  <c r="AO14" i="3"/>
  <c r="U10" i="3"/>
  <c r="AN131" i="3"/>
  <c r="R131" i="3"/>
  <c r="AL128" i="3"/>
  <c r="BJ128" i="3" s="1"/>
  <c r="AN117" i="3"/>
  <c r="V102" i="3"/>
  <c r="AO100" i="3"/>
  <c r="Z100" i="3"/>
  <c r="AO96" i="3"/>
  <c r="Z96" i="3"/>
  <c r="AA80" i="3"/>
  <c r="AM76" i="3"/>
  <c r="P76" i="3"/>
  <c r="U73" i="3"/>
  <c r="AA62" i="3"/>
  <c r="AA51" i="3"/>
  <c r="AB37" i="3"/>
  <c r="U35" i="3"/>
  <c r="AG32" i="3"/>
  <c r="Y32" i="3"/>
  <c r="AE30" i="3"/>
  <c r="V30" i="3"/>
  <c r="B28" i="3"/>
  <c r="X26" i="3"/>
  <c r="Q10" i="3"/>
  <c r="AA665" i="3"/>
  <c r="AL622" i="3"/>
  <c r="BJ622" i="3" s="1"/>
  <c r="X621" i="3"/>
  <c r="AG621" i="3"/>
  <c r="AL548" i="3"/>
  <c r="BJ548" i="3" s="1"/>
  <c r="N545" i="3"/>
  <c r="AA545" i="3"/>
  <c r="P545" i="3"/>
  <c r="AB545" i="3"/>
  <c r="I545" i="3"/>
  <c r="Z545" i="3"/>
  <c r="M545" i="3"/>
  <c r="AE545" i="3"/>
  <c r="Q545" i="3"/>
  <c r="AG545" i="3"/>
  <c r="R545" i="3"/>
  <c r="AL545" i="3"/>
  <c r="BJ545" i="3" s="1"/>
  <c r="AC666" i="3"/>
  <c r="Z665" i="3"/>
  <c r="AN551" i="3"/>
  <c r="AF548" i="3"/>
  <c r="B154" i="3"/>
  <c r="Q154" i="3"/>
  <c r="I154" i="3"/>
  <c r="J154" i="3"/>
  <c r="Y154" i="3"/>
  <c r="AC154" i="3"/>
  <c r="W154" i="3"/>
  <c r="AL154" i="3"/>
  <c r="BJ154" i="3" s="1"/>
  <c r="AM154" i="3"/>
  <c r="Z667" i="3"/>
  <c r="AB666" i="3"/>
  <c r="P666" i="3"/>
  <c r="R665" i="3"/>
  <c r="AO664" i="3"/>
  <c r="AA664" i="3"/>
  <c r="M664" i="3"/>
  <c r="AO663" i="3"/>
  <c r="Q663" i="3"/>
  <c r="AN662" i="3"/>
  <c r="Y662" i="3"/>
  <c r="L662" i="3"/>
  <c r="AG652" i="3"/>
  <c r="Q652" i="3"/>
  <c r="AM651" i="3"/>
  <c r="R651" i="3"/>
  <c r="AF647" i="3"/>
  <c r="R647" i="3"/>
  <c r="AF642" i="3"/>
  <c r="Y636" i="3"/>
  <c r="W635" i="3"/>
  <c r="U631" i="3"/>
  <c r="W631" i="3"/>
  <c r="AM626" i="3"/>
  <c r="N626" i="3"/>
  <c r="AA622" i="3"/>
  <c r="AN621" i="3"/>
  <c r="X609" i="3"/>
  <c r="F587" i="3"/>
  <c r="AP587" i="3" s="1"/>
  <c r="I587" i="3"/>
  <c r="AC587" i="3"/>
  <c r="L587" i="3"/>
  <c r="AN587" i="3"/>
  <c r="N587" i="3"/>
  <c r="U587" i="3"/>
  <c r="L558" i="3"/>
  <c r="AF558" i="3"/>
  <c r="AM558" i="3"/>
  <c r="AB551" i="3"/>
  <c r="AE548" i="3"/>
  <c r="B547" i="3"/>
  <c r="R547" i="3"/>
  <c r="AE547" i="3"/>
  <c r="F547" i="3"/>
  <c r="AP547" i="3" s="1"/>
  <c r="V547" i="3"/>
  <c r="AG547" i="3"/>
  <c r="I547" i="3"/>
  <c r="Z547" i="3"/>
  <c r="M547" i="3"/>
  <c r="AB547" i="3"/>
  <c r="N547" i="3"/>
  <c r="AD547" i="3"/>
  <c r="P547" i="3"/>
  <c r="AL547" i="3"/>
  <c r="BJ547" i="3" s="1"/>
  <c r="Y545" i="3"/>
  <c r="AA543" i="3"/>
  <c r="M512" i="3"/>
  <c r="Y512" i="3"/>
  <c r="AL512" i="3"/>
  <c r="BJ512" i="3" s="1"/>
  <c r="K512" i="3"/>
  <c r="X512" i="3"/>
  <c r="AM512" i="3"/>
  <c r="L512" i="3"/>
  <c r="Z512" i="3"/>
  <c r="AN512" i="3"/>
  <c r="N512" i="3"/>
  <c r="AA512" i="3"/>
  <c r="B512" i="3"/>
  <c r="R512" i="3"/>
  <c r="AE512" i="3"/>
  <c r="F512" i="3"/>
  <c r="AP512" i="3" s="1"/>
  <c r="AF512" i="3"/>
  <c r="I512" i="3"/>
  <c r="AG512" i="3"/>
  <c r="P512" i="3"/>
  <c r="Q512" i="3"/>
  <c r="V512" i="3"/>
  <c r="W512" i="3"/>
  <c r="I628" i="3"/>
  <c r="AA628" i="3"/>
  <c r="J628" i="3"/>
  <c r="AF628" i="3"/>
  <c r="A628" i="3"/>
  <c r="AA667" i="3"/>
  <c r="Q666" i="3"/>
  <c r="Z628" i="3"/>
  <c r="AC460" i="3"/>
  <c r="U460" i="3"/>
  <c r="Z460" i="3"/>
  <c r="AB460" i="3"/>
  <c r="B460" i="3"/>
  <c r="I460" i="3"/>
  <c r="N460" i="3"/>
  <c r="AN460" i="3"/>
  <c r="AM674" i="3"/>
  <c r="Z674" i="3"/>
  <c r="N674" i="3"/>
  <c r="AM672" i="3"/>
  <c r="Z672" i="3"/>
  <c r="N672" i="3"/>
  <c r="AM670" i="3"/>
  <c r="Z670" i="3"/>
  <c r="N670" i="3"/>
  <c r="AM668" i="3"/>
  <c r="Z668" i="3"/>
  <c r="N668" i="3"/>
  <c r="R667" i="3"/>
  <c r="AO666" i="3"/>
  <c r="AA666" i="3"/>
  <c r="M666" i="3"/>
  <c r="AO665" i="3"/>
  <c r="Q665" i="3"/>
  <c r="AN664" i="3"/>
  <c r="Y664" i="3"/>
  <c r="L664" i="3"/>
  <c r="AN663" i="3"/>
  <c r="P663" i="3"/>
  <c r="AL662" i="3"/>
  <c r="BJ662" i="3" s="1"/>
  <c r="X662" i="3"/>
  <c r="J662" i="3"/>
  <c r="AA655" i="3"/>
  <c r="AB654" i="3"/>
  <c r="P654" i="3"/>
  <c r="AF652" i="3"/>
  <c r="M652" i="3"/>
  <c r="AL651" i="3"/>
  <c r="BJ651" i="3" s="1"/>
  <c r="M651" i="3"/>
  <c r="F650" i="3"/>
  <c r="AP650" i="3" s="1"/>
  <c r="W650" i="3"/>
  <c r="AE647" i="3"/>
  <c r="AF643" i="3"/>
  <c r="AE642" i="3"/>
  <c r="AG641" i="3"/>
  <c r="R638" i="3"/>
  <c r="AL638" i="3"/>
  <c r="BJ638" i="3" s="1"/>
  <c r="F637" i="3"/>
  <c r="AP637" i="3" s="1"/>
  <c r="X637" i="3"/>
  <c r="W636" i="3"/>
  <c r="AN635" i="3"/>
  <c r="R635" i="3"/>
  <c r="Q634" i="3"/>
  <c r="AE634" i="3"/>
  <c r="AM631" i="3"/>
  <c r="F629" i="3"/>
  <c r="AP629" i="3" s="1"/>
  <c r="X629" i="3"/>
  <c r="I629" i="3"/>
  <c r="Z629" i="3"/>
  <c r="W628" i="3"/>
  <c r="AL626" i="3"/>
  <c r="BJ626" i="3" s="1"/>
  <c r="M626" i="3"/>
  <c r="AE623" i="3"/>
  <c r="I623" i="3"/>
  <c r="AM621" i="3"/>
  <c r="J619" i="3"/>
  <c r="AL610" i="3"/>
  <c r="BJ610" i="3" s="1"/>
  <c r="N610" i="3"/>
  <c r="W609" i="3"/>
  <c r="X605" i="3"/>
  <c r="J603" i="3"/>
  <c r="N594" i="3"/>
  <c r="L581" i="3"/>
  <c r="Y581" i="3"/>
  <c r="AB581" i="3"/>
  <c r="AC581" i="3"/>
  <c r="Q579" i="3"/>
  <c r="F568" i="3"/>
  <c r="AP568" i="3" s="1"/>
  <c r="AE568" i="3"/>
  <c r="AF568" i="3"/>
  <c r="N559" i="3"/>
  <c r="L550" i="3"/>
  <c r="X550" i="3"/>
  <c r="AG550" i="3"/>
  <c r="M550" i="3"/>
  <c r="Y550" i="3"/>
  <c r="AL550" i="3"/>
  <c r="BJ550" i="3" s="1"/>
  <c r="Q550" i="3"/>
  <c r="AE550" i="3"/>
  <c r="B550" i="3"/>
  <c r="V550" i="3"/>
  <c r="AM550" i="3"/>
  <c r="F550" i="3"/>
  <c r="AP550" i="3" s="1"/>
  <c r="W550" i="3"/>
  <c r="AN550" i="3"/>
  <c r="I550" i="3"/>
  <c r="Z550" i="3"/>
  <c r="AN547" i="3"/>
  <c r="N546" i="3"/>
  <c r="X545" i="3"/>
  <c r="AC451" i="3"/>
  <c r="AE451" i="3"/>
  <c r="I451" i="3"/>
  <c r="AG451" i="3"/>
  <c r="I426" i="3"/>
  <c r="U426" i="3"/>
  <c r="W426" i="3"/>
  <c r="AF426" i="3"/>
  <c r="AG426" i="3"/>
  <c r="B426" i="3"/>
  <c r="AC664" i="3"/>
  <c r="AL628" i="3"/>
  <c r="BJ628" i="3" s="1"/>
  <c r="B622" i="3"/>
  <c r="M622" i="3"/>
  <c r="AN622" i="3"/>
  <c r="N622" i="3"/>
  <c r="AO622" i="3"/>
  <c r="F551" i="3"/>
  <c r="AP551" i="3" s="1"/>
  <c r="V551" i="3"/>
  <c r="AG551" i="3"/>
  <c r="I551" i="3"/>
  <c r="X551" i="3"/>
  <c r="AL551" i="3"/>
  <c r="BJ551" i="3" s="1"/>
  <c r="L551" i="3"/>
  <c r="AA551" i="3"/>
  <c r="N551" i="3"/>
  <c r="AD551" i="3"/>
  <c r="P551" i="3"/>
  <c r="AE551" i="3"/>
  <c r="Q551" i="3"/>
  <c r="AM551" i="3"/>
  <c r="B548" i="3"/>
  <c r="Q548" i="3"/>
  <c r="AB548" i="3"/>
  <c r="F548" i="3"/>
  <c r="AP548" i="3" s="1"/>
  <c r="R548" i="3"/>
  <c r="AD548" i="3"/>
  <c r="V548" i="3"/>
  <c r="AG548" i="3"/>
  <c r="I548" i="3"/>
  <c r="X548" i="3"/>
  <c r="AM548" i="3"/>
  <c r="K548" i="3"/>
  <c r="Y548" i="3"/>
  <c r="AN548" i="3"/>
  <c r="L548" i="3"/>
  <c r="Z548" i="3"/>
  <c r="AM545" i="3"/>
  <c r="I543" i="3"/>
  <c r="X543" i="3"/>
  <c r="AL543" i="3"/>
  <c r="BJ543" i="3" s="1"/>
  <c r="L543" i="3"/>
  <c r="Y543" i="3"/>
  <c r="AM543" i="3"/>
  <c r="M543" i="3"/>
  <c r="AB543" i="3"/>
  <c r="P543" i="3"/>
  <c r="AE543" i="3"/>
  <c r="Q543" i="3"/>
  <c r="AG543" i="3"/>
  <c r="R543" i="3"/>
  <c r="AN543" i="3"/>
  <c r="A665" i="3"/>
  <c r="AB664" i="3"/>
  <c r="P664" i="3"/>
  <c r="P647" i="3"/>
  <c r="AC647" i="3"/>
  <c r="AC636" i="3"/>
  <c r="L569" i="3"/>
  <c r="J569" i="3"/>
  <c r="AE569" i="3"/>
  <c r="N569" i="3"/>
  <c r="AM569" i="3"/>
  <c r="U569" i="3"/>
  <c r="AO569" i="3"/>
  <c r="W569" i="3"/>
  <c r="N556" i="3"/>
  <c r="AO556" i="3"/>
  <c r="Q556" i="3"/>
  <c r="X556" i="3"/>
  <c r="AA556" i="3"/>
  <c r="AE556" i="3"/>
  <c r="A667" i="3"/>
  <c r="A543" i="3"/>
  <c r="A570" i="3"/>
  <c r="A635" i="3"/>
  <c r="A672" i="3"/>
  <c r="AL674" i="3"/>
  <c r="BJ674" i="3" s="1"/>
  <c r="Y674" i="3"/>
  <c r="L674" i="3"/>
  <c r="AC673" i="3"/>
  <c r="R673" i="3"/>
  <c r="F673" i="3"/>
  <c r="AP673" i="3" s="1"/>
  <c r="AL672" i="3"/>
  <c r="BJ672" i="3" s="1"/>
  <c r="Y672" i="3"/>
  <c r="L672" i="3"/>
  <c r="AC671" i="3"/>
  <c r="R671" i="3"/>
  <c r="F671" i="3"/>
  <c r="AP671" i="3" s="1"/>
  <c r="AL670" i="3"/>
  <c r="BJ670" i="3" s="1"/>
  <c r="Y670" i="3"/>
  <c r="L670" i="3"/>
  <c r="AC669" i="3"/>
  <c r="R669" i="3"/>
  <c r="F669" i="3"/>
  <c r="AP669" i="3" s="1"/>
  <c r="AL668" i="3"/>
  <c r="BJ668" i="3" s="1"/>
  <c r="Y668" i="3"/>
  <c r="L668" i="3"/>
  <c r="AO667" i="3"/>
  <c r="Q667" i="3"/>
  <c r="AN666" i="3"/>
  <c r="Y666" i="3"/>
  <c r="L666" i="3"/>
  <c r="AN665" i="3"/>
  <c r="P665" i="3"/>
  <c r="AL664" i="3"/>
  <c r="BJ664" i="3" s="1"/>
  <c r="X664" i="3"/>
  <c r="J664" i="3"/>
  <c r="AM663" i="3"/>
  <c r="N663" i="3"/>
  <c r="AG662" i="3"/>
  <c r="W662" i="3"/>
  <c r="I662" i="3"/>
  <c r="AC661" i="3"/>
  <c r="AF660" i="3"/>
  <c r="U660" i="3"/>
  <c r="AB659" i="3"/>
  <c r="B659" i="3"/>
  <c r="AE658" i="3"/>
  <c r="R658" i="3"/>
  <c r="B658" i="3"/>
  <c r="Z655" i="3"/>
  <c r="AO654" i="3"/>
  <c r="AA654" i="3"/>
  <c r="M654" i="3"/>
  <c r="AO653" i="3"/>
  <c r="AE652" i="3"/>
  <c r="J652" i="3"/>
  <c r="AG651" i="3"/>
  <c r="L651" i="3"/>
  <c r="AL650" i="3"/>
  <c r="BJ650" i="3" s="1"/>
  <c r="R650" i="3"/>
  <c r="Y649" i="3"/>
  <c r="P648" i="3"/>
  <c r="AB648" i="3"/>
  <c r="AA647" i="3"/>
  <c r="M647" i="3"/>
  <c r="AB646" i="3"/>
  <c r="AE643" i="3"/>
  <c r="AC642" i="3"/>
  <c r="AF641" i="3"/>
  <c r="AE639" i="3"/>
  <c r="U638" i="3"/>
  <c r="W637" i="3"/>
  <c r="U636" i="3"/>
  <c r="AM635" i="3"/>
  <c r="M635" i="3"/>
  <c r="AL634" i="3"/>
  <c r="BJ634" i="3" s="1"/>
  <c r="R634" i="3"/>
  <c r="Y633" i="3"/>
  <c r="AG631" i="3"/>
  <c r="AA629" i="3"/>
  <c r="U628" i="3"/>
  <c r="AB626" i="3"/>
  <c r="J626" i="3"/>
  <c r="U625" i="3"/>
  <c r="AN625" i="3"/>
  <c r="W625" i="3"/>
  <c r="Z623" i="3"/>
  <c r="Y622" i="3"/>
  <c r="W621" i="3"/>
  <c r="AN619" i="3"/>
  <c r="B612" i="3"/>
  <c r="Z612" i="3"/>
  <c r="I612" i="3"/>
  <c r="AA612" i="3"/>
  <c r="J612" i="3"/>
  <c r="AF612" i="3"/>
  <c r="AF610" i="3"/>
  <c r="U609" i="3"/>
  <c r="B602" i="3"/>
  <c r="AM602" i="3"/>
  <c r="I602" i="3"/>
  <c r="AN602" i="3"/>
  <c r="J602" i="3"/>
  <c r="AO602" i="3"/>
  <c r="AN600" i="3"/>
  <c r="U598" i="3"/>
  <c r="B592" i="3"/>
  <c r="U592" i="3"/>
  <c r="W592" i="3"/>
  <c r="Y592" i="3"/>
  <c r="AC569" i="3"/>
  <c r="N564" i="3"/>
  <c r="AE564" i="3"/>
  <c r="AF564" i="3"/>
  <c r="AM564" i="3"/>
  <c r="L563" i="3"/>
  <c r="J563" i="3"/>
  <c r="AE563" i="3"/>
  <c r="N563" i="3"/>
  <c r="AM563" i="3"/>
  <c r="U563" i="3"/>
  <c r="AO563" i="3"/>
  <c r="W563" i="3"/>
  <c r="AM556" i="3"/>
  <c r="Y551" i="3"/>
  <c r="AD550" i="3"/>
  <c r="W548" i="3"/>
  <c r="AM547" i="3"/>
  <c r="V545" i="3"/>
  <c r="V543" i="3"/>
  <c r="L533" i="3"/>
  <c r="Y533" i="3"/>
  <c r="AM533" i="3"/>
  <c r="M533" i="3"/>
  <c r="Z533" i="3"/>
  <c r="AN533" i="3"/>
  <c r="N533" i="3"/>
  <c r="AA533" i="3"/>
  <c r="I533" i="3"/>
  <c r="AE533" i="3"/>
  <c r="P533" i="3"/>
  <c r="AG533" i="3"/>
  <c r="Q533" i="3"/>
  <c r="AL533" i="3"/>
  <c r="BJ533" i="3" s="1"/>
  <c r="R533" i="3"/>
  <c r="V533" i="3"/>
  <c r="X530" i="3"/>
  <c r="V528" i="3"/>
  <c r="K518" i="3"/>
  <c r="W518" i="3"/>
  <c r="AF518" i="3"/>
  <c r="L518" i="3"/>
  <c r="X518" i="3"/>
  <c r="AG518" i="3"/>
  <c r="M518" i="3"/>
  <c r="Y518" i="3"/>
  <c r="AL518" i="3"/>
  <c r="BJ518" i="3" s="1"/>
  <c r="B518" i="3"/>
  <c r="Q518" i="3"/>
  <c r="AB518" i="3"/>
  <c r="F518" i="3"/>
  <c r="AP518" i="3" s="1"/>
  <c r="AD518" i="3"/>
  <c r="I518" i="3"/>
  <c r="AE518" i="3"/>
  <c r="N518" i="3"/>
  <c r="AM518" i="3"/>
  <c r="P518" i="3"/>
  <c r="AN518" i="3"/>
  <c r="R518" i="3"/>
  <c r="K479" i="3"/>
  <c r="I479" i="3"/>
  <c r="AG479" i="3"/>
  <c r="V479" i="3"/>
  <c r="W479" i="3"/>
  <c r="AE479" i="3"/>
  <c r="AN479" i="3"/>
  <c r="M479" i="3"/>
  <c r="N479" i="3"/>
  <c r="X479" i="3"/>
  <c r="AD479" i="3"/>
  <c r="AE454" i="3"/>
  <c r="B454" i="3"/>
  <c r="P454" i="3"/>
  <c r="AF454" i="3"/>
  <c r="I469" i="3"/>
  <c r="K469" i="3"/>
  <c r="Y469" i="3"/>
  <c r="AN469" i="3"/>
  <c r="L469" i="3"/>
  <c r="AB469" i="3"/>
  <c r="M469" i="3"/>
  <c r="AD469" i="3"/>
  <c r="V469" i="3"/>
  <c r="W469" i="3"/>
  <c r="X469" i="3"/>
  <c r="B469" i="3"/>
  <c r="AE469" i="3"/>
  <c r="J469" i="3"/>
  <c r="AF469" i="3"/>
  <c r="R469" i="3"/>
  <c r="AA469" i="3"/>
  <c r="AG469" i="3"/>
  <c r="AM469" i="3"/>
  <c r="U464" i="3"/>
  <c r="B464" i="3"/>
  <c r="I464" i="3"/>
  <c r="N464" i="3"/>
  <c r="Z464" i="3"/>
  <c r="AB464" i="3"/>
  <c r="AC464" i="3"/>
  <c r="AN464" i="3"/>
  <c r="N570" i="3"/>
  <c r="AA570" i="3"/>
  <c r="AE570" i="3"/>
  <c r="AF570" i="3"/>
  <c r="AD545" i="3"/>
  <c r="AD543" i="3"/>
  <c r="I69" i="3"/>
  <c r="J69" i="3"/>
  <c r="AA69" i="3"/>
  <c r="M69" i="3"/>
  <c r="AC69" i="3"/>
  <c r="N69" i="3"/>
  <c r="AM69" i="3"/>
  <c r="Q69" i="3"/>
  <c r="AN69" i="3"/>
  <c r="R69" i="3"/>
  <c r="AO69" i="3"/>
  <c r="U69" i="3"/>
  <c r="Y69" i="3"/>
  <c r="Z69" i="3"/>
  <c r="AF69" i="3"/>
  <c r="AG69" i="3"/>
  <c r="F69" i="3"/>
  <c r="AP69" i="3" s="1"/>
  <c r="B69" i="3"/>
  <c r="A666" i="3"/>
  <c r="AG674" i="3"/>
  <c r="W674" i="3"/>
  <c r="K674" i="3"/>
  <c r="AG672" i="3"/>
  <c r="W672" i="3"/>
  <c r="K672" i="3"/>
  <c r="AG670" i="3"/>
  <c r="W670" i="3"/>
  <c r="K670" i="3"/>
  <c r="AG668" i="3"/>
  <c r="W668" i="3"/>
  <c r="K668" i="3"/>
  <c r="AN667" i="3"/>
  <c r="P667" i="3"/>
  <c r="AL666" i="3"/>
  <c r="BJ666" i="3" s="1"/>
  <c r="X666" i="3"/>
  <c r="J666" i="3"/>
  <c r="AM665" i="3"/>
  <c r="N665" i="3"/>
  <c r="AG664" i="3"/>
  <c r="W664" i="3"/>
  <c r="I664" i="3"/>
  <c r="AC663" i="3"/>
  <c r="F663" i="3"/>
  <c r="AP663" i="3" s="1"/>
  <c r="AF662" i="3"/>
  <c r="U662" i="3"/>
  <c r="F662" i="3"/>
  <c r="AP662" i="3" s="1"/>
  <c r="R655" i="3"/>
  <c r="AN654" i="3"/>
  <c r="Y654" i="3"/>
  <c r="L654" i="3"/>
  <c r="AB652" i="3"/>
  <c r="I652" i="3"/>
  <c r="AE651" i="3"/>
  <c r="J651" i="3"/>
  <c r="AF650" i="3"/>
  <c r="Q650" i="3"/>
  <c r="Z647" i="3"/>
  <c r="L647" i="3"/>
  <c r="U643" i="3"/>
  <c r="U642" i="3"/>
  <c r="AE641" i="3"/>
  <c r="X639" i="3"/>
  <c r="AM638" i="3"/>
  <c r="Q638" i="3"/>
  <c r="AM637" i="3"/>
  <c r="U637" i="3"/>
  <c r="AN636" i="3"/>
  <c r="AL635" i="3"/>
  <c r="BJ635" i="3" s="1"/>
  <c r="L635" i="3"/>
  <c r="AF634" i="3"/>
  <c r="N634" i="3"/>
  <c r="Z631" i="3"/>
  <c r="W629" i="3"/>
  <c r="AO628" i="3"/>
  <c r="Q628" i="3"/>
  <c r="AA626" i="3"/>
  <c r="I626" i="3"/>
  <c r="L623" i="3"/>
  <c r="AA623" i="3"/>
  <c r="N623" i="3"/>
  <c r="AC623" i="3"/>
  <c r="U622" i="3"/>
  <c r="U621" i="3"/>
  <c r="F619" i="3"/>
  <c r="AP619" i="3" s="1"/>
  <c r="N619" i="3"/>
  <c r="U619" i="3"/>
  <c r="I610" i="3"/>
  <c r="Y610" i="3"/>
  <c r="AN610" i="3"/>
  <c r="J610" i="3"/>
  <c r="Z610" i="3"/>
  <c r="AO610" i="3"/>
  <c r="M610" i="3"/>
  <c r="AA610" i="3"/>
  <c r="R609" i="3"/>
  <c r="F605" i="3"/>
  <c r="AP605" i="3" s="1"/>
  <c r="I605" i="3"/>
  <c r="U605" i="3"/>
  <c r="F603" i="3"/>
  <c r="AP603" i="3" s="1"/>
  <c r="N603" i="3"/>
  <c r="U603" i="3"/>
  <c r="X603" i="3"/>
  <c r="Q594" i="3"/>
  <c r="AF594" i="3"/>
  <c r="B594" i="3"/>
  <c r="W594" i="3"/>
  <c r="AM594" i="3"/>
  <c r="I594" i="3"/>
  <c r="Y594" i="3"/>
  <c r="AN594" i="3"/>
  <c r="J594" i="3"/>
  <c r="Z594" i="3"/>
  <c r="AO594" i="3"/>
  <c r="AG587" i="3"/>
  <c r="U579" i="3"/>
  <c r="AN579" i="3"/>
  <c r="F579" i="3"/>
  <c r="AP579" i="3" s="1"/>
  <c r="Y579" i="3"/>
  <c r="J579" i="3"/>
  <c r="AB579" i="3"/>
  <c r="L579" i="3"/>
  <c r="AC579" i="3"/>
  <c r="AM570" i="3"/>
  <c r="Y569" i="3"/>
  <c r="AF556" i="3"/>
  <c r="R551" i="3"/>
  <c r="P548" i="3"/>
  <c r="AA547" i="3"/>
  <c r="L546" i="3"/>
  <c r="X546" i="3"/>
  <c r="AG546" i="3"/>
  <c r="M546" i="3"/>
  <c r="Y546" i="3"/>
  <c r="AL546" i="3"/>
  <c r="BJ546" i="3" s="1"/>
  <c r="Q546" i="3"/>
  <c r="AE546" i="3"/>
  <c r="B546" i="3"/>
  <c r="V546" i="3"/>
  <c r="AM546" i="3"/>
  <c r="F546" i="3"/>
  <c r="AP546" i="3" s="1"/>
  <c r="W546" i="3"/>
  <c r="AN546" i="3"/>
  <c r="I546" i="3"/>
  <c r="Z546" i="3"/>
  <c r="L545" i="3"/>
  <c r="N543" i="3"/>
  <c r="F540" i="3"/>
  <c r="AP540" i="3" s="1"/>
  <c r="R540" i="3"/>
  <c r="AD540" i="3"/>
  <c r="I540" i="3"/>
  <c r="V540" i="3"/>
  <c r="AE540" i="3"/>
  <c r="L540" i="3"/>
  <c r="Z540" i="3"/>
  <c r="M540" i="3"/>
  <c r="AA540" i="3"/>
  <c r="N540" i="3"/>
  <c r="AB540" i="3"/>
  <c r="P540" i="3"/>
  <c r="AF540" i="3"/>
  <c r="Q540" i="3"/>
  <c r="AG540" i="3"/>
  <c r="I534" i="3"/>
  <c r="V534" i="3"/>
  <c r="AE534" i="3"/>
  <c r="K534" i="3"/>
  <c r="W534" i="3"/>
  <c r="AF534" i="3"/>
  <c r="L534" i="3"/>
  <c r="X534" i="3"/>
  <c r="AG534" i="3"/>
  <c r="M534" i="3"/>
  <c r="AB534" i="3"/>
  <c r="N534" i="3"/>
  <c r="AD534" i="3"/>
  <c r="P534" i="3"/>
  <c r="AL534" i="3"/>
  <c r="BJ534" i="3" s="1"/>
  <c r="Q534" i="3"/>
  <c r="AM534" i="3"/>
  <c r="R534" i="3"/>
  <c r="AN534" i="3"/>
  <c r="R528" i="3"/>
  <c r="A469" i="3"/>
  <c r="U647" i="3"/>
  <c r="B636" i="3"/>
  <c r="F636" i="3"/>
  <c r="AP636" i="3" s="1"/>
  <c r="Z636" i="3"/>
  <c r="AB622" i="3"/>
  <c r="X572" i="3"/>
  <c r="Y572" i="3"/>
  <c r="A614" i="3"/>
  <c r="A460" i="3"/>
  <c r="A548" i="3"/>
  <c r="A622" i="3"/>
  <c r="A664" i="3"/>
  <c r="A636" i="3"/>
  <c r="AE674" i="3"/>
  <c r="V674" i="3"/>
  <c r="J674" i="3"/>
  <c r="AE672" i="3"/>
  <c r="V672" i="3"/>
  <c r="J672" i="3"/>
  <c r="AE670" i="3"/>
  <c r="V670" i="3"/>
  <c r="J670" i="3"/>
  <c r="AE668" i="3"/>
  <c r="V668" i="3"/>
  <c r="J668" i="3"/>
  <c r="AM667" i="3"/>
  <c r="N667" i="3"/>
  <c r="AG666" i="3"/>
  <c r="W666" i="3"/>
  <c r="I666" i="3"/>
  <c r="AC665" i="3"/>
  <c r="F665" i="3"/>
  <c r="AP665" i="3" s="1"/>
  <c r="AF664" i="3"/>
  <c r="U664" i="3"/>
  <c r="F664" i="3"/>
  <c r="AP664" i="3" s="1"/>
  <c r="AB663" i="3"/>
  <c r="AE662" i="3"/>
  <c r="R662" i="3"/>
  <c r="AB658" i="3"/>
  <c r="AO655" i="3"/>
  <c r="AL654" i="3"/>
  <c r="BJ654" i="3" s="1"/>
  <c r="X654" i="3"/>
  <c r="Y652" i="3"/>
  <c r="F652" i="3"/>
  <c r="AP652" i="3" s="1"/>
  <c r="Z651" i="3"/>
  <c r="I651" i="3"/>
  <c r="AE650" i="3"/>
  <c r="N650" i="3"/>
  <c r="R649" i="3"/>
  <c r="AF649" i="3"/>
  <c r="AN647" i="3"/>
  <c r="Y647" i="3"/>
  <c r="J647" i="3"/>
  <c r="R643" i="3"/>
  <c r="R642" i="3"/>
  <c r="W641" i="3"/>
  <c r="W639" i="3"/>
  <c r="AF638" i="3"/>
  <c r="P638" i="3"/>
  <c r="AL637" i="3"/>
  <c r="BJ637" i="3" s="1"/>
  <c r="R637" i="3"/>
  <c r="AM636" i="3"/>
  <c r="M636" i="3"/>
  <c r="AG635" i="3"/>
  <c r="AC634" i="3"/>
  <c r="M634" i="3"/>
  <c r="L633" i="3"/>
  <c r="Z633" i="3"/>
  <c r="X631" i="3"/>
  <c r="U629" i="3"/>
  <c r="AN628" i="3"/>
  <c r="M628" i="3"/>
  <c r="Z626" i="3"/>
  <c r="W623" i="3"/>
  <c r="J622" i="3"/>
  <c r="I621" i="3"/>
  <c r="AC619" i="3"/>
  <c r="B618" i="3"/>
  <c r="AM618" i="3"/>
  <c r="I618" i="3"/>
  <c r="AN618" i="3"/>
  <c r="J615" i="3"/>
  <c r="U615" i="3"/>
  <c r="AB610" i="3"/>
  <c r="W608" i="3"/>
  <c r="Y608" i="3"/>
  <c r="AL608" i="3"/>
  <c r="BJ608" i="3" s="1"/>
  <c r="AG603" i="3"/>
  <c r="I600" i="3"/>
  <c r="Z600" i="3"/>
  <c r="J600" i="3"/>
  <c r="AA600" i="3"/>
  <c r="M600" i="3"/>
  <c r="AB600" i="3"/>
  <c r="AE594" i="3"/>
  <c r="W593" i="3"/>
  <c r="F593" i="3"/>
  <c r="AP593" i="3" s="1"/>
  <c r="Z593" i="3"/>
  <c r="I593" i="3"/>
  <c r="AA593" i="3"/>
  <c r="J593" i="3"/>
  <c r="AF593" i="3"/>
  <c r="AA587" i="3"/>
  <c r="U582" i="3"/>
  <c r="AL582" i="3"/>
  <c r="BJ582" i="3" s="1"/>
  <c r="AM579" i="3"/>
  <c r="Q570" i="3"/>
  <c r="X569" i="3"/>
  <c r="L565" i="3"/>
  <c r="F565" i="3"/>
  <c r="AP565" i="3" s="1"/>
  <c r="AC565" i="3"/>
  <c r="M565" i="3"/>
  <c r="AG565" i="3"/>
  <c r="N565" i="3"/>
  <c r="AM565" i="3"/>
  <c r="U565" i="3"/>
  <c r="AO565" i="3"/>
  <c r="L559" i="3"/>
  <c r="M559" i="3"/>
  <c r="AG559" i="3"/>
  <c r="U559" i="3"/>
  <c r="AO559" i="3"/>
  <c r="W559" i="3"/>
  <c r="X559" i="3"/>
  <c r="W556" i="3"/>
  <c r="Q554" i="3"/>
  <c r="AA554" i="3"/>
  <c r="F554" i="3"/>
  <c r="AP554" i="3" s="1"/>
  <c r="N554" i="3"/>
  <c r="AE554" i="3"/>
  <c r="AF554" i="3"/>
  <c r="M551" i="3"/>
  <c r="AA550" i="3"/>
  <c r="N549" i="3"/>
  <c r="AA549" i="3"/>
  <c r="P549" i="3"/>
  <c r="AB549" i="3"/>
  <c r="I549" i="3"/>
  <c r="Z549" i="3"/>
  <c r="M549" i="3"/>
  <c r="AE549" i="3"/>
  <c r="Q549" i="3"/>
  <c r="AG549" i="3"/>
  <c r="R549" i="3"/>
  <c r="AL549" i="3"/>
  <c r="BJ549" i="3" s="1"/>
  <c r="N548" i="3"/>
  <c r="Y547" i="3"/>
  <c r="AD546" i="3"/>
  <c r="F545" i="3"/>
  <c r="AP545" i="3" s="1"/>
  <c r="F543" i="3"/>
  <c r="AP543" i="3" s="1"/>
  <c r="F530" i="3"/>
  <c r="AP530" i="3" s="1"/>
  <c r="R530" i="3"/>
  <c r="AD530" i="3"/>
  <c r="I530" i="3"/>
  <c r="V530" i="3"/>
  <c r="AE530" i="3"/>
  <c r="K530" i="3"/>
  <c r="W530" i="3"/>
  <c r="AF530" i="3"/>
  <c r="B530" i="3"/>
  <c r="Z530" i="3"/>
  <c r="L530" i="3"/>
  <c r="AA530" i="3"/>
  <c r="M530" i="3"/>
  <c r="AB530" i="3"/>
  <c r="N530" i="3"/>
  <c r="AG530" i="3"/>
  <c r="P530" i="3"/>
  <c r="AL530" i="3"/>
  <c r="BJ530" i="3" s="1"/>
  <c r="B519" i="3"/>
  <c r="R519" i="3"/>
  <c r="AE519" i="3"/>
  <c r="F519" i="3"/>
  <c r="AP519" i="3" s="1"/>
  <c r="V519" i="3"/>
  <c r="AG519" i="3"/>
  <c r="I519" i="3"/>
  <c r="X519" i="3"/>
  <c r="AL519" i="3"/>
  <c r="BJ519" i="3" s="1"/>
  <c r="N519" i="3"/>
  <c r="AA519" i="3"/>
  <c r="M519" i="3"/>
  <c r="AN519" i="3"/>
  <c r="P519" i="3"/>
  <c r="Q519" i="3"/>
  <c r="Y519" i="3"/>
  <c r="Z519" i="3"/>
  <c r="Q664" i="3"/>
  <c r="A551" i="3"/>
  <c r="AC667" i="3"/>
  <c r="AF666" i="3"/>
  <c r="U666" i="3"/>
  <c r="AB665" i="3"/>
  <c r="AE664" i="3"/>
  <c r="R664" i="3"/>
  <c r="AM647" i="3"/>
  <c r="X647" i="3"/>
  <c r="I647" i="3"/>
  <c r="Q642" i="3"/>
  <c r="AL636" i="3"/>
  <c r="BJ636" i="3" s="1"/>
  <c r="J636" i="3"/>
  <c r="F635" i="3"/>
  <c r="AP635" i="3" s="1"/>
  <c r="I635" i="3"/>
  <c r="Z635" i="3"/>
  <c r="AM628" i="3"/>
  <c r="B628" i="3"/>
  <c r="P626" i="3"/>
  <c r="AE626" i="3"/>
  <c r="Q626" i="3"/>
  <c r="AF626" i="3"/>
  <c r="I622" i="3"/>
  <c r="F621" i="3"/>
  <c r="AP621" i="3" s="1"/>
  <c r="I609" i="3"/>
  <c r="AA609" i="3"/>
  <c r="J609" i="3"/>
  <c r="AF609" i="3"/>
  <c r="L609" i="3"/>
  <c r="AG609" i="3"/>
  <c r="Z587" i="3"/>
  <c r="AF579" i="3"/>
  <c r="L570" i="3"/>
  <c r="M569" i="3"/>
  <c r="L566" i="3"/>
  <c r="AO566" i="3"/>
  <c r="Q566" i="3"/>
  <c r="W566" i="3"/>
  <c r="X566" i="3"/>
  <c r="AM559" i="3"/>
  <c r="L556" i="3"/>
  <c r="B551" i="3"/>
  <c r="R550" i="3"/>
  <c r="AD549" i="3"/>
  <c r="M548" i="3"/>
  <c r="X547" i="3"/>
  <c r="AB546" i="3"/>
  <c r="AN545" i="3"/>
  <c r="B545" i="3"/>
  <c r="B543" i="3"/>
  <c r="AL540" i="3"/>
  <c r="BJ540" i="3" s="1"/>
  <c r="L538" i="3"/>
  <c r="X538" i="3"/>
  <c r="AG538" i="3"/>
  <c r="M538" i="3"/>
  <c r="Y538" i="3"/>
  <c r="AL538" i="3"/>
  <c r="BJ538" i="3" s="1"/>
  <c r="F538" i="3"/>
  <c r="AP538" i="3" s="1"/>
  <c r="W538" i="3"/>
  <c r="AN538" i="3"/>
  <c r="I538" i="3"/>
  <c r="Z538" i="3"/>
  <c r="K538" i="3"/>
  <c r="AA538" i="3"/>
  <c r="N538" i="3"/>
  <c r="AB538" i="3"/>
  <c r="P538" i="3"/>
  <c r="AD538" i="3"/>
  <c r="M537" i="3"/>
  <c r="Z537" i="3"/>
  <c r="AN537" i="3"/>
  <c r="N537" i="3"/>
  <c r="AA537" i="3"/>
  <c r="P537" i="3"/>
  <c r="AB537" i="3"/>
  <c r="I537" i="3"/>
  <c r="AE537" i="3"/>
  <c r="L537" i="3"/>
  <c r="AG537" i="3"/>
  <c r="Q537" i="3"/>
  <c r="AL537" i="3"/>
  <c r="BJ537" i="3" s="1"/>
  <c r="R537" i="3"/>
  <c r="AM537" i="3"/>
  <c r="V537" i="3"/>
  <c r="L528" i="3"/>
  <c r="X528" i="3"/>
  <c r="AG528" i="3"/>
  <c r="M528" i="3"/>
  <c r="Y528" i="3"/>
  <c r="AL528" i="3"/>
  <c r="BJ528" i="3" s="1"/>
  <c r="N528" i="3"/>
  <c r="Z528" i="3"/>
  <c r="AM528" i="3"/>
  <c r="F528" i="3"/>
  <c r="AP528" i="3" s="1"/>
  <c r="AA528" i="3"/>
  <c r="I528" i="3"/>
  <c r="AB528" i="3"/>
  <c r="K528" i="3"/>
  <c r="AD528" i="3"/>
  <c r="P528" i="3"/>
  <c r="AE528" i="3"/>
  <c r="Q528" i="3"/>
  <c r="AF528" i="3"/>
  <c r="P469" i="3"/>
  <c r="AD464" i="3"/>
  <c r="AB584" i="3"/>
  <c r="M584" i="3"/>
  <c r="R577" i="3"/>
  <c r="AM571" i="3"/>
  <c r="N571" i="3"/>
  <c r="AO557" i="3"/>
  <c r="N557" i="3"/>
  <c r="U555" i="3"/>
  <c r="AA552" i="3"/>
  <c r="M552" i="3"/>
  <c r="AA544" i="3"/>
  <c r="M544" i="3"/>
  <c r="AN529" i="3"/>
  <c r="P529" i="3"/>
  <c r="AM527" i="3"/>
  <c r="L527" i="3"/>
  <c r="AE502" i="3"/>
  <c r="K481" i="3"/>
  <c r="AD481" i="3"/>
  <c r="N481" i="3"/>
  <c r="V481" i="3"/>
  <c r="I481" i="3"/>
  <c r="M481" i="3"/>
  <c r="W481" i="3"/>
  <c r="AE481" i="3"/>
  <c r="AG481" i="3"/>
  <c r="AL461" i="3"/>
  <c r="BJ461" i="3" s="1"/>
  <c r="W457" i="3"/>
  <c r="I450" i="3"/>
  <c r="R450" i="3"/>
  <c r="AF450" i="3"/>
  <c r="AC450" i="3"/>
  <c r="AE450" i="3"/>
  <c r="B450" i="3"/>
  <c r="U450" i="3"/>
  <c r="I404" i="3"/>
  <c r="B404" i="3"/>
  <c r="W404" i="3"/>
  <c r="AM404" i="3"/>
  <c r="F404" i="3"/>
  <c r="AP404" i="3" s="1"/>
  <c r="Y404" i="3"/>
  <c r="AN404" i="3"/>
  <c r="N404" i="3"/>
  <c r="AB404" i="3"/>
  <c r="P404" i="3"/>
  <c r="AC404" i="3"/>
  <c r="Q404" i="3"/>
  <c r="R404" i="3"/>
  <c r="Z404" i="3"/>
  <c r="AA404" i="3"/>
  <c r="AF404" i="3"/>
  <c r="M404" i="3"/>
  <c r="AL404" i="3"/>
  <c r="BJ404" i="3" s="1"/>
  <c r="AO404" i="3"/>
  <c r="K242" i="3"/>
  <c r="AN242" i="3"/>
  <c r="M242" i="3"/>
  <c r="P242" i="3"/>
  <c r="AA242" i="3"/>
  <c r="AG242" i="3"/>
  <c r="AL242" i="3"/>
  <c r="BJ242" i="3" s="1"/>
  <c r="L242" i="3"/>
  <c r="AM632" i="3"/>
  <c r="W632" i="3"/>
  <c r="X613" i="3"/>
  <c r="AM607" i="3"/>
  <c r="W607" i="3"/>
  <c r="Z599" i="3"/>
  <c r="Z596" i="3"/>
  <c r="Z590" i="3"/>
  <c r="AM586" i="3"/>
  <c r="AA584" i="3"/>
  <c r="J584" i="3"/>
  <c r="Z583" i="3"/>
  <c r="AF580" i="3"/>
  <c r="J580" i="3"/>
  <c r="N577" i="3"/>
  <c r="AB576" i="3"/>
  <c r="AF571" i="3"/>
  <c r="L571" i="3"/>
  <c r="AC567" i="3"/>
  <c r="F567" i="3"/>
  <c r="AP567" i="3" s="1"/>
  <c r="AM557" i="3"/>
  <c r="M557" i="3"/>
  <c r="AO555" i="3"/>
  <c r="N555" i="3"/>
  <c r="Z552" i="3"/>
  <c r="L552" i="3"/>
  <c r="Z544" i="3"/>
  <c r="L544" i="3"/>
  <c r="F539" i="3"/>
  <c r="AP539" i="3" s="1"/>
  <c r="V539" i="3"/>
  <c r="AG539" i="3"/>
  <c r="I539" i="3"/>
  <c r="X539" i="3"/>
  <c r="AL539" i="3"/>
  <c r="BJ539" i="3" s="1"/>
  <c r="AE529" i="3"/>
  <c r="N529" i="3"/>
  <c r="AL527" i="3"/>
  <c r="BJ527" i="3" s="1"/>
  <c r="I527" i="3"/>
  <c r="AF520" i="3"/>
  <c r="L517" i="3"/>
  <c r="Y517" i="3"/>
  <c r="AM517" i="3"/>
  <c r="M517" i="3"/>
  <c r="Z517" i="3"/>
  <c r="AN517" i="3"/>
  <c r="N517" i="3"/>
  <c r="AA517" i="3"/>
  <c r="B517" i="3"/>
  <c r="R517" i="3"/>
  <c r="AE517" i="3"/>
  <c r="I513" i="3"/>
  <c r="X513" i="3"/>
  <c r="AL513" i="3"/>
  <c r="BJ513" i="3" s="1"/>
  <c r="M513" i="3"/>
  <c r="AA513" i="3"/>
  <c r="N513" i="3"/>
  <c r="AB513" i="3"/>
  <c r="P513" i="3"/>
  <c r="AD513" i="3"/>
  <c r="B513" i="3"/>
  <c r="V513" i="3"/>
  <c r="AM513" i="3"/>
  <c r="AA502" i="3"/>
  <c r="I478" i="3"/>
  <c r="W478" i="3"/>
  <c r="X478" i="3"/>
  <c r="AB478" i="3"/>
  <c r="AN478" i="3"/>
  <c r="AG461" i="3"/>
  <c r="Y590" i="3"/>
  <c r="Z584" i="3"/>
  <c r="L577" i="3"/>
  <c r="AE571" i="3"/>
  <c r="AG557" i="3"/>
  <c r="AM555" i="3"/>
  <c r="AN552" i="3"/>
  <c r="Y552" i="3"/>
  <c r="AN544" i="3"/>
  <c r="Y544" i="3"/>
  <c r="AD529" i="3"/>
  <c r="AE527" i="3"/>
  <c r="B520" i="3"/>
  <c r="Q520" i="3"/>
  <c r="AB520" i="3"/>
  <c r="F520" i="3"/>
  <c r="AP520" i="3" s="1"/>
  <c r="R520" i="3"/>
  <c r="AD520" i="3"/>
  <c r="I520" i="3"/>
  <c r="V520" i="3"/>
  <c r="AE520" i="3"/>
  <c r="M520" i="3"/>
  <c r="Y520" i="3"/>
  <c r="AL520" i="3"/>
  <c r="BJ520" i="3" s="1"/>
  <c r="L480" i="3"/>
  <c r="I480" i="3"/>
  <c r="W480" i="3"/>
  <c r="X480" i="3"/>
  <c r="AN480" i="3"/>
  <c r="AG463" i="3"/>
  <c r="I457" i="3"/>
  <c r="R457" i="3"/>
  <c r="AF457" i="3"/>
  <c r="K457" i="3"/>
  <c r="Y457" i="3"/>
  <c r="J457" i="3"/>
  <c r="AC457" i="3"/>
  <c r="L457" i="3"/>
  <c r="AE457" i="3"/>
  <c r="M457" i="3"/>
  <c r="AG457" i="3"/>
  <c r="X457" i="3"/>
  <c r="AB457" i="3"/>
  <c r="AL457" i="3"/>
  <c r="BJ457" i="3" s="1"/>
  <c r="B457" i="3"/>
  <c r="P457" i="3"/>
  <c r="F372" i="3"/>
  <c r="AP372" i="3" s="1"/>
  <c r="M372" i="3"/>
  <c r="AF372" i="3"/>
  <c r="AM372" i="3"/>
  <c r="Q372" i="3"/>
  <c r="X372" i="3"/>
  <c r="AC372" i="3"/>
  <c r="Y372" i="3"/>
  <c r="M527" i="3"/>
  <c r="Z527" i="3"/>
  <c r="AN527" i="3"/>
  <c r="N527" i="3"/>
  <c r="AA527" i="3"/>
  <c r="P527" i="3"/>
  <c r="AB527" i="3"/>
  <c r="F527" i="3"/>
  <c r="AP527" i="3" s="1"/>
  <c r="V527" i="3"/>
  <c r="AG527" i="3"/>
  <c r="V463" i="3"/>
  <c r="AN458" i="3"/>
  <c r="U449" i="3"/>
  <c r="B449" i="3"/>
  <c r="AG449" i="3"/>
  <c r="R449" i="3"/>
  <c r="W449" i="3"/>
  <c r="AE449" i="3"/>
  <c r="P449" i="3"/>
  <c r="AF449" i="3"/>
  <c r="J374" i="3"/>
  <c r="AA374" i="3"/>
  <c r="F374" i="3"/>
  <c r="AP374" i="3" s="1"/>
  <c r="M374" i="3"/>
  <c r="AF374" i="3"/>
  <c r="L557" i="3"/>
  <c r="W557" i="3"/>
  <c r="L555" i="3"/>
  <c r="J555" i="3"/>
  <c r="AE555" i="3"/>
  <c r="F552" i="3"/>
  <c r="AP552" i="3" s="1"/>
  <c r="R552" i="3"/>
  <c r="AD552" i="3"/>
  <c r="I552" i="3"/>
  <c r="V552" i="3"/>
  <c r="AE552" i="3"/>
  <c r="F544" i="3"/>
  <c r="AP544" i="3" s="1"/>
  <c r="R544" i="3"/>
  <c r="AD544" i="3"/>
  <c r="I544" i="3"/>
  <c r="V544" i="3"/>
  <c r="AE544" i="3"/>
  <c r="F529" i="3"/>
  <c r="AP529" i="3" s="1"/>
  <c r="V529" i="3"/>
  <c r="AG529" i="3"/>
  <c r="I529" i="3"/>
  <c r="X529" i="3"/>
  <c r="AL529" i="3"/>
  <c r="BJ529" i="3" s="1"/>
  <c r="L529" i="3"/>
  <c r="Y529" i="3"/>
  <c r="AM529" i="3"/>
  <c r="Y527" i="3"/>
  <c r="I502" i="3"/>
  <c r="L502" i="3"/>
  <c r="AD502" i="3"/>
  <c r="M502" i="3"/>
  <c r="AF502" i="3"/>
  <c r="K502" i="3"/>
  <c r="AM502" i="3"/>
  <c r="Q502" i="3"/>
  <c r="AN502" i="3"/>
  <c r="R502" i="3"/>
  <c r="X502" i="3"/>
  <c r="Y502" i="3"/>
  <c r="K471" i="3"/>
  <c r="X471" i="3"/>
  <c r="M471" i="3"/>
  <c r="N471" i="3"/>
  <c r="V471" i="3"/>
  <c r="W471" i="3"/>
  <c r="AD471" i="3"/>
  <c r="AG471" i="3"/>
  <c r="AN471" i="3"/>
  <c r="I461" i="3"/>
  <c r="L461" i="3"/>
  <c r="AB461" i="3"/>
  <c r="J461" i="3"/>
  <c r="Y461" i="3"/>
  <c r="K461" i="3"/>
  <c r="AC461" i="3"/>
  <c r="M461" i="3"/>
  <c r="AE461" i="3"/>
  <c r="P461" i="3"/>
  <c r="AO461" i="3"/>
  <c r="R461" i="3"/>
  <c r="V461" i="3"/>
  <c r="X461" i="3"/>
  <c r="AF461" i="3"/>
  <c r="U452" i="3"/>
  <c r="B452" i="3"/>
  <c r="AF452" i="3"/>
  <c r="I452" i="3"/>
  <c r="P452" i="3"/>
  <c r="R452" i="3"/>
  <c r="W452" i="3"/>
  <c r="AC452" i="3"/>
  <c r="I392" i="3"/>
  <c r="P392" i="3"/>
  <c r="AC392" i="3"/>
  <c r="Q392" i="3"/>
  <c r="AF392" i="3"/>
  <c r="F392" i="3"/>
  <c r="AP392" i="3" s="1"/>
  <c r="Y392" i="3"/>
  <c r="AN392" i="3"/>
  <c r="J392" i="3"/>
  <c r="Z392" i="3"/>
  <c r="AO392" i="3"/>
  <c r="B392" i="3"/>
  <c r="AM392" i="3"/>
  <c r="M392" i="3"/>
  <c r="N392" i="3"/>
  <c r="R392" i="3"/>
  <c r="W392" i="3"/>
  <c r="AA392" i="3"/>
  <c r="AB392" i="3"/>
  <c r="AL392" i="3"/>
  <c r="BJ392" i="3" s="1"/>
  <c r="I463" i="3"/>
  <c r="B463" i="3"/>
  <c r="W463" i="3"/>
  <c r="AL463" i="3"/>
  <c r="BJ463" i="3" s="1"/>
  <c r="L463" i="3"/>
  <c r="AC463" i="3"/>
  <c r="M463" i="3"/>
  <c r="AE463" i="3"/>
  <c r="P463" i="3"/>
  <c r="AF463" i="3"/>
  <c r="X463" i="3"/>
  <c r="Y463" i="3"/>
  <c r="AB463" i="3"/>
  <c r="J463" i="3"/>
  <c r="AO463" i="3"/>
  <c r="K463" i="3"/>
  <c r="I458" i="3"/>
  <c r="AD458" i="3"/>
  <c r="U458" i="3"/>
  <c r="B458" i="3"/>
  <c r="AO458" i="3"/>
  <c r="N458" i="3"/>
  <c r="P458" i="3"/>
  <c r="Z458" i="3"/>
  <c r="AB458" i="3"/>
  <c r="AC458" i="3"/>
  <c r="I442" i="3"/>
  <c r="AE442" i="3"/>
  <c r="B442" i="3"/>
  <c r="AC442" i="3"/>
  <c r="AF442" i="3"/>
  <c r="R442" i="3"/>
  <c r="U442" i="3"/>
  <c r="AB511" i="3"/>
  <c r="AA510" i="3"/>
  <c r="AA509" i="3"/>
  <c r="AA508" i="3"/>
  <c r="AD507" i="3"/>
  <c r="AA506" i="3"/>
  <c r="AA505" i="3"/>
  <c r="AA504" i="3"/>
  <c r="AD503" i="3"/>
  <c r="AE499" i="3"/>
  <c r="AN497" i="3"/>
  <c r="AN495" i="3"/>
  <c r="AN493" i="3"/>
  <c r="K477" i="3"/>
  <c r="W477" i="3"/>
  <c r="X477" i="3"/>
  <c r="AD477" i="3"/>
  <c r="I456" i="3"/>
  <c r="AB456" i="3"/>
  <c r="U456" i="3"/>
  <c r="Z456" i="3"/>
  <c r="AC456" i="3"/>
  <c r="AE443" i="3"/>
  <c r="AL401" i="3"/>
  <c r="BJ401" i="3" s="1"/>
  <c r="AN401" i="3"/>
  <c r="L401" i="3"/>
  <c r="M401" i="3"/>
  <c r="P401" i="3"/>
  <c r="AA401" i="3"/>
  <c r="AA356" i="3"/>
  <c r="B213" i="3"/>
  <c r="Y213" i="3"/>
  <c r="L213" i="3"/>
  <c r="AE213" i="3"/>
  <c r="M213" i="3"/>
  <c r="AO213" i="3"/>
  <c r="X213" i="3"/>
  <c r="Z213" i="3"/>
  <c r="N213" i="3"/>
  <c r="Q213" i="3"/>
  <c r="AA213" i="3"/>
  <c r="AL213" i="3"/>
  <c r="BJ213" i="3" s="1"/>
  <c r="AM213" i="3"/>
  <c r="L198" i="3"/>
  <c r="Z198" i="3"/>
  <c r="AO198" i="3"/>
  <c r="P198" i="3"/>
  <c r="AD198" i="3"/>
  <c r="B198" i="3"/>
  <c r="V198" i="3"/>
  <c r="AG198" i="3"/>
  <c r="F198" i="3"/>
  <c r="AP198" i="3" s="1"/>
  <c r="W198" i="3"/>
  <c r="AM198" i="3"/>
  <c r="N198" i="3"/>
  <c r="X198" i="3"/>
  <c r="AA198" i="3"/>
  <c r="J198" i="3"/>
  <c r="K198" i="3"/>
  <c r="Q198" i="3"/>
  <c r="U198" i="3"/>
  <c r="AC198" i="3"/>
  <c r="AE198" i="3"/>
  <c r="I511" i="3"/>
  <c r="F511" i="3"/>
  <c r="AP511" i="3" s="1"/>
  <c r="Y511" i="3"/>
  <c r="I510" i="3"/>
  <c r="L510" i="3"/>
  <c r="AD510" i="3"/>
  <c r="I509" i="3"/>
  <c r="Q509" i="3"/>
  <c r="AF509" i="3"/>
  <c r="I508" i="3"/>
  <c r="V508" i="3"/>
  <c r="AN508" i="3"/>
  <c r="I507" i="3"/>
  <c r="F507" i="3"/>
  <c r="AP507" i="3" s="1"/>
  <c r="Y507" i="3"/>
  <c r="I506" i="3"/>
  <c r="L506" i="3"/>
  <c r="AD506" i="3"/>
  <c r="I505" i="3"/>
  <c r="Q505" i="3"/>
  <c r="AF505" i="3"/>
  <c r="I504" i="3"/>
  <c r="V504" i="3"/>
  <c r="AN504" i="3"/>
  <c r="I503" i="3"/>
  <c r="F503" i="3"/>
  <c r="AP503" i="3" s="1"/>
  <c r="Y503" i="3"/>
  <c r="I499" i="3"/>
  <c r="F499" i="3"/>
  <c r="AP499" i="3" s="1"/>
  <c r="Y499" i="3"/>
  <c r="M499" i="3"/>
  <c r="AF499" i="3"/>
  <c r="I497" i="3"/>
  <c r="Q497" i="3"/>
  <c r="AF497" i="3"/>
  <c r="K497" i="3"/>
  <c r="AD497" i="3"/>
  <c r="L497" i="3"/>
  <c r="AE497" i="3"/>
  <c r="I495" i="3"/>
  <c r="F495" i="3"/>
  <c r="AP495" i="3" s="1"/>
  <c r="Y495" i="3"/>
  <c r="L495" i="3"/>
  <c r="AE495" i="3"/>
  <c r="M495" i="3"/>
  <c r="AF495" i="3"/>
  <c r="I493" i="3"/>
  <c r="Q493" i="3"/>
  <c r="AF493" i="3"/>
  <c r="K493" i="3"/>
  <c r="AD493" i="3"/>
  <c r="L493" i="3"/>
  <c r="AE493" i="3"/>
  <c r="K485" i="3"/>
  <c r="N485" i="3"/>
  <c r="AN485" i="3"/>
  <c r="M485" i="3"/>
  <c r="V485" i="3"/>
  <c r="K473" i="3"/>
  <c r="V473" i="3"/>
  <c r="M473" i="3"/>
  <c r="N473" i="3"/>
  <c r="AC443" i="3"/>
  <c r="I430" i="3"/>
  <c r="W430" i="3"/>
  <c r="AF430" i="3"/>
  <c r="AG430" i="3"/>
  <c r="M399" i="3"/>
  <c r="P399" i="3"/>
  <c r="AN399" i="3"/>
  <c r="L399" i="3"/>
  <c r="AA399" i="3"/>
  <c r="AL399" i="3"/>
  <c r="BJ399" i="3" s="1"/>
  <c r="B360" i="3"/>
  <c r="AA360" i="3"/>
  <c r="AE360" i="3"/>
  <c r="AG360" i="3"/>
  <c r="J360" i="3"/>
  <c r="L360" i="3"/>
  <c r="Q360" i="3"/>
  <c r="X360" i="3"/>
  <c r="F333" i="3"/>
  <c r="AP333" i="3" s="1"/>
  <c r="P333" i="3"/>
  <c r="AF333" i="3"/>
  <c r="B333" i="3"/>
  <c r="Y333" i="3"/>
  <c r="L333" i="3"/>
  <c r="AA333" i="3"/>
  <c r="M333" i="3"/>
  <c r="AC333" i="3"/>
  <c r="N333" i="3"/>
  <c r="AO333" i="3"/>
  <c r="Q333" i="3"/>
  <c r="W333" i="3"/>
  <c r="Z333" i="3"/>
  <c r="AG333" i="3"/>
  <c r="X333" i="3"/>
  <c r="AL333" i="3"/>
  <c r="BJ333" i="3" s="1"/>
  <c r="AM333" i="3"/>
  <c r="K333" i="3"/>
  <c r="B356" i="3"/>
  <c r="AC356" i="3"/>
  <c r="J356" i="3"/>
  <c r="AG356" i="3"/>
  <c r="L356" i="3"/>
  <c r="AO356" i="3"/>
  <c r="P356" i="3"/>
  <c r="V356" i="3"/>
  <c r="X356" i="3"/>
  <c r="AE356" i="3"/>
  <c r="Q327" i="3"/>
  <c r="F327" i="3"/>
  <c r="AP327" i="3" s="1"/>
  <c r="R327" i="3"/>
  <c r="AD536" i="3"/>
  <c r="R536" i="3"/>
  <c r="F536" i="3"/>
  <c r="AP536" i="3" s="1"/>
  <c r="AG535" i="3"/>
  <c r="V535" i="3"/>
  <c r="F535" i="3"/>
  <c r="AP535" i="3" s="1"/>
  <c r="AB532" i="3"/>
  <c r="Q532" i="3"/>
  <c r="AE531" i="3"/>
  <c r="R531" i="3"/>
  <c r="AD526" i="3"/>
  <c r="R526" i="3"/>
  <c r="F526" i="3"/>
  <c r="AP526" i="3" s="1"/>
  <c r="AG525" i="3"/>
  <c r="V525" i="3"/>
  <c r="F525" i="3"/>
  <c r="AP525" i="3" s="1"/>
  <c r="AG524" i="3"/>
  <c r="X524" i="3"/>
  <c r="L524" i="3"/>
  <c r="AN523" i="3"/>
  <c r="Z523" i="3"/>
  <c r="M523" i="3"/>
  <c r="AB516" i="3"/>
  <c r="Q516" i="3"/>
  <c r="AF514" i="3"/>
  <c r="R514" i="3"/>
  <c r="AM511" i="3"/>
  <c r="V511" i="3"/>
  <c r="V510" i="3"/>
  <c r="V509" i="3"/>
  <c r="R508" i="3"/>
  <c r="V507" i="3"/>
  <c r="V506" i="3"/>
  <c r="V505" i="3"/>
  <c r="R504" i="3"/>
  <c r="V503" i="3"/>
  <c r="AM501" i="3"/>
  <c r="K501" i="3"/>
  <c r="I500" i="3"/>
  <c r="V500" i="3"/>
  <c r="AN500" i="3"/>
  <c r="L500" i="3"/>
  <c r="AE500" i="3"/>
  <c r="X499" i="3"/>
  <c r="Q498" i="3"/>
  <c r="Y497" i="3"/>
  <c r="M496" i="3"/>
  <c r="AA495" i="3"/>
  <c r="Q494" i="3"/>
  <c r="Y493" i="3"/>
  <c r="W492" i="3"/>
  <c r="N491" i="3"/>
  <c r="AE485" i="3"/>
  <c r="K483" i="3"/>
  <c r="I483" i="3"/>
  <c r="AG483" i="3"/>
  <c r="AD483" i="3"/>
  <c r="AE483" i="3"/>
  <c r="AE477" i="3"/>
  <c r="AG473" i="3"/>
  <c r="I467" i="3"/>
  <c r="P467" i="3"/>
  <c r="AE467" i="3"/>
  <c r="J467" i="3"/>
  <c r="Y467" i="3"/>
  <c r="K467" i="3"/>
  <c r="AB467" i="3"/>
  <c r="I436" i="3"/>
  <c r="AF427" i="3"/>
  <c r="R427" i="3"/>
  <c r="W427" i="3"/>
  <c r="AE427" i="3"/>
  <c r="AG427" i="3"/>
  <c r="U418" i="3"/>
  <c r="I406" i="3"/>
  <c r="N406" i="3"/>
  <c r="AB406" i="3"/>
  <c r="P406" i="3"/>
  <c r="AC406" i="3"/>
  <c r="B406" i="3"/>
  <c r="W406" i="3"/>
  <c r="AM406" i="3"/>
  <c r="F406" i="3"/>
  <c r="AP406" i="3" s="1"/>
  <c r="Y406" i="3"/>
  <c r="AN406" i="3"/>
  <c r="M406" i="3"/>
  <c r="Q406" i="3"/>
  <c r="R406" i="3"/>
  <c r="Z406" i="3"/>
  <c r="AA406" i="3"/>
  <c r="Q377" i="3"/>
  <c r="AB536" i="3"/>
  <c r="Q536" i="3"/>
  <c r="AE535" i="3"/>
  <c r="R535" i="3"/>
  <c r="AB526" i="3"/>
  <c r="Q526" i="3"/>
  <c r="AE525" i="3"/>
  <c r="R525" i="3"/>
  <c r="AF524" i="3"/>
  <c r="W524" i="3"/>
  <c r="K524" i="3"/>
  <c r="AM523" i="3"/>
  <c r="Y523" i="3"/>
  <c r="L523" i="3"/>
  <c r="I514" i="3"/>
  <c r="V514" i="3"/>
  <c r="AE514" i="3"/>
  <c r="AL511" i="3"/>
  <c r="BJ511" i="3" s="1"/>
  <c r="R511" i="3"/>
  <c r="AN510" i="3"/>
  <c r="R510" i="3"/>
  <c r="AN509" i="3"/>
  <c r="R509" i="3"/>
  <c r="AM508" i="3"/>
  <c r="Q508" i="3"/>
  <c r="AN507" i="3"/>
  <c r="R507" i="3"/>
  <c r="AN506" i="3"/>
  <c r="R506" i="3"/>
  <c r="AN505" i="3"/>
  <c r="R505" i="3"/>
  <c r="AM504" i="3"/>
  <c r="Q504" i="3"/>
  <c r="AN503" i="3"/>
  <c r="R503" i="3"/>
  <c r="AD501" i="3"/>
  <c r="V499" i="3"/>
  <c r="AN498" i="3"/>
  <c r="X497" i="3"/>
  <c r="AM496" i="3"/>
  <c r="X495" i="3"/>
  <c r="AN494" i="3"/>
  <c r="X493" i="3"/>
  <c r="K487" i="3"/>
  <c r="L487" i="3"/>
  <c r="AE487" i="3"/>
  <c r="N487" i="3"/>
  <c r="V487" i="3"/>
  <c r="AD485" i="3"/>
  <c r="V477" i="3"/>
  <c r="K475" i="3"/>
  <c r="V475" i="3"/>
  <c r="N475" i="3"/>
  <c r="W475" i="3"/>
  <c r="AE473" i="3"/>
  <c r="AN470" i="3"/>
  <c r="I470" i="3"/>
  <c r="L470" i="3"/>
  <c r="AN456" i="3"/>
  <c r="AF448" i="3"/>
  <c r="P448" i="3"/>
  <c r="W448" i="3"/>
  <c r="AC448" i="3"/>
  <c r="AE448" i="3"/>
  <c r="R429" i="3"/>
  <c r="I429" i="3"/>
  <c r="AE429" i="3"/>
  <c r="AF429" i="3"/>
  <c r="AG429" i="3"/>
  <c r="M417" i="3"/>
  <c r="R417" i="3"/>
  <c r="AG417" i="3"/>
  <c r="J417" i="3"/>
  <c r="Z417" i="3"/>
  <c r="L417" i="3"/>
  <c r="B417" i="3"/>
  <c r="AC417" i="3"/>
  <c r="I417" i="3"/>
  <c r="AE417" i="3"/>
  <c r="N417" i="3"/>
  <c r="AL417" i="3"/>
  <c r="BJ417" i="3" s="1"/>
  <c r="P417" i="3"/>
  <c r="AN417" i="3"/>
  <c r="AE524" i="3"/>
  <c r="V524" i="3"/>
  <c r="AL523" i="3"/>
  <c r="BJ523" i="3" s="1"/>
  <c r="X523" i="3"/>
  <c r="AG511" i="3"/>
  <c r="Q511" i="3"/>
  <c r="AM510" i="3"/>
  <c r="Q510" i="3"/>
  <c r="AM509" i="3"/>
  <c r="M509" i="3"/>
  <c r="AF508" i="3"/>
  <c r="M508" i="3"/>
  <c r="AM507" i="3"/>
  <c r="Q507" i="3"/>
  <c r="AM506" i="3"/>
  <c r="Q506" i="3"/>
  <c r="AM505" i="3"/>
  <c r="M505" i="3"/>
  <c r="AF504" i="3"/>
  <c r="M504" i="3"/>
  <c r="AM503" i="3"/>
  <c r="Q503" i="3"/>
  <c r="I501" i="3"/>
  <c r="Q501" i="3"/>
  <c r="AF501" i="3"/>
  <c r="L501" i="3"/>
  <c r="AE501" i="3"/>
  <c r="R499" i="3"/>
  <c r="I498" i="3"/>
  <c r="L498" i="3"/>
  <c r="AD498" i="3"/>
  <c r="K498" i="3"/>
  <c r="AE498" i="3"/>
  <c r="M498" i="3"/>
  <c r="AF498" i="3"/>
  <c r="V497" i="3"/>
  <c r="I496" i="3"/>
  <c r="V496" i="3"/>
  <c r="AN496" i="3"/>
  <c r="K496" i="3"/>
  <c r="AD496" i="3"/>
  <c r="L496" i="3"/>
  <c r="AE496" i="3"/>
  <c r="V495" i="3"/>
  <c r="I494" i="3"/>
  <c r="L494" i="3"/>
  <c r="AD494" i="3"/>
  <c r="K494" i="3"/>
  <c r="AE494" i="3"/>
  <c r="M494" i="3"/>
  <c r="AF494" i="3"/>
  <c r="V493" i="3"/>
  <c r="K491" i="3"/>
  <c r="X491" i="3"/>
  <c r="L491" i="3"/>
  <c r="AG491" i="3"/>
  <c r="M491" i="3"/>
  <c r="AN491" i="3"/>
  <c r="AB485" i="3"/>
  <c r="N477" i="3"/>
  <c r="AD473" i="3"/>
  <c r="AD456" i="3"/>
  <c r="P436" i="3"/>
  <c r="AC436" i="3"/>
  <c r="W436" i="3"/>
  <c r="AE436" i="3"/>
  <c r="AF436" i="3"/>
  <c r="R424" i="3"/>
  <c r="AG424" i="3"/>
  <c r="I419" i="3"/>
  <c r="Y419" i="3"/>
  <c r="W419" i="3"/>
  <c r="AN419" i="3"/>
  <c r="AO419" i="3"/>
  <c r="M418" i="3"/>
  <c r="J418" i="3"/>
  <c r="Z418" i="3"/>
  <c r="R418" i="3"/>
  <c r="AG418" i="3"/>
  <c r="I418" i="3"/>
  <c r="AC418" i="3"/>
  <c r="L418" i="3"/>
  <c r="AE418" i="3"/>
  <c r="N418" i="3"/>
  <c r="AL418" i="3"/>
  <c r="BJ418" i="3" s="1"/>
  <c r="P418" i="3"/>
  <c r="AN418" i="3"/>
  <c r="I394" i="3"/>
  <c r="B394" i="3"/>
  <c r="W394" i="3"/>
  <c r="AM394" i="3"/>
  <c r="F394" i="3"/>
  <c r="AP394" i="3" s="1"/>
  <c r="Y394" i="3"/>
  <c r="AN394" i="3"/>
  <c r="N394" i="3"/>
  <c r="AB394" i="3"/>
  <c r="P394" i="3"/>
  <c r="AC394" i="3"/>
  <c r="M394" i="3"/>
  <c r="Q394" i="3"/>
  <c r="R394" i="3"/>
  <c r="Z394" i="3"/>
  <c r="AA394" i="3"/>
  <c r="J377" i="3"/>
  <c r="B377" i="3"/>
  <c r="AA377" i="3"/>
  <c r="F377" i="3"/>
  <c r="AP377" i="3" s="1"/>
  <c r="AG377" i="3"/>
  <c r="M377" i="3"/>
  <c r="AL377" i="3"/>
  <c r="BJ377" i="3" s="1"/>
  <c r="U377" i="3"/>
  <c r="X377" i="3"/>
  <c r="Y377" i="3"/>
  <c r="AF377" i="3"/>
  <c r="AM377" i="3"/>
  <c r="AO377" i="3"/>
  <c r="J342" i="3"/>
  <c r="AO342" i="3"/>
  <c r="P342" i="3"/>
  <c r="AE342" i="3"/>
  <c r="N258" i="3"/>
  <c r="AG258" i="3"/>
  <c r="K258" i="3"/>
  <c r="AA258" i="3"/>
  <c r="L258" i="3"/>
  <c r="AE258" i="3"/>
  <c r="M258" i="3"/>
  <c r="AL258" i="3"/>
  <c r="BJ258" i="3" s="1"/>
  <c r="V258" i="3"/>
  <c r="AM258" i="3"/>
  <c r="W258" i="3"/>
  <c r="AN258" i="3"/>
  <c r="X258" i="3"/>
  <c r="Y258" i="3"/>
  <c r="Z258" i="3"/>
  <c r="I400" i="3"/>
  <c r="F400" i="3"/>
  <c r="AP400" i="3" s="1"/>
  <c r="Y400" i="3"/>
  <c r="AN400" i="3"/>
  <c r="J400" i="3"/>
  <c r="Z400" i="3"/>
  <c r="AO400" i="3"/>
  <c r="P400" i="3"/>
  <c r="AC400" i="3"/>
  <c r="Q400" i="3"/>
  <c r="AF400" i="3"/>
  <c r="B380" i="3"/>
  <c r="Y380" i="3"/>
  <c r="F380" i="3"/>
  <c r="AP380" i="3" s="1"/>
  <c r="AF380" i="3"/>
  <c r="J380" i="3"/>
  <c r="AL380" i="3"/>
  <c r="BJ380" i="3" s="1"/>
  <c r="R380" i="3"/>
  <c r="X380" i="3"/>
  <c r="M376" i="3"/>
  <c r="AC376" i="3"/>
  <c r="B376" i="3"/>
  <c r="AA376" i="3"/>
  <c r="J376" i="3"/>
  <c r="AF376" i="3"/>
  <c r="Q376" i="3"/>
  <c r="AM376" i="3"/>
  <c r="U376" i="3"/>
  <c r="U362" i="3"/>
  <c r="AO362" i="3"/>
  <c r="F362" i="3"/>
  <c r="AP362" i="3" s="1"/>
  <c r="AC362" i="3"/>
  <c r="J362" i="3"/>
  <c r="AF362" i="3"/>
  <c r="Q362" i="3"/>
  <c r="X362" i="3"/>
  <c r="F347" i="3"/>
  <c r="AP347" i="3" s="1"/>
  <c r="Q347" i="3"/>
  <c r="AG347" i="3"/>
  <c r="K347" i="3"/>
  <c r="Y347" i="3"/>
  <c r="AO347" i="3"/>
  <c r="B347" i="3"/>
  <c r="AA347" i="3"/>
  <c r="L347" i="3"/>
  <c r="AC347" i="3"/>
  <c r="M347" i="3"/>
  <c r="AF347" i="3"/>
  <c r="P347" i="3"/>
  <c r="AM347" i="3"/>
  <c r="W347" i="3"/>
  <c r="AE332" i="3"/>
  <c r="AA332" i="3"/>
  <c r="AG314" i="3"/>
  <c r="V314" i="3"/>
  <c r="W314" i="3"/>
  <c r="Y314" i="3"/>
  <c r="AL314" i="3"/>
  <c r="BJ314" i="3" s="1"/>
  <c r="F314" i="3"/>
  <c r="AP314" i="3" s="1"/>
  <c r="K314" i="3"/>
  <c r="B421" i="3"/>
  <c r="U421" i="3"/>
  <c r="I402" i="3"/>
  <c r="N402" i="3"/>
  <c r="AB402" i="3"/>
  <c r="P402" i="3"/>
  <c r="AC402" i="3"/>
  <c r="B402" i="3"/>
  <c r="W402" i="3"/>
  <c r="AM402" i="3"/>
  <c r="F402" i="3"/>
  <c r="AP402" i="3" s="1"/>
  <c r="Y402" i="3"/>
  <c r="AN402" i="3"/>
  <c r="AB400" i="3"/>
  <c r="N387" i="3"/>
  <c r="P387" i="3"/>
  <c r="AB387" i="3"/>
  <c r="Q387" i="3"/>
  <c r="AC387" i="3"/>
  <c r="F387" i="3"/>
  <c r="AP387" i="3" s="1"/>
  <c r="X387" i="3"/>
  <c r="AL387" i="3"/>
  <c r="BJ387" i="3" s="1"/>
  <c r="I387" i="3"/>
  <c r="Y387" i="3"/>
  <c r="AM387" i="3"/>
  <c r="F361" i="3"/>
  <c r="AP361" i="3" s="1"/>
  <c r="M361" i="3"/>
  <c r="AA361" i="3"/>
  <c r="P361" i="3"/>
  <c r="AG361" i="3"/>
  <c r="Q361" i="3"/>
  <c r="AL361" i="3"/>
  <c r="BJ361" i="3" s="1"/>
  <c r="W361" i="3"/>
  <c r="AM361" i="3"/>
  <c r="B361" i="3"/>
  <c r="Y361" i="3"/>
  <c r="AO361" i="3"/>
  <c r="K361" i="3"/>
  <c r="Z361" i="3"/>
  <c r="F325" i="3"/>
  <c r="AP325" i="3" s="1"/>
  <c r="Y325" i="3"/>
  <c r="AN325" i="3"/>
  <c r="B325" i="3"/>
  <c r="Z325" i="3"/>
  <c r="M325" i="3"/>
  <c r="AB325" i="3"/>
  <c r="N325" i="3"/>
  <c r="AD325" i="3"/>
  <c r="W325" i="3"/>
  <c r="AA325" i="3"/>
  <c r="AF325" i="3"/>
  <c r="K325" i="3"/>
  <c r="AM325" i="3"/>
  <c r="P325" i="3"/>
  <c r="L472" i="3"/>
  <c r="W472" i="3"/>
  <c r="AD468" i="3"/>
  <c r="P466" i="3"/>
  <c r="AN466" i="3"/>
  <c r="Y465" i="3"/>
  <c r="AN462" i="3"/>
  <c r="I462" i="3"/>
  <c r="W447" i="3"/>
  <c r="I444" i="3"/>
  <c r="I440" i="3"/>
  <c r="AE440" i="3"/>
  <c r="R425" i="3"/>
  <c r="AN422" i="3"/>
  <c r="J422" i="3"/>
  <c r="AN410" i="3"/>
  <c r="M408" i="3"/>
  <c r="AF402" i="3"/>
  <c r="AA400" i="3"/>
  <c r="L393" i="3"/>
  <c r="M393" i="3"/>
  <c r="AL393" i="3"/>
  <c r="BJ393" i="3" s="1"/>
  <c r="AN393" i="3"/>
  <c r="AN391" i="3"/>
  <c r="M391" i="3"/>
  <c r="P391" i="3"/>
  <c r="AA387" i="3"/>
  <c r="AO380" i="3"/>
  <c r="F379" i="3"/>
  <c r="AP379" i="3" s="1"/>
  <c r="Q379" i="3"/>
  <c r="AL376" i="3"/>
  <c r="BJ376" i="3" s="1"/>
  <c r="AF371" i="3"/>
  <c r="Q368" i="3"/>
  <c r="M365" i="3"/>
  <c r="N365" i="3"/>
  <c r="J365" i="3"/>
  <c r="U365" i="3"/>
  <c r="AA365" i="3"/>
  <c r="AC365" i="3"/>
  <c r="AM362" i="3"/>
  <c r="F357" i="3"/>
  <c r="AP357" i="3" s="1"/>
  <c r="L357" i="3"/>
  <c r="Z357" i="3"/>
  <c r="P357" i="3"/>
  <c r="AG357" i="3"/>
  <c r="Q357" i="3"/>
  <c r="AL357" i="3"/>
  <c r="BJ357" i="3" s="1"/>
  <c r="W357" i="3"/>
  <c r="AM357" i="3"/>
  <c r="B357" i="3"/>
  <c r="Y357" i="3"/>
  <c r="K357" i="3"/>
  <c r="AA357" i="3"/>
  <c r="J348" i="3"/>
  <c r="AA348" i="3"/>
  <c r="L348" i="3"/>
  <c r="AC348" i="3"/>
  <c r="AG348" i="3"/>
  <c r="F343" i="3"/>
  <c r="AP343" i="3" s="1"/>
  <c r="P343" i="3"/>
  <c r="AF343" i="3"/>
  <c r="B343" i="3"/>
  <c r="X343" i="3"/>
  <c r="AM343" i="3"/>
  <c r="Q343" i="3"/>
  <c r="AO343" i="3"/>
  <c r="W343" i="3"/>
  <c r="Y343" i="3"/>
  <c r="K343" i="3"/>
  <c r="AA343" i="3"/>
  <c r="L343" i="3"/>
  <c r="AC343" i="3"/>
  <c r="I468" i="3"/>
  <c r="AC468" i="3"/>
  <c r="I465" i="3"/>
  <c r="B465" i="3"/>
  <c r="W465" i="3"/>
  <c r="AL465" i="3"/>
  <c r="BJ465" i="3" s="1"/>
  <c r="AD462" i="3"/>
  <c r="B462" i="3"/>
  <c r="AL422" i="3"/>
  <c r="BJ422" i="3" s="1"/>
  <c r="M415" i="3"/>
  <c r="R415" i="3"/>
  <c r="AG415" i="3"/>
  <c r="J415" i="3"/>
  <c r="Z415" i="3"/>
  <c r="L415" i="3"/>
  <c r="AB415" i="3"/>
  <c r="I410" i="3"/>
  <c r="N410" i="3"/>
  <c r="AB410" i="3"/>
  <c r="P410" i="3"/>
  <c r="AC410" i="3"/>
  <c r="B410" i="3"/>
  <c r="W410" i="3"/>
  <c r="AL410" i="3"/>
  <c r="BJ410" i="3" s="1"/>
  <c r="F410" i="3"/>
  <c r="AP410" i="3" s="1"/>
  <c r="Y410" i="3"/>
  <c r="AM410" i="3"/>
  <c r="AO408" i="3"/>
  <c r="AA402" i="3"/>
  <c r="W400" i="3"/>
  <c r="B389" i="3"/>
  <c r="I389" i="3"/>
  <c r="AC389" i="3"/>
  <c r="M389" i="3"/>
  <c r="AG389" i="3"/>
  <c r="U389" i="3"/>
  <c r="X389" i="3"/>
  <c r="Z387" i="3"/>
  <c r="AM380" i="3"/>
  <c r="AG376" i="3"/>
  <c r="AG362" i="3"/>
  <c r="AN361" i="3"/>
  <c r="AE453" i="3"/>
  <c r="U453" i="3"/>
  <c r="B447" i="3"/>
  <c r="P447" i="3"/>
  <c r="AC444" i="3"/>
  <c r="P444" i="3"/>
  <c r="AG425" i="3"/>
  <c r="I425" i="3"/>
  <c r="I422" i="3"/>
  <c r="L422" i="3"/>
  <c r="AE422" i="3"/>
  <c r="W422" i="3"/>
  <c r="I408" i="3"/>
  <c r="B408" i="3"/>
  <c r="W408" i="3"/>
  <c r="AM408" i="3"/>
  <c r="F408" i="3"/>
  <c r="AP408" i="3" s="1"/>
  <c r="Y408" i="3"/>
  <c r="AN408" i="3"/>
  <c r="N408" i="3"/>
  <c r="AB408" i="3"/>
  <c r="P408" i="3"/>
  <c r="AC408" i="3"/>
  <c r="Z402" i="3"/>
  <c r="R400" i="3"/>
  <c r="U387" i="3"/>
  <c r="AC380" i="3"/>
  <c r="Z376" i="3"/>
  <c r="F371" i="3"/>
  <c r="AP371" i="3" s="1"/>
  <c r="U371" i="3"/>
  <c r="AO371" i="3"/>
  <c r="N371" i="3"/>
  <c r="Y371" i="3"/>
  <c r="X368" i="3"/>
  <c r="Y368" i="3"/>
  <c r="AA368" i="3"/>
  <c r="M368" i="3"/>
  <c r="AM368" i="3"/>
  <c r="N368" i="3"/>
  <c r="AO368" i="3"/>
  <c r="AA362" i="3"/>
  <c r="AF361" i="3"/>
  <c r="AL347" i="3"/>
  <c r="BJ347" i="3" s="1"/>
  <c r="B342" i="3"/>
  <c r="I258" i="3"/>
  <c r="AB413" i="3"/>
  <c r="L413" i="3"/>
  <c r="AB411" i="3"/>
  <c r="L411" i="3"/>
  <c r="AA398" i="3"/>
  <c r="M398" i="3"/>
  <c r="AA397" i="3"/>
  <c r="Q388" i="3"/>
  <c r="N385" i="3"/>
  <c r="AB385" i="3"/>
  <c r="AA366" i="3"/>
  <c r="F364" i="3"/>
  <c r="AP364" i="3" s="1"/>
  <c r="Y364" i="3"/>
  <c r="F363" i="3"/>
  <c r="AP363" i="3" s="1"/>
  <c r="AG363" i="3"/>
  <c r="AC359" i="3"/>
  <c r="M359" i="3"/>
  <c r="V354" i="3"/>
  <c r="J350" i="3"/>
  <c r="AG350" i="3"/>
  <c r="L350" i="3"/>
  <c r="Z349" i="3"/>
  <c r="F345" i="3"/>
  <c r="AP345" i="3" s="1"/>
  <c r="P345" i="3"/>
  <c r="AF345" i="3"/>
  <c r="B345" i="3"/>
  <c r="X345" i="3"/>
  <c r="AM345" i="3"/>
  <c r="F339" i="3"/>
  <c r="AP339" i="3" s="1"/>
  <c r="P339" i="3"/>
  <c r="AF339" i="3"/>
  <c r="B339" i="3"/>
  <c r="X339" i="3"/>
  <c r="AM339" i="3"/>
  <c r="AO335" i="3"/>
  <c r="V334" i="3"/>
  <c r="M315" i="3"/>
  <c r="F312" i="3"/>
  <c r="AP312" i="3" s="1"/>
  <c r="V312" i="3"/>
  <c r="AN312" i="3"/>
  <c r="I312" i="3"/>
  <c r="AA312" i="3"/>
  <c r="K312" i="3"/>
  <c r="AD312" i="3"/>
  <c r="L312" i="3"/>
  <c r="AE312" i="3"/>
  <c r="M312" i="3"/>
  <c r="AF312" i="3"/>
  <c r="K302" i="3"/>
  <c r="F302" i="3"/>
  <c r="AP302" i="3" s="1"/>
  <c r="AG302" i="3"/>
  <c r="R302" i="3"/>
  <c r="W302" i="3"/>
  <c r="X302" i="3"/>
  <c r="Y302" i="3"/>
  <c r="AA291" i="3"/>
  <c r="K287" i="3"/>
  <c r="R287" i="3"/>
  <c r="AA287" i="3"/>
  <c r="AD287" i="3"/>
  <c r="F281" i="3"/>
  <c r="AP281" i="3" s="1"/>
  <c r="AN279" i="3"/>
  <c r="F134" i="3"/>
  <c r="AP134" i="3" s="1"/>
  <c r="AC134" i="3"/>
  <c r="B134" i="3"/>
  <c r="AN134" i="3"/>
  <c r="M134" i="3"/>
  <c r="AO134" i="3"/>
  <c r="U134" i="3"/>
  <c r="P134" i="3"/>
  <c r="Y134" i="3"/>
  <c r="AE134" i="3"/>
  <c r="R134" i="3"/>
  <c r="AG416" i="3"/>
  <c r="R416" i="3"/>
  <c r="AG414" i="3"/>
  <c r="R414" i="3"/>
  <c r="Z413" i="3"/>
  <c r="J413" i="3"/>
  <c r="AG412" i="3"/>
  <c r="R412" i="3"/>
  <c r="Z411" i="3"/>
  <c r="J411" i="3"/>
  <c r="AO398" i="3"/>
  <c r="Z398" i="3"/>
  <c r="J398" i="3"/>
  <c r="AF390" i="3"/>
  <c r="Q390" i="3"/>
  <c r="AO388" i="3"/>
  <c r="N388" i="3"/>
  <c r="AM385" i="3"/>
  <c r="R385" i="3"/>
  <c r="I382" i="3"/>
  <c r="B382" i="3"/>
  <c r="Y382" i="3"/>
  <c r="M370" i="3"/>
  <c r="AF370" i="3"/>
  <c r="Y366" i="3"/>
  <c r="AM364" i="3"/>
  <c r="AA359" i="3"/>
  <c r="F355" i="3"/>
  <c r="AP355" i="3" s="1"/>
  <c r="P355" i="3"/>
  <c r="AF355" i="3"/>
  <c r="F349" i="3"/>
  <c r="AP349" i="3" s="1"/>
  <c r="M349" i="3"/>
  <c r="AA349" i="3"/>
  <c r="Q349" i="3"/>
  <c r="AG349" i="3"/>
  <c r="J340" i="3"/>
  <c r="AA340" i="3"/>
  <c r="AL313" i="3"/>
  <c r="BJ313" i="3" s="1"/>
  <c r="P313" i="3"/>
  <c r="R313" i="3"/>
  <c r="AB313" i="3"/>
  <c r="AD313" i="3"/>
  <c r="F308" i="3"/>
  <c r="AP308" i="3" s="1"/>
  <c r="L308" i="3"/>
  <c r="R308" i="3"/>
  <c r="X308" i="3"/>
  <c r="AD308" i="3"/>
  <c r="AF308" i="3"/>
  <c r="N291" i="3"/>
  <c r="R259" i="3"/>
  <c r="P259" i="3"/>
  <c r="AD259" i="3"/>
  <c r="AF259" i="3"/>
  <c r="AN248" i="3"/>
  <c r="W248" i="3"/>
  <c r="X248" i="3"/>
  <c r="Y248" i="3"/>
  <c r="I246" i="3"/>
  <c r="AA246" i="3"/>
  <c r="L246" i="3"/>
  <c r="AG246" i="3"/>
  <c r="M246" i="3"/>
  <c r="AN246" i="3"/>
  <c r="P246" i="3"/>
  <c r="W246" i="3"/>
  <c r="X246" i="3"/>
  <c r="Y246" i="3"/>
  <c r="J196" i="3"/>
  <c r="W196" i="3"/>
  <c r="AG196" i="3"/>
  <c r="Q196" i="3"/>
  <c r="AE196" i="3"/>
  <c r="F196" i="3"/>
  <c r="AP196" i="3" s="1"/>
  <c r="X196" i="3"/>
  <c r="AO196" i="3"/>
  <c r="K196" i="3"/>
  <c r="Z196" i="3"/>
  <c r="B196" i="3"/>
  <c r="AD196" i="3"/>
  <c r="P196" i="3"/>
  <c r="U196" i="3"/>
  <c r="L196" i="3"/>
  <c r="N196" i="3"/>
  <c r="V196" i="3"/>
  <c r="AA196" i="3"/>
  <c r="AC196" i="3"/>
  <c r="AF196" i="3"/>
  <c r="B315" i="3"/>
  <c r="Z315" i="3"/>
  <c r="P315" i="3"/>
  <c r="R315" i="3"/>
  <c r="AA315" i="3"/>
  <c r="AD315" i="3"/>
  <c r="K281" i="3"/>
  <c r="AA281" i="3"/>
  <c r="I281" i="3"/>
  <c r="AB281" i="3"/>
  <c r="N281" i="3"/>
  <c r="AD281" i="3"/>
  <c r="P281" i="3"/>
  <c r="AE281" i="3"/>
  <c r="Q281" i="3"/>
  <c r="AF281" i="3"/>
  <c r="F359" i="3"/>
  <c r="AP359" i="3" s="1"/>
  <c r="B359" i="3"/>
  <c r="X359" i="3"/>
  <c r="AM359" i="3"/>
  <c r="AC334" i="3"/>
  <c r="B334" i="3"/>
  <c r="AO334" i="3"/>
  <c r="J334" i="3"/>
  <c r="AM281" i="3"/>
  <c r="Q257" i="3"/>
  <c r="AM257" i="3"/>
  <c r="B257" i="3"/>
  <c r="AA257" i="3"/>
  <c r="F257" i="3"/>
  <c r="AP257" i="3" s="1"/>
  <c r="AB257" i="3"/>
  <c r="K257" i="3"/>
  <c r="AD257" i="3"/>
  <c r="N257" i="3"/>
  <c r="AF257" i="3"/>
  <c r="P257" i="3"/>
  <c r="AN257" i="3"/>
  <c r="R257" i="3"/>
  <c r="B243" i="3"/>
  <c r="AA243" i="3"/>
  <c r="K243" i="3"/>
  <c r="P243" i="3"/>
  <c r="Q243" i="3"/>
  <c r="R243" i="3"/>
  <c r="AD243" i="3"/>
  <c r="AF243" i="3"/>
  <c r="N210" i="3"/>
  <c r="Q210" i="3"/>
  <c r="AC210" i="3"/>
  <c r="B210" i="3"/>
  <c r="U210" i="3"/>
  <c r="AA210" i="3"/>
  <c r="AD210" i="3"/>
  <c r="AE210" i="3"/>
  <c r="AO359" i="3"/>
  <c r="W359" i="3"/>
  <c r="L354" i="3"/>
  <c r="AO354" i="3"/>
  <c r="F335" i="3"/>
  <c r="AP335" i="3" s="1"/>
  <c r="M335" i="3"/>
  <c r="AA335" i="3"/>
  <c r="P335" i="3"/>
  <c r="AF335" i="3"/>
  <c r="Q335" i="3"/>
  <c r="AG335" i="3"/>
  <c r="Y312" i="3"/>
  <c r="F311" i="3"/>
  <c r="AP311" i="3" s="1"/>
  <c r="R311" i="3"/>
  <c r="Y311" i="3"/>
  <c r="AF311" i="3"/>
  <c r="AL302" i="3"/>
  <c r="BJ302" i="3" s="1"/>
  <c r="X300" i="3"/>
  <c r="K300" i="3"/>
  <c r="W300" i="3"/>
  <c r="AA300" i="3"/>
  <c r="F297" i="3"/>
  <c r="AP297" i="3" s="1"/>
  <c r="W297" i="3"/>
  <c r="B297" i="3"/>
  <c r="AL297" i="3"/>
  <c r="BJ297" i="3" s="1"/>
  <c r="M297" i="3"/>
  <c r="AN297" i="3"/>
  <c r="P297" i="3"/>
  <c r="Q297" i="3"/>
  <c r="F294" i="3"/>
  <c r="AP294" i="3" s="1"/>
  <c r="Y294" i="3"/>
  <c r="AD294" i="3"/>
  <c r="Z281" i="3"/>
  <c r="F255" i="3"/>
  <c r="AP255" i="3" s="1"/>
  <c r="AF255" i="3"/>
  <c r="K255" i="3"/>
  <c r="P255" i="3"/>
  <c r="R255" i="3"/>
  <c r="W255" i="3"/>
  <c r="Z255" i="3"/>
  <c r="AA255" i="3"/>
  <c r="AB459" i="3"/>
  <c r="L459" i="3"/>
  <c r="Z416" i="3"/>
  <c r="J416" i="3"/>
  <c r="Z414" i="3"/>
  <c r="J414" i="3"/>
  <c r="AG413" i="3"/>
  <c r="R413" i="3"/>
  <c r="Z412" i="3"/>
  <c r="J412" i="3"/>
  <c r="AG411" i="3"/>
  <c r="R411" i="3"/>
  <c r="AF398" i="3"/>
  <c r="Q398" i="3"/>
  <c r="AA396" i="3"/>
  <c r="M396" i="3"/>
  <c r="AO390" i="3"/>
  <c r="Z390" i="3"/>
  <c r="J390" i="3"/>
  <c r="AA388" i="3"/>
  <c r="AA385" i="3"/>
  <c r="J385" i="3"/>
  <c r="P384" i="3"/>
  <c r="AB384" i="3"/>
  <c r="AG382" i="3"/>
  <c r="P382" i="3"/>
  <c r="AO370" i="3"/>
  <c r="Q370" i="3"/>
  <c r="Q364" i="3"/>
  <c r="U363" i="3"/>
  <c r="AL359" i="3"/>
  <c r="BJ359" i="3" s="1"/>
  <c r="Q359" i="3"/>
  <c r="AC355" i="3"/>
  <c r="M355" i="3"/>
  <c r="AC354" i="3"/>
  <c r="V350" i="3"/>
  <c r="AL349" i="3"/>
  <c r="BJ349" i="3" s="1"/>
  <c r="N349" i="3"/>
  <c r="AG345" i="3"/>
  <c r="M345" i="3"/>
  <c r="AC340" i="3"/>
  <c r="AG339" i="3"/>
  <c r="M339" i="3"/>
  <c r="B338" i="3"/>
  <c r="AE338" i="3"/>
  <c r="Y335" i="3"/>
  <c r="P316" i="3"/>
  <c r="AL316" i="3"/>
  <c r="BJ316" i="3" s="1"/>
  <c r="K316" i="3"/>
  <c r="R316" i="3"/>
  <c r="V316" i="3"/>
  <c r="W316" i="3"/>
  <c r="X312" i="3"/>
  <c r="K305" i="3"/>
  <c r="W305" i="3"/>
  <c r="B305" i="3"/>
  <c r="AF302" i="3"/>
  <c r="AF288" i="3"/>
  <c r="Z288" i="3"/>
  <c r="AD288" i="3"/>
  <c r="AE288" i="3"/>
  <c r="AL288" i="3"/>
  <c r="BJ288" i="3" s="1"/>
  <c r="M284" i="3"/>
  <c r="P284" i="3"/>
  <c r="AE284" i="3"/>
  <c r="AF284" i="3"/>
  <c r="AL284" i="3"/>
  <c r="BJ284" i="3" s="1"/>
  <c r="W281" i="3"/>
  <c r="F245" i="3"/>
  <c r="AP245" i="3" s="1"/>
  <c r="AA245" i="3"/>
  <c r="B245" i="3"/>
  <c r="AB245" i="3"/>
  <c r="K245" i="3"/>
  <c r="AD245" i="3"/>
  <c r="N245" i="3"/>
  <c r="AF245" i="3"/>
  <c r="P245" i="3"/>
  <c r="AM245" i="3"/>
  <c r="Q245" i="3"/>
  <c r="AN245" i="3"/>
  <c r="R245" i="3"/>
  <c r="K240" i="3"/>
  <c r="W240" i="3"/>
  <c r="AF240" i="3"/>
  <c r="F239" i="3"/>
  <c r="AP239" i="3" s="1"/>
  <c r="Q239" i="3"/>
  <c r="AM239" i="3"/>
  <c r="B238" i="3"/>
  <c r="Q238" i="3"/>
  <c r="AC238" i="3"/>
  <c r="F229" i="3"/>
  <c r="AP229" i="3" s="1"/>
  <c r="P229" i="3"/>
  <c r="AO229" i="3"/>
  <c r="AD229" i="3"/>
  <c r="L229" i="3"/>
  <c r="Q229" i="3"/>
  <c r="M228" i="3"/>
  <c r="Y228" i="3"/>
  <c r="AL228" i="3"/>
  <c r="BJ228" i="3" s="1"/>
  <c r="P228" i="3"/>
  <c r="AC228" i="3"/>
  <c r="F228" i="3"/>
  <c r="AP228" i="3" s="1"/>
  <c r="V228" i="3"/>
  <c r="AF228" i="3"/>
  <c r="J228" i="3"/>
  <c r="W228" i="3"/>
  <c r="AG228" i="3"/>
  <c r="N164" i="3"/>
  <c r="AA164" i="3"/>
  <c r="AO164" i="3"/>
  <c r="F164" i="3"/>
  <c r="AP164" i="3" s="1"/>
  <c r="W164" i="3"/>
  <c r="AM164" i="3"/>
  <c r="J164" i="3"/>
  <c r="Z164" i="3"/>
  <c r="P164" i="3"/>
  <c r="AC164" i="3"/>
  <c r="B164" i="3"/>
  <c r="AE164" i="3"/>
  <c r="Q164" i="3"/>
  <c r="AN164" i="3"/>
  <c r="R164" i="3"/>
  <c r="AF164" i="3"/>
  <c r="I164" i="3"/>
  <c r="M164" i="3"/>
  <c r="J157" i="3"/>
  <c r="M157" i="3"/>
  <c r="AA157" i="3"/>
  <c r="I157" i="3"/>
  <c r="Z157" i="3"/>
  <c r="N157" i="3"/>
  <c r="AE157" i="3"/>
  <c r="R157" i="3"/>
  <c r="AG157" i="3"/>
  <c r="L157" i="3"/>
  <c r="AN157" i="3"/>
  <c r="P157" i="3"/>
  <c r="W157" i="3"/>
  <c r="Y157" i="3"/>
  <c r="F157" i="3"/>
  <c r="AP157" i="3" s="1"/>
  <c r="AF157" i="3"/>
  <c r="AM157" i="3"/>
  <c r="B108" i="3"/>
  <c r="Z108" i="3"/>
  <c r="I108" i="3"/>
  <c r="AG108" i="3"/>
  <c r="Q108" i="3"/>
  <c r="AO108" i="3"/>
  <c r="R108" i="3"/>
  <c r="U108" i="3"/>
  <c r="Y108" i="3"/>
  <c r="AA108" i="3"/>
  <c r="J108" i="3"/>
  <c r="AN108" i="3"/>
  <c r="AL108" i="3"/>
  <c r="BJ108" i="3" s="1"/>
  <c r="AM108" i="3"/>
  <c r="I268" i="3"/>
  <c r="AA268" i="3"/>
  <c r="Q249" i="3"/>
  <c r="AM249" i="3"/>
  <c r="AF241" i="3"/>
  <c r="AC240" i="3"/>
  <c r="P240" i="3"/>
  <c r="Y239" i="3"/>
  <c r="AD238" i="3"/>
  <c r="P238" i="3"/>
  <c r="X228" i="3"/>
  <c r="AL199" i="3"/>
  <c r="BJ199" i="3" s="1"/>
  <c r="K192" i="3"/>
  <c r="B192" i="3"/>
  <c r="V192" i="3"/>
  <c r="AM192" i="3"/>
  <c r="J192" i="3"/>
  <c r="AA192" i="3"/>
  <c r="P192" i="3"/>
  <c r="AE192" i="3"/>
  <c r="Q192" i="3"/>
  <c r="AG192" i="3"/>
  <c r="N192" i="3"/>
  <c r="Z192" i="3"/>
  <c r="AC192" i="3"/>
  <c r="L187" i="3"/>
  <c r="X187" i="3"/>
  <c r="AG187" i="3"/>
  <c r="B187" i="3"/>
  <c r="Q187" i="3"/>
  <c r="AC187" i="3"/>
  <c r="P187" i="3"/>
  <c r="AE187" i="3"/>
  <c r="F187" i="3"/>
  <c r="AP187" i="3" s="1"/>
  <c r="W187" i="3"/>
  <c r="AM187" i="3"/>
  <c r="J187" i="3"/>
  <c r="Y187" i="3"/>
  <c r="AO187" i="3"/>
  <c r="Z187" i="3"/>
  <c r="K187" i="3"/>
  <c r="AF187" i="3"/>
  <c r="M187" i="3"/>
  <c r="AL187" i="3"/>
  <c r="BJ187" i="3" s="1"/>
  <c r="L186" i="3"/>
  <c r="W185" i="3"/>
  <c r="Q176" i="3"/>
  <c r="F141" i="3"/>
  <c r="AP141" i="3" s="1"/>
  <c r="W141" i="3"/>
  <c r="P141" i="3"/>
  <c r="AL141" i="3"/>
  <c r="BJ141" i="3" s="1"/>
  <c r="J141" i="3"/>
  <c r="AG141" i="3"/>
  <c r="N141" i="3"/>
  <c r="R141" i="3"/>
  <c r="Y141" i="3"/>
  <c r="Z141" i="3"/>
  <c r="AC141" i="3"/>
  <c r="AF141" i="3"/>
  <c r="B116" i="3"/>
  <c r="M116" i="3"/>
  <c r="U116" i="3"/>
  <c r="AA116" i="3"/>
  <c r="AN116" i="3"/>
  <c r="P116" i="3"/>
  <c r="AL116" i="3"/>
  <c r="BJ116" i="3" s="1"/>
  <c r="Z341" i="3"/>
  <c r="L341" i="3"/>
  <c r="Z337" i="3"/>
  <c r="L337" i="3"/>
  <c r="Q336" i="3"/>
  <c r="AA331" i="3"/>
  <c r="Y330" i="3"/>
  <c r="R329" i="3"/>
  <c r="F328" i="3"/>
  <c r="AP328" i="3" s="1"/>
  <c r="K328" i="3"/>
  <c r="AA328" i="3"/>
  <c r="AG326" i="3"/>
  <c r="I318" i="3"/>
  <c r="L318" i="3"/>
  <c r="AE318" i="3"/>
  <c r="Z317" i="3"/>
  <c r="F317" i="3"/>
  <c r="AP317" i="3" s="1"/>
  <c r="F306" i="3"/>
  <c r="AP306" i="3" s="1"/>
  <c r="AG304" i="3"/>
  <c r="AF299" i="3"/>
  <c r="F298" i="3"/>
  <c r="AP298" i="3" s="1"/>
  <c r="K298" i="3"/>
  <c r="AD298" i="3"/>
  <c r="Z293" i="3"/>
  <c r="AL286" i="3"/>
  <c r="BJ286" i="3" s="1"/>
  <c r="X282" i="3"/>
  <c r="AE277" i="3"/>
  <c r="AA274" i="3"/>
  <c r="K274" i="3"/>
  <c r="AB273" i="3"/>
  <c r="B273" i="3"/>
  <c r="R269" i="3"/>
  <c r="AE268" i="3"/>
  <c r="I266" i="3"/>
  <c r="N262" i="3"/>
  <c r="AE262" i="3"/>
  <c r="W256" i="3"/>
  <c r="AG254" i="3"/>
  <c r="L254" i="3"/>
  <c r="AB253" i="3"/>
  <c r="K251" i="3"/>
  <c r="P250" i="3"/>
  <c r="AN250" i="3"/>
  <c r="W249" i="3"/>
  <c r="F247" i="3"/>
  <c r="AP247" i="3" s="1"/>
  <c r="AF247" i="3"/>
  <c r="AL244" i="3"/>
  <c r="BJ244" i="3" s="1"/>
  <c r="M244" i="3"/>
  <c r="AD241" i="3"/>
  <c r="AA240" i="3"/>
  <c r="N240" i="3"/>
  <c r="U239" i="3"/>
  <c r="AA238" i="3"/>
  <c r="N238" i="3"/>
  <c r="J234" i="3"/>
  <c r="V234" i="3"/>
  <c r="AE234" i="3"/>
  <c r="B234" i="3"/>
  <c r="U234" i="3"/>
  <c r="AF234" i="3"/>
  <c r="L234" i="3"/>
  <c r="Y234" i="3"/>
  <c r="AM234" i="3"/>
  <c r="X233" i="3"/>
  <c r="J233" i="3"/>
  <c r="AA233" i="3"/>
  <c r="Y232" i="3"/>
  <c r="AG229" i="3"/>
  <c r="U228" i="3"/>
  <c r="B224" i="3"/>
  <c r="AG224" i="3"/>
  <c r="AD224" i="3"/>
  <c r="F224" i="3"/>
  <c r="AP224" i="3" s="1"/>
  <c r="J224" i="3"/>
  <c r="AC220" i="3"/>
  <c r="U218" i="3"/>
  <c r="V209" i="3"/>
  <c r="Q207" i="3"/>
  <c r="AF207" i="3"/>
  <c r="J207" i="3"/>
  <c r="X207" i="3"/>
  <c r="AM207" i="3"/>
  <c r="K207" i="3"/>
  <c r="AC207" i="3"/>
  <c r="P207" i="3"/>
  <c r="AL207" i="3"/>
  <c r="BJ207" i="3" s="1"/>
  <c r="V207" i="3"/>
  <c r="N201" i="3"/>
  <c r="AC201" i="3"/>
  <c r="Q201" i="3"/>
  <c r="AL201" i="3"/>
  <c r="BJ201" i="3" s="1"/>
  <c r="B201" i="3"/>
  <c r="Y201" i="3"/>
  <c r="J201" i="3"/>
  <c r="AA201" i="3"/>
  <c r="M201" i="3"/>
  <c r="AM201" i="3"/>
  <c r="P201" i="3"/>
  <c r="AO201" i="3"/>
  <c r="AA199" i="3"/>
  <c r="F194" i="3"/>
  <c r="AP194" i="3" s="1"/>
  <c r="V194" i="3"/>
  <c r="AF194" i="3"/>
  <c r="B194" i="3"/>
  <c r="W194" i="3"/>
  <c r="AM194" i="3"/>
  <c r="L194" i="3"/>
  <c r="AA194" i="3"/>
  <c r="N194" i="3"/>
  <c r="AC194" i="3"/>
  <c r="J194" i="3"/>
  <c r="AE194" i="3"/>
  <c r="Q194" i="3"/>
  <c r="U194" i="3"/>
  <c r="K188" i="3"/>
  <c r="F188" i="3"/>
  <c r="AP188" i="3" s="1"/>
  <c r="X188" i="3"/>
  <c r="AO188" i="3"/>
  <c r="P188" i="3"/>
  <c r="AD188" i="3"/>
  <c r="J188" i="3"/>
  <c r="AC188" i="3"/>
  <c r="Q188" i="3"/>
  <c r="AM188" i="3"/>
  <c r="U188" i="3"/>
  <c r="L188" i="3"/>
  <c r="Z188" i="3"/>
  <c r="AA188" i="3"/>
  <c r="N185" i="3"/>
  <c r="P176" i="3"/>
  <c r="AC166" i="3"/>
  <c r="F153" i="3"/>
  <c r="AP153" i="3" s="1"/>
  <c r="Y153" i="3"/>
  <c r="R153" i="3"/>
  <c r="J153" i="3"/>
  <c r="X153" i="3"/>
  <c r="AE153" i="3"/>
  <c r="AM153" i="3"/>
  <c r="B323" i="3"/>
  <c r="K323" i="3"/>
  <c r="Y317" i="3"/>
  <c r="P275" i="3"/>
  <c r="AD275" i="3"/>
  <c r="Z274" i="3"/>
  <c r="Q269" i="3"/>
  <c r="Y268" i="3"/>
  <c r="B267" i="3"/>
  <c r="I267" i="3"/>
  <c r="I264" i="3"/>
  <c r="W264" i="3"/>
  <c r="I256" i="3"/>
  <c r="AF254" i="3"/>
  <c r="F253" i="3"/>
  <c r="AP253" i="3" s="1"/>
  <c r="AA253" i="3"/>
  <c r="R249" i="3"/>
  <c r="AG244" i="3"/>
  <c r="AB241" i="3"/>
  <c r="AO240" i="3"/>
  <c r="Z240" i="3"/>
  <c r="M240" i="3"/>
  <c r="AO239" i="3"/>
  <c r="P239" i="3"/>
  <c r="AO238" i="3"/>
  <c r="Z238" i="3"/>
  <c r="M238" i="3"/>
  <c r="B232" i="3"/>
  <c r="Q232" i="3"/>
  <c r="AC232" i="3"/>
  <c r="J232" i="3"/>
  <c r="W232" i="3"/>
  <c r="AG232" i="3"/>
  <c r="M232" i="3"/>
  <c r="Z232" i="3"/>
  <c r="AO232" i="3"/>
  <c r="AE229" i="3"/>
  <c r="AO228" i="3"/>
  <c r="Q228" i="3"/>
  <c r="N220" i="3"/>
  <c r="AA220" i="3"/>
  <c r="J220" i="3"/>
  <c r="X220" i="3"/>
  <c r="AO220" i="3"/>
  <c r="P220" i="3"/>
  <c r="AD220" i="3"/>
  <c r="Q220" i="3"/>
  <c r="AE220" i="3"/>
  <c r="AO192" i="3"/>
  <c r="K186" i="3"/>
  <c r="N186" i="3"/>
  <c r="AA186" i="3"/>
  <c r="F186" i="3"/>
  <c r="AP186" i="3" s="1"/>
  <c r="V186" i="3"/>
  <c r="AG186" i="3"/>
  <c r="B186" i="3"/>
  <c r="Y186" i="3"/>
  <c r="M186" i="3"/>
  <c r="AD186" i="3"/>
  <c r="P186" i="3"/>
  <c r="AE186" i="3"/>
  <c r="Q186" i="3"/>
  <c r="Z186" i="3"/>
  <c r="AC186" i="3"/>
  <c r="K170" i="3"/>
  <c r="F170" i="3"/>
  <c r="AP170" i="3" s="1"/>
  <c r="V170" i="3"/>
  <c r="AG170" i="3"/>
  <c r="L170" i="3"/>
  <c r="Y170" i="3"/>
  <c r="AM170" i="3"/>
  <c r="N170" i="3"/>
  <c r="AA170" i="3"/>
  <c r="U170" i="3"/>
  <c r="B170" i="3"/>
  <c r="AC170" i="3"/>
  <c r="J170" i="3"/>
  <c r="AD170" i="3"/>
  <c r="AL170" i="3"/>
  <c r="BJ170" i="3" s="1"/>
  <c r="P170" i="3"/>
  <c r="Q170" i="3"/>
  <c r="L169" i="3"/>
  <c r="X169" i="3"/>
  <c r="AG169" i="3"/>
  <c r="N169" i="3"/>
  <c r="Z169" i="3"/>
  <c r="AM169" i="3"/>
  <c r="B169" i="3"/>
  <c r="Q169" i="3"/>
  <c r="AC169" i="3"/>
  <c r="V169" i="3"/>
  <c r="AO169" i="3"/>
  <c r="J169" i="3"/>
  <c r="AA169" i="3"/>
  <c r="K169" i="3"/>
  <c r="AD169" i="3"/>
  <c r="M169" i="3"/>
  <c r="W169" i="3"/>
  <c r="Y169" i="3"/>
  <c r="P317" i="3"/>
  <c r="AD317" i="3"/>
  <c r="Y290" i="3"/>
  <c r="L290" i="3"/>
  <c r="V274" i="3"/>
  <c r="AL274" i="3"/>
  <c r="BJ274" i="3" s="1"/>
  <c r="W268" i="3"/>
  <c r="I254" i="3"/>
  <c r="AA254" i="3"/>
  <c r="AN249" i="3"/>
  <c r="P249" i="3"/>
  <c r="L244" i="3"/>
  <c r="AF244" i="3"/>
  <c r="AA241" i="3"/>
  <c r="AM240" i="3"/>
  <c r="Y240" i="3"/>
  <c r="L240" i="3"/>
  <c r="AE239" i="3"/>
  <c r="N239" i="3"/>
  <c r="AM238" i="3"/>
  <c r="Y238" i="3"/>
  <c r="L238" i="3"/>
  <c r="X229" i="3"/>
  <c r="AM228" i="3"/>
  <c r="N228" i="3"/>
  <c r="P218" i="3"/>
  <c r="AD218" i="3"/>
  <c r="N218" i="3"/>
  <c r="Q218" i="3"/>
  <c r="W209" i="3"/>
  <c r="B209" i="3"/>
  <c r="AF209" i="3"/>
  <c r="AG209" i="3"/>
  <c r="P209" i="3"/>
  <c r="Q209" i="3"/>
  <c r="F185" i="3"/>
  <c r="AP185" i="3" s="1"/>
  <c r="U185" i="3"/>
  <c r="AD185" i="3"/>
  <c r="M185" i="3"/>
  <c r="Y185" i="3"/>
  <c r="AL185" i="3"/>
  <c r="BJ185" i="3" s="1"/>
  <c r="Q185" i="3"/>
  <c r="AF185" i="3"/>
  <c r="J185" i="3"/>
  <c r="X185" i="3"/>
  <c r="AO185" i="3"/>
  <c r="K185" i="3"/>
  <c r="Z185" i="3"/>
  <c r="B185" i="3"/>
  <c r="AE185" i="3"/>
  <c r="P185" i="3"/>
  <c r="V185" i="3"/>
  <c r="K176" i="3"/>
  <c r="B176" i="3"/>
  <c r="U176" i="3"/>
  <c r="AE176" i="3"/>
  <c r="M176" i="3"/>
  <c r="Z176" i="3"/>
  <c r="AO176" i="3"/>
  <c r="V176" i="3"/>
  <c r="AM176" i="3"/>
  <c r="J176" i="3"/>
  <c r="AA176" i="3"/>
  <c r="L176" i="3"/>
  <c r="AC176" i="3"/>
  <c r="N176" i="3"/>
  <c r="X176" i="3"/>
  <c r="Y176" i="3"/>
  <c r="F166" i="3"/>
  <c r="AP166" i="3" s="1"/>
  <c r="AF166" i="3"/>
  <c r="N166" i="3"/>
  <c r="AO166" i="3"/>
  <c r="U166" i="3"/>
  <c r="Z166" i="3"/>
  <c r="AN166" i="3"/>
  <c r="Q166" i="3"/>
  <c r="AA166" i="3"/>
  <c r="AL164" i="3"/>
  <c r="BJ164" i="3" s="1"/>
  <c r="F331" i="3"/>
  <c r="AP331" i="3" s="1"/>
  <c r="V331" i="3"/>
  <c r="AF331" i="3"/>
  <c r="I326" i="3"/>
  <c r="V326" i="3"/>
  <c r="AD323" i="3"/>
  <c r="AM317" i="3"/>
  <c r="R317" i="3"/>
  <c r="AD306" i="3"/>
  <c r="L304" i="3"/>
  <c r="AD304" i="3"/>
  <c r="B303" i="3"/>
  <c r="W303" i="3"/>
  <c r="F299" i="3"/>
  <c r="AP299" i="3" s="1"/>
  <c r="AA299" i="3"/>
  <c r="B293" i="3"/>
  <c r="R293" i="3"/>
  <c r="AE293" i="3"/>
  <c r="V286" i="3"/>
  <c r="AM286" i="3"/>
  <c r="B283" i="3"/>
  <c r="Z283" i="3"/>
  <c r="I277" i="3"/>
  <c r="AA277" i="3"/>
  <c r="I276" i="3"/>
  <c r="Y276" i="3"/>
  <c r="X274" i="3"/>
  <c r="R273" i="3"/>
  <c r="P268" i="3"/>
  <c r="AA267" i="3"/>
  <c r="AM266" i="3"/>
  <c r="AA264" i="3"/>
  <c r="Y254" i="3"/>
  <c r="R253" i="3"/>
  <c r="AN252" i="3"/>
  <c r="AF249" i="3"/>
  <c r="N249" i="3"/>
  <c r="AA244" i="3"/>
  <c r="W241" i="3"/>
  <c r="AL240" i="3"/>
  <c r="BJ240" i="3" s="1"/>
  <c r="X240" i="3"/>
  <c r="J240" i="3"/>
  <c r="AD239" i="3"/>
  <c r="M239" i="3"/>
  <c r="AL238" i="3"/>
  <c r="BJ238" i="3" s="1"/>
  <c r="X238" i="3"/>
  <c r="K238" i="3"/>
  <c r="AL232" i="3"/>
  <c r="BJ232" i="3" s="1"/>
  <c r="U232" i="3"/>
  <c r="V229" i="3"/>
  <c r="AE228" i="3"/>
  <c r="L228" i="3"/>
  <c r="B221" i="3"/>
  <c r="X221" i="3"/>
  <c r="Y221" i="3"/>
  <c r="K221" i="3"/>
  <c r="AE221" i="3"/>
  <c r="L221" i="3"/>
  <c r="AL221" i="3"/>
  <c r="BJ221" i="3" s="1"/>
  <c r="V220" i="3"/>
  <c r="J199" i="3"/>
  <c r="P199" i="3"/>
  <c r="AM199" i="3"/>
  <c r="B199" i="3"/>
  <c r="AC199" i="3"/>
  <c r="N199" i="3"/>
  <c r="V199" i="3"/>
  <c r="AE199" i="3"/>
  <c r="L199" i="3"/>
  <c r="M199" i="3"/>
  <c r="AA187" i="3"/>
  <c r="AM186" i="3"/>
  <c r="AM185" i="3"/>
  <c r="L183" i="3"/>
  <c r="X183" i="3"/>
  <c r="AG183" i="3"/>
  <c r="B183" i="3"/>
  <c r="Q183" i="3"/>
  <c r="AC183" i="3"/>
  <c r="P183" i="3"/>
  <c r="AE183" i="3"/>
  <c r="F183" i="3"/>
  <c r="AP183" i="3" s="1"/>
  <c r="W183" i="3"/>
  <c r="AM183" i="3"/>
  <c r="J183" i="3"/>
  <c r="Y183" i="3"/>
  <c r="AO183" i="3"/>
  <c r="K183" i="3"/>
  <c r="AF183" i="3"/>
  <c r="U183" i="3"/>
  <c r="V183" i="3"/>
  <c r="K182" i="3"/>
  <c r="N182" i="3"/>
  <c r="AA182" i="3"/>
  <c r="F182" i="3"/>
  <c r="AP182" i="3" s="1"/>
  <c r="V182" i="3"/>
  <c r="AG182" i="3"/>
  <c r="B182" i="3"/>
  <c r="Y182" i="3"/>
  <c r="M182" i="3"/>
  <c r="AD182" i="3"/>
  <c r="P182" i="3"/>
  <c r="AE182" i="3"/>
  <c r="Z182" i="3"/>
  <c r="J182" i="3"/>
  <c r="AM182" i="3"/>
  <c r="L182" i="3"/>
  <c r="AO182" i="3"/>
  <c r="AB164" i="3"/>
  <c r="F152" i="3"/>
  <c r="AP152" i="3" s="1"/>
  <c r="P152" i="3"/>
  <c r="AM152" i="3"/>
  <c r="J152" i="3"/>
  <c r="AC152" i="3"/>
  <c r="M152" i="3"/>
  <c r="R152" i="3"/>
  <c r="Z152" i="3"/>
  <c r="AB152" i="3"/>
  <c r="Q152" i="3"/>
  <c r="Y152" i="3"/>
  <c r="AN152" i="3"/>
  <c r="AE152" i="3"/>
  <c r="B91" i="3"/>
  <c r="R91" i="3"/>
  <c r="AD91" i="3"/>
  <c r="AL91" i="3"/>
  <c r="BJ91" i="3" s="1"/>
  <c r="M230" i="3"/>
  <c r="Y230" i="3"/>
  <c r="AL230" i="3"/>
  <c r="BJ230" i="3" s="1"/>
  <c r="B227" i="3"/>
  <c r="Q227" i="3"/>
  <c r="AO227" i="3"/>
  <c r="F216" i="3"/>
  <c r="AP216" i="3" s="1"/>
  <c r="Q216" i="3"/>
  <c r="P215" i="3"/>
  <c r="AE215" i="3"/>
  <c r="B215" i="3"/>
  <c r="W215" i="3"/>
  <c r="B197" i="3"/>
  <c r="M197" i="3"/>
  <c r="AO197" i="3"/>
  <c r="L197" i="3"/>
  <c r="Y197" i="3"/>
  <c r="Z197" i="3"/>
  <c r="L191" i="3"/>
  <c r="X191" i="3"/>
  <c r="AG191" i="3"/>
  <c r="J191" i="3"/>
  <c r="W191" i="3"/>
  <c r="AL191" i="3"/>
  <c r="BJ191" i="3" s="1"/>
  <c r="N191" i="3"/>
  <c r="AA191" i="3"/>
  <c r="P191" i="3"/>
  <c r="AC191" i="3"/>
  <c r="AM184" i="3"/>
  <c r="F181" i="3"/>
  <c r="AP181" i="3" s="1"/>
  <c r="U181" i="3"/>
  <c r="AD181" i="3"/>
  <c r="M181" i="3"/>
  <c r="Y181" i="3"/>
  <c r="AL181" i="3"/>
  <c r="BJ181" i="3" s="1"/>
  <c r="Q181" i="3"/>
  <c r="AF181" i="3"/>
  <c r="J181" i="3"/>
  <c r="X181" i="3"/>
  <c r="AO181" i="3"/>
  <c r="K181" i="3"/>
  <c r="Z181" i="3"/>
  <c r="L179" i="3"/>
  <c r="X179" i="3"/>
  <c r="AG179" i="3"/>
  <c r="B179" i="3"/>
  <c r="Q179" i="3"/>
  <c r="AC179" i="3"/>
  <c r="P179" i="3"/>
  <c r="AE179" i="3"/>
  <c r="F179" i="3"/>
  <c r="AP179" i="3" s="1"/>
  <c r="W179" i="3"/>
  <c r="AM179" i="3"/>
  <c r="J179" i="3"/>
  <c r="Y179" i="3"/>
  <c r="AO179" i="3"/>
  <c r="F171" i="3"/>
  <c r="AP171" i="3" s="1"/>
  <c r="U171" i="3"/>
  <c r="AD171" i="3"/>
  <c r="K171" i="3"/>
  <c r="W171" i="3"/>
  <c r="AF171" i="3"/>
  <c r="M171" i="3"/>
  <c r="Y171" i="3"/>
  <c r="AL171" i="3"/>
  <c r="BJ171" i="3" s="1"/>
  <c r="Q171" i="3"/>
  <c r="AM171" i="3"/>
  <c r="B171" i="3"/>
  <c r="Z171" i="3"/>
  <c r="J171" i="3"/>
  <c r="AA171" i="3"/>
  <c r="K168" i="3"/>
  <c r="M168" i="3"/>
  <c r="Z168" i="3"/>
  <c r="AO168" i="3"/>
  <c r="P168" i="3"/>
  <c r="AC168" i="3"/>
  <c r="B168" i="3"/>
  <c r="U168" i="3"/>
  <c r="AE168" i="3"/>
  <c r="V168" i="3"/>
  <c r="F168" i="3"/>
  <c r="AP168" i="3" s="1"/>
  <c r="AA168" i="3"/>
  <c r="J168" i="3"/>
  <c r="AD168" i="3"/>
  <c r="F155" i="3"/>
  <c r="AP155" i="3" s="1"/>
  <c r="I155" i="3"/>
  <c r="Z155" i="3"/>
  <c r="W155" i="3"/>
  <c r="AN155" i="3"/>
  <c r="AA155" i="3"/>
  <c r="J155" i="3"/>
  <c r="AE155" i="3"/>
  <c r="N155" i="3"/>
  <c r="AL155" i="3"/>
  <c r="BJ155" i="3" s="1"/>
  <c r="P155" i="3"/>
  <c r="M155" i="3"/>
  <c r="R155" i="3"/>
  <c r="AC155" i="3"/>
  <c r="AG155" i="3"/>
  <c r="R149" i="3"/>
  <c r="M149" i="3"/>
  <c r="AN149" i="3"/>
  <c r="N149" i="3"/>
  <c r="Z149" i="3"/>
  <c r="AE149" i="3"/>
  <c r="AG149" i="3"/>
  <c r="I149" i="3"/>
  <c r="W149" i="3"/>
  <c r="AC230" i="3"/>
  <c r="P230" i="3"/>
  <c r="AA227" i="3"/>
  <c r="X215" i="3"/>
  <c r="P212" i="3"/>
  <c r="AC212" i="3"/>
  <c r="F212" i="3"/>
  <c r="AP212" i="3" s="1"/>
  <c r="V212" i="3"/>
  <c r="AF212" i="3"/>
  <c r="L200" i="3"/>
  <c r="Z200" i="3"/>
  <c r="AO200" i="3"/>
  <c r="J200" i="3"/>
  <c r="X200" i="3"/>
  <c r="P200" i="3"/>
  <c r="AD200" i="3"/>
  <c r="Q200" i="3"/>
  <c r="AE200" i="3"/>
  <c r="K184" i="3"/>
  <c r="F184" i="3"/>
  <c r="AP184" i="3" s="1"/>
  <c r="V184" i="3"/>
  <c r="AG184" i="3"/>
  <c r="N184" i="3"/>
  <c r="AA184" i="3"/>
  <c r="J184" i="3"/>
  <c r="Z184" i="3"/>
  <c r="P184" i="3"/>
  <c r="AE184" i="3"/>
  <c r="Q184" i="3"/>
  <c r="AL184" i="3"/>
  <c r="BJ184" i="3" s="1"/>
  <c r="AE171" i="3"/>
  <c r="AL168" i="3"/>
  <c r="BJ168" i="3" s="1"/>
  <c r="W165" i="3"/>
  <c r="AA165" i="3"/>
  <c r="I165" i="3"/>
  <c r="AG165" i="3"/>
  <c r="R165" i="3"/>
  <c r="AN165" i="3"/>
  <c r="F159" i="3"/>
  <c r="AP159" i="3" s="1"/>
  <c r="AE159" i="3"/>
  <c r="AF159" i="3"/>
  <c r="R159" i="3"/>
  <c r="N236" i="3"/>
  <c r="Z236" i="3"/>
  <c r="AM236" i="3"/>
  <c r="AM230" i="3"/>
  <c r="X230" i="3"/>
  <c r="K230" i="3"/>
  <c r="P227" i="3"/>
  <c r="N223" i="3"/>
  <c r="AC223" i="3"/>
  <c r="B222" i="3"/>
  <c r="V222" i="3"/>
  <c r="AM222" i="3"/>
  <c r="W216" i="3"/>
  <c r="AG215" i="3"/>
  <c r="N215" i="3"/>
  <c r="AE212" i="3"/>
  <c r="N212" i="3"/>
  <c r="B206" i="3"/>
  <c r="F206" i="3"/>
  <c r="AP206" i="3" s="1"/>
  <c r="X206" i="3"/>
  <c r="L206" i="3"/>
  <c r="AD206" i="3"/>
  <c r="U200" i="3"/>
  <c r="AA197" i="3"/>
  <c r="L193" i="3"/>
  <c r="X193" i="3"/>
  <c r="AG193" i="3"/>
  <c r="B193" i="3"/>
  <c r="U193" i="3"/>
  <c r="AE193" i="3"/>
  <c r="K193" i="3"/>
  <c r="Y193" i="3"/>
  <c r="AM193" i="3"/>
  <c r="M193" i="3"/>
  <c r="Z193" i="3"/>
  <c r="AO193" i="3"/>
  <c r="AF191" i="3"/>
  <c r="M191" i="3"/>
  <c r="M189" i="3"/>
  <c r="Y189" i="3"/>
  <c r="AL189" i="3"/>
  <c r="BJ189" i="3" s="1"/>
  <c r="F189" i="3"/>
  <c r="AP189" i="3" s="1"/>
  <c r="U189" i="3"/>
  <c r="AD189" i="3"/>
  <c r="K189" i="3"/>
  <c r="Z189" i="3"/>
  <c r="P189" i="3"/>
  <c r="AE189" i="3"/>
  <c r="Q189" i="3"/>
  <c r="AF189" i="3"/>
  <c r="X184" i="3"/>
  <c r="P181" i="3"/>
  <c r="K180" i="3"/>
  <c r="F180" i="3"/>
  <c r="AP180" i="3" s="1"/>
  <c r="V180" i="3"/>
  <c r="AG180" i="3"/>
  <c r="N180" i="3"/>
  <c r="AA180" i="3"/>
  <c r="J180" i="3"/>
  <c r="Z180" i="3"/>
  <c r="P180" i="3"/>
  <c r="AE180" i="3"/>
  <c r="Q180" i="3"/>
  <c r="AL180" i="3"/>
  <c r="BJ180" i="3" s="1"/>
  <c r="U179" i="3"/>
  <c r="V171" i="3"/>
  <c r="X168" i="3"/>
  <c r="AA195" i="3"/>
  <c r="Z190" i="3"/>
  <c r="AM177" i="3"/>
  <c r="W177" i="3"/>
  <c r="Y173" i="3"/>
  <c r="K172" i="3"/>
  <c r="P172" i="3"/>
  <c r="AC172" i="3"/>
  <c r="B172" i="3"/>
  <c r="U172" i="3"/>
  <c r="AE172" i="3"/>
  <c r="J172" i="3"/>
  <c r="X172" i="3"/>
  <c r="AL172" i="3"/>
  <c r="BJ172" i="3" s="1"/>
  <c r="L195" i="3"/>
  <c r="AG195" i="3"/>
  <c r="K190" i="3"/>
  <c r="F190" i="3"/>
  <c r="AP190" i="3" s="1"/>
  <c r="X190" i="3"/>
  <c r="AO190" i="3"/>
  <c r="B177" i="3"/>
  <c r="Q177" i="3"/>
  <c r="AC177" i="3"/>
  <c r="L177" i="3"/>
  <c r="X177" i="3"/>
  <c r="AG177" i="3"/>
  <c r="N173" i="3"/>
  <c r="Z173" i="3"/>
  <c r="AM173" i="3"/>
  <c r="B173" i="3"/>
  <c r="Q173" i="3"/>
  <c r="AC173" i="3"/>
  <c r="J173" i="3"/>
  <c r="V173" i="3"/>
  <c r="AE173" i="3"/>
  <c r="V195" i="3"/>
  <c r="AE190" i="3"/>
  <c r="P190" i="3"/>
  <c r="K178" i="3"/>
  <c r="M178" i="3"/>
  <c r="Z178" i="3"/>
  <c r="AO178" i="3"/>
  <c r="B178" i="3"/>
  <c r="U178" i="3"/>
  <c r="AE178" i="3"/>
  <c r="AD177" i="3"/>
  <c r="N177" i="3"/>
  <c r="AG173" i="3"/>
  <c r="P173" i="3"/>
  <c r="AM172" i="3"/>
  <c r="N172" i="3"/>
  <c r="I151" i="3"/>
  <c r="M151" i="3"/>
  <c r="AF151" i="3"/>
  <c r="F151" i="3"/>
  <c r="AP151" i="3" s="1"/>
  <c r="AC151" i="3"/>
  <c r="Y151" i="3"/>
  <c r="AE151" i="3"/>
  <c r="L151" i="3"/>
  <c r="AN151" i="3"/>
  <c r="P151" i="3"/>
  <c r="F144" i="3"/>
  <c r="AP144" i="3" s="1"/>
  <c r="AA144" i="3"/>
  <c r="R144" i="3"/>
  <c r="B144" i="3"/>
  <c r="AL144" i="3"/>
  <c r="BJ144" i="3" s="1"/>
  <c r="M144" i="3"/>
  <c r="Q144" i="3"/>
  <c r="U144" i="3"/>
  <c r="AB144" i="3"/>
  <c r="B138" i="3"/>
  <c r="Y138" i="3"/>
  <c r="R138" i="3"/>
  <c r="AN138" i="3"/>
  <c r="I138" i="3"/>
  <c r="AE138" i="3"/>
  <c r="P138" i="3"/>
  <c r="AO138" i="3"/>
  <c r="Q138" i="3"/>
  <c r="U138" i="3"/>
  <c r="AA138" i="3"/>
  <c r="AA142" i="3"/>
  <c r="F142" i="3"/>
  <c r="AP142" i="3" s="1"/>
  <c r="B135" i="3"/>
  <c r="L135" i="3"/>
  <c r="Z135" i="3"/>
  <c r="N135" i="3"/>
  <c r="AC135" i="3"/>
  <c r="P135" i="3"/>
  <c r="AF135" i="3"/>
  <c r="F135" i="3"/>
  <c r="AP135" i="3" s="1"/>
  <c r="X135" i="3"/>
  <c r="AM135" i="3"/>
  <c r="B127" i="3"/>
  <c r="M127" i="3"/>
  <c r="AA127" i="3"/>
  <c r="P127" i="3"/>
  <c r="AF127" i="3"/>
  <c r="X127" i="3"/>
  <c r="F127" i="3"/>
  <c r="AP127" i="3" s="1"/>
  <c r="Z127" i="3"/>
  <c r="J127" i="3"/>
  <c r="AC127" i="3"/>
  <c r="R127" i="3"/>
  <c r="AM127" i="3"/>
  <c r="M101" i="3"/>
  <c r="AB101" i="3"/>
  <c r="AC101" i="3"/>
  <c r="R97" i="3"/>
  <c r="B97" i="3"/>
  <c r="M97" i="3"/>
  <c r="Y97" i="3"/>
  <c r="Z97" i="3"/>
  <c r="AN97" i="3"/>
  <c r="AC97" i="3"/>
  <c r="J9" i="3"/>
  <c r="Y9" i="3"/>
  <c r="AA9" i="3"/>
  <c r="AO9" i="3"/>
  <c r="U9" i="3"/>
  <c r="J148" i="3"/>
  <c r="Y148" i="3"/>
  <c r="AM148" i="3"/>
  <c r="F148" i="3"/>
  <c r="AP148" i="3" s="1"/>
  <c r="U148" i="3"/>
  <c r="AF148" i="3"/>
  <c r="Y142" i="3"/>
  <c r="AF140" i="3"/>
  <c r="R140" i="3"/>
  <c r="B139" i="3"/>
  <c r="R139" i="3"/>
  <c r="AG139" i="3"/>
  <c r="N139" i="3"/>
  <c r="AC139" i="3"/>
  <c r="AG135" i="3"/>
  <c r="B133" i="3"/>
  <c r="L133" i="3"/>
  <c r="Z133" i="3"/>
  <c r="N133" i="3"/>
  <c r="AC133" i="3"/>
  <c r="P133" i="3"/>
  <c r="AF133" i="3"/>
  <c r="F133" i="3"/>
  <c r="AP133" i="3" s="1"/>
  <c r="X133" i="3"/>
  <c r="AM133" i="3"/>
  <c r="AN127" i="3"/>
  <c r="J18" i="3"/>
  <c r="Q18" i="3"/>
  <c r="U18" i="3"/>
  <c r="Y18" i="3"/>
  <c r="AC18" i="3"/>
  <c r="AD18" i="3"/>
  <c r="M18" i="3"/>
  <c r="AG18" i="3"/>
  <c r="AO18" i="3"/>
  <c r="J15" i="3"/>
  <c r="Q15" i="3"/>
  <c r="U15" i="3"/>
  <c r="Y15" i="3"/>
  <c r="AA15" i="3"/>
  <c r="AO15" i="3"/>
  <c r="Q142" i="3"/>
  <c r="AE142" i="3"/>
  <c r="M142" i="3"/>
  <c r="AB142" i="3"/>
  <c r="B89" i="3"/>
  <c r="V89" i="3"/>
  <c r="I89" i="3"/>
  <c r="AD89" i="3"/>
  <c r="J89" i="3"/>
  <c r="AG89" i="3"/>
  <c r="M89" i="3"/>
  <c r="AL89" i="3"/>
  <c r="BJ89" i="3" s="1"/>
  <c r="N89" i="3"/>
  <c r="AO89" i="3"/>
  <c r="X89" i="3"/>
  <c r="Z89" i="3"/>
  <c r="AB89" i="3"/>
  <c r="R89" i="3"/>
  <c r="X61" i="3"/>
  <c r="AO61" i="3"/>
  <c r="Y61" i="3"/>
  <c r="L61" i="3"/>
  <c r="AM61" i="3"/>
  <c r="M61" i="3"/>
  <c r="AN61" i="3"/>
  <c r="P61" i="3"/>
  <c r="Q61" i="3"/>
  <c r="Z61" i="3"/>
  <c r="AA61" i="3"/>
  <c r="AC61" i="3"/>
  <c r="AL61" i="3"/>
  <c r="BJ61" i="3" s="1"/>
  <c r="B61" i="3"/>
  <c r="AL148" i="3"/>
  <c r="BJ148" i="3" s="1"/>
  <c r="Q148" i="3"/>
  <c r="L147" i="3"/>
  <c r="Y147" i="3"/>
  <c r="AM147" i="3"/>
  <c r="I147" i="3"/>
  <c r="W147" i="3"/>
  <c r="AG147" i="3"/>
  <c r="F145" i="3"/>
  <c r="AP145" i="3" s="1"/>
  <c r="W145" i="3"/>
  <c r="AG145" i="3"/>
  <c r="R145" i="3"/>
  <c r="AE145" i="3"/>
  <c r="AO142" i="3"/>
  <c r="U142" i="3"/>
  <c r="AN139" i="3"/>
  <c r="W139" i="3"/>
  <c r="Y135" i="3"/>
  <c r="AG127" i="3"/>
  <c r="B117" i="3"/>
  <c r="R117" i="3"/>
  <c r="AG117" i="3"/>
  <c r="F117" i="3"/>
  <c r="AP117" i="3" s="1"/>
  <c r="X117" i="3"/>
  <c r="AM117" i="3"/>
  <c r="M117" i="3"/>
  <c r="AF117" i="3"/>
  <c r="N117" i="3"/>
  <c r="AL117" i="3"/>
  <c r="BJ117" i="3" s="1"/>
  <c r="W117" i="3"/>
  <c r="Y117" i="3"/>
  <c r="L117" i="3"/>
  <c r="AC117" i="3"/>
  <c r="AF175" i="3"/>
  <c r="W175" i="3"/>
  <c r="AM174" i="3"/>
  <c r="Y174" i="3"/>
  <c r="L174" i="3"/>
  <c r="AL167" i="3"/>
  <c r="BJ167" i="3" s="1"/>
  <c r="P167" i="3"/>
  <c r="N163" i="3"/>
  <c r="AA163" i="3"/>
  <c r="AC148" i="3"/>
  <c r="N148" i="3"/>
  <c r="AL147" i="3"/>
  <c r="BJ147" i="3" s="1"/>
  <c r="R147" i="3"/>
  <c r="AM145" i="3"/>
  <c r="U145" i="3"/>
  <c r="AL142" i="3"/>
  <c r="BJ142" i="3" s="1"/>
  <c r="P142" i="3"/>
  <c r="AL139" i="3"/>
  <c r="BJ139" i="3" s="1"/>
  <c r="M139" i="3"/>
  <c r="AL136" i="3"/>
  <c r="BJ136" i="3" s="1"/>
  <c r="F136" i="3"/>
  <c r="AP136" i="3" s="1"/>
  <c r="P136" i="3"/>
  <c r="AA136" i="3"/>
  <c r="R135" i="3"/>
  <c r="W133" i="3"/>
  <c r="W127" i="3"/>
  <c r="L103" i="3"/>
  <c r="AN103" i="3"/>
  <c r="AO103" i="3"/>
  <c r="X103" i="3"/>
  <c r="AB103" i="3"/>
  <c r="AL103" i="3"/>
  <c r="BJ103" i="3" s="1"/>
  <c r="P103" i="3"/>
  <c r="M88" i="3"/>
  <c r="I88" i="3"/>
  <c r="X88" i="3"/>
  <c r="AN88" i="3"/>
  <c r="J88" i="3"/>
  <c r="AB88" i="3"/>
  <c r="K88" i="3"/>
  <c r="AC88" i="3"/>
  <c r="N88" i="3"/>
  <c r="AD88" i="3"/>
  <c r="P88" i="3"/>
  <c r="AF88" i="3"/>
  <c r="U88" i="3"/>
  <c r="V88" i="3"/>
  <c r="Y88" i="3"/>
  <c r="AG88" i="3"/>
  <c r="AL88" i="3"/>
  <c r="BJ88" i="3" s="1"/>
  <c r="R88" i="3"/>
  <c r="AL156" i="3"/>
  <c r="BJ156" i="3" s="1"/>
  <c r="Q156" i="3"/>
  <c r="Z137" i="3"/>
  <c r="L137" i="3"/>
  <c r="AC131" i="3"/>
  <c r="AN129" i="3"/>
  <c r="AF123" i="3"/>
  <c r="AN121" i="3"/>
  <c r="AL120" i="3"/>
  <c r="BJ120" i="3" s="1"/>
  <c r="AL114" i="3"/>
  <c r="BJ114" i="3" s="1"/>
  <c r="AO113" i="3"/>
  <c r="P113" i="3"/>
  <c r="AN106" i="3"/>
  <c r="Q106" i="3"/>
  <c r="U105" i="3"/>
  <c r="Z105" i="3"/>
  <c r="AL105" i="3"/>
  <c r="BJ105" i="3" s="1"/>
  <c r="W102" i="3"/>
  <c r="Z98" i="3"/>
  <c r="F82" i="3"/>
  <c r="AP82" i="3" s="1"/>
  <c r="R82" i="3"/>
  <c r="U82" i="3"/>
  <c r="M82" i="3"/>
  <c r="N82" i="3"/>
  <c r="AA82" i="3"/>
  <c r="AC82" i="3"/>
  <c r="AC65" i="3"/>
  <c r="R65" i="3"/>
  <c r="Z65" i="3"/>
  <c r="J16" i="3"/>
  <c r="U16" i="3"/>
  <c r="Y16" i="3"/>
  <c r="AA16" i="3"/>
  <c r="AO16" i="3"/>
  <c r="Q16" i="3"/>
  <c r="B131" i="3"/>
  <c r="M131" i="3"/>
  <c r="AA131" i="3"/>
  <c r="B124" i="3"/>
  <c r="M124" i="3"/>
  <c r="AA124" i="3"/>
  <c r="B123" i="3"/>
  <c r="N123" i="3"/>
  <c r="AC123" i="3"/>
  <c r="R123" i="3"/>
  <c r="AG123" i="3"/>
  <c r="AB113" i="3"/>
  <c r="AG106" i="3"/>
  <c r="AG102" i="3"/>
  <c r="R102" i="3"/>
  <c r="N98" i="3"/>
  <c r="J90" i="3"/>
  <c r="K90" i="3"/>
  <c r="AC90" i="3"/>
  <c r="M90" i="3"/>
  <c r="AD90" i="3"/>
  <c r="P90" i="3"/>
  <c r="AF90" i="3"/>
  <c r="R90" i="3"/>
  <c r="AG90" i="3"/>
  <c r="AN81" i="3"/>
  <c r="AL78" i="3"/>
  <c r="BJ78" i="3" s="1"/>
  <c r="F31" i="3"/>
  <c r="AP31" i="3" s="1"/>
  <c r="N31" i="3"/>
  <c r="AL31" i="3"/>
  <c r="BJ31" i="3" s="1"/>
  <c r="P31" i="3"/>
  <c r="R31" i="3"/>
  <c r="V31" i="3"/>
  <c r="M31" i="3"/>
  <c r="AA31" i="3"/>
  <c r="AD31" i="3"/>
  <c r="AE31" i="3"/>
  <c r="AG31" i="3"/>
  <c r="AD28" i="3"/>
  <c r="B120" i="3"/>
  <c r="AA120" i="3"/>
  <c r="AN120" i="3"/>
  <c r="B113" i="3"/>
  <c r="N113" i="3"/>
  <c r="AC113" i="3"/>
  <c r="Q113" i="3"/>
  <c r="AM113" i="3"/>
  <c r="I106" i="3"/>
  <c r="Z106" i="3"/>
  <c r="AO106" i="3"/>
  <c r="J106" i="3"/>
  <c r="AA106" i="3"/>
  <c r="N106" i="3"/>
  <c r="AB106" i="3"/>
  <c r="AO98" i="3"/>
  <c r="F86" i="3"/>
  <c r="AP86" i="3" s="1"/>
  <c r="AM86" i="3"/>
  <c r="Z86" i="3"/>
  <c r="AL86" i="3"/>
  <c r="BJ86" i="3" s="1"/>
  <c r="U81" i="3"/>
  <c r="B98" i="3"/>
  <c r="U98" i="3"/>
  <c r="AE98" i="3"/>
  <c r="I98" i="3"/>
  <c r="V98" i="3"/>
  <c r="AF98" i="3"/>
  <c r="J98" i="3"/>
  <c r="W98" i="3"/>
  <c r="AG98" i="3"/>
  <c r="K98" i="3"/>
  <c r="X98" i="3"/>
  <c r="AN98" i="3"/>
  <c r="AC137" i="3"/>
  <c r="N137" i="3"/>
  <c r="AG131" i="3"/>
  <c r="P131" i="3"/>
  <c r="B129" i="3"/>
  <c r="F129" i="3"/>
  <c r="AP129" i="3" s="1"/>
  <c r="X129" i="3"/>
  <c r="L129" i="3"/>
  <c r="Z129" i="3"/>
  <c r="B125" i="3"/>
  <c r="J125" i="3"/>
  <c r="Y125" i="3"/>
  <c r="AN125" i="3"/>
  <c r="M125" i="3"/>
  <c r="AA125" i="3"/>
  <c r="AM123" i="3"/>
  <c r="P123" i="3"/>
  <c r="B121" i="3"/>
  <c r="M121" i="3"/>
  <c r="AA121" i="3"/>
  <c r="P121" i="3"/>
  <c r="AF121" i="3"/>
  <c r="F114" i="3"/>
  <c r="AP114" i="3" s="1"/>
  <c r="U114" i="3"/>
  <c r="AG114" i="3"/>
  <c r="J114" i="3"/>
  <c r="Y114" i="3"/>
  <c r="AM114" i="3"/>
  <c r="Y113" i="3"/>
  <c r="U106" i="3"/>
  <c r="AD102" i="3"/>
  <c r="AC98" i="3"/>
  <c r="B94" i="3"/>
  <c r="N94" i="3"/>
  <c r="R94" i="3"/>
  <c r="U94" i="3"/>
  <c r="Z94" i="3"/>
  <c r="AL82" i="3"/>
  <c r="BJ82" i="3" s="1"/>
  <c r="I28" i="3"/>
  <c r="V28" i="3"/>
  <c r="AE28" i="3"/>
  <c r="K28" i="3"/>
  <c r="W28" i="3"/>
  <c r="AF28" i="3"/>
  <c r="L28" i="3"/>
  <c r="X28" i="3"/>
  <c r="AG28" i="3"/>
  <c r="M28" i="3"/>
  <c r="Y28" i="3"/>
  <c r="AL28" i="3"/>
  <c r="BJ28" i="3" s="1"/>
  <c r="N28" i="3"/>
  <c r="Z28" i="3"/>
  <c r="AM28" i="3"/>
  <c r="F28" i="3"/>
  <c r="AP28" i="3" s="1"/>
  <c r="P28" i="3"/>
  <c r="Q28" i="3"/>
  <c r="R28" i="3"/>
  <c r="AA28" i="3"/>
  <c r="K102" i="3"/>
  <c r="X102" i="3"/>
  <c r="AN102" i="3"/>
  <c r="L102" i="3"/>
  <c r="Z102" i="3"/>
  <c r="AO102" i="3"/>
  <c r="N102" i="3"/>
  <c r="AB102" i="3"/>
  <c r="P102" i="3"/>
  <c r="AB98" i="3"/>
  <c r="N85" i="3"/>
  <c r="AL85" i="3"/>
  <c r="BJ85" i="3" s="1"/>
  <c r="U85" i="3"/>
  <c r="AC85" i="3"/>
  <c r="AE85" i="3"/>
  <c r="J81" i="3"/>
  <c r="I81" i="3"/>
  <c r="AL81" i="3"/>
  <c r="BJ81" i="3" s="1"/>
  <c r="M81" i="3"/>
  <c r="AM81" i="3"/>
  <c r="W81" i="3"/>
  <c r="Y81" i="3"/>
  <c r="AA81" i="3"/>
  <c r="AC81" i="3"/>
  <c r="U75" i="3"/>
  <c r="I75" i="3"/>
  <c r="R75" i="3"/>
  <c r="Y75" i="3"/>
  <c r="AN75" i="3"/>
  <c r="J60" i="3"/>
  <c r="X60" i="3"/>
  <c r="K60" i="3"/>
  <c r="AA60" i="3"/>
  <c r="F60" i="3"/>
  <c r="AP60" i="3" s="1"/>
  <c r="AD60" i="3"/>
  <c r="L60" i="3"/>
  <c r="AE60" i="3"/>
  <c r="P60" i="3"/>
  <c r="AF60" i="3"/>
  <c r="Q60" i="3"/>
  <c r="AG60" i="3"/>
  <c r="U60" i="3"/>
  <c r="AO60" i="3"/>
  <c r="L59" i="3"/>
  <c r="AG59" i="3"/>
  <c r="M59" i="3"/>
  <c r="AL59" i="3"/>
  <c r="BJ59" i="3" s="1"/>
  <c r="N43" i="3"/>
  <c r="AD43" i="3"/>
  <c r="P43" i="3"/>
  <c r="AF43" i="3"/>
  <c r="U43" i="3"/>
  <c r="AN43" i="3"/>
  <c r="Z40" i="3"/>
  <c r="AB40" i="3"/>
  <c r="AO40" i="3"/>
  <c r="N87" i="3"/>
  <c r="U87" i="3"/>
  <c r="AG87" i="3"/>
  <c r="M74" i="3"/>
  <c r="Q74" i="3"/>
  <c r="X74" i="3"/>
  <c r="I68" i="3"/>
  <c r="X68" i="3"/>
  <c r="AL68" i="3"/>
  <c r="BJ68" i="3" s="1"/>
  <c r="J68" i="3"/>
  <c r="Y68" i="3"/>
  <c r="AM68" i="3"/>
  <c r="AM59" i="3"/>
  <c r="P58" i="3"/>
  <c r="AD58" i="3"/>
  <c r="Q58" i="3"/>
  <c r="AE58" i="3"/>
  <c r="Z43" i="3"/>
  <c r="AN87" i="3"/>
  <c r="V87" i="3"/>
  <c r="M84" i="3"/>
  <c r="P84" i="3"/>
  <c r="AM84" i="3"/>
  <c r="U84" i="3"/>
  <c r="AN84" i="3"/>
  <c r="AB74" i="3"/>
  <c r="N72" i="3"/>
  <c r="AB72" i="3"/>
  <c r="P72" i="3"/>
  <c r="AC72" i="3"/>
  <c r="Q71" i="3"/>
  <c r="F71" i="3"/>
  <c r="AP71" i="3" s="1"/>
  <c r="AG71" i="3"/>
  <c r="I71" i="3"/>
  <c r="AL71" i="3"/>
  <c r="BJ71" i="3" s="1"/>
  <c r="AN68" i="3"/>
  <c r="R68" i="3"/>
  <c r="AA59" i="3"/>
  <c r="V58" i="3"/>
  <c r="M57" i="3"/>
  <c r="AM57" i="3"/>
  <c r="N57" i="3"/>
  <c r="X55" i="3"/>
  <c r="Y55" i="3"/>
  <c r="Z55" i="3"/>
  <c r="W43" i="3"/>
  <c r="K39" i="3"/>
  <c r="AE39" i="3"/>
  <c r="P39" i="3"/>
  <c r="AF39" i="3"/>
  <c r="R39" i="3"/>
  <c r="J17" i="3"/>
  <c r="W17" i="3"/>
  <c r="Y17" i="3"/>
  <c r="AE17" i="3"/>
  <c r="AG17" i="3"/>
  <c r="J8" i="3"/>
  <c r="U8" i="3"/>
  <c r="Y8" i="3"/>
  <c r="AA8" i="3"/>
  <c r="AO8" i="3"/>
  <c r="AL87" i="3"/>
  <c r="BJ87" i="3" s="1"/>
  <c r="R87" i="3"/>
  <c r="Z84" i="3"/>
  <c r="N79" i="3"/>
  <c r="I79" i="3"/>
  <c r="Z79" i="3"/>
  <c r="J79" i="3"/>
  <c r="AA79" i="3"/>
  <c r="Z74" i="3"/>
  <c r="AO72" i="3"/>
  <c r="U72" i="3"/>
  <c r="AG68" i="3"/>
  <c r="Q68" i="3"/>
  <c r="Z59" i="3"/>
  <c r="AO58" i="3"/>
  <c r="U58" i="3"/>
  <c r="AL57" i="3"/>
  <c r="BJ57" i="3" s="1"/>
  <c r="AL55" i="3"/>
  <c r="BJ55" i="3" s="1"/>
  <c r="B47" i="3"/>
  <c r="AD47" i="3"/>
  <c r="AE47" i="3"/>
  <c r="B45" i="3"/>
  <c r="AE45" i="3"/>
  <c r="V43" i="3"/>
  <c r="J37" i="3"/>
  <c r="AE37" i="3"/>
  <c r="P37" i="3"/>
  <c r="AO37" i="3"/>
  <c r="R37" i="3"/>
  <c r="U37" i="3"/>
  <c r="AG110" i="3"/>
  <c r="AF87" i="3"/>
  <c r="P87" i="3"/>
  <c r="Y84" i="3"/>
  <c r="Y79" i="3"/>
  <c r="Y74" i="3"/>
  <c r="AN72" i="3"/>
  <c r="R72" i="3"/>
  <c r="AC71" i="3"/>
  <c r="AF68" i="3"/>
  <c r="P68" i="3"/>
  <c r="B67" i="3"/>
  <c r="J67" i="3"/>
  <c r="AC67" i="3"/>
  <c r="N67" i="3"/>
  <c r="AL67" i="3"/>
  <c r="BJ67" i="3" s="1"/>
  <c r="B64" i="3"/>
  <c r="U64" i="3"/>
  <c r="AL64" i="3"/>
  <c r="BJ64" i="3" s="1"/>
  <c r="F64" i="3"/>
  <c r="AP64" i="3" s="1"/>
  <c r="X64" i="3"/>
  <c r="AN64" i="3"/>
  <c r="AL62" i="3"/>
  <c r="BJ62" i="3" s="1"/>
  <c r="Y59" i="3"/>
  <c r="AG58" i="3"/>
  <c r="L58" i="3"/>
  <c r="AG57" i="3"/>
  <c r="AG55" i="3"/>
  <c r="B49" i="3"/>
  <c r="AA49" i="3"/>
  <c r="AD49" i="3"/>
  <c r="AE49" i="3"/>
  <c r="J44" i="3"/>
  <c r="N44" i="3"/>
  <c r="AF44" i="3"/>
  <c r="P44" i="3"/>
  <c r="AG44" i="3"/>
  <c r="V44" i="3"/>
  <c r="K43" i="3"/>
  <c r="Y40" i="3"/>
  <c r="AB39" i="3"/>
  <c r="B36" i="3"/>
  <c r="N36" i="3"/>
  <c r="AG36" i="3"/>
  <c r="P36" i="3"/>
  <c r="AL36" i="3"/>
  <c r="BJ36" i="3" s="1"/>
  <c r="W36" i="3"/>
  <c r="AN36" i="3"/>
  <c r="X36" i="3"/>
  <c r="AO36" i="3"/>
  <c r="J7" i="3"/>
  <c r="Q7" i="3"/>
  <c r="U7" i="3"/>
  <c r="Y7" i="3"/>
  <c r="AA7" i="3"/>
  <c r="AO7" i="3"/>
  <c r="J35" i="3"/>
  <c r="AB34" i="3"/>
  <c r="L34" i="3"/>
  <c r="AA29" i="3"/>
  <c r="M29" i="3"/>
  <c r="W26" i="3"/>
  <c r="AE25" i="3"/>
  <c r="AL24" i="3"/>
  <c r="BJ24" i="3" s="1"/>
  <c r="X24" i="3"/>
  <c r="K24" i="3"/>
  <c r="AG22" i="3"/>
  <c r="L22" i="3"/>
  <c r="N21" i="3"/>
  <c r="AA20" i="3"/>
  <c r="J20" i="3"/>
  <c r="AA14" i="3"/>
  <c r="Y13" i="3"/>
  <c r="U12" i="3"/>
  <c r="Q11" i="3"/>
  <c r="AO6" i="3"/>
  <c r="Y6" i="3"/>
  <c r="L6" i="3"/>
  <c r="AM5" i="3"/>
  <c r="W5" i="3"/>
  <c r="J5" i="3"/>
  <c r="AG4" i="3"/>
  <c r="R4" i="3"/>
  <c r="AO3" i="3"/>
  <c r="Y3" i="3"/>
  <c r="F3" i="3"/>
  <c r="AP3" i="3" s="1"/>
  <c r="D19" i="16" s="1"/>
  <c r="Z29" i="3"/>
  <c r="L29" i="3"/>
  <c r="R26" i="3"/>
  <c r="AD25" i="3"/>
  <c r="Y14" i="3"/>
  <c r="U83" i="3"/>
  <c r="F76" i="3"/>
  <c r="AP76" i="3" s="1"/>
  <c r="AO73" i="3"/>
  <c r="Y73" i="3"/>
  <c r="AO42" i="3"/>
  <c r="X42" i="3"/>
  <c r="AE35" i="3"/>
  <c r="AN29" i="3"/>
  <c r="Y29" i="3"/>
  <c r="I29" i="3"/>
  <c r="P26" i="3"/>
  <c r="K25" i="3"/>
  <c r="AC22" i="3"/>
  <c r="W20" i="3"/>
  <c r="U14" i="3"/>
  <c r="AL3" i="3"/>
  <c r="BJ3" i="3" s="1"/>
  <c r="C19" i="16" s="1"/>
  <c r="U3" i="3"/>
  <c r="AN42" i="3"/>
  <c r="AB35" i="3"/>
  <c r="AO34" i="3"/>
  <c r="X34" i="3"/>
  <c r="AM29" i="3"/>
  <c r="X29" i="3"/>
  <c r="F29" i="3"/>
  <c r="AP29" i="3" s="1"/>
  <c r="K26" i="3"/>
  <c r="AE24" i="3"/>
  <c r="Y22" i="3"/>
  <c r="AG21" i="3"/>
  <c r="AO20" i="3"/>
  <c r="Q14" i="3"/>
  <c r="AG3" i="3"/>
  <c r="Q3" i="3"/>
  <c r="K573" i="3"/>
  <c r="V573" i="3"/>
  <c r="AD573" i="3"/>
  <c r="B573" i="3"/>
  <c r="P573" i="3"/>
  <c r="Z573" i="3"/>
  <c r="AL573" i="3"/>
  <c r="BJ573" i="3" s="1"/>
  <c r="Q573" i="3"/>
  <c r="AC573" i="3"/>
  <c r="I573" i="3"/>
  <c r="W573" i="3"/>
  <c r="AG573" i="3"/>
  <c r="M573" i="3"/>
  <c r="AA573" i="3"/>
  <c r="AO573" i="3"/>
  <c r="J573" i="3"/>
  <c r="AE573" i="3"/>
  <c r="L573" i="3"/>
  <c r="AF573" i="3"/>
  <c r="N573" i="3"/>
  <c r="AM573" i="3"/>
  <c r="R573" i="3"/>
  <c r="AN573" i="3"/>
  <c r="U573" i="3"/>
  <c r="X573" i="3"/>
  <c r="AB573" i="3"/>
  <c r="F573" i="3"/>
  <c r="AP573" i="3" s="1"/>
  <c r="K617" i="3"/>
  <c r="V617" i="3"/>
  <c r="AD617" i="3"/>
  <c r="M617" i="3"/>
  <c r="Y617" i="3"/>
  <c r="AL617" i="3"/>
  <c r="BJ617" i="3" s="1"/>
  <c r="B617" i="3"/>
  <c r="Q617" i="3"/>
  <c r="AB617" i="3"/>
  <c r="AO617" i="3"/>
  <c r="F617" i="3"/>
  <c r="AP617" i="3" s="1"/>
  <c r="W617" i="3"/>
  <c r="AM617" i="3"/>
  <c r="I617" i="3"/>
  <c r="X617" i="3"/>
  <c r="AN617" i="3"/>
  <c r="A617" i="3"/>
  <c r="J617" i="3"/>
  <c r="Z617" i="3"/>
  <c r="L617" i="3"/>
  <c r="AA617" i="3"/>
  <c r="N617" i="3"/>
  <c r="AC617" i="3"/>
  <c r="P617" i="3"/>
  <c r="AE617" i="3"/>
  <c r="R617" i="3"/>
  <c r="U617" i="3"/>
  <c r="AF617" i="3"/>
  <c r="AG617" i="3"/>
  <c r="A573" i="3"/>
  <c r="Y573" i="3"/>
  <c r="K630" i="3"/>
  <c r="V630" i="3"/>
  <c r="AD630" i="3"/>
  <c r="F630" i="3"/>
  <c r="AP630" i="3" s="1"/>
  <c r="R630" i="3"/>
  <c r="AC630" i="3"/>
  <c r="L630" i="3"/>
  <c r="X630" i="3"/>
  <c r="AG630" i="3"/>
  <c r="I630" i="3"/>
  <c r="Y630" i="3"/>
  <c r="AN630" i="3"/>
  <c r="J630" i="3"/>
  <c r="Z630" i="3"/>
  <c r="AO630" i="3"/>
  <c r="M630" i="3"/>
  <c r="AA630" i="3"/>
  <c r="N630" i="3"/>
  <c r="AB630" i="3"/>
  <c r="P630" i="3"/>
  <c r="AE630" i="3"/>
  <c r="Q630" i="3"/>
  <c r="AF630" i="3"/>
  <c r="K611" i="3"/>
  <c r="V611" i="3"/>
  <c r="AD611" i="3"/>
  <c r="M611" i="3"/>
  <c r="Y611" i="3"/>
  <c r="AL611" i="3"/>
  <c r="BJ611" i="3" s="1"/>
  <c r="B611" i="3"/>
  <c r="Q611" i="3"/>
  <c r="AB611" i="3"/>
  <c r="AO611" i="3"/>
  <c r="I611" i="3"/>
  <c r="X611" i="3"/>
  <c r="AN611" i="3"/>
  <c r="J611" i="3"/>
  <c r="Z611" i="3"/>
  <c r="A611" i="3"/>
  <c r="L611" i="3"/>
  <c r="AA611" i="3"/>
  <c r="N611" i="3"/>
  <c r="AC611" i="3"/>
  <c r="P611" i="3"/>
  <c r="AE611" i="3"/>
  <c r="R611" i="3"/>
  <c r="AF611" i="3"/>
  <c r="K627" i="3"/>
  <c r="V627" i="3"/>
  <c r="AD627" i="3"/>
  <c r="M627" i="3"/>
  <c r="Y627" i="3"/>
  <c r="AL627" i="3"/>
  <c r="BJ627" i="3" s="1"/>
  <c r="B627" i="3"/>
  <c r="Q627" i="3"/>
  <c r="AB627" i="3"/>
  <c r="AO627" i="3"/>
  <c r="I627" i="3"/>
  <c r="X627" i="3"/>
  <c r="AN627" i="3"/>
  <c r="J627" i="3"/>
  <c r="Z627" i="3"/>
  <c r="L627" i="3"/>
  <c r="AA627" i="3"/>
  <c r="N627" i="3"/>
  <c r="AC627" i="3"/>
  <c r="P627" i="3"/>
  <c r="AE627" i="3"/>
  <c r="R627" i="3"/>
  <c r="AF627" i="3"/>
  <c r="AL620" i="3"/>
  <c r="BJ620" i="3" s="1"/>
  <c r="AL614" i="3"/>
  <c r="BJ614" i="3" s="1"/>
  <c r="AG595" i="3"/>
  <c r="K588" i="3"/>
  <c r="V588" i="3"/>
  <c r="AD588" i="3"/>
  <c r="F588" i="3"/>
  <c r="AP588" i="3" s="1"/>
  <c r="R588" i="3"/>
  <c r="AC588" i="3"/>
  <c r="L588" i="3"/>
  <c r="X588" i="3"/>
  <c r="AG588" i="3"/>
  <c r="B588" i="3"/>
  <c r="W588" i="3"/>
  <c r="AM588" i="3"/>
  <c r="I588" i="3"/>
  <c r="Y588" i="3"/>
  <c r="AN588" i="3"/>
  <c r="J588" i="3"/>
  <c r="Z588" i="3"/>
  <c r="AO588" i="3"/>
  <c r="M588" i="3"/>
  <c r="AA588" i="3"/>
  <c r="N588" i="3"/>
  <c r="AB588" i="3"/>
  <c r="P588" i="3"/>
  <c r="AE588" i="3"/>
  <c r="K582" i="3"/>
  <c r="V582" i="3"/>
  <c r="AD582" i="3"/>
  <c r="F582" i="3"/>
  <c r="AP582" i="3" s="1"/>
  <c r="R582" i="3"/>
  <c r="AC582" i="3"/>
  <c r="L582" i="3"/>
  <c r="X582" i="3"/>
  <c r="AG582" i="3"/>
  <c r="I582" i="3"/>
  <c r="Y582" i="3"/>
  <c r="AN582" i="3"/>
  <c r="J582" i="3"/>
  <c r="Z582" i="3"/>
  <c r="AO582" i="3"/>
  <c r="M582" i="3"/>
  <c r="AA582" i="3"/>
  <c r="N582" i="3"/>
  <c r="AB582" i="3"/>
  <c r="P582" i="3"/>
  <c r="AE582" i="3"/>
  <c r="Q582" i="3"/>
  <c r="AF582" i="3"/>
  <c r="Q646" i="3"/>
  <c r="K643" i="3"/>
  <c r="V643" i="3"/>
  <c r="AD643" i="3"/>
  <c r="B643" i="3"/>
  <c r="Q643" i="3"/>
  <c r="AB643" i="3"/>
  <c r="AO643" i="3"/>
  <c r="I643" i="3"/>
  <c r="W643" i="3"/>
  <c r="AG643" i="3"/>
  <c r="A643" i="3"/>
  <c r="J643" i="3"/>
  <c r="X643" i="3"/>
  <c r="AL643" i="3"/>
  <c r="BJ643" i="3" s="1"/>
  <c r="L643" i="3"/>
  <c r="Y643" i="3"/>
  <c r="AM643" i="3"/>
  <c r="M643" i="3"/>
  <c r="Z643" i="3"/>
  <c r="AN643" i="3"/>
  <c r="N643" i="3"/>
  <c r="AA643" i="3"/>
  <c r="P643" i="3"/>
  <c r="AC643" i="3"/>
  <c r="AM630" i="3"/>
  <c r="AF620" i="3"/>
  <c r="W614" i="3"/>
  <c r="AM611" i="3"/>
  <c r="W595" i="3"/>
  <c r="K585" i="3"/>
  <c r="V585" i="3"/>
  <c r="AD585" i="3"/>
  <c r="M585" i="3"/>
  <c r="Y585" i="3"/>
  <c r="AL585" i="3"/>
  <c r="BJ585" i="3" s="1"/>
  <c r="B585" i="3"/>
  <c r="Q585" i="3"/>
  <c r="AB585" i="3"/>
  <c r="AO585" i="3"/>
  <c r="F585" i="3"/>
  <c r="AP585" i="3" s="1"/>
  <c r="W585" i="3"/>
  <c r="AM585" i="3"/>
  <c r="I585" i="3"/>
  <c r="X585" i="3"/>
  <c r="AN585" i="3"/>
  <c r="J585" i="3"/>
  <c r="Z585" i="3"/>
  <c r="L585" i="3"/>
  <c r="AA585" i="3"/>
  <c r="N585" i="3"/>
  <c r="AC585" i="3"/>
  <c r="P585" i="3"/>
  <c r="AE585" i="3"/>
  <c r="I568" i="3"/>
  <c r="R568" i="3"/>
  <c r="AB568" i="3"/>
  <c r="AN568" i="3"/>
  <c r="K568" i="3"/>
  <c r="V568" i="3"/>
  <c r="AD568" i="3"/>
  <c r="B568" i="3"/>
  <c r="P568" i="3"/>
  <c r="Z568" i="3"/>
  <c r="AL568" i="3"/>
  <c r="BJ568" i="3" s="1"/>
  <c r="M568" i="3"/>
  <c r="AC568" i="3"/>
  <c r="U568" i="3"/>
  <c r="AG568" i="3"/>
  <c r="J568" i="3"/>
  <c r="Y568" i="3"/>
  <c r="L568" i="3"/>
  <c r="AM568" i="3"/>
  <c r="N568" i="3"/>
  <c r="AO568" i="3"/>
  <c r="Q568" i="3"/>
  <c r="W568" i="3"/>
  <c r="X568" i="3"/>
  <c r="AA568" i="3"/>
  <c r="I562" i="3"/>
  <c r="R562" i="3"/>
  <c r="AB562" i="3"/>
  <c r="AN562" i="3"/>
  <c r="K562" i="3"/>
  <c r="V562" i="3"/>
  <c r="AD562" i="3"/>
  <c r="B562" i="3"/>
  <c r="P562" i="3"/>
  <c r="Z562" i="3"/>
  <c r="AL562" i="3"/>
  <c r="BJ562" i="3" s="1"/>
  <c r="M562" i="3"/>
  <c r="AC562" i="3"/>
  <c r="U562" i="3"/>
  <c r="AG562" i="3"/>
  <c r="J562" i="3"/>
  <c r="Y562" i="3"/>
  <c r="F562" i="3"/>
  <c r="AP562" i="3" s="1"/>
  <c r="AF562" i="3"/>
  <c r="L562" i="3"/>
  <c r="AM562" i="3"/>
  <c r="N562" i="3"/>
  <c r="AO562" i="3"/>
  <c r="Q562" i="3"/>
  <c r="W562" i="3"/>
  <c r="X562" i="3"/>
  <c r="F428" i="3"/>
  <c r="AP428" i="3" s="1"/>
  <c r="Q428" i="3"/>
  <c r="AA428" i="3"/>
  <c r="AM428" i="3"/>
  <c r="K428" i="3"/>
  <c r="V428" i="3"/>
  <c r="AD428" i="3"/>
  <c r="J428" i="3"/>
  <c r="X428" i="3"/>
  <c r="AL428" i="3"/>
  <c r="BJ428" i="3" s="1"/>
  <c r="L428" i="3"/>
  <c r="Y428" i="3"/>
  <c r="AN428" i="3"/>
  <c r="M428" i="3"/>
  <c r="Z428" i="3"/>
  <c r="AO428" i="3"/>
  <c r="N428" i="3"/>
  <c r="AB428" i="3"/>
  <c r="P428" i="3"/>
  <c r="AC428" i="3"/>
  <c r="U428" i="3"/>
  <c r="W428" i="3"/>
  <c r="AE428" i="3"/>
  <c r="AF428" i="3"/>
  <c r="I428" i="3"/>
  <c r="B428" i="3"/>
  <c r="R428" i="3"/>
  <c r="AG428" i="3"/>
  <c r="K645" i="3"/>
  <c r="V645" i="3"/>
  <c r="AD645" i="3"/>
  <c r="B645" i="3"/>
  <c r="Q645" i="3"/>
  <c r="AB645" i="3"/>
  <c r="AO645" i="3"/>
  <c r="F645" i="3"/>
  <c r="AP645" i="3" s="1"/>
  <c r="U645" i="3"/>
  <c r="AF645" i="3"/>
  <c r="I645" i="3"/>
  <c r="W645" i="3"/>
  <c r="AG645" i="3"/>
  <c r="J645" i="3"/>
  <c r="X645" i="3"/>
  <c r="AL645" i="3"/>
  <c r="BJ645" i="3" s="1"/>
  <c r="L645" i="3"/>
  <c r="Y645" i="3"/>
  <c r="AM645" i="3"/>
  <c r="M645" i="3"/>
  <c r="Z645" i="3"/>
  <c r="AN645" i="3"/>
  <c r="N645" i="3"/>
  <c r="AA645" i="3"/>
  <c r="K644" i="3"/>
  <c r="V644" i="3"/>
  <c r="AD644" i="3"/>
  <c r="L644" i="3"/>
  <c r="X644" i="3"/>
  <c r="AG644" i="3"/>
  <c r="F644" i="3"/>
  <c r="AP644" i="3" s="1"/>
  <c r="U644" i="3"/>
  <c r="AF644" i="3"/>
  <c r="I644" i="3"/>
  <c r="W644" i="3"/>
  <c r="AL644" i="3"/>
  <c r="BJ644" i="3" s="1"/>
  <c r="J644" i="3"/>
  <c r="Y644" i="3"/>
  <c r="AM644" i="3"/>
  <c r="M644" i="3"/>
  <c r="Z644" i="3"/>
  <c r="AN644" i="3"/>
  <c r="N644" i="3"/>
  <c r="AA644" i="3"/>
  <c r="AO644" i="3"/>
  <c r="P644" i="3"/>
  <c r="AB644" i="3"/>
  <c r="AL630" i="3"/>
  <c r="BJ630" i="3" s="1"/>
  <c r="U620" i="3"/>
  <c r="U614" i="3"/>
  <c r="AG611" i="3"/>
  <c r="K604" i="3"/>
  <c r="V604" i="3"/>
  <c r="AD604" i="3"/>
  <c r="F604" i="3"/>
  <c r="AP604" i="3" s="1"/>
  <c r="R604" i="3"/>
  <c r="AC604" i="3"/>
  <c r="L604" i="3"/>
  <c r="X604" i="3"/>
  <c r="AG604" i="3"/>
  <c r="B604" i="3"/>
  <c r="W604" i="3"/>
  <c r="AM604" i="3"/>
  <c r="I604" i="3"/>
  <c r="Y604" i="3"/>
  <c r="AN604" i="3"/>
  <c r="J604" i="3"/>
  <c r="Z604" i="3"/>
  <c r="AO604" i="3"/>
  <c r="M604" i="3"/>
  <c r="AA604" i="3"/>
  <c r="N604" i="3"/>
  <c r="AB604" i="3"/>
  <c r="P604" i="3"/>
  <c r="AE604" i="3"/>
  <c r="K598" i="3"/>
  <c r="V598" i="3"/>
  <c r="AD598" i="3"/>
  <c r="F598" i="3"/>
  <c r="AP598" i="3" s="1"/>
  <c r="R598" i="3"/>
  <c r="AC598" i="3"/>
  <c r="L598" i="3"/>
  <c r="X598" i="3"/>
  <c r="AG598" i="3"/>
  <c r="I598" i="3"/>
  <c r="Y598" i="3"/>
  <c r="AN598" i="3"/>
  <c r="J598" i="3"/>
  <c r="Z598" i="3"/>
  <c r="AO598" i="3"/>
  <c r="M598" i="3"/>
  <c r="AA598" i="3"/>
  <c r="N598" i="3"/>
  <c r="AB598" i="3"/>
  <c r="P598" i="3"/>
  <c r="AE598" i="3"/>
  <c r="Q598" i="3"/>
  <c r="AF598" i="3"/>
  <c r="U595" i="3"/>
  <c r="F446" i="3"/>
  <c r="AP446" i="3" s="1"/>
  <c r="Q446" i="3"/>
  <c r="AA446" i="3"/>
  <c r="AM446" i="3"/>
  <c r="K446" i="3"/>
  <c r="V446" i="3"/>
  <c r="AD446" i="3"/>
  <c r="J446" i="3"/>
  <c r="X446" i="3"/>
  <c r="AL446" i="3"/>
  <c r="BJ446" i="3" s="1"/>
  <c r="L446" i="3"/>
  <c r="Y446" i="3"/>
  <c r="AN446" i="3"/>
  <c r="M446" i="3"/>
  <c r="Z446" i="3"/>
  <c r="AO446" i="3"/>
  <c r="N446" i="3"/>
  <c r="AB446" i="3"/>
  <c r="R446" i="3"/>
  <c r="U446" i="3"/>
  <c r="W446" i="3"/>
  <c r="AC446" i="3"/>
  <c r="I446" i="3"/>
  <c r="AG446" i="3"/>
  <c r="AE446" i="3"/>
  <c r="AF446" i="3"/>
  <c r="B446" i="3"/>
  <c r="P446" i="3"/>
  <c r="A446" i="3"/>
  <c r="K646" i="3"/>
  <c r="V646" i="3"/>
  <c r="AD646" i="3"/>
  <c r="L646" i="3"/>
  <c r="X646" i="3"/>
  <c r="AG646" i="3"/>
  <c r="B646" i="3"/>
  <c r="R646" i="3"/>
  <c r="AE646" i="3"/>
  <c r="F646" i="3"/>
  <c r="AP646" i="3" s="1"/>
  <c r="U646" i="3"/>
  <c r="AF646" i="3"/>
  <c r="I646" i="3"/>
  <c r="W646" i="3"/>
  <c r="AL646" i="3"/>
  <c r="BJ646" i="3" s="1"/>
  <c r="J646" i="3"/>
  <c r="Y646" i="3"/>
  <c r="AM646" i="3"/>
  <c r="M646" i="3"/>
  <c r="Z646" i="3"/>
  <c r="AN646" i="3"/>
  <c r="N646" i="3"/>
  <c r="AA646" i="3"/>
  <c r="AO646" i="3"/>
  <c r="W630" i="3"/>
  <c r="AM627" i="3"/>
  <c r="W611" i="3"/>
  <c r="K601" i="3"/>
  <c r="V601" i="3"/>
  <c r="AD601" i="3"/>
  <c r="M601" i="3"/>
  <c r="Y601" i="3"/>
  <c r="AL601" i="3"/>
  <c r="BJ601" i="3" s="1"/>
  <c r="B601" i="3"/>
  <c r="Q601" i="3"/>
  <c r="AB601" i="3"/>
  <c r="AO601" i="3"/>
  <c r="F601" i="3"/>
  <c r="AP601" i="3" s="1"/>
  <c r="W601" i="3"/>
  <c r="AM601" i="3"/>
  <c r="I601" i="3"/>
  <c r="X601" i="3"/>
  <c r="AN601" i="3"/>
  <c r="J601" i="3"/>
  <c r="Z601" i="3"/>
  <c r="L601" i="3"/>
  <c r="AA601" i="3"/>
  <c r="N601" i="3"/>
  <c r="AC601" i="3"/>
  <c r="P601" i="3"/>
  <c r="AE601" i="3"/>
  <c r="AM582" i="3"/>
  <c r="K572" i="3"/>
  <c r="V572" i="3"/>
  <c r="AD572" i="3"/>
  <c r="B572" i="3"/>
  <c r="P572" i="3"/>
  <c r="Z572" i="3"/>
  <c r="AL572" i="3"/>
  <c r="BJ572" i="3" s="1"/>
  <c r="Q572" i="3"/>
  <c r="AC572" i="3"/>
  <c r="I572" i="3"/>
  <c r="W572" i="3"/>
  <c r="AG572" i="3"/>
  <c r="M572" i="3"/>
  <c r="AA572" i="3"/>
  <c r="AO572" i="3"/>
  <c r="F572" i="3"/>
  <c r="AP572" i="3" s="1"/>
  <c r="AB572" i="3"/>
  <c r="J572" i="3"/>
  <c r="AE572" i="3"/>
  <c r="L572" i="3"/>
  <c r="AF572" i="3"/>
  <c r="N572" i="3"/>
  <c r="AM572" i="3"/>
  <c r="R572" i="3"/>
  <c r="AN572" i="3"/>
  <c r="U572" i="3"/>
  <c r="U630" i="3"/>
  <c r="K620" i="3"/>
  <c r="V620" i="3"/>
  <c r="AD620" i="3"/>
  <c r="F620" i="3"/>
  <c r="AP620" i="3" s="1"/>
  <c r="R620" i="3"/>
  <c r="AC620" i="3"/>
  <c r="L620" i="3"/>
  <c r="X620" i="3"/>
  <c r="AG620" i="3"/>
  <c r="B620" i="3"/>
  <c r="W620" i="3"/>
  <c r="AM620" i="3"/>
  <c r="I620" i="3"/>
  <c r="Y620" i="3"/>
  <c r="AN620" i="3"/>
  <c r="J620" i="3"/>
  <c r="Z620" i="3"/>
  <c r="AO620" i="3"/>
  <c r="M620" i="3"/>
  <c r="AA620" i="3"/>
  <c r="N620" i="3"/>
  <c r="AB620" i="3"/>
  <c r="P620" i="3"/>
  <c r="AE620" i="3"/>
  <c r="K614" i="3"/>
  <c r="V614" i="3"/>
  <c r="AD614" i="3"/>
  <c r="F614" i="3"/>
  <c r="AP614" i="3" s="1"/>
  <c r="R614" i="3"/>
  <c r="AC614" i="3"/>
  <c r="L614" i="3"/>
  <c r="X614" i="3"/>
  <c r="AG614" i="3"/>
  <c r="I614" i="3"/>
  <c r="Y614" i="3"/>
  <c r="AN614" i="3"/>
  <c r="J614" i="3"/>
  <c r="Z614" i="3"/>
  <c r="AO614" i="3"/>
  <c r="M614" i="3"/>
  <c r="AA614" i="3"/>
  <c r="N614" i="3"/>
  <c r="AB614" i="3"/>
  <c r="P614" i="3"/>
  <c r="AE614" i="3"/>
  <c r="Q614" i="3"/>
  <c r="AF614" i="3"/>
  <c r="U611" i="3"/>
  <c r="K595" i="3"/>
  <c r="V595" i="3"/>
  <c r="AD595" i="3"/>
  <c r="M595" i="3"/>
  <c r="Y595" i="3"/>
  <c r="AL595" i="3"/>
  <c r="BJ595" i="3" s="1"/>
  <c r="B595" i="3"/>
  <c r="Q595" i="3"/>
  <c r="AB595" i="3"/>
  <c r="AO595" i="3"/>
  <c r="I595" i="3"/>
  <c r="X595" i="3"/>
  <c r="AN595" i="3"/>
  <c r="J595" i="3"/>
  <c r="Z595" i="3"/>
  <c r="A595" i="3"/>
  <c r="L595" i="3"/>
  <c r="AA595" i="3"/>
  <c r="N595" i="3"/>
  <c r="AC595" i="3"/>
  <c r="P595" i="3"/>
  <c r="AE595" i="3"/>
  <c r="R595" i="3"/>
  <c r="AF595" i="3"/>
  <c r="K667" i="3"/>
  <c r="V667" i="3"/>
  <c r="AD667" i="3"/>
  <c r="K665" i="3"/>
  <c r="V665" i="3"/>
  <c r="AD665" i="3"/>
  <c r="K663" i="3"/>
  <c r="V663" i="3"/>
  <c r="AD663" i="3"/>
  <c r="K661" i="3"/>
  <c r="V661" i="3"/>
  <c r="AD661" i="3"/>
  <c r="K659" i="3"/>
  <c r="V659" i="3"/>
  <c r="AD659" i="3"/>
  <c r="K657" i="3"/>
  <c r="V657" i="3"/>
  <c r="AD657" i="3"/>
  <c r="K655" i="3"/>
  <c r="V655" i="3"/>
  <c r="AD655" i="3"/>
  <c r="K653" i="3"/>
  <c r="V653" i="3"/>
  <c r="AD653" i="3"/>
  <c r="K642" i="3"/>
  <c r="V642" i="3"/>
  <c r="AD642" i="3"/>
  <c r="L642" i="3"/>
  <c r="X642" i="3"/>
  <c r="AG642" i="3"/>
  <c r="K641" i="3"/>
  <c r="V641" i="3"/>
  <c r="AD641" i="3"/>
  <c r="B641" i="3"/>
  <c r="Q641" i="3"/>
  <c r="AB641" i="3"/>
  <c r="AO641" i="3"/>
  <c r="K624" i="3"/>
  <c r="V624" i="3"/>
  <c r="AD624" i="3"/>
  <c r="F624" i="3"/>
  <c r="AP624" i="3" s="1"/>
  <c r="R624" i="3"/>
  <c r="AC624" i="3"/>
  <c r="L624" i="3"/>
  <c r="X624" i="3"/>
  <c r="AG624" i="3"/>
  <c r="K621" i="3"/>
  <c r="V621" i="3"/>
  <c r="AD621" i="3"/>
  <c r="M621" i="3"/>
  <c r="Y621" i="3"/>
  <c r="AL621" i="3"/>
  <c r="BJ621" i="3" s="1"/>
  <c r="B621" i="3"/>
  <c r="Q621" i="3"/>
  <c r="AB621" i="3"/>
  <c r="AO621" i="3"/>
  <c r="K608" i="3"/>
  <c r="V608" i="3"/>
  <c r="AD608" i="3"/>
  <c r="F608" i="3"/>
  <c r="AP608" i="3" s="1"/>
  <c r="R608" i="3"/>
  <c r="AC608" i="3"/>
  <c r="L608" i="3"/>
  <c r="X608" i="3"/>
  <c r="AG608" i="3"/>
  <c r="K605" i="3"/>
  <c r="V605" i="3"/>
  <c r="AD605" i="3"/>
  <c r="M605" i="3"/>
  <c r="Y605" i="3"/>
  <c r="AL605" i="3"/>
  <c r="BJ605" i="3" s="1"/>
  <c r="B605" i="3"/>
  <c r="Q605" i="3"/>
  <c r="AB605" i="3"/>
  <c r="AO605" i="3"/>
  <c r="K592" i="3"/>
  <c r="V592" i="3"/>
  <c r="AD592" i="3"/>
  <c r="F592" i="3"/>
  <c r="AP592" i="3" s="1"/>
  <c r="R592" i="3"/>
  <c r="AC592" i="3"/>
  <c r="L592" i="3"/>
  <c r="X592" i="3"/>
  <c r="AG592" i="3"/>
  <c r="K589" i="3"/>
  <c r="V589" i="3"/>
  <c r="AD589" i="3"/>
  <c r="M589" i="3"/>
  <c r="Y589" i="3"/>
  <c r="AL589" i="3"/>
  <c r="BJ589" i="3" s="1"/>
  <c r="B589" i="3"/>
  <c r="Q589" i="3"/>
  <c r="AB589" i="3"/>
  <c r="AO589" i="3"/>
  <c r="K574" i="3"/>
  <c r="V574" i="3"/>
  <c r="AD574" i="3"/>
  <c r="B574" i="3"/>
  <c r="P574" i="3"/>
  <c r="Z574" i="3"/>
  <c r="AL574" i="3"/>
  <c r="BJ574" i="3" s="1"/>
  <c r="Q574" i="3"/>
  <c r="AC574" i="3"/>
  <c r="I574" i="3"/>
  <c r="W574" i="3"/>
  <c r="AG574" i="3"/>
  <c r="M574" i="3"/>
  <c r="AA574" i="3"/>
  <c r="AO574" i="3"/>
  <c r="I558" i="3"/>
  <c r="R558" i="3"/>
  <c r="AB558" i="3"/>
  <c r="AN558" i="3"/>
  <c r="K558" i="3"/>
  <c r="V558" i="3"/>
  <c r="AD558" i="3"/>
  <c r="B558" i="3"/>
  <c r="P558" i="3"/>
  <c r="Z558" i="3"/>
  <c r="AL558" i="3"/>
  <c r="BJ558" i="3" s="1"/>
  <c r="M558" i="3"/>
  <c r="AC558" i="3"/>
  <c r="U558" i="3"/>
  <c r="AG558" i="3"/>
  <c r="J558" i="3"/>
  <c r="Y558" i="3"/>
  <c r="B488" i="3"/>
  <c r="P488" i="3"/>
  <c r="Z488" i="3"/>
  <c r="AL488" i="3"/>
  <c r="BJ488" i="3" s="1"/>
  <c r="F488" i="3"/>
  <c r="AP488" i="3" s="1"/>
  <c r="Q488" i="3"/>
  <c r="AA488" i="3"/>
  <c r="AM488" i="3"/>
  <c r="J488" i="3"/>
  <c r="U488" i="3"/>
  <c r="AC488" i="3"/>
  <c r="AO488" i="3"/>
  <c r="M488" i="3"/>
  <c r="AD488" i="3"/>
  <c r="N488" i="3"/>
  <c r="AE488" i="3"/>
  <c r="R488" i="3"/>
  <c r="AF488" i="3"/>
  <c r="V488" i="3"/>
  <c r="AG488" i="3"/>
  <c r="K488" i="3"/>
  <c r="Y488" i="3"/>
  <c r="X488" i="3"/>
  <c r="AB488" i="3"/>
  <c r="AN488" i="3"/>
  <c r="L488" i="3"/>
  <c r="F437" i="3"/>
  <c r="AP437" i="3" s="1"/>
  <c r="Q437" i="3"/>
  <c r="AA437" i="3"/>
  <c r="AM437" i="3"/>
  <c r="K437" i="3"/>
  <c r="V437" i="3"/>
  <c r="AD437" i="3"/>
  <c r="J437" i="3"/>
  <c r="X437" i="3"/>
  <c r="AL437" i="3"/>
  <c r="BJ437" i="3" s="1"/>
  <c r="L437" i="3"/>
  <c r="Y437" i="3"/>
  <c r="AN437" i="3"/>
  <c r="M437" i="3"/>
  <c r="Z437" i="3"/>
  <c r="AO437" i="3"/>
  <c r="N437" i="3"/>
  <c r="AB437" i="3"/>
  <c r="B437" i="3"/>
  <c r="AF437" i="3"/>
  <c r="I437" i="3"/>
  <c r="AG437" i="3"/>
  <c r="P437" i="3"/>
  <c r="R437" i="3"/>
  <c r="AC437" i="3"/>
  <c r="AE437" i="3"/>
  <c r="U437" i="3"/>
  <c r="N655" i="3"/>
  <c r="AM653" i="3"/>
  <c r="Z653" i="3"/>
  <c r="N653" i="3"/>
  <c r="AB642" i="3"/>
  <c r="P642" i="3"/>
  <c r="AC641" i="3"/>
  <c r="P641" i="3"/>
  <c r="K640" i="3"/>
  <c r="V640" i="3"/>
  <c r="AD640" i="3"/>
  <c r="L640" i="3"/>
  <c r="X640" i="3"/>
  <c r="AG640" i="3"/>
  <c r="K639" i="3"/>
  <c r="V639" i="3"/>
  <c r="AD639" i="3"/>
  <c r="B639" i="3"/>
  <c r="Q639" i="3"/>
  <c r="AB639" i="3"/>
  <c r="AO639" i="3"/>
  <c r="K631" i="3"/>
  <c r="V631" i="3"/>
  <c r="AD631" i="3"/>
  <c r="M631" i="3"/>
  <c r="Y631" i="3"/>
  <c r="AL631" i="3"/>
  <c r="BJ631" i="3" s="1"/>
  <c r="B631" i="3"/>
  <c r="Q631" i="3"/>
  <c r="AB631" i="3"/>
  <c r="AO631" i="3"/>
  <c r="AF624" i="3"/>
  <c r="Q624" i="3"/>
  <c r="AF621" i="3"/>
  <c r="R621" i="3"/>
  <c r="K618" i="3"/>
  <c r="V618" i="3"/>
  <c r="AD618" i="3"/>
  <c r="F618" i="3"/>
  <c r="AP618" i="3" s="1"/>
  <c r="R618" i="3"/>
  <c r="AC618" i="3"/>
  <c r="L618" i="3"/>
  <c r="X618" i="3"/>
  <c r="AG618" i="3"/>
  <c r="K615" i="3"/>
  <c r="V615" i="3"/>
  <c r="AD615" i="3"/>
  <c r="M615" i="3"/>
  <c r="Y615" i="3"/>
  <c r="AL615" i="3"/>
  <c r="BJ615" i="3" s="1"/>
  <c r="B615" i="3"/>
  <c r="Q615" i="3"/>
  <c r="AB615" i="3"/>
  <c r="AO615" i="3"/>
  <c r="AF608" i="3"/>
  <c r="Q608" i="3"/>
  <c r="AF605" i="3"/>
  <c r="R605" i="3"/>
  <c r="K602" i="3"/>
  <c r="V602" i="3"/>
  <c r="AD602" i="3"/>
  <c r="F602" i="3"/>
  <c r="AP602" i="3" s="1"/>
  <c r="R602" i="3"/>
  <c r="AC602" i="3"/>
  <c r="L602" i="3"/>
  <c r="X602" i="3"/>
  <c r="AG602" i="3"/>
  <c r="K599" i="3"/>
  <c r="V599" i="3"/>
  <c r="AD599" i="3"/>
  <c r="M599" i="3"/>
  <c r="Y599" i="3"/>
  <c r="AL599" i="3"/>
  <c r="BJ599" i="3" s="1"/>
  <c r="B599" i="3"/>
  <c r="Q599" i="3"/>
  <c r="AB599" i="3"/>
  <c r="AO599" i="3"/>
  <c r="AF592" i="3"/>
  <c r="Q592" i="3"/>
  <c r="AF589" i="3"/>
  <c r="R589" i="3"/>
  <c r="K586" i="3"/>
  <c r="V586" i="3"/>
  <c r="AD586" i="3"/>
  <c r="F586" i="3"/>
  <c r="AP586" i="3" s="1"/>
  <c r="R586" i="3"/>
  <c r="AC586" i="3"/>
  <c r="L586" i="3"/>
  <c r="X586" i="3"/>
  <c r="AG586" i="3"/>
  <c r="K583" i="3"/>
  <c r="V583" i="3"/>
  <c r="AD583" i="3"/>
  <c r="M583" i="3"/>
  <c r="Y583" i="3"/>
  <c r="AL583" i="3"/>
  <c r="BJ583" i="3" s="1"/>
  <c r="B583" i="3"/>
  <c r="Q583" i="3"/>
  <c r="AB583" i="3"/>
  <c r="AO583" i="3"/>
  <c r="K581" i="3"/>
  <c r="V581" i="3"/>
  <c r="AD581" i="3"/>
  <c r="B581" i="3"/>
  <c r="P581" i="3"/>
  <c r="Z581" i="3"/>
  <c r="AL581" i="3"/>
  <c r="BJ581" i="3" s="1"/>
  <c r="I581" i="3"/>
  <c r="W581" i="3"/>
  <c r="AG581" i="3"/>
  <c r="M581" i="3"/>
  <c r="AA581" i="3"/>
  <c r="AO581" i="3"/>
  <c r="K575" i="3"/>
  <c r="V575" i="3"/>
  <c r="AD575" i="3"/>
  <c r="B575" i="3"/>
  <c r="P575" i="3"/>
  <c r="Z575" i="3"/>
  <c r="AL575" i="3"/>
  <c r="BJ575" i="3" s="1"/>
  <c r="Q575" i="3"/>
  <c r="AC575" i="3"/>
  <c r="I575" i="3"/>
  <c r="W575" i="3"/>
  <c r="AG575" i="3"/>
  <c r="M575" i="3"/>
  <c r="AA575" i="3"/>
  <c r="AO575" i="3"/>
  <c r="X574" i="3"/>
  <c r="I564" i="3"/>
  <c r="R564" i="3"/>
  <c r="AB564" i="3"/>
  <c r="AN564" i="3"/>
  <c r="K564" i="3"/>
  <c r="V564" i="3"/>
  <c r="AD564" i="3"/>
  <c r="B564" i="3"/>
  <c r="P564" i="3"/>
  <c r="Z564" i="3"/>
  <c r="AL564" i="3"/>
  <c r="BJ564" i="3" s="1"/>
  <c r="M564" i="3"/>
  <c r="AC564" i="3"/>
  <c r="U564" i="3"/>
  <c r="AG564" i="3"/>
  <c r="J564" i="3"/>
  <c r="Y564" i="3"/>
  <c r="AM560" i="3"/>
  <c r="L560" i="3"/>
  <c r="AA558" i="3"/>
  <c r="AL667" i="3"/>
  <c r="BJ667" i="3" s="1"/>
  <c r="Y667" i="3"/>
  <c r="M667" i="3"/>
  <c r="AL665" i="3"/>
  <c r="BJ665" i="3" s="1"/>
  <c r="Y665" i="3"/>
  <c r="M665" i="3"/>
  <c r="AL663" i="3"/>
  <c r="BJ663" i="3" s="1"/>
  <c r="Y663" i="3"/>
  <c r="M663" i="3"/>
  <c r="AL661" i="3"/>
  <c r="BJ661" i="3" s="1"/>
  <c r="Y661" i="3"/>
  <c r="M661" i="3"/>
  <c r="AL659" i="3"/>
  <c r="BJ659" i="3" s="1"/>
  <c r="Y659" i="3"/>
  <c r="M659" i="3"/>
  <c r="AL657" i="3"/>
  <c r="BJ657" i="3" s="1"/>
  <c r="Y657" i="3"/>
  <c r="M657" i="3"/>
  <c r="AL655" i="3"/>
  <c r="BJ655" i="3" s="1"/>
  <c r="Y655" i="3"/>
  <c r="M655" i="3"/>
  <c r="AL653" i="3"/>
  <c r="BJ653" i="3" s="1"/>
  <c r="Y653" i="3"/>
  <c r="M653" i="3"/>
  <c r="AC652" i="3"/>
  <c r="R652" i="3"/>
  <c r="AF651" i="3"/>
  <c r="U651" i="3"/>
  <c r="AO642" i="3"/>
  <c r="AA642" i="3"/>
  <c r="N642" i="3"/>
  <c r="AA641" i="3"/>
  <c r="N641" i="3"/>
  <c r="AB640" i="3"/>
  <c r="P640" i="3"/>
  <c r="AC639" i="3"/>
  <c r="P639" i="3"/>
  <c r="K638" i="3"/>
  <c r="V638" i="3"/>
  <c r="AD638" i="3"/>
  <c r="L638" i="3"/>
  <c r="X638" i="3"/>
  <c r="AG638" i="3"/>
  <c r="K637" i="3"/>
  <c r="V637" i="3"/>
  <c r="AD637" i="3"/>
  <c r="B637" i="3"/>
  <c r="Q637" i="3"/>
  <c r="AB637" i="3"/>
  <c r="AO637" i="3"/>
  <c r="AE636" i="3"/>
  <c r="R636" i="3"/>
  <c r="AF635" i="3"/>
  <c r="U635" i="3"/>
  <c r="AF631" i="3"/>
  <c r="R631" i="3"/>
  <c r="K628" i="3"/>
  <c r="V628" i="3"/>
  <c r="AD628" i="3"/>
  <c r="F628" i="3"/>
  <c r="AP628" i="3" s="1"/>
  <c r="R628" i="3"/>
  <c r="AC628" i="3"/>
  <c r="L628" i="3"/>
  <c r="X628" i="3"/>
  <c r="AG628" i="3"/>
  <c r="K625" i="3"/>
  <c r="V625" i="3"/>
  <c r="AD625" i="3"/>
  <c r="M625" i="3"/>
  <c r="Y625" i="3"/>
  <c r="AL625" i="3"/>
  <c r="BJ625" i="3" s="1"/>
  <c r="B625" i="3"/>
  <c r="Q625" i="3"/>
  <c r="AB625" i="3"/>
  <c r="AO625" i="3"/>
  <c r="AE624" i="3"/>
  <c r="P624" i="3"/>
  <c r="AM622" i="3"/>
  <c r="W622" i="3"/>
  <c r="AE621" i="3"/>
  <c r="P621" i="3"/>
  <c r="AM619" i="3"/>
  <c r="W619" i="3"/>
  <c r="AF618" i="3"/>
  <c r="Q618" i="3"/>
  <c r="AF615" i="3"/>
  <c r="R615" i="3"/>
  <c r="K612" i="3"/>
  <c r="V612" i="3"/>
  <c r="AD612" i="3"/>
  <c r="F612" i="3"/>
  <c r="AP612" i="3" s="1"/>
  <c r="R612" i="3"/>
  <c r="AC612" i="3"/>
  <c r="L612" i="3"/>
  <c r="X612" i="3"/>
  <c r="AG612" i="3"/>
  <c r="K609" i="3"/>
  <c r="V609" i="3"/>
  <c r="AD609" i="3"/>
  <c r="M609" i="3"/>
  <c r="Y609" i="3"/>
  <c r="AL609" i="3"/>
  <c r="BJ609" i="3" s="1"/>
  <c r="B609" i="3"/>
  <c r="Q609" i="3"/>
  <c r="AB609" i="3"/>
  <c r="AO609" i="3"/>
  <c r="AE608" i="3"/>
  <c r="P608" i="3"/>
  <c r="AM606" i="3"/>
  <c r="W606" i="3"/>
  <c r="AE605" i="3"/>
  <c r="P605" i="3"/>
  <c r="AM603" i="3"/>
  <c r="W603" i="3"/>
  <c r="AF602" i="3"/>
  <c r="Q602" i="3"/>
  <c r="AF599" i="3"/>
  <c r="R599" i="3"/>
  <c r="K596" i="3"/>
  <c r="V596" i="3"/>
  <c r="AD596" i="3"/>
  <c r="F596" i="3"/>
  <c r="AP596" i="3" s="1"/>
  <c r="R596" i="3"/>
  <c r="AC596" i="3"/>
  <c r="L596" i="3"/>
  <c r="X596" i="3"/>
  <c r="AG596" i="3"/>
  <c r="K593" i="3"/>
  <c r="V593" i="3"/>
  <c r="AD593" i="3"/>
  <c r="M593" i="3"/>
  <c r="Y593" i="3"/>
  <c r="AL593" i="3"/>
  <c r="BJ593" i="3" s="1"/>
  <c r="B593" i="3"/>
  <c r="Q593" i="3"/>
  <c r="AB593" i="3"/>
  <c r="AO593" i="3"/>
  <c r="AE592" i="3"/>
  <c r="P592" i="3"/>
  <c r="AM590" i="3"/>
  <c r="W590" i="3"/>
  <c r="AE589" i="3"/>
  <c r="P589" i="3"/>
  <c r="AM587" i="3"/>
  <c r="W587" i="3"/>
  <c r="AF586" i="3"/>
  <c r="Q586" i="3"/>
  <c r="AF583" i="3"/>
  <c r="R583" i="3"/>
  <c r="AN581" i="3"/>
  <c r="U581" i="3"/>
  <c r="Y580" i="3"/>
  <c r="AB577" i="3"/>
  <c r="K576" i="3"/>
  <c r="V576" i="3"/>
  <c r="AD576" i="3"/>
  <c r="B576" i="3"/>
  <c r="P576" i="3"/>
  <c r="Z576" i="3"/>
  <c r="AL576" i="3"/>
  <c r="BJ576" i="3" s="1"/>
  <c r="Q576" i="3"/>
  <c r="AC576" i="3"/>
  <c r="I576" i="3"/>
  <c r="W576" i="3"/>
  <c r="AG576" i="3"/>
  <c r="M576" i="3"/>
  <c r="AA576" i="3"/>
  <c r="AO576" i="3"/>
  <c r="X575" i="3"/>
  <c r="U574" i="3"/>
  <c r="I570" i="3"/>
  <c r="R570" i="3"/>
  <c r="AB570" i="3"/>
  <c r="K570" i="3"/>
  <c r="V570" i="3"/>
  <c r="AD570" i="3"/>
  <c r="B570" i="3"/>
  <c r="P570" i="3"/>
  <c r="Z570" i="3"/>
  <c r="AL570" i="3"/>
  <c r="BJ570" i="3" s="1"/>
  <c r="M570" i="3"/>
  <c r="AC570" i="3"/>
  <c r="U570" i="3"/>
  <c r="AG570" i="3"/>
  <c r="J570" i="3"/>
  <c r="Y570" i="3"/>
  <c r="AO570" i="3"/>
  <c r="AA564" i="3"/>
  <c r="AF560" i="3"/>
  <c r="X558" i="3"/>
  <c r="I554" i="3"/>
  <c r="R554" i="3"/>
  <c r="AB554" i="3"/>
  <c r="AN554" i="3"/>
  <c r="K554" i="3"/>
  <c r="V554" i="3"/>
  <c r="AD554" i="3"/>
  <c r="B554" i="3"/>
  <c r="P554" i="3"/>
  <c r="Z554" i="3"/>
  <c r="AL554" i="3"/>
  <c r="BJ554" i="3" s="1"/>
  <c r="M554" i="3"/>
  <c r="AC554" i="3"/>
  <c r="U554" i="3"/>
  <c r="AG554" i="3"/>
  <c r="J554" i="3"/>
  <c r="Y554" i="3"/>
  <c r="B492" i="3"/>
  <c r="P492" i="3"/>
  <c r="Z492" i="3"/>
  <c r="AL492" i="3"/>
  <c r="BJ492" i="3" s="1"/>
  <c r="F492" i="3"/>
  <c r="AP492" i="3" s="1"/>
  <c r="Q492" i="3"/>
  <c r="AA492" i="3"/>
  <c r="AM492" i="3"/>
  <c r="J492" i="3"/>
  <c r="U492" i="3"/>
  <c r="AC492" i="3"/>
  <c r="AO492" i="3"/>
  <c r="M492" i="3"/>
  <c r="AD492" i="3"/>
  <c r="N492" i="3"/>
  <c r="AE492" i="3"/>
  <c r="R492" i="3"/>
  <c r="AF492" i="3"/>
  <c r="V492" i="3"/>
  <c r="AG492" i="3"/>
  <c r="K492" i="3"/>
  <c r="Y492" i="3"/>
  <c r="X492" i="3"/>
  <c r="AB492" i="3"/>
  <c r="AN492" i="3"/>
  <c r="L492" i="3"/>
  <c r="AN482" i="3"/>
  <c r="AG667" i="3"/>
  <c r="X667" i="3"/>
  <c r="L667" i="3"/>
  <c r="AG665" i="3"/>
  <c r="X665" i="3"/>
  <c r="L665" i="3"/>
  <c r="AG663" i="3"/>
  <c r="X663" i="3"/>
  <c r="L663" i="3"/>
  <c r="AG661" i="3"/>
  <c r="X661" i="3"/>
  <c r="L661" i="3"/>
  <c r="AG659" i="3"/>
  <c r="X659" i="3"/>
  <c r="L659" i="3"/>
  <c r="AG657" i="3"/>
  <c r="X657" i="3"/>
  <c r="L657" i="3"/>
  <c r="AG655" i="3"/>
  <c r="X655" i="3"/>
  <c r="L655" i="3"/>
  <c r="AG653" i="3"/>
  <c r="X653" i="3"/>
  <c r="L653" i="3"/>
  <c r="K652" i="3"/>
  <c r="V652" i="3"/>
  <c r="AD652" i="3"/>
  <c r="L652" i="3"/>
  <c r="K651" i="3"/>
  <c r="V651" i="3"/>
  <c r="AD651" i="3"/>
  <c r="B651" i="3"/>
  <c r="Q651" i="3"/>
  <c r="AB651" i="3"/>
  <c r="AO651" i="3"/>
  <c r="AN642" i="3"/>
  <c r="Z642" i="3"/>
  <c r="M642" i="3"/>
  <c r="AN641" i="3"/>
  <c r="Z641" i="3"/>
  <c r="M641" i="3"/>
  <c r="AO640" i="3"/>
  <c r="AA640" i="3"/>
  <c r="N640" i="3"/>
  <c r="AA639" i="3"/>
  <c r="N639" i="3"/>
  <c r="K636" i="3"/>
  <c r="V636" i="3"/>
  <c r="AD636" i="3"/>
  <c r="L636" i="3"/>
  <c r="X636" i="3"/>
  <c r="AG636" i="3"/>
  <c r="K635" i="3"/>
  <c r="V635" i="3"/>
  <c r="AD635" i="3"/>
  <c r="B635" i="3"/>
  <c r="Q635" i="3"/>
  <c r="AB635" i="3"/>
  <c r="AO635" i="3"/>
  <c r="AE631" i="3"/>
  <c r="P631" i="3"/>
  <c r="AB624" i="3"/>
  <c r="N624" i="3"/>
  <c r="K622" i="3"/>
  <c r="V622" i="3"/>
  <c r="AD622" i="3"/>
  <c r="F622" i="3"/>
  <c r="AP622" i="3" s="1"/>
  <c r="R622" i="3"/>
  <c r="AC622" i="3"/>
  <c r="L622" i="3"/>
  <c r="X622" i="3"/>
  <c r="AG622" i="3"/>
  <c r="AC621" i="3"/>
  <c r="N621" i="3"/>
  <c r="K619" i="3"/>
  <c r="V619" i="3"/>
  <c r="AD619" i="3"/>
  <c r="M619" i="3"/>
  <c r="Y619" i="3"/>
  <c r="AL619" i="3"/>
  <c r="BJ619" i="3" s="1"/>
  <c r="B619" i="3"/>
  <c r="Q619" i="3"/>
  <c r="AB619" i="3"/>
  <c r="AO619" i="3"/>
  <c r="AE618" i="3"/>
  <c r="P618" i="3"/>
  <c r="AE615" i="3"/>
  <c r="P615" i="3"/>
  <c r="AB608" i="3"/>
  <c r="N608" i="3"/>
  <c r="K606" i="3"/>
  <c r="V606" i="3"/>
  <c r="AD606" i="3"/>
  <c r="F606" i="3"/>
  <c r="AP606" i="3" s="1"/>
  <c r="R606" i="3"/>
  <c r="AC606" i="3"/>
  <c r="L606" i="3"/>
  <c r="X606" i="3"/>
  <c r="AG606" i="3"/>
  <c r="AC605" i="3"/>
  <c r="N605" i="3"/>
  <c r="K603" i="3"/>
  <c r="V603" i="3"/>
  <c r="AD603" i="3"/>
  <c r="M603" i="3"/>
  <c r="Y603" i="3"/>
  <c r="AL603" i="3"/>
  <c r="BJ603" i="3" s="1"/>
  <c r="B603" i="3"/>
  <c r="Q603" i="3"/>
  <c r="AB603" i="3"/>
  <c r="AO603" i="3"/>
  <c r="AE602" i="3"/>
  <c r="P602" i="3"/>
  <c r="AE599" i="3"/>
  <c r="P599" i="3"/>
  <c r="AB592" i="3"/>
  <c r="N592" i="3"/>
  <c r="K590" i="3"/>
  <c r="V590" i="3"/>
  <c r="AD590" i="3"/>
  <c r="F590" i="3"/>
  <c r="AP590" i="3" s="1"/>
  <c r="R590" i="3"/>
  <c r="AC590" i="3"/>
  <c r="L590" i="3"/>
  <c r="X590" i="3"/>
  <c r="AG590" i="3"/>
  <c r="AC589" i="3"/>
  <c r="N589" i="3"/>
  <c r="K587" i="3"/>
  <c r="V587" i="3"/>
  <c r="AD587" i="3"/>
  <c r="M587" i="3"/>
  <c r="Y587" i="3"/>
  <c r="AL587" i="3"/>
  <c r="BJ587" i="3" s="1"/>
  <c r="B587" i="3"/>
  <c r="Q587" i="3"/>
  <c r="AB587" i="3"/>
  <c r="AO587" i="3"/>
  <c r="AE586" i="3"/>
  <c r="P586" i="3"/>
  <c r="AE583" i="3"/>
  <c r="P583" i="3"/>
  <c r="AM581" i="3"/>
  <c r="R581" i="3"/>
  <c r="K580" i="3"/>
  <c r="V580" i="3"/>
  <c r="AD580" i="3"/>
  <c r="B580" i="3"/>
  <c r="P580" i="3"/>
  <c r="Z580" i="3"/>
  <c r="AL580" i="3"/>
  <c r="BJ580" i="3" s="1"/>
  <c r="I580" i="3"/>
  <c r="W580" i="3"/>
  <c r="AG580" i="3"/>
  <c r="M580" i="3"/>
  <c r="AA580" i="3"/>
  <c r="AO580" i="3"/>
  <c r="K577" i="3"/>
  <c r="V577" i="3"/>
  <c r="AD577" i="3"/>
  <c r="B577" i="3"/>
  <c r="P577" i="3"/>
  <c r="Z577" i="3"/>
  <c r="AL577" i="3"/>
  <c r="BJ577" i="3" s="1"/>
  <c r="Q577" i="3"/>
  <c r="AC577" i="3"/>
  <c r="I577" i="3"/>
  <c r="W577" i="3"/>
  <c r="AG577" i="3"/>
  <c r="M577" i="3"/>
  <c r="AA577" i="3"/>
  <c r="AO577" i="3"/>
  <c r="U575" i="3"/>
  <c r="AN574" i="3"/>
  <c r="R574" i="3"/>
  <c r="I560" i="3"/>
  <c r="R560" i="3"/>
  <c r="AB560" i="3"/>
  <c r="AN560" i="3"/>
  <c r="K560" i="3"/>
  <c r="V560" i="3"/>
  <c r="AD560" i="3"/>
  <c r="B560" i="3"/>
  <c r="P560" i="3"/>
  <c r="Z560" i="3"/>
  <c r="AL560" i="3"/>
  <c r="BJ560" i="3" s="1"/>
  <c r="M560" i="3"/>
  <c r="AC560" i="3"/>
  <c r="U560" i="3"/>
  <c r="AG560" i="3"/>
  <c r="J560" i="3"/>
  <c r="Y560" i="3"/>
  <c r="W558" i="3"/>
  <c r="B486" i="3"/>
  <c r="P486" i="3"/>
  <c r="Z486" i="3"/>
  <c r="AL486" i="3"/>
  <c r="BJ486" i="3" s="1"/>
  <c r="F486" i="3"/>
  <c r="AP486" i="3" s="1"/>
  <c r="Q486" i="3"/>
  <c r="AA486" i="3"/>
  <c r="AM486" i="3"/>
  <c r="J486" i="3"/>
  <c r="U486" i="3"/>
  <c r="AC486" i="3"/>
  <c r="AO486" i="3"/>
  <c r="M486" i="3"/>
  <c r="AD486" i="3"/>
  <c r="N486" i="3"/>
  <c r="AE486" i="3"/>
  <c r="R486" i="3"/>
  <c r="AF486" i="3"/>
  <c r="V486" i="3"/>
  <c r="AG486" i="3"/>
  <c r="K486" i="3"/>
  <c r="Y486" i="3"/>
  <c r="X486" i="3"/>
  <c r="AB486" i="3"/>
  <c r="AN486" i="3"/>
  <c r="L486" i="3"/>
  <c r="B476" i="3"/>
  <c r="P476" i="3"/>
  <c r="Z476" i="3"/>
  <c r="AL476" i="3"/>
  <c r="BJ476" i="3" s="1"/>
  <c r="F476" i="3"/>
  <c r="AP476" i="3" s="1"/>
  <c r="Q476" i="3"/>
  <c r="AA476" i="3"/>
  <c r="AM476" i="3"/>
  <c r="J476" i="3"/>
  <c r="U476" i="3"/>
  <c r="AC476" i="3"/>
  <c r="AO476" i="3"/>
  <c r="M476" i="3"/>
  <c r="AD476" i="3"/>
  <c r="N476" i="3"/>
  <c r="AE476" i="3"/>
  <c r="R476" i="3"/>
  <c r="AF476" i="3"/>
  <c r="V476" i="3"/>
  <c r="AG476" i="3"/>
  <c r="K476" i="3"/>
  <c r="Y476" i="3"/>
  <c r="W476" i="3"/>
  <c r="X476" i="3"/>
  <c r="AB476" i="3"/>
  <c r="AN476" i="3"/>
  <c r="I476" i="3"/>
  <c r="B474" i="3"/>
  <c r="P474" i="3"/>
  <c r="Z474" i="3"/>
  <c r="AL474" i="3"/>
  <c r="BJ474" i="3" s="1"/>
  <c r="F474" i="3"/>
  <c r="AP474" i="3" s="1"/>
  <c r="Q474" i="3"/>
  <c r="AA474" i="3"/>
  <c r="AM474" i="3"/>
  <c r="J474" i="3"/>
  <c r="U474" i="3"/>
  <c r="AC474" i="3"/>
  <c r="AO474" i="3"/>
  <c r="M474" i="3"/>
  <c r="AD474" i="3"/>
  <c r="N474" i="3"/>
  <c r="AE474" i="3"/>
  <c r="R474" i="3"/>
  <c r="AF474" i="3"/>
  <c r="V474" i="3"/>
  <c r="AG474" i="3"/>
  <c r="K474" i="3"/>
  <c r="Y474" i="3"/>
  <c r="I474" i="3"/>
  <c r="L474" i="3"/>
  <c r="W474" i="3"/>
  <c r="X474" i="3"/>
  <c r="AF667" i="3"/>
  <c r="W667" i="3"/>
  <c r="J667" i="3"/>
  <c r="K666" i="3"/>
  <c r="V666" i="3"/>
  <c r="AD666" i="3"/>
  <c r="AF665" i="3"/>
  <c r="W665" i="3"/>
  <c r="J665" i="3"/>
  <c r="K664" i="3"/>
  <c r="V664" i="3"/>
  <c r="AD664" i="3"/>
  <c r="AF663" i="3"/>
  <c r="W663" i="3"/>
  <c r="J663" i="3"/>
  <c r="K662" i="3"/>
  <c r="V662" i="3"/>
  <c r="AD662" i="3"/>
  <c r="AF661" i="3"/>
  <c r="W661" i="3"/>
  <c r="J661" i="3"/>
  <c r="K660" i="3"/>
  <c r="V660" i="3"/>
  <c r="AD660" i="3"/>
  <c r="AF659" i="3"/>
  <c r="W659" i="3"/>
  <c r="J659" i="3"/>
  <c r="K658" i="3"/>
  <c r="V658" i="3"/>
  <c r="AD658" i="3"/>
  <c r="AF657" i="3"/>
  <c r="W657" i="3"/>
  <c r="J657" i="3"/>
  <c r="K656" i="3"/>
  <c r="V656" i="3"/>
  <c r="AD656" i="3"/>
  <c r="AF655" i="3"/>
  <c r="W655" i="3"/>
  <c r="J655" i="3"/>
  <c r="K654" i="3"/>
  <c r="V654" i="3"/>
  <c r="AD654" i="3"/>
  <c r="AF653" i="3"/>
  <c r="W653" i="3"/>
  <c r="J653" i="3"/>
  <c r="AN652" i="3"/>
  <c r="AA652" i="3"/>
  <c r="P652" i="3"/>
  <c r="AC651" i="3"/>
  <c r="P651" i="3"/>
  <c r="K650" i="3"/>
  <c r="V650" i="3"/>
  <c r="AD650" i="3"/>
  <c r="L650" i="3"/>
  <c r="X650" i="3"/>
  <c r="AG650" i="3"/>
  <c r="K649" i="3"/>
  <c r="V649" i="3"/>
  <c r="AD649" i="3"/>
  <c r="B649" i="3"/>
  <c r="Q649" i="3"/>
  <c r="AB649" i="3"/>
  <c r="AO649" i="3"/>
  <c r="AM642" i="3"/>
  <c r="Y642" i="3"/>
  <c r="J642" i="3"/>
  <c r="AM641" i="3"/>
  <c r="Y641" i="3"/>
  <c r="L641" i="3"/>
  <c r="AN640" i="3"/>
  <c r="Z640" i="3"/>
  <c r="M640" i="3"/>
  <c r="AN639" i="3"/>
  <c r="Z639" i="3"/>
  <c r="M639" i="3"/>
  <c r="AO638" i="3"/>
  <c r="AA638" i="3"/>
  <c r="N638" i="3"/>
  <c r="AA637" i="3"/>
  <c r="N637" i="3"/>
  <c r="AB636" i="3"/>
  <c r="P636" i="3"/>
  <c r="AC635" i="3"/>
  <c r="P635" i="3"/>
  <c r="K634" i="3"/>
  <c r="V634" i="3"/>
  <c r="AD634" i="3"/>
  <c r="L634" i="3"/>
  <c r="X634" i="3"/>
  <c r="AG634" i="3"/>
  <c r="K633" i="3"/>
  <c r="V633" i="3"/>
  <c r="AD633" i="3"/>
  <c r="B633" i="3"/>
  <c r="Q633" i="3"/>
  <c r="AB633" i="3"/>
  <c r="AO633" i="3"/>
  <c r="K632" i="3"/>
  <c r="V632" i="3"/>
  <c r="AD632" i="3"/>
  <c r="F632" i="3"/>
  <c r="AP632" i="3" s="1"/>
  <c r="L632" i="3"/>
  <c r="X632" i="3"/>
  <c r="AG632" i="3"/>
  <c r="AC631" i="3"/>
  <c r="N631" i="3"/>
  <c r="K629" i="3"/>
  <c r="V629" i="3"/>
  <c r="AD629" i="3"/>
  <c r="M629" i="3"/>
  <c r="Y629" i="3"/>
  <c r="AL629" i="3"/>
  <c r="BJ629" i="3" s="1"/>
  <c r="B629" i="3"/>
  <c r="Q629" i="3"/>
  <c r="AB629" i="3"/>
  <c r="AO629" i="3"/>
  <c r="AE628" i="3"/>
  <c r="P628" i="3"/>
  <c r="AE625" i="3"/>
  <c r="P625" i="3"/>
  <c r="AA624" i="3"/>
  <c r="M624" i="3"/>
  <c r="AF622" i="3"/>
  <c r="Q622" i="3"/>
  <c r="AA621" i="3"/>
  <c r="L621" i="3"/>
  <c r="AF619" i="3"/>
  <c r="R619" i="3"/>
  <c r="AB618" i="3"/>
  <c r="N618" i="3"/>
  <c r="K616" i="3"/>
  <c r="V616" i="3"/>
  <c r="AD616" i="3"/>
  <c r="F616" i="3"/>
  <c r="AP616" i="3" s="1"/>
  <c r="R616" i="3"/>
  <c r="AC616" i="3"/>
  <c r="L616" i="3"/>
  <c r="X616" i="3"/>
  <c r="AG616" i="3"/>
  <c r="AC615" i="3"/>
  <c r="N615" i="3"/>
  <c r="K613" i="3"/>
  <c r="V613" i="3"/>
  <c r="AD613" i="3"/>
  <c r="M613" i="3"/>
  <c r="Y613" i="3"/>
  <c r="AL613" i="3"/>
  <c r="BJ613" i="3" s="1"/>
  <c r="B613" i="3"/>
  <c r="Q613" i="3"/>
  <c r="AB613" i="3"/>
  <c r="AO613" i="3"/>
  <c r="AE612" i="3"/>
  <c r="P612" i="3"/>
  <c r="AE609" i="3"/>
  <c r="P609" i="3"/>
  <c r="AA608" i="3"/>
  <c r="M608" i="3"/>
  <c r="AF606" i="3"/>
  <c r="Q606" i="3"/>
  <c r="AA605" i="3"/>
  <c r="L605" i="3"/>
  <c r="AF603" i="3"/>
  <c r="R603" i="3"/>
  <c r="AB602" i="3"/>
  <c r="N602" i="3"/>
  <c r="K600" i="3"/>
  <c r="V600" i="3"/>
  <c r="AD600" i="3"/>
  <c r="F600" i="3"/>
  <c r="AP600" i="3" s="1"/>
  <c r="R600" i="3"/>
  <c r="AC600" i="3"/>
  <c r="L600" i="3"/>
  <c r="X600" i="3"/>
  <c r="AG600" i="3"/>
  <c r="AC599" i="3"/>
  <c r="N599" i="3"/>
  <c r="K597" i="3"/>
  <c r="V597" i="3"/>
  <c r="AD597" i="3"/>
  <c r="M597" i="3"/>
  <c r="Y597" i="3"/>
  <c r="AL597" i="3"/>
  <c r="BJ597" i="3" s="1"/>
  <c r="B597" i="3"/>
  <c r="Q597" i="3"/>
  <c r="AB597" i="3"/>
  <c r="AO597" i="3"/>
  <c r="AE596" i="3"/>
  <c r="P596" i="3"/>
  <c r="AE593" i="3"/>
  <c r="P593" i="3"/>
  <c r="AA592" i="3"/>
  <c r="M592" i="3"/>
  <c r="AF590" i="3"/>
  <c r="Q590" i="3"/>
  <c r="AA589" i="3"/>
  <c r="L589" i="3"/>
  <c r="AF587" i="3"/>
  <c r="R587" i="3"/>
  <c r="AB586" i="3"/>
  <c r="N586" i="3"/>
  <c r="K584" i="3"/>
  <c r="V584" i="3"/>
  <c r="AD584" i="3"/>
  <c r="F584" i="3"/>
  <c r="AP584" i="3" s="1"/>
  <c r="R584" i="3"/>
  <c r="AC584" i="3"/>
  <c r="L584" i="3"/>
  <c r="X584" i="3"/>
  <c r="AG584" i="3"/>
  <c r="AC583" i="3"/>
  <c r="N583" i="3"/>
  <c r="AF581" i="3"/>
  <c r="Q581" i="3"/>
  <c r="AN580" i="3"/>
  <c r="U580" i="3"/>
  <c r="K578" i="3"/>
  <c r="V578" i="3"/>
  <c r="AD578" i="3"/>
  <c r="B578" i="3"/>
  <c r="P578" i="3"/>
  <c r="Z578" i="3"/>
  <c r="AL578" i="3"/>
  <c r="BJ578" i="3" s="1"/>
  <c r="Q578" i="3"/>
  <c r="AC578" i="3"/>
  <c r="I578" i="3"/>
  <c r="W578" i="3"/>
  <c r="AG578" i="3"/>
  <c r="M578" i="3"/>
  <c r="AA578" i="3"/>
  <c r="AO578" i="3"/>
  <c r="X577" i="3"/>
  <c r="U576" i="3"/>
  <c r="AN575" i="3"/>
  <c r="R575" i="3"/>
  <c r="AM574" i="3"/>
  <c r="N574" i="3"/>
  <c r="X570" i="3"/>
  <c r="I566" i="3"/>
  <c r="R566" i="3"/>
  <c r="AB566" i="3"/>
  <c r="AN566" i="3"/>
  <c r="K566" i="3"/>
  <c r="V566" i="3"/>
  <c r="AD566" i="3"/>
  <c r="B566" i="3"/>
  <c r="P566" i="3"/>
  <c r="Z566" i="3"/>
  <c r="AL566" i="3"/>
  <c r="BJ566" i="3" s="1"/>
  <c r="M566" i="3"/>
  <c r="AC566" i="3"/>
  <c r="U566" i="3"/>
  <c r="AG566" i="3"/>
  <c r="J566" i="3"/>
  <c r="Y566" i="3"/>
  <c r="W564" i="3"/>
  <c r="AA560" i="3"/>
  <c r="Q558" i="3"/>
  <c r="X554" i="3"/>
  <c r="B484" i="3"/>
  <c r="P484" i="3"/>
  <c r="Z484" i="3"/>
  <c r="AL484" i="3"/>
  <c r="BJ484" i="3" s="1"/>
  <c r="F484" i="3"/>
  <c r="AP484" i="3" s="1"/>
  <c r="Q484" i="3"/>
  <c r="AA484" i="3"/>
  <c r="AM484" i="3"/>
  <c r="J484" i="3"/>
  <c r="U484" i="3"/>
  <c r="AC484" i="3"/>
  <c r="AO484" i="3"/>
  <c r="M484" i="3"/>
  <c r="AD484" i="3"/>
  <c r="N484" i="3"/>
  <c r="AE484" i="3"/>
  <c r="R484" i="3"/>
  <c r="AF484" i="3"/>
  <c r="V484" i="3"/>
  <c r="AG484" i="3"/>
  <c r="K484" i="3"/>
  <c r="Y484" i="3"/>
  <c r="W484" i="3"/>
  <c r="X484" i="3"/>
  <c r="AB484" i="3"/>
  <c r="AN484" i="3"/>
  <c r="I484" i="3"/>
  <c r="B482" i="3"/>
  <c r="P482" i="3"/>
  <c r="Z482" i="3"/>
  <c r="AL482" i="3"/>
  <c r="BJ482" i="3" s="1"/>
  <c r="F482" i="3"/>
  <c r="AP482" i="3" s="1"/>
  <c r="Q482" i="3"/>
  <c r="AA482" i="3"/>
  <c r="AM482" i="3"/>
  <c r="J482" i="3"/>
  <c r="U482" i="3"/>
  <c r="AC482" i="3"/>
  <c r="AO482" i="3"/>
  <c r="M482" i="3"/>
  <c r="AD482" i="3"/>
  <c r="N482" i="3"/>
  <c r="AE482" i="3"/>
  <c r="R482" i="3"/>
  <c r="AF482" i="3"/>
  <c r="V482" i="3"/>
  <c r="AG482" i="3"/>
  <c r="K482" i="3"/>
  <c r="Y482" i="3"/>
  <c r="I482" i="3"/>
  <c r="L482" i="3"/>
  <c r="W482" i="3"/>
  <c r="X482" i="3"/>
  <c r="F432" i="3"/>
  <c r="AP432" i="3" s="1"/>
  <c r="Q432" i="3"/>
  <c r="AA432" i="3"/>
  <c r="AM432" i="3"/>
  <c r="K432" i="3"/>
  <c r="V432" i="3"/>
  <c r="AD432" i="3"/>
  <c r="J432" i="3"/>
  <c r="X432" i="3"/>
  <c r="AL432" i="3"/>
  <c r="BJ432" i="3" s="1"/>
  <c r="L432" i="3"/>
  <c r="Y432" i="3"/>
  <c r="AN432" i="3"/>
  <c r="M432" i="3"/>
  <c r="Z432" i="3"/>
  <c r="AO432" i="3"/>
  <c r="N432" i="3"/>
  <c r="AB432" i="3"/>
  <c r="P432" i="3"/>
  <c r="AC432" i="3"/>
  <c r="U432" i="3"/>
  <c r="W432" i="3"/>
  <c r="AE432" i="3"/>
  <c r="AF432" i="3"/>
  <c r="I432" i="3"/>
  <c r="AG432" i="3"/>
  <c r="B432" i="3"/>
  <c r="AF674" i="3"/>
  <c r="X674" i="3"/>
  <c r="AF673" i="3"/>
  <c r="X673" i="3"/>
  <c r="AF672" i="3"/>
  <c r="X672" i="3"/>
  <c r="AF671" i="3"/>
  <c r="X671" i="3"/>
  <c r="AF670" i="3"/>
  <c r="X670" i="3"/>
  <c r="AF669" i="3"/>
  <c r="X669" i="3"/>
  <c r="AF668" i="3"/>
  <c r="X668" i="3"/>
  <c r="AE667" i="3"/>
  <c r="U667" i="3"/>
  <c r="I667" i="3"/>
  <c r="AM666" i="3"/>
  <c r="Z666" i="3"/>
  <c r="N666" i="3"/>
  <c r="AE665" i="3"/>
  <c r="U665" i="3"/>
  <c r="I665" i="3"/>
  <c r="AM664" i="3"/>
  <c r="Z664" i="3"/>
  <c r="N664" i="3"/>
  <c r="AE663" i="3"/>
  <c r="U663" i="3"/>
  <c r="I663" i="3"/>
  <c r="AM662" i="3"/>
  <c r="Z662" i="3"/>
  <c r="N662" i="3"/>
  <c r="AE661" i="3"/>
  <c r="U661" i="3"/>
  <c r="I661" i="3"/>
  <c r="AM660" i="3"/>
  <c r="Z660" i="3"/>
  <c r="N660" i="3"/>
  <c r="AE659" i="3"/>
  <c r="U659" i="3"/>
  <c r="I659" i="3"/>
  <c r="AM658" i="3"/>
  <c r="Z658" i="3"/>
  <c r="N658" i="3"/>
  <c r="AE657" i="3"/>
  <c r="U657" i="3"/>
  <c r="I657" i="3"/>
  <c r="AM656" i="3"/>
  <c r="Z656" i="3"/>
  <c r="N656" i="3"/>
  <c r="AE655" i="3"/>
  <c r="U655" i="3"/>
  <c r="I655" i="3"/>
  <c r="AM654" i="3"/>
  <c r="Z654" i="3"/>
  <c r="N654" i="3"/>
  <c r="AE653" i="3"/>
  <c r="U653" i="3"/>
  <c r="I653" i="3"/>
  <c r="AM652" i="3"/>
  <c r="Z652" i="3"/>
  <c r="N652" i="3"/>
  <c r="AA651" i="3"/>
  <c r="N651" i="3"/>
  <c r="AB650" i="3"/>
  <c r="P650" i="3"/>
  <c r="AC649" i="3"/>
  <c r="P649" i="3"/>
  <c r="K648" i="3"/>
  <c r="V648" i="3"/>
  <c r="AD648" i="3"/>
  <c r="L648" i="3"/>
  <c r="X648" i="3"/>
  <c r="AG648" i="3"/>
  <c r="K647" i="3"/>
  <c r="V647" i="3"/>
  <c r="AD647" i="3"/>
  <c r="B647" i="3"/>
  <c r="Q647" i="3"/>
  <c r="AB647" i="3"/>
  <c r="AO647" i="3"/>
  <c r="AL642" i="3"/>
  <c r="BJ642" i="3" s="1"/>
  <c r="W642" i="3"/>
  <c r="I642" i="3"/>
  <c r="AL641" i="3"/>
  <c r="BJ641" i="3" s="1"/>
  <c r="X641" i="3"/>
  <c r="J641" i="3"/>
  <c r="AM640" i="3"/>
  <c r="Y640" i="3"/>
  <c r="J640" i="3"/>
  <c r="AM639" i="3"/>
  <c r="Y639" i="3"/>
  <c r="L639" i="3"/>
  <c r="AN638" i="3"/>
  <c r="Z638" i="3"/>
  <c r="M638" i="3"/>
  <c r="AN637" i="3"/>
  <c r="Z637" i="3"/>
  <c r="M637" i="3"/>
  <c r="AO636" i="3"/>
  <c r="AA636" i="3"/>
  <c r="N636" i="3"/>
  <c r="AA635" i="3"/>
  <c r="N635" i="3"/>
  <c r="AB634" i="3"/>
  <c r="P634" i="3"/>
  <c r="AC633" i="3"/>
  <c r="P633" i="3"/>
  <c r="AC632" i="3"/>
  <c r="Q632" i="3"/>
  <c r="AA631" i="3"/>
  <c r="L631" i="3"/>
  <c r="AF629" i="3"/>
  <c r="R629" i="3"/>
  <c r="AB628" i="3"/>
  <c r="N628" i="3"/>
  <c r="K626" i="3"/>
  <c r="V626" i="3"/>
  <c r="AD626" i="3"/>
  <c r="F626" i="3"/>
  <c r="AP626" i="3" s="1"/>
  <c r="R626" i="3"/>
  <c r="AC626" i="3"/>
  <c r="L626" i="3"/>
  <c r="X626" i="3"/>
  <c r="AG626" i="3"/>
  <c r="AC625" i="3"/>
  <c r="N625" i="3"/>
  <c r="AO624" i="3"/>
  <c r="Z624" i="3"/>
  <c r="J624" i="3"/>
  <c r="K623" i="3"/>
  <c r="V623" i="3"/>
  <c r="AD623" i="3"/>
  <c r="M623" i="3"/>
  <c r="Y623" i="3"/>
  <c r="AL623" i="3"/>
  <c r="BJ623" i="3" s="1"/>
  <c r="B623" i="3"/>
  <c r="Q623" i="3"/>
  <c r="AB623" i="3"/>
  <c r="AO623" i="3"/>
  <c r="AE622" i="3"/>
  <c r="P622" i="3"/>
  <c r="Z621" i="3"/>
  <c r="J621" i="3"/>
  <c r="AE619" i="3"/>
  <c r="P619" i="3"/>
  <c r="AA618" i="3"/>
  <c r="M618" i="3"/>
  <c r="AF616" i="3"/>
  <c r="Q616" i="3"/>
  <c r="AA615" i="3"/>
  <c r="L615" i="3"/>
  <c r="AF613" i="3"/>
  <c r="R613" i="3"/>
  <c r="AB612" i="3"/>
  <c r="N612" i="3"/>
  <c r="K610" i="3"/>
  <c r="V610" i="3"/>
  <c r="AD610" i="3"/>
  <c r="F610" i="3"/>
  <c r="AP610" i="3" s="1"/>
  <c r="R610" i="3"/>
  <c r="AC610" i="3"/>
  <c r="L610" i="3"/>
  <c r="X610" i="3"/>
  <c r="AG610" i="3"/>
  <c r="AC609" i="3"/>
  <c r="N609" i="3"/>
  <c r="AO608" i="3"/>
  <c r="Z608" i="3"/>
  <c r="J608" i="3"/>
  <c r="K607" i="3"/>
  <c r="V607" i="3"/>
  <c r="AD607" i="3"/>
  <c r="M607" i="3"/>
  <c r="Y607" i="3"/>
  <c r="AL607" i="3"/>
  <c r="BJ607" i="3" s="1"/>
  <c r="B607" i="3"/>
  <c r="Q607" i="3"/>
  <c r="AB607" i="3"/>
  <c r="AO607" i="3"/>
  <c r="AE606" i="3"/>
  <c r="P606" i="3"/>
  <c r="Z605" i="3"/>
  <c r="J605" i="3"/>
  <c r="AE603" i="3"/>
  <c r="P603" i="3"/>
  <c r="AA602" i="3"/>
  <c r="M602" i="3"/>
  <c r="AF600" i="3"/>
  <c r="Q600" i="3"/>
  <c r="AA599" i="3"/>
  <c r="L599" i="3"/>
  <c r="AF597" i="3"/>
  <c r="R597" i="3"/>
  <c r="AB596" i="3"/>
  <c r="N596" i="3"/>
  <c r="K594" i="3"/>
  <c r="V594" i="3"/>
  <c r="AD594" i="3"/>
  <c r="F594" i="3"/>
  <c r="AP594" i="3" s="1"/>
  <c r="R594" i="3"/>
  <c r="AC594" i="3"/>
  <c r="L594" i="3"/>
  <c r="X594" i="3"/>
  <c r="AG594" i="3"/>
  <c r="AC593" i="3"/>
  <c r="N593" i="3"/>
  <c r="AO592" i="3"/>
  <c r="Z592" i="3"/>
  <c r="J592" i="3"/>
  <c r="K591" i="3"/>
  <c r="V591" i="3"/>
  <c r="AD591" i="3"/>
  <c r="M591" i="3"/>
  <c r="Y591" i="3"/>
  <c r="AL591" i="3"/>
  <c r="BJ591" i="3" s="1"/>
  <c r="B591" i="3"/>
  <c r="Q591" i="3"/>
  <c r="AB591" i="3"/>
  <c r="AO591" i="3"/>
  <c r="AE590" i="3"/>
  <c r="P590" i="3"/>
  <c r="Z589" i="3"/>
  <c r="J589" i="3"/>
  <c r="AE587" i="3"/>
  <c r="P587" i="3"/>
  <c r="AA586" i="3"/>
  <c r="M586" i="3"/>
  <c r="AF584" i="3"/>
  <c r="Q584" i="3"/>
  <c r="AA583" i="3"/>
  <c r="L583" i="3"/>
  <c r="AE581" i="3"/>
  <c r="N581" i="3"/>
  <c r="AM580" i="3"/>
  <c r="R580" i="3"/>
  <c r="K579" i="3"/>
  <c r="V579" i="3"/>
  <c r="AD579" i="3"/>
  <c r="B579" i="3"/>
  <c r="P579" i="3"/>
  <c r="Z579" i="3"/>
  <c r="AL579" i="3"/>
  <c r="BJ579" i="3" s="1"/>
  <c r="I579" i="3"/>
  <c r="W579" i="3"/>
  <c r="AG579" i="3"/>
  <c r="M579" i="3"/>
  <c r="AA579" i="3"/>
  <c r="AO579" i="3"/>
  <c r="X578" i="3"/>
  <c r="U577" i="3"/>
  <c r="AN576" i="3"/>
  <c r="R576" i="3"/>
  <c r="AM575" i="3"/>
  <c r="N575" i="3"/>
  <c r="AF574" i="3"/>
  <c r="L574" i="3"/>
  <c r="K571" i="3"/>
  <c r="V571" i="3"/>
  <c r="AD571" i="3"/>
  <c r="B571" i="3"/>
  <c r="P571" i="3"/>
  <c r="Z571" i="3"/>
  <c r="AL571" i="3"/>
  <c r="BJ571" i="3" s="1"/>
  <c r="Q571" i="3"/>
  <c r="AC571" i="3"/>
  <c r="I571" i="3"/>
  <c r="W571" i="3"/>
  <c r="AG571" i="3"/>
  <c r="M571" i="3"/>
  <c r="AA571" i="3"/>
  <c r="AO571" i="3"/>
  <c r="W570" i="3"/>
  <c r="AA566" i="3"/>
  <c r="Q564" i="3"/>
  <c r="X560" i="3"/>
  <c r="AO558" i="3"/>
  <c r="N558" i="3"/>
  <c r="I556" i="3"/>
  <c r="R556" i="3"/>
  <c r="AB556" i="3"/>
  <c r="AN556" i="3"/>
  <c r="K556" i="3"/>
  <c r="V556" i="3"/>
  <c r="AD556" i="3"/>
  <c r="B556" i="3"/>
  <c r="P556" i="3"/>
  <c r="Z556" i="3"/>
  <c r="AL556" i="3"/>
  <c r="BJ556" i="3" s="1"/>
  <c r="M556" i="3"/>
  <c r="AC556" i="3"/>
  <c r="U556" i="3"/>
  <c r="AG556" i="3"/>
  <c r="J556" i="3"/>
  <c r="Y556" i="3"/>
  <c r="W554" i="3"/>
  <c r="B490" i="3"/>
  <c r="P490" i="3"/>
  <c r="Z490" i="3"/>
  <c r="AL490" i="3"/>
  <c r="BJ490" i="3" s="1"/>
  <c r="F490" i="3"/>
  <c r="AP490" i="3" s="1"/>
  <c r="Q490" i="3"/>
  <c r="AA490" i="3"/>
  <c r="AM490" i="3"/>
  <c r="J490" i="3"/>
  <c r="U490" i="3"/>
  <c r="AC490" i="3"/>
  <c r="AO490" i="3"/>
  <c r="M490" i="3"/>
  <c r="AD490" i="3"/>
  <c r="N490" i="3"/>
  <c r="AE490" i="3"/>
  <c r="R490" i="3"/>
  <c r="AF490" i="3"/>
  <c r="V490" i="3"/>
  <c r="AG490" i="3"/>
  <c r="K490" i="3"/>
  <c r="Y490" i="3"/>
  <c r="X490" i="3"/>
  <c r="AB490" i="3"/>
  <c r="AN490" i="3"/>
  <c r="L490" i="3"/>
  <c r="AF569" i="3"/>
  <c r="Q569" i="3"/>
  <c r="AF567" i="3"/>
  <c r="Q567" i="3"/>
  <c r="AF565" i="3"/>
  <c r="Q565" i="3"/>
  <c r="AF563" i="3"/>
  <c r="Q563" i="3"/>
  <c r="AF561" i="3"/>
  <c r="Q561" i="3"/>
  <c r="AF559" i="3"/>
  <c r="Q559" i="3"/>
  <c r="AF557" i="3"/>
  <c r="Q557" i="3"/>
  <c r="AF555" i="3"/>
  <c r="Q555" i="3"/>
  <c r="AB480" i="3"/>
  <c r="AB472" i="3"/>
  <c r="F443" i="3"/>
  <c r="AP443" i="3" s="1"/>
  <c r="Q443" i="3"/>
  <c r="AA443" i="3"/>
  <c r="AM443" i="3"/>
  <c r="K443" i="3"/>
  <c r="V443" i="3"/>
  <c r="AD443" i="3"/>
  <c r="J443" i="3"/>
  <c r="X443" i="3"/>
  <c r="AL443" i="3"/>
  <c r="BJ443" i="3" s="1"/>
  <c r="L443" i="3"/>
  <c r="Y443" i="3"/>
  <c r="AN443" i="3"/>
  <c r="M443" i="3"/>
  <c r="Z443" i="3"/>
  <c r="AO443" i="3"/>
  <c r="N443" i="3"/>
  <c r="AB443" i="3"/>
  <c r="P443" i="3"/>
  <c r="R443" i="3"/>
  <c r="U443" i="3"/>
  <c r="W443" i="3"/>
  <c r="B443" i="3"/>
  <c r="AF443" i="3"/>
  <c r="AF438" i="3"/>
  <c r="I346" i="3"/>
  <c r="R346" i="3"/>
  <c r="AB346" i="3"/>
  <c r="AN346" i="3"/>
  <c r="K346" i="3"/>
  <c r="W346" i="3"/>
  <c r="AF346" i="3"/>
  <c r="M346" i="3"/>
  <c r="Y346" i="3"/>
  <c r="AL346" i="3"/>
  <c r="BJ346" i="3" s="1"/>
  <c r="N346" i="3"/>
  <c r="Z346" i="3"/>
  <c r="AM346" i="3"/>
  <c r="F346" i="3"/>
  <c r="AP346" i="3" s="1"/>
  <c r="U346" i="3"/>
  <c r="AD346" i="3"/>
  <c r="B346" i="3"/>
  <c r="AC346" i="3"/>
  <c r="J346" i="3"/>
  <c r="AE346" i="3"/>
  <c r="L346" i="3"/>
  <c r="AG346" i="3"/>
  <c r="P346" i="3"/>
  <c r="AO346" i="3"/>
  <c r="Q346" i="3"/>
  <c r="X346" i="3"/>
  <c r="V346" i="3"/>
  <c r="AA346" i="3"/>
  <c r="AA569" i="3"/>
  <c r="AA567" i="3"/>
  <c r="AA565" i="3"/>
  <c r="AA563" i="3"/>
  <c r="AA561" i="3"/>
  <c r="AA559" i="3"/>
  <c r="AA557" i="3"/>
  <c r="AA555" i="3"/>
  <c r="B478" i="3"/>
  <c r="P478" i="3"/>
  <c r="Z478" i="3"/>
  <c r="AL478" i="3"/>
  <c r="BJ478" i="3" s="1"/>
  <c r="F478" i="3"/>
  <c r="AP478" i="3" s="1"/>
  <c r="Q478" i="3"/>
  <c r="AA478" i="3"/>
  <c r="AM478" i="3"/>
  <c r="J478" i="3"/>
  <c r="U478" i="3"/>
  <c r="AC478" i="3"/>
  <c r="AO478" i="3"/>
  <c r="M478" i="3"/>
  <c r="AD478" i="3"/>
  <c r="N478" i="3"/>
  <c r="AE478" i="3"/>
  <c r="R478" i="3"/>
  <c r="AF478" i="3"/>
  <c r="V478" i="3"/>
  <c r="AG478" i="3"/>
  <c r="K478" i="3"/>
  <c r="Y478" i="3"/>
  <c r="B470" i="3"/>
  <c r="P470" i="3"/>
  <c r="Z470" i="3"/>
  <c r="AL470" i="3"/>
  <c r="BJ470" i="3" s="1"/>
  <c r="F470" i="3"/>
  <c r="AP470" i="3" s="1"/>
  <c r="Q470" i="3"/>
  <c r="AA470" i="3"/>
  <c r="AM470" i="3"/>
  <c r="J470" i="3"/>
  <c r="U470" i="3"/>
  <c r="AC470" i="3"/>
  <c r="AO470" i="3"/>
  <c r="M470" i="3"/>
  <c r="AD470" i="3"/>
  <c r="N470" i="3"/>
  <c r="AE470" i="3"/>
  <c r="R470" i="3"/>
  <c r="AF470" i="3"/>
  <c r="V470" i="3"/>
  <c r="AG470" i="3"/>
  <c r="K470" i="3"/>
  <c r="Y470" i="3"/>
  <c r="F453" i="3"/>
  <c r="AP453" i="3" s="1"/>
  <c r="Q453" i="3"/>
  <c r="AA453" i="3"/>
  <c r="AM453" i="3"/>
  <c r="K453" i="3"/>
  <c r="V453" i="3"/>
  <c r="AD453" i="3"/>
  <c r="J453" i="3"/>
  <c r="X453" i="3"/>
  <c r="AL453" i="3"/>
  <c r="BJ453" i="3" s="1"/>
  <c r="L453" i="3"/>
  <c r="Y453" i="3"/>
  <c r="AN453" i="3"/>
  <c r="M453" i="3"/>
  <c r="Z453" i="3"/>
  <c r="AO453" i="3"/>
  <c r="N453" i="3"/>
  <c r="AB453" i="3"/>
  <c r="B453" i="3"/>
  <c r="AF453" i="3"/>
  <c r="I453" i="3"/>
  <c r="AG453" i="3"/>
  <c r="P453" i="3"/>
  <c r="R453" i="3"/>
  <c r="AC453" i="3"/>
  <c r="F435" i="3"/>
  <c r="AP435" i="3" s="1"/>
  <c r="Q435" i="3"/>
  <c r="AA435" i="3"/>
  <c r="AM435" i="3"/>
  <c r="K435" i="3"/>
  <c r="V435" i="3"/>
  <c r="AD435" i="3"/>
  <c r="J435" i="3"/>
  <c r="X435" i="3"/>
  <c r="AL435" i="3"/>
  <c r="BJ435" i="3" s="1"/>
  <c r="L435" i="3"/>
  <c r="Y435" i="3"/>
  <c r="AN435" i="3"/>
  <c r="M435" i="3"/>
  <c r="Z435" i="3"/>
  <c r="AO435" i="3"/>
  <c r="N435" i="3"/>
  <c r="AB435" i="3"/>
  <c r="P435" i="3"/>
  <c r="R435" i="3"/>
  <c r="U435" i="3"/>
  <c r="W435" i="3"/>
  <c r="B435" i="3"/>
  <c r="AF435" i="3"/>
  <c r="F438" i="3"/>
  <c r="AP438" i="3" s="1"/>
  <c r="Q438" i="3"/>
  <c r="AA438" i="3"/>
  <c r="AM438" i="3"/>
  <c r="K438" i="3"/>
  <c r="V438" i="3"/>
  <c r="AD438" i="3"/>
  <c r="J438" i="3"/>
  <c r="X438" i="3"/>
  <c r="AL438" i="3"/>
  <c r="BJ438" i="3" s="1"/>
  <c r="L438" i="3"/>
  <c r="Y438" i="3"/>
  <c r="AN438" i="3"/>
  <c r="M438" i="3"/>
  <c r="Z438" i="3"/>
  <c r="AO438" i="3"/>
  <c r="N438" i="3"/>
  <c r="AB438" i="3"/>
  <c r="R438" i="3"/>
  <c r="U438" i="3"/>
  <c r="W438" i="3"/>
  <c r="AC438" i="3"/>
  <c r="I438" i="3"/>
  <c r="AG438" i="3"/>
  <c r="I367" i="3"/>
  <c r="R367" i="3"/>
  <c r="AB367" i="3"/>
  <c r="AN367" i="3"/>
  <c r="K367" i="3"/>
  <c r="V367" i="3"/>
  <c r="AD367" i="3"/>
  <c r="L367" i="3"/>
  <c r="W367" i="3"/>
  <c r="AE367" i="3"/>
  <c r="B367" i="3"/>
  <c r="P367" i="3"/>
  <c r="Z367" i="3"/>
  <c r="AL367" i="3"/>
  <c r="BJ367" i="3" s="1"/>
  <c r="M367" i="3"/>
  <c r="AF367" i="3"/>
  <c r="N367" i="3"/>
  <c r="AG367" i="3"/>
  <c r="Q367" i="3"/>
  <c r="AM367" i="3"/>
  <c r="U367" i="3"/>
  <c r="AO367" i="3"/>
  <c r="X367" i="3"/>
  <c r="F367" i="3"/>
  <c r="AP367" i="3" s="1"/>
  <c r="AA367" i="3"/>
  <c r="J367" i="3"/>
  <c r="Y367" i="3"/>
  <c r="AC367" i="3"/>
  <c r="B480" i="3"/>
  <c r="P480" i="3"/>
  <c r="Z480" i="3"/>
  <c r="AL480" i="3"/>
  <c r="BJ480" i="3" s="1"/>
  <c r="F480" i="3"/>
  <c r="AP480" i="3" s="1"/>
  <c r="Q480" i="3"/>
  <c r="AA480" i="3"/>
  <c r="AM480" i="3"/>
  <c r="J480" i="3"/>
  <c r="U480" i="3"/>
  <c r="AC480" i="3"/>
  <c r="AO480" i="3"/>
  <c r="M480" i="3"/>
  <c r="AD480" i="3"/>
  <c r="N480" i="3"/>
  <c r="AE480" i="3"/>
  <c r="R480" i="3"/>
  <c r="AF480" i="3"/>
  <c r="V480" i="3"/>
  <c r="AG480" i="3"/>
  <c r="K480" i="3"/>
  <c r="Y480" i="3"/>
  <c r="B472" i="3"/>
  <c r="P472" i="3"/>
  <c r="Z472" i="3"/>
  <c r="AL472" i="3"/>
  <c r="BJ472" i="3" s="1"/>
  <c r="F472" i="3"/>
  <c r="AP472" i="3" s="1"/>
  <c r="Q472" i="3"/>
  <c r="AA472" i="3"/>
  <c r="AM472" i="3"/>
  <c r="J472" i="3"/>
  <c r="U472" i="3"/>
  <c r="AC472" i="3"/>
  <c r="AO472" i="3"/>
  <c r="M472" i="3"/>
  <c r="AD472" i="3"/>
  <c r="N472" i="3"/>
  <c r="AE472" i="3"/>
  <c r="R472" i="3"/>
  <c r="AF472" i="3"/>
  <c r="V472" i="3"/>
  <c r="AG472" i="3"/>
  <c r="K472" i="3"/>
  <c r="Y472" i="3"/>
  <c r="F451" i="3"/>
  <c r="AP451" i="3" s="1"/>
  <c r="Q451" i="3"/>
  <c r="AA451" i="3"/>
  <c r="AM451" i="3"/>
  <c r="K451" i="3"/>
  <c r="V451" i="3"/>
  <c r="AD451" i="3"/>
  <c r="J451" i="3"/>
  <c r="X451" i="3"/>
  <c r="AL451" i="3"/>
  <c r="BJ451" i="3" s="1"/>
  <c r="L451" i="3"/>
  <c r="Y451" i="3"/>
  <c r="AN451" i="3"/>
  <c r="M451" i="3"/>
  <c r="Z451" i="3"/>
  <c r="AO451" i="3"/>
  <c r="N451" i="3"/>
  <c r="AB451" i="3"/>
  <c r="P451" i="3"/>
  <c r="R451" i="3"/>
  <c r="U451" i="3"/>
  <c r="W451" i="3"/>
  <c r="B451" i="3"/>
  <c r="AF451" i="3"/>
  <c r="F424" i="3"/>
  <c r="AP424" i="3" s="1"/>
  <c r="Q424" i="3"/>
  <c r="AA424" i="3"/>
  <c r="AM424" i="3"/>
  <c r="K424" i="3"/>
  <c r="V424" i="3"/>
  <c r="AD424" i="3"/>
  <c r="J424" i="3"/>
  <c r="X424" i="3"/>
  <c r="AL424" i="3"/>
  <c r="BJ424" i="3" s="1"/>
  <c r="L424" i="3"/>
  <c r="Y424" i="3"/>
  <c r="AN424" i="3"/>
  <c r="M424" i="3"/>
  <c r="Z424" i="3"/>
  <c r="AO424" i="3"/>
  <c r="N424" i="3"/>
  <c r="AB424" i="3"/>
  <c r="P424" i="3"/>
  <c r="AC424" i="3"/>
  <c r="U424" i="3"/>
  <c r="W424" i="3"/>
  <c r="AE424" i="3"/>
  <c r="AF424" i="3"/>
  <c r="I424" i="3"/>
  <c r="I569" i="3"/>
  <c r="R569" i="3"/>
  <c r="AB569" i="3"/>
  <c r="AN569" i="3"/>
  <c r="K569" i="3"/>
  <c r="V569" i="3"/>
  <c r="AD569" i="3"/>
  <c r="B569" i="3"/>
  <c r="P569" i="3"/>
  <c r="Z569" i="3"/>
  <c r="AL569" i="3"/>
  <c r="BJ569" i="3" s="1"/>
  <c r="I567" i="3"/>
  <c r="R567" i="3"/>
  <c r="AB567" i="3"/>
  <c r="AN567" i="3"/>
  <c r="K567" i="3"/>
  <c r="V567" i="3"/>
  <c r="AD567" i="3"/>
  <c r="B567" i="3"/>
  <c r="P567" i="3"/>
  <c r="Z567" i="3"/>
  <c r="AL567" i="3"/>
  <c r="BJ567" i="3" s="1"/>
  <c r="I565" i="3"/>
  <c r="R565" i="3"/>
  <c r="AB565" i="3"/>
  <c r="AN565" i="3"/>
  <c r="K565" i="3"/>
  <c r="V565" i="3"/>
  <c r="AD565" i="3"/>
  <c r="B565" i="3"/>
  <c r="P565" i="3"/>
  <c r="Z565" i="3"/>
  <c r="AL565" i="3"/>
  <c r="BJ565" i="3" s="1"/>
  <c r="I563" i="3"/>
  <c r="R563" i="3"/>
  <c r="AB563" i="3"/>
  <c r="AN563" i="3"/>
  <c r="K563" i="3"/>
  <c r="V563" i="3"/>
  <c r="AD563" i="3"/>
  <c r="B563" i="3"/>
  <c r="P563" i="3"/>
  <c r="Z563" i="3"/>
  <c r="AL563" i="3"/>
  <c r="BJ563" i="3" s="1"/>
  <c r="I561" i="3"/>
  <c r="R561" i="3"/>
  <c r="AB561" i="3"/>
  <c r="AN561" i="3"/>
  <c r="K561" i="3"/>
  <c r="V561" i="3"/>
  <c r="AD561" i="3"/>
  <c r="B561" i="3"/>
  <c r="P561" i="3"/>
  <c r="Z561" i="3"/>
  <c r="AL561" i="3"/>
  <c r="BJ561" i="3" s="1"/>
  <c r="I559" i="3"/>
  <c r="R559" i="3"/>
  <c r="AB559" i="3"/>
  <c r="AN559" i="3"/>
  <c r="K559" i="3"/>
  <c r="V559" i="3"/>
  <c r="AD559" i="3"/>
  <c r="B559" i="3"/>
  <c r="P559" i="3"/>
  <c r="Z559" i="3"/>
  <c r="AL559" i="3"/>
  <c r="BJ559" i="3" s="1"/>
  <c r="I557" i="3"/>
  <c r="R557" i="3"/>
  <c r="AB557" i="3"/>
  <c r="AN557" i="3"/>
  <c r="K557" i="3"/>
  <c r="V557" i="3"/>
  <c r="AD557" i="3"/>
  <c r="B557" i="3"/>
  <c r="P557" i="3"/>
  <c r="Z557" i="3"/>
  <c r="AL557" i="3"/>
  <c r="BJ557" i="3" s="1"/>
  <c r="I555" i="3"/>
  <c r="R555" i="3"/>
  <c r="AB555" i="3"/>
  <c r="AN555" i="3"/>
  <c r="K555" i="3"/>
  <c r="V555" i="3"/>
  <c r="AD555" i="3"/>
  <c r="B555" i="3"/>
  <c r="P555" i="3"/>
  <c r="Z555" i="3"/>
  <c r="AL555" i="3"/>
  <c r="BJ555" i="3" s="1"/>
  <c r="F454" i="3"/>
  <c r="AP454" i="3" s="1"/>
  <c r="Q454" i="3"/>
  <c r="AA454" i="3"/>
  <c r="AM454" i="3"/>
  <c r="K454" i="3"/>
  <c r="V454" i="3"/>
  <c r="AD454" i="3"/>
  <c r="J454" i="3"/>
  <c r="X454" i="3"/>
  <c r="AL454" i="3"/>
  <c r="BJ454" i="3" s="1"/>
  <c r="L454" i="3"/>
  <c r="Y454" i="3"/>
  <c r="AN454" i="3"/>
  <c r="M454" i="3"/>
  <c r="Z454" i="3"/>
  <c r="AO454" i="3"/>
  <c r="N454" i="3"/>
  <c r="AB454" i="3"/>
  <c r="R454" i="3"/>
  <c r="U454" i="3"/>
  <c r="W454" i="3"/>
  <c r="AC454" i="3"/>
  <c r="I454" i="3"/>
  <c r="AG454" i="3"/>
  <c r="F445" i="3"/>
  <c r="AP445" i="3" s="1"/>
  <c r="Q445" i="3"/>
  <c r="AA445" i="3"/>
  <c r="AM445" i="3"/>
  <c r="K445" i="3"/>
  <c r="V445" i="3"/>
  <c r="AD445" i="3"/>
  <c r="J445" i="3"/>
  <c r="X445" i="3"/>
  <c r="AL445" i="3"/>
  <c r="BJ445" i="3" s="1"/>
  <c r="L445" i="3"/>
  <c r="Y445" i="3"/>
  <c r="AN445" i="3"/>
  <c r="M445" i="3"/>
  <c r="Z445" i="3"/>
  <c r="AO445" i="3"/>
  <c r="N445" i="3"/>
  <c r="AB445" i="3"/>
  <c r="B445" i="3"/>
  <c r="AF445" i="3"/>
  <c r="I445" i="3"/>
  <c r="AG445" i="3"/>
  <c r="P445" i="3"/>
  <c r="R445" i="3"/>
  <c r="AC445" i="3"/>
  <c r="J551" i="3"/>
  <c r="U551" i="3"/>
  <c r="AC551" i="3"/>
  <c r="AO551" i="3"/>
  <c r="J549" i="3"/>
  <c r="U549" i="3"/>
  <c r="AC549" i="3"/>
  <c r="AO549" i="3"/>
  <c r="J547" i="3"/>
  <c r="U547" i="3"/>
  <c r="AC547" i="3"/>
  <c r="AO547" i="3"/>
  <c r="J545" i="3"/>
  <c r="U545" i="3"/>
  <c r="AC545" i="3"/>
  <c r="AO545" i="3"/>
  <c r="J543" i="3"/>
  <c r="U543" i="3"/>
  <c r="AC543" i="3"/>
  <c r="AO543" i="3"/>
  <c r="J541" i="3"/>
  <c r="U541" i="3"/>
  <c r="AC541" i="3"/>
  <c r="AO541" i="3"/>
  <c r="J539" i="3"/>
  <c r="U539" i="3"/>
  <c r="AC539" i="3"/>
  <c r="AO539" i="3"/>
  <c r="J537" i="3"/>
  <c r="U537" i="3"/>
  <c r="AC537" i="3"/>
  <c r="AO537" i="3"/>
  <c r="J535" i="3"/>
  <c r="U535" i="3"/>
  <c r="AC535" i="3"/>
  <c r="AO535" i="3"/>
  <c r="J533" i="3"/>
  <c r="U533" i="3"/>
  <c r="AC533" i="3"/>
  <c r="AO533" i="3"/>
  <c r="J531" i="3"/>
  <c r="U531" i="3"/>
  <c r="AC531" i="3"/>
  <c r="AO531" i="3"/>
  <c r="J529" i="3"/>
  <c r="U529" i="3"/>
  <c r="AC529" i="3"/>
  <c r="AO529" i="3"/>
  <c r="J527" i="3"/>
  <c r="U527" i="3"/>
  <c r="AC527" i="3"/>
  <c r="AO527" i="3"/>
  <c r="J525" i="3"/>
  <c r="U525" i="3"/>
  <c r="AC525" i="3"/>
  <c r="AO525" i="3"/>
  <c r="J523" i="3"/>
  <c r="U523" i="3"/>
  <c r="AC523" i="3"/>
  <c r="AO523" i="3"/>
  <c r="J521" i="3"/>
  <c r="U521" i="3"/>
  <c r="AC521" i="3"/>
  <c r="AO521" i="3"/>
  <c r="J519" i="3"/>
  <c r="U519" i="3"/>
  <c r="AC519" i="3"/>
  <c r="AO519" i="3"/>
  <c r="J517" i="3"/>
  <c r="U517" i="3"/>
  <c r="AC517" i="3"/>
  <c r="AO517" i="3"/>
  <c r="J515" i="3"/>
  <c r="U515" i="3"/>
  <c r="AC515" i="3"/>
  <c r="AO515" i="3"/>
  <c r="J513" i="3"/>
  <c r="U513" i="3"/>
  <c r="AC513" i="3"/>
  <c r="AO513" i="3"/>
  <c r="AN511" i="3"/>
  <c r="AA511" i="3"/>
  <c r="N511" i="3"/>
  <c r="AB510" i="3"/>
  <c r="N510" i="3"/>
  <c r="AB509" i="3"/>
  <c r="N509" i="3"/>
  <c r="AB508" i="3"/>
  <c r="N508" i="3"/>
  <c r="AB507" i="3"/>
  <c r="N507" i="3"/>
  <c r="AB506" i="3"/>
  <c r="N506" i="3"/>
  <c r="AB505" i="3"/>
  <c r="N505" i="3"/>
  <c r="AB504" i="3"/>
  <c r="N504" i="3"/>
  <c r="AB503" i="3"/>
  <c r="N503" i="3"/>
  <c r="AB502" i="3"/>
  <c r="N502" i="3"/>
  <c r="AB501" i="3"/>
  <c r="N501" i="3"/>
  <c r="AB500" i="3"/>
  <c r="N500" i="3"/>
  <c r="AB499" i="3"/>
  <c r="N499" i="3"/>
  <c r="AB498" i="3"/>
  <c r="N498" i="3"/>
  <c r="AB497" i="3"/>
  <c r="N497" i="3"/>
  <c r="AB496" i="3"/>
  <c r="N496" i="3"/>
  <c r="AB495" i="3"/>
  <c r="N495" i="3"/>
  <c r="AB494" i="3"/>
  <c r="N494" i="3"/>
  <c r="AB493" i="3"/>
  <c r="N493" i="3"/>
  <c r="AF491" i="3"/>
  <c r="R491" i="3"/>
  <c r="AF489" i="3"/>
  <c r="R489" i="3"/>
  <c r="AF487" i="3"/>
  <c r="R487" i="3"/>
  <c r="AF485" i="3"/>
  <c r="R485" i="3"/>
  <c r="AF483" i="3"/>
  <c r="R483" i="3"/>
  <c r="AF481" i="3"/>
  <c r="R481" i="3"/>
  <c r="AF479" i="3"/>
  <c r="R479" i="3"/>
  <c r="AF477" i="3"/>
  <c r="R477" i="3"/>
  <c r="AF475" i="3"/>
  <c r="R475" i="3"/>
  <c r="AF473" i="3"/>
  <c r="R473" i="3"/>
  <c r="AF471" i="3"/>
  <c r="R471" i="3"/>
  <c r="F464" i="3"/>
  <c r="AP464" i="3" s="1"/>
  <c r="Q464" i="3"/>
  <c r="AA464" i="3"/>
  <c r="AM464" i="3"/>
  <c r="J464" i="3"/>
  <c r="V464" i="3"/>
  <c r="AE464" i="3"/>
  <c r="K464" i="3"/>
  <c r="W464" i="3"/>
  <c r="AF464" i="3"/>
  <c r="L464" i="3"/>
  <c r="X464" i="3"/>
  <c r="AG464" i="3"/>
  <c r="M464" i="3"/>
  <c r="Y464" i="3"/>
  <c r="AL464" i="3"/>
  <c r="BJ464" i="3" s="1"/>
  <c r="F460" i="3"/>
  <c r="AP460" i="3" s="1"/>
  <c r="Q460" i="3"/>
  <c r="AA460" i="3"/>
  <c r="AM460" i="3"/>
  <c r="J460" i="3"/>
  <c r="V460" i="3"/>
  <c r="AE460" i="3"/>
  <c r="K460" i="3"/>
  <c r="W460" i="3"/>
  <c r="AF460" i="3"/>
  <c r="L460" i="3"/>
  <c r="X460" i="3"/>
  <c r="AG460" i="3"/>
  <c r="M460" i="3"/>
  <c r="Y460" i="3"/>
  <c r="AL460" i="3"/>
  <c r="BJ460" i="3" s="1"/>
  <c r="F456" i="3"/>
  <c r="AP456" i="3" s="1"/>
  <c r="Q456" i="3"/>
  <c r="AA456" i="3"/>
  <c r="AM456" i="3"/>
  <c r="J456" i="3"/>
  <c r="V456" i="3"/>
  <c r="AE456" i="3"/>
  <c r="K456" i="3"/>
  <c r="W456" i="3"/>
  <c r="AF456" i="3"/>
  <c r="L456" i="3"/>
  <c r="X456" i="3"/>
  <c r="AG456" i="3"/>
  <c r="M456" i="3"/>
  <c r="Y456" i="3"/>
  <c r="AL456" i="3"/>
  <c r="BJ456" i="3" s="1"/>
  <c r="U455" i="3"/>
  <c r="W450" i="3"/>
  <c r="F448" i="3"/>
  <c r="AP448" i="3" s="1"/>
  <c r="Q448" i="3"/>
  <c r="AA448" i="3"/>
  <c r="AM448" i="3"/>
  <c r="K448" i="3"/>
  <c r="V448" i="3"/>
  <c r="AD448" i="3"/>
  <c r="J448" i="3"/>
  <c r="X448" i="3"/>
  <c r="AL448" i="3"/>
  <c r="BJ448" i="3" s="1"/>
  <c r="L448" i="3"/>
  <c r="Y448" i="3"/>
  <c r="AN448" i="3"/>
  <c r="M448" i="3"/>
  <c r="Z448" i="3"/>
  <c r="AO448" i="3"/>
  <c r="N448" i="3"/>
  <c r="AB448" i="3"/>
  <c r="U447" i="3"/>
  <c r="W442" i="3"/>
  <c r="F440" i="3"/>
  <c r="AP440" i="3" s="1"/>
  <c r="Q440" i="3"/>
  <c r="AA440" i="3"/>
  <c r="AM440" i="3"/>
  <c r="K440" i="3"/>
  <c r="V440" i="3"/>
  <c r="AD440" i="3"/>
  <c r="J440" i="3"/>
  <c r="X440" i="3"/>
  <c r="AL440" i="3"/>
  <c r="BJ440" i="3" s="1"/>
  <c r="L440" i="3"/>
  <c r="Y440" i="3"/>
  <c r="AN440" i="3"/>
  <c r="M440" i="3"/>
  <c r="Z440" i="3"/>
  <c r="AO440" i="3"/>
  <c r="N440" i="3"/>
  <c r="AB440" i="3"/>
  <c r="U439" i="3"/>
  <c r="W434" i="3"/>
  <c r="F433" i="3"/>
  <c r="AP433" i="3" s="1"/>
  <c r="Q433" i="3"/>
  <c r="AA433" i="3"/>
  <c r="AM433" i="3"/>
  <c r="K433" i="3"/>
  <c r="V433" i="3"/>
  <c r="AD433" i="3"/>
  <c r="J433" i="3"/>
  <c r="X433" i="3"/>
  <c r="AL433" i="3"/>
  <c r="BJ433" i="3" s="1"/>
  <c r="L433" i="3"/>
  <c r="Y433" i="3"/>
  <c r="AN433" i="3"/>
  <c r="M433" i="3"/>
  <c r="Z433" i="3"/>
  <c r="AO433" i="3"/>
  <c r="N433" i="3"/>
  <c r="AB433" i="3"/>
  <c r="P433" i="3"/>
  <c r="AC433" i="3"/>
  <c r="AE430" i="3"/>
  <c r="F429" i="3"/>
  <c r="AP429" i="3" s="1"/>
  <c r="Q429" i="3"/>
  <c r="AA429" i="3"/>
  <c r="AM429" i="3"/>
  <c r="K429" i="3"/>
  <c r="V429" i="3"/>
  <c r="AD429" i="3"/>
  <c r="J429" i="3"/>
  <c r="X429" i="3"/>
  <c r="AL429" i="3"/>
  <c r="BJ429" i="3" s="1"/>
  <c r="L429" i="3"/>
  <c r="Y429" i="3"/>
  <c r="AN429" i="3"/>
  <c r="M429" i="3"/>
  <c r="Z429" i="3"/>
  <c r="AO429" i="3"/>
  <c r="N429" i="3"/>
  <c r="AB429" i="3"/>
  <c r="P429" i="3"/>
  <c r="AC429" i="3"/>
  <c r="AE426" i="3"/>
  <c r="F425" i="3"/>
  <c r="AP425" i="3" s="1"/>
  <c r="Q425" i="3"/>
  <c r="AA425" i="3"/>
  <c r="AM425" i="3"/>
  <c r="K425" i="3"/>
  <c r="V425" i="3"/>
  <c r="AD425" i="3"/>
  <c r="J425" i="3"/>
  <c r="X425" i="3"/>
  <c r="AL425" i="3"/>
  <c r="BJ425" i="3" s="1"/>
  <c r="L425" i="3"/>
  <c r="Y425" i="3"/>
  <c r="AN425" i="3"/>
  <c r="M425" i="3"/>
  <c r="Z425" i="3"/>
  <c r="AO425" i="3"/>
  <c r="N425" i="3"/>
  <c r="AB425" i="3"/>
  <c r="P425" i="3"/>
  <c r="AC425" i="3"/>
  <c r="Y421" i="3"/>
  <c r="AL419" i="3"/>
  <c r="BJ419" i="3" s="1"/>
  <c r="K383" i="3"/>
  <c r="V383" i="3"/>
  <c r="AD383" i="3"/>
  <c r="L383" i="3"/>
  <c r="W383" i="3"/>
  <c r="AE383" i="3"/>
  <c r="J383" i="3"/>
  <c r="Y383" i="3"/>
  <c r="AM383" i="3"/>
  <c r="M383" i="3"/>
  <c r="Z383" i="3"/>
  <c r="AN383" i="3"/>
  <c r="N383" i="3"/>
  <c r="AA383" i="3"/>
  <c r="AO383" i="3"/>
  <c r="P383" i="3"/>
  <c r="AB383" i="3"/>
  <c r="F383" i="3"/>
  <c r="AP383" i="3" s="1"/>
  <c r="U383" i="3"/>
  <c r="AG383" i="3"/>
  <c r="I383" i="3"/>
  <c r="Q383" i="3"/>
  <c r="R383" i="3"/>
  <c r="X383" i="3"/>
  <c r="AC383" i="3"/>
  <c r="J289" i="3"/>
  <c r="U289" i="3"/>
  <c r="AC289" i="3"/>
  <c r="AO289" i="3"/>
  <c r="L289" i="3"/>
  <c r="X289" i="3"/>
  <c r="AG289" i="3"/>
  <c r="F289" i="3"/>
  <c r="AP289" i="3" s="1"/>
  <c r="V289" i="3"/>
  <c r="AF289" i="3"/>
  <c r="K289" i="3"/>
  <c r="Y289" i="3"/>
  <c r="AM289" i="3"/>
  <c r="N289" i="3"/>
  <c r="AA289" i="3"/>
  <c r="M289" i="3"/>
  <c r="AE289" i="3"/>
  <c r="P289" i="3"/>
  <c r="AL289" i="3"/>
  <c r="BJ289" i="3" s="1"/>
  <c r="Q289" i="3"/>
  <c r="AN289" i="3"/>
  <c r="R289" i="3"/>
  <c r="B289" i="3"/>
  <c r="AB289" i="3"/>
  <c r="Z289" i="3"/>
  <c r="AD289" i="3"/>
  <c r="I289" i="3"/>
  <c r="L485" i="3"/>
  <c r="AB483" i="3"/>
  <c r="L483" i="3"/>
  <c r="AB481" i="3"/>
  <c r="L481" i="3"/>
  <c r="AB479" i="3"/>
  <c r="L479" i="3"/>
  <c r="AB477" i="3"/>
  <c r="L477" i="3"/>
  <c r="AB475" i="3"/>
  <c r="L475" i="3"/>
  <c r="AB473" i="3"/>
  <c r="L473" i="3"/>
  <c r="AB471" i="3"/>
  <c r="L471" i="3"/>
  <c r="F468" i="3"/>
  <c r="AP468" i="3" s="1"/>
  <c r="Q468" i="3"/>
  <c r="AA468" i="3"/>
  <c r="AM468" i="3"/>
  <c r="J468" i="3"/>
  <c r="V468" i="3"/>
  <c r="AE468" i="3"/>
  <c r="K468" i="3"/>
  <c r="W468" i="3"/>
  <c r="AF468" i="3"/>
  <c r="M468" i="3"/>
  <c r="Y468" i="3"/>
  <c r="AL468" i="3"/>
  <c r="BJ468" i="3" s="1"/>
  <c r="F466" i="3"/>
  <c r="AP466" i="3" s="1"/>
  <c r="Q466" i="3"/>
  <c r="AA466" i="3"/>
  <c r="AM466" i="3"/>
  <c r="J466" i="3"/>
  <c r="V466" i="3"/>
  <c r="AE466" i="3"/>
  <c r="K466" i="3"/>
  <c r="W466" i="3"/>
  <c r="AF466" i="3"/>
  <c r="M466" i="3"/>
  <c r="Y466" i="3"/>
  <c r="AL466" i="3"/>
  <c r="BJ466" i="3" s="1"/>
  <c r="R464" i="3"/>
  <c r="R460" i="3"/>
  <c r="R456" i="3"/>
  <c r="AG455" i="3"/>
  <c r="I455" i="3"/>
  <c r="P450" i="3"/>
  <c r="F449" i="3"/>
  <c r="AP449" i="3" s="1"/>
  <c r="Q449" i="3"/>
  <c r="AA449" i="3"/>
  <c r="AM449" i="3"/>
  <c r="K449" i="3"/>
  <c r="V449" i="3"/>
  <c r="AD449" i="3"/>
  <c r="J449" i="3"/>
  <c r="X449" i="3"/>
  <c r="AL449" i="3"/>
  <c r="BJ449" i="3" s="1"/>
  <c r="L449" i="3"/>
  <c r="Y449" i="3"/>
  <c r="AN449" i="3"/>
  <c r="M449" i="3"/>
  <c r="Z449" i="3"/>
  <c r="AO449" i="3"/>
  <c r="N449" i="3"/>
  <c r="AB449" i="3"/>
  <c r="U448" i="3"/>
  <c r="AG447" i="3"/>
  <c r="I447" i="3"/>
  <c r="P442" i="3"/>
  <c r="F441" i="3"/>
  <c r="AP441" i="3" s="1"/>
  <c r="Q441" i="3"/>
  <c r="AA441" i="3"/>
  <c r="AM441" i="3"/>
  <c r="K441" i="3"/>
  <c r="V441" i="3"/>
  <c r="AD441" i="3"/>
  <c r="J441" i="3"/>
  <c r="X441" i="3"/>
  <c r="AL441" i="3"/>
  <c r="BJ441" i="3" s="1"/>
  <c r="L441" i="3"/>
  <c r="Y441" i="3"/>
  <c r="AN441" i="3"/>
  <c r="M441" i="3"/>
  <c r="Z441" i="3"/>
  <c r="AO441" i="3"/>
  <c r="N441" i="3"/>
  <c r="AB441" i="3"/>
  <c r="U440" i="3"/>
  <c r="AG439" i="3"/>
  <c r="I439" i="3"/>
  <c r="P434" i="3"/>
  <c r="W433" i="3"/>
  <c r="R430" i="3"/>
  <c r="W429" i="3"/>
  <c r="R426" i="3"/>
  <c r="W425" i="3"/>
  <c r="I421" i="3"/>
  <c r="U419" i="3"/>
  <c r="J321" i="3"/>
  <c r="U321" i="3"/>
  <c r="AC321" i="3"/>
  <c r="AO321" i="3"/>
  <c r="I321" i="3"/>
  <c r="V321" i="3"/>
  <c r="AE321" i="3"/>
  <c r="L321" i="3"/>
  <c r="X321" i="3"/>
  <c r="AG321" i="3"/>
  <c r="B321" i="3"/>
  <c r="W321" i="3"/>
  <c r="AM321" i="3"/>
  <c r="F321" i="3"/>
  <c r="AP321" i="3" s="1"/>
  <c r="Y321" i="3"/>
  <c r="AN321" i="3"/>
  <c r="K321" i="3"/>
  <c r="Z321" i="3"/>
  <c r="M321" i="3"/>
  <c r="AA321" i="3"/>
  <c r="Q321" i="3"/>
  <c r="AF321" i="3"/>
  <c r="N321" i="3"/>
  <c r="P321" i="3"/>
  <c r="R321" i="3"/>
  <c r="AB321" i="3"/>
  <c r="AD321" i="3"/>
  <c r="AD553" i="3"/>
  <c r="V553" i="3"/>
  <c r="K553" i="3"/>
  <c r="J552" i="3"/>
  <c r="U552" i="3"/>
  <c r="AC552" i="3"/>
  <c r="AO552" i="3"/>
  <c r="AF551" i="3"/>
  <c r="W551" i="3"/>
  <c r="K551" i="3"/>
  <c r="J550" i="3"/>
  <c r="U550" i="3"/>
  <c r="AC550" i="3"/>
  <c r="AO550" i="3"/>
  <c r="AF549" i="3"/>
  <c r="W549" i="3"/>
  <c r="K549" i="3"/>
  <c r="J548" i="3"/>
  <c r="U548" i="3"/>
  <c r="AC548" i="3"/>
  <c r="AO548" i="3"/>
  <c r="AF547" i="3"/>
  <c r="W547" i="3"/>
  <c r="K547" i="3"/>
  <c r="J546" i="3"/>
  <c r="U546" i="3"/>
  <c r="AC546" i="3"/>
  <c r="AO546" i="3"/>
  <c r="AF545" i="3"/>
  <c r="W545" i="3"/>
  <c r="K545" i="3"/>
  <c r="J544" i="3"/>
  <c r="U544" i="3"/>
  <c r="AC544" i="3"/>
  <c r="AO544" i="3"/>
  <c r="AF543" i="3"/>
  <c r="W543" i="3"/>
  <c r="K543" i="3"/>
  <c r="J542" i="3"/>
  <c r="U542" i="3"/>
  <c r="AC542" i="3"/>
  <c r="AO542" i="3"/>
  <c r="AF541" i="3"/>
  <c r="W541" i="3"/>
  <c r="K541" i="3"/>
  <c r="J540" i="3"/>
  <c r="U540" i="3"/>
  <c r="AC540" i="3"/>
  <c r="AO540" i="3"/>
  <c r="AF539" i="3"/>
  <c r="W539" i="3"/>
  <c r="K539" i="3"/>
  <c r="J538" i="3"/>
  <c r="U538" i="3"/>
  <c r="AC538" i="3"/>
  <c r="AO538" i="3"/>
  <c r="AF537" i="3"/>
  <c r="W537" i="3"/>
  <c r="K537" i="3"/>
  <c r="J536" i="3"/>
  <c r="U536" i="3"/>
  <c r="AC536" i="3"/>
  <c r="AO536" i="3"/>
  <c r="AF535" i="3"/>
  <c r="W535" i="3"/>
  <c r="K535" i="3"/>
  <c r="J534" i="3"/>
  <c r="U534" i="3"/>
  <c r="AC534" i="3"/>
  <c r="AO534" i="3"/>
  <c r="AF533" i="3"/>
  <c r="W533" i="3"/>
  <c r="K533" i="3"/>
  <c r="J532" i="3"/>
  <c r="U532" i="3"/>
  <c r="AC532" i="3"/>
  <c r="AO532" i="3"/>
  <c r="AF531" i="3"/>
  <c r="W531" i="3"/>
  <c r="K531" i="3"/>
  <c r="J530" i="3"/>
  <c r="U530" i="3"/>
  <c r="AC530" i="3"/>
  <c r="AO530" i="3"/>
  <c r="AF529" i="3"/>
  <c r="W529" i="3"/>
  <c r="K529" i="3"/>
  <c r="J528" i="3"/>
  <c r="U528" i="3"/>
  <c r="AC528" i="3"/>
  <c r="AO528" i="3"/>
  <c r="AF527" i="3"/>
  <c r="W527" i="3"/>
  <c r="K527" i="3"/>
  <c r="J526" i="3"/>
  <c r="U526" i="3"/>
  <c r="AC526" i="3"/>
  <c r="AO526" i="3"/>
  <c r="AF525" i="3"/>
  <c r="W525" i="3"/>
  <c r="K525" i="3"/>
  <c r="J524" i="3"/>
  <c r="U524" i="3"/>
  <c r="AC524" i="3"/>
  <c r="AO524" i="3"/>
  <c r="AF523" i="3"/>
  <c r="W523" i="3"/>
  <c r="K523" i="3"/>
  <c r="J522" i="3"/>
  <c r="U522" i="3"/>
  <c r="AC522" i="3"/>
  <c r="AO522" i="3"/>
  <c r="AF521" i="3"/>
  <c r="W521" i="3"/>
  <c r="K521" i="3"/>
  <c r="J520" i="3"/>
  <c r="U520" i="3"/>
  <c r="AC520" i="3"/>
  <c r="AO520" i="3"/>
  <c r="AF519" i="3"/>
  <c r="W519" i="3"/>
  <c r="K519" i="3"/>
  <c r="J518" i="3"/>
  <c r="U518" i="3"/>
  <c r="AC518" i="3"/>
  <c r="AO518" i="3"/>
  <c r="AF517" i="3"/>
  <c r="W517" i="3"/>
  <c r="K517" i="3"/>
  <c r="J516" i="3"/>
  <c r="U516" i="3"/>
  <c r="AC516" i="3"/>
  <c r="AO516" i="3"/>
  <c r="AF515" i="3"/>
  <c r="W515" i="3"/>
  <c r="K515" i="3"/>
  <c r="J514" i="3"/>
  <c r="U514" i="3"/>
  <c r="AC514" i="3"/>
  <c r="AO514" i="3"/>
  <c r="AF513" i="3"/>
  <c r="W513" i="3"/>
  <c r="K513" i="3"/>
  <c r="J512" i="3"/>
  <c r="U512" i="3"/>
  <c r="AC512" i="3"/>
  <c r="AO512" i="3"/>
  <c r="AF511" i="3"/>
  <c r="W511" i="3"/>
  <c r="AG510" i="3"/>
  <c r="W510" i="3"/>
  <c r="AG509" i="3"/>
  <c r="W509" i="3"/>
  <c r="AG508" i="3"/>
  <c r="W508" i="3"/>
  <c r="AG507" i="3"/>
  <c r="W507" i="3"/>
  <c r="AG506" i="3"/>
  <c r="W506" i="3"/>
  <c r="AG505" i="3"/>
  <c r="W505" i="3"/>
  <c r="AG504" i="3"/>
  <c r="W504" i="3"/>
  <c r="AG503" i="3"/>
  <c r="W503" i="3"/>
  <c r="AG502" i="3"/>
  <c r="W502" i="3"/>
  <c r="AG501" i="3"/>
  <c r="W501" i="3"/>
  <c r="AG500" i="3"/>
  <c r="W500" i="3"/>
  <c r="AG499" i="3"/>
  <c r="W499" i="3"/>
  <c r="AG498" i="3"/>
  <c r="W498" i="3"/>
  <c r="AG497" i="3"/>
  <c r="W497" i="3"/>
  <c r="AG496" i="3"/>
  <c r="W496" i="3"/>
  <c r="AG495" i="3"/>
  <c r="W495" i="3"/>
  <c r="AG494" i="3"/>
  <c r="W494" i="3"/>
  <c r="AG493" i="3"/>
  <c r="W493" i="3"/>
  <c r="Y491" i="3"/>
  <c r="Y489" i="3"/>
  <c r="Y487" i="3"/>
  <c r="Y485" i="3"/>
  <c r="Y483" i="3"/>
  <c r="Y481" i="3"/>
  <c r="Y479" i="3"/>
  <c r="Y477" i="3"/>
  <c r="Y475" i="3"/>
  <c r="Y473" i="3"/>
  <c r="Y471" i="3"/>
  <c r="AO468" i="3"/>
  <c r="U468" i="3"/>
  <c r="AO466" i="3"/>
  <c r="U466" i="3"/>
  <c r="AO464" i="3"/>
  <c r="P464" i="3"/>
  <c r="F462" i="3"/>
  <c r="AP462" i="3" s="1"/>
  <c r="Q462" i="3"/>
  <c r="AA462" i="3"/>
  <c r="AM462" i="3"/>
  <c r="J462" i="3"/>
  <c r="V462" i="3"/>
  <c r="AE462" i="3"/>
  <c r="K462" i="3"/>
  <c r="W462" i="3"/>
  <c r="AF462" i="3"/>
  <c r="L462" i="3"/>
  <c r="X462" i="3"/>
  <c r="AG462" i="3"/>
  <c r="M462" i="3"/>
  <c r="Y462" i="3"/>
  <c r="AL462" i="3"/>
  <c r="BJ462" i="3" s="1"/>
  <c r="AO460" i="3"/>
  <c r="P460" i="3"/>
  <c r="F458" i="3"/>
  <c r="AP458" i="3" s="1"/>
  <c r="Q458" i="3"/>
  <c r="AA458" i="3"/>
  <c r="AM458" i="3"/>
  <c r="J458" i="3"/>
  <c r="V458" i="3"/>
  <c r="AE458" i="3"/>
  <c r="K458" i="3"/>
  <c r="W458" i="3"/>
  <c r="AF458" i="3"/>
  <c r="L458" i="3"/>
  <c r="X458" i="3"/>
  <c r="AG458" i="3"/>
  <c r="M458" i="3"/>
  <c r="Y458" i="3"/>
  <c r="AL458" i="3"/>
  <c r="BJ458" i="3" s="1"/>
  <c r="AO456" i="3"/>
  <c r="P456" i="3"/>
  <c r="AF455" i="3"/>
  <c r="F452" i="3"/>
  <c r="AP452" i="3" s="1"/>
  <c r="Q452" i="3"/>
  <c r="AA452" i="3"/>
  <c r="AM452" i="3"/>
  <c r="K452" i="3"/>
  <c r="V452" i="3"/>
  <c r="AD452" i="3"/>
  <c r="J452" i="3"/>
  <c r="X452" i="3"/>
  <c r="AL452" i="3"/>
  <c r="BJ452" i="3" s="1"/>
  <c r="L452" i="3"/>
  <c r="Y452" i="3"/>
  <c r="AN452" i="3"/>
  <c r="M452" i="3"/>
  <c r="Z452" i="3"/>
  <c r="AO452" i="3"/>
  <c r="N452" i="3"/>
  <c r="AB452" i="3"/>
  <c r="AG450" i="3"/>
  <c r="AC449" i="3"/>
  <c r="R448" i="3"/>
  <c r="AF447" i="3"/>
  <c r="F444" i="3"/>
  <c r="AP444" i="3" s="1"/>
  <c r="Q444" i="3"/>
  <c r="AA444" i="3"/>
  <c r="AM444" i="3"/>
  <c r="K444" i="3"/>
  <c r="V444" i="3"/>
  <c r="AD444" i="3"/>
  <c r="J444" i="3"/>
  <c r="X444" i="3"/>
  <c r="AL444" i="3"/>
  <c r="BJ444" i="3" s="1"/>
  <c r="L444" i="3"/>
  <c r="Y444" i="3"/>
  <c r="AN444" i="3"/>
  <c r="M444" i="3"/>
  <c r="Z444" i="3"/>
  <c r="AO444" i="3"/>
  <c r="N444" i="3"/>
  <c r="AB444" i="3"/>
  <c r="AG442" i="3"/>
  <c r="AC441" i="3"/>
  <c r="R440" i="3"/>
  <c r="AF439" i="3"/>
  <c r="F436" i="3"/>
  <c r="AP436" i="3" s="1"/>
  <c r="Q436" i="3"/>
  <c r="AA436" i="3"/>
  <c r="AM436" i="3"/>
  <c r="K436" i="3"/>
  <c r="V436" i="3"/>
  <c r="AD436" i="3"/>
  <c r="J436" i="3"/>
  <c r="X436" i="3"/>
  <c r="AL436" i="3"/>
  <c r="BJ436" i="3" s="1"/>
  <c r="L436" i="3"/>
  <c r="Y436" i="3"/>
  <c r="AN436" i="3"/>
  <c r="M436" i="3"/>
  <c r="Z436" i="3"/>
  <c r="AO436" i="3"/>
  <c r="N436" i="3"/>
  <c r="AB436" i="3"/>
  <c r="AG434" i="3"/>
  <c r="U433" i="3"/>
  <c r="F431" i="3"/>
  <c r="AP431" i="3" s="1"/>
  <c r="Q431" i="3"/>
  <c r="AA431" i="3"/>
  <c r="AM431" i="3"/>
  <c r="K431" i="3"/>
  <c r="V431" i="3"/>
  <c r="AD431" i="3"/>
  <c r="J431" i="3"/>
  <c r="X431" i="3"/>
  <c r="AL431" i="3"/>
  <c r="BJ431" i="3" s="1"/>
  <c r="L431" i="3"/>
  <c r="Y431" i="3"/>
  <c r="AN431" i="3"/>
  <c r="M431" i="3"/>
  <c r="Z431" i="3"/>
  <c r="AO431" i="3"/>
  <c r="N431" i="3"/>
  <c r="AB431" i="3"/>
  <c r="P431" i="3"/>
  <c r="AC431" i="3"/>
  <c r="U429" i="3"/>
  <c r="F427" i="3"/>
  <c r="AP427" i="3" s="1"/>
  <c r="Q427" i="3"/>
  <c r="AA427" i="3"/>
  <c r="AM427" i="3"/>
  <c r="K427" i="3"/>
  <c r="V427" i="3"/>
  <c r="AD427" i="3"/>
  <c r="J427" i="3"/>
  <c r="X427" i="3"/>
  <c r="AL427" i="3"/>
  <c r="BJ427" i="3" s="1"/>
  <c r="L427" i="3"/>
  <c r="Y427" i="3"/>
  <c r="AN427" i="3"/>
  <c r="M427" i="3"/>
  <c r="Z427" i="3"/>
  <c r="AO427" i="3"/>
  <c r="N427" i="3"/>
  <c r="AB427" i="3"/>
  <c r="P427" i="3"/>
  <c r="AC427" i="3"/>
  <c r="U425" i="3"/>
  <c r="F423" i="3"/>
  <c r="AP423" i="3" s="1"/>
  <c r="Q423" i="3"/>
  <c r="AA423" i="3"/>
  <c r="AM423" i="3"/>
  <c r="K423" i="3"/>
  <c r="V423" i="3"/>
  <c r="AD423" i="3"/>
  <c r="J423" i="3"/>
  <c r="X423" i="3"/>
  <c r="AL423" i="3"/>
  <c r="BJ423" i="3" s="1"/>
  <c r="L423" i="3"/>
  <c r="Y423" i="3"/>
  <c r="AN423" i="3"/>
  <c r="M423" i="3"/>
  <c r="Z423" i="3"/>
  <c r="AO423" i="3"/>
  <c r="N423" i="3"/>
  <c r="AB423" i="3"/>
  <c r="P423" i="3"/>
  <c r="AC423" i="3"/>
  <c r="I379" i="3"/>
  <c r="R379" i="3"/>
  <c r="AB379" i="3"/>
  <c r="AN379" i="3"/>
  <c r="K379" i="3"/>
  <c r="V379" i="3"/>
  <c r="AD379" i="3"/>
  <c r="L379" i="3"/>
  <c r="W379" i="3"/>
  <c r="AE379" i="3"/>
  <c r="J379" i="3"/>
  <c r="Z379" i="3"/>
  <c r="M379" i="3"/>
  <c r="AA379" i="3"/>
  <c r="N379" i="3"/>
  <c r="AC379" i="3"/>
  <c r="P379" i="3"/>
  <c r="AF379" i="3"/>
  <c r="B379" i="3"/>
  <c r="X379" i="3"/>
  <c r="AM379" i="3"/>
  <c r="U379" i="3"/>
  <c r="Y379" i="3"/>
  <c r="AG379" i="3"/>
  <c r="AL379" i="3"/>
  <c r="BJ379" i="3" s="1"/>
  <c r="AO379" i="3"/>
  <c r="F455" i="3"/>
  <c r="AP455" i="3" s="1"/>
  <c r="Q455" i="3"/>
  <c r="AA455" i="3"/>
  <c r="AM455" i="3"/>
  <c r="K455" i="3"/>
  <c r="V455" i="3"/>
  <c r="AD455" i="3"/>
  <c r="J455" i="3"/>
  <c r="X455" i="3"/>
  <c r="AL455" i="3"/>
  <c r="BJ455" i="3" s="1"/>
  <c r="L455" i="3"/>
  <c r="Y455" i="3"/>
  <c r="AN455" i="3"/>
  <c r="M455" i="3"/>
  <c r="Z455" i="3"/>
  <c r="AO455" i="3"/>
  <c r="N455" i="3"/>
  <c r="AB455" i="3"/>
  <c r="F447" i="3"/>
  <c r="AP447" i="3" s="1"/>
  <c r="Q447" i="3"/>
  <c r="AA447" i="3"/>
  <c r="AM447" i="3"/>
  <c r="K447" i="3"/>
  <c r="V447" i="3"/>
  <c r="AD447" i="3"/>
  <c r="J447" i="3"/>
  <c r="X447" i="3"/>
  <c r="AL447" i="3"/>
  <c r="BJ447" i="3" s="1"/>
  <c r="L447" i="3"/>
  <c r="Y447" i="3"/>
  <c r="AN447" i="3"/>
  <c r="M447" i="3"/>
  <c r="Z447" i="3"/>
  <c r="AO447" i="3"/>
  <c r="N447" i="3"/>
  <c r="AB447" i="3"/>
  <c r="F439" i="3"/>
  <c r="AP439" i="3" s="1"/>
  <c r="Q439" i="3"/>
  <c r="AA439" i="3"/>
  <c r="AM439" i="3"/>
  <c r="K439" i="3"/>
  <c r="V439" i="3"/>
  <c r="AD439" i="3"/>
  <c r="J439" i="3"/>
  <c r="X439" i="3"/>
  <c r="AL439" i="3"/>
  <c r="BJ439" i="3" s="1"/>
  <c r="L439" i="3"/>
  <c r="Y439" i="3"/>
  <c r="AN439" i="3"/>
  <c r="M439" i="3"/>
  <c r="Z439" i="3"/>
  <c r="AO439" i="3"/>
  <c r="N439" i="3"/>
  <c r="AB439" i="3"/>
  <c r="M421" i="3"/>
  <c r="X421" i="3"/>
  <c r="AF421" i="3"/>
  <c r="F421" i="3"/>
  <c r="AP421" i="3" s="1"/>
  <c r="Q421" i="3"/>
  <c r="AA421" i="3"/>
  <c r="AM421" i="3"/>
  <c r="K421" i="3"/>
  <c r="V421" i="3"/>
  <c r="AD421" i="3"/>
  <c r="J421" i="3"/>
  <c r="Z421" i="3"/>
  <c r="L421" i="3"/>
  <c r="AB421" i="3"/>
  <c r="N421" i="3"/>
  <c r="AC421" i="3"/>
  <c r="P421" i="3"/>
  <c r="AE421" i="3"/>
  <c r="R421" i="3"/>
  <c r="AG421" i="3"/>
  <c r="B511" i="3"/>
  <c r="P511" i="3"/>
  <c r="J511" i="3"/>
  <c r="U511" i="3"/>
  <c r="AC511" i="3"/>
  <c r="AO511" i="3"/>
  <c r="B510" i="3"/>
  <c r="P510" i="3"/>
  <c r="Z510" i="3"/>
  <c r="AL510" i="3"/>
  <c r="BJ510" i="3" s="1"/>
  <c r="J510" i="3"/>
  <c r="U510" i="3"/>
  <c r="AC510" i="3"/>
  <c r="AO510" i="3"/>
  <c r="B509" i="3"/>
  <c r="P509" i="3"/>
  <c r="Z509" i="3"/>
  <c r="AL509" i="3"/>
  <c r="BJ509" i="3" s="1"/>
  <c r="J509" i="3"/>
  <c r="U509" i="3"/>
  <c r="AC509" i="3"/>
  <c r="AO509" i="3"/>
  <c r="B508" i="3"/>
  <c r="P508" i="3"/>
  <c r="Z508" i="3"/>
  <c r="AL508" i="3"/>
  <c r="BJ508" i="3" s="1"/>
  <c r="J508" i="3"/>
  <c r="U508" i="3"/>
  <c r="AC508" i="3"/>
  <c r="AO508" i="3"/>
  <c r="B507" i="3"/>
  <c r="P507" i="3"/>
  <c r="Z507" i="3"/>
  <c r="AL507" i="3"/>
  <c r="BJ507" i="3" s="1"/>
  <c r="J507" i="3"/>
  <c r="U507" i="3"/>
  <c r="AC507" i="3"/>
  <c r="AO507" i="3"/>
  <c r="B506" i="3"/>
  <c r="P506" i="3"/>
  <c r="Z506" i="3"/>
  <c r="AL506" i="3"/>
  <c r="BJ506" i="3" s="1"/>
  <c r="J506" i="3"/>
  <c r="U506" i="3"/>
  <c r="AC506" i="3"/>
  <c r="AO506" i="3"/>
  <c r="B505" i="3"/>
  <c r="P505" i="3"/>
  <c r="Z505" i="3"/>
  <c r="AL505" i="3"/>
  <c r="BJ505" i="3" s="1"/>
  <c r="J505" i="3"/>
  <c r="U505" i="3"/>
  <c r="AC505" i="3"/>
  <c r="AO505" i="3"/>
  <c r="B504" i="3"/>
  <c r="P504" i="3"/>
  <c r="Z504" i="3"/>
  <c r="AL504" i="3"/>
  <c r="BJ504" i="3" s="1"/>
  <c r="J504" i="3"/>
  <c r="U504" i="3"/>
  <c r="AC504" i="3"/>
  <c r="AO504" i="3"/>
  <c r="B503" i="3"/>
  <c r="P503" i="3"/>
  <c r="Z503" i="3"/>
  <c r="AL503" i="3"/>
  <c r="BJ503" i="3" s="1"/>
  <c r="J503" i="3"/>
  <c r="U503" i="3"/>
  <c r="AC503" i="3"/>
  <c r="AO503" i="3"/>
  <c r="B502" i="3"/>
  <c r="P502" i="3"/>
  <c r="Z502" i="3"/>
  <c r="AL502" i="3"/>
  <c r="BJ502" i="3" s="1"/>
  <c r="J502" i="3"/>
  <c r="U502" i="3"/>
  <c r="AC502" i="3"/>
  <c r="AO502" i="3"/>
  <c r="B501" i="3"/>
  <c r="P501" i="3"/>
  <c r="Z501" i="3"/>
  <c r="AL501" i="3"/>
  <c r="BJ501" i="3" s="1"/>
  <c r="J501" i="3"/>
  <c r="U501" i="3"/>
  <c r="AC501" i="3"/>
  <c r="AO501" i="3"/>
  <c r="B500" i="3"/>
  <c r="P500" i="3"/>
  <c r="Z500" i="3"/>
  <c r="AL500" i="3"/>
  <c r="BJ500" i="3" s="1"/>
  <c r="J500" i="3"/>
  <c r="U500" i="3"/>
  <c r="AC500" i="3"/>
  <c r="AO500" i="3"/>
  <c r="B499" i="3"/>
  <c r="P499" i="3"/>
  <c r="Z499" i="3"/>
  <c r="AL499" i="3"/>
  <c r="BJ499" i="3" s="1"/>
  <c r="J499" i="3"/>
  <c r="U499" i="3"/>
  <c r="AC499" i="3"/>
  <c r="AO499" i="3"/>
  <c r="B498" i="3"/>
  <c r="P498" i="3"/>
  <c r="Z498" i="3"/>
  <c r="AL498" i="3"/>
  <c r="BJ498" i="3" s="1"/>
  <c r="J498" i="3"/>
  <c r="U498" i="3"/>
  <c r="AC498" i="3"/>
  <c r="AO498" i="3"/>
  <c r="B497" i="3"/>
  <c r="P497" i="3"/>
  <c r="Z497" i="3"/>
  <c r="AL497" i="3"/>
  <c r="BJ497" i="3" s="1"/>
  <c r="J497" i="3"/>
  <c r="U497" i="3"/>
  <c r="AC497" i="3"/>
  <c r="AO497" i="3"/>
  <c r="B496" i="3"/>
  <c r="P496" i="3"/>
  <c r="Z496" i="3"/>
  <c r="AL496" i="3"/>
  <c r="BJ496" i="3" s="1"/>
  <c r="J496" i="3"/>
  <c r="U496" i="3"/>
  <c r="AC496" i="3"/>
  <c r="AO496" i="3"/>
  <c r="B495" i="3"/>
  <c r="P495" i="3"/>
  <c r="Z495" i="3"/>
  <c r="AL495" i="3"/>
  <c r="BJ495" i="3" s="1"/>
  <c r="J495" i="3"/>
  <c r="U495" i="3"/>
  <c r="AC495" i="3"/>
  <c r="AO495" i="3"/>
  <c r="B494" i="3"/>
  <c r="P494" i="3"/>
  <c r="Z494" i="3"/>
  <c r="AL494" i="3"/>
  <c r="BJ494" i="3" s="1"/>
  <c r="J494" i="3"/>
  <c r="U494" i="3"/>
  <c r="AC494" i="3"/>
  <c r="AO494" i="3"/>
  <c r="B493" i="3"/>
  <c r="P493" i="3"/>
  <c r="Z493" i="3"/>
  <c r="AL493" i="3"/>
  <c r="BJ493" i="3" s="1"/>
  <c r="J493" i="3"/>
  <c r="U493" i="3"/>
  <c r="AC493" i="3"/>
  <c r="AO493" i="3"/>
  <c r="B491" i="3"/>
  <c r="P491" i="3"/>
  <c r="Z491" i="3"/>
  <c r="AL491" i="3"/>
  <c r="BJ491" i="3" s="1"/>
  <c r="F491" i="3"/>
  <c r="AP491" i="3" s="1"/>
  <c r="Q491" i="3"/>
  <c r="AA491" i="3"/>
  <c r="AM491" i="3"/>
  <c r="J491" i="3"/>
  <c r="U491" i="3"/>
  <c r="AC491" i="3"/>
  <c r="AO491" i="3"/>
  <c r="B489" i="3"/>
  <c r="P489" i="3"/>
  <c r="Z489" i="3"/>
  <c r="AL489" i="3"/>
  <c r="BJ489" i="3" s="1"/>
  <c r="F489" i="3"/>
  <c r="AP489" i="3" s="1"/>
  <c r="Q489" i="3"/>
  <c r="AA489" i="3"/>
  <c r="AM489" i="3"/>
  <c r="J489" i="3"/>
  <c r="U489" i="3"/>
  <c r="AC489" i="3"/>
  <c r="AO489" i="3"/>
  <c r="B487" i="3"/>
  <c r="P487" i="3"/>
  <c r="Z487" i="3"/>
  <c r="AL487" i="3"/>
  <c r="BJ487" i="3" s="1"/>
  <c r="F487" i="3"/>
  <c r="AP487" i="3" s="1"/>
  <c r="Q487" i="3"/>
  <c r="AA487" i="3"/>
  <c r="AM487" i="3"/>
  <c r="J487" i="3"/>
  <c r="U487" i="3"/>
  <c r="AC487" i="3"/>
  <c r="AO487" i="3"/>
  <c r="B485" i="3"/>
  <c r="P485" i="3"/>
  <c r="Z485" i="3"/>
  <c r="AL485" i="3"/>
  <c r="BJ485" i="3" s="1"/>
  <c r="F485" i="3"/>
  <c r="AP485" i="3" s="1"/>
  <c r="Q485" i="3"/>
  <c r="AA485" i="3"/>
  <c r="AM485" i="3"/>
  <c r="J485" i="3"/>
  <c r="U485" i="3"/>
  <c r="AC485" i="3"/>
  <c r="AO485" i="3"/>
  <c r="B483" i="3"/>
  <c r="P483" i="3"/>
  <c r="Z483" i="3"/>
  <c r="AL483" i="3"/>
  <c r="BJ483" i="3" s="1"/>
  <c r="F483" i="3"/>
  <c r="AP483" i="3" s="1"/>
  <c r="Q483" i="3"/>
  <c r="AA483" i="3"/>
  <c r="AM483" i="3"/>
  <c r="J483" i="3"/>
  <c r="U483" i="3"/>
  <c r="AC483" i="3"/>
  <c r="AO483" i="3"/>
  <c r="B481" i="3"/>
  <c r="P481" i="3"/>
  <c r="Z481" i="3"/>
  <c r="AL481" i="3"/>
  <c r="BJ481" i="3" s="1"/>
  <c r="F481" i="3"/>
  <c r="AP481" i="3" s="1"/>
  <c r="Q481" i="3"/>
  <c r="AA481" i="3"/>
  <c r="AM481" i="3"/>
  <c r="J481" i="3"/>
  <c r="U481" i="3"/>
  <c r="AC481" i="3"/>
  <c r="AO481" i="3"/>
  <c r="B479" i="3"/>
  <c r="P479" i="3"/>
  <c r="Z479" i="3"/>
  <c r="AL479" i="3"/>
  <c r="BJ479" i="3" s="1"/>
  <c r="F479" i="3"/>
  <c r="AP479" i="3" s="1"/>
  <c r="Q479" i="3"/>
  <c r="AA479" i="3"/>
  <c r="AM479" i="3"/>
  <c r="J479" i="3"/>
  <c r="U479" i="3"/>
  <c r="AC479" i="3"/>
  <c r="AO479" i="3"/>
  <c r="B477" i="3"/>
  <c r="P477" i="3"/>
  <c r="Z477" i="3"/>
  <c r="AL477" i="3"/>
  <c r="BJ477" i="3" s="1"/>
  <c r="F477" i="3"/>
  <c r="AP477" i="3" s="1"/>
  <c r="Q477" i="3"/>
  <c r="AA477" i="3"/>
  <c r="AM477" i="3"/>
  <c r="J477" i="3"/>
  <c r="U477" i="3"/>
  <c r="AC477" i="3"/>
  <c r="AO477" i="3"/>
  <c r="B475" i="3"/>
  <c r="P475" i="3"/>
  <c r="Z475" i="3"/>
  <c r="AL475" i="3"/>
  <c r="BJ475" i="3" s="1"/>
  <c r="F475" i="3"/>
  <c r="AP475" i="3" s="1"/>
  <c r="Q475" i="3"/>
  <c r="AA475" i="3"/>
  <c r="AM475" i="3"/>
  <c r="J475" i="3"/>
  <c r="U475" i="3"/>
  <c r="AC475" i="3"/>
  <c r="AO475" i="3"/>
  <c r="B473" i="3"/>
  <c r="P473" i="3"/>
  <c r="Z473" i="3"/>
  <c r="AL473" i="3"/>
  <c r="BJ473" i="3" s="1"/>
  <c r="F473" i="3"/>
  <c r="AP473" i="3" s="1"/>
  <c r="Q473" i="3"/>
  <c r="AA473" i="3"/>
  <c r="AM473" i="3"/>
  <c r="J473" i="3"/>
  <c r="U473" i="3"/>
  <c r="AC473" i="3"/>
  <c r="AO473" i="3"/>
  <c r="B471" i="3"/>
  <c r="P471" i="3"/>
  <c r="Z471" i="3"/>
  <c r="AL471" i="3"/>
  <c r="BJ471" i="3" s="1"/>
  <c r="F471" i="3"/>
  <c r="AP471" i="3" s="1"/>
  <c r="Q471" i="3"/>
  <c r="AA471" i="3"/>
  <c r="AM471" i="3"/>
  <c r="J471" i="3"/>
  <c r="U471" i="3"/>
  <c r="AC471" i="3"/>
  <c r="AO471" i="3"/>
  <c r="AC455" i="3"/>
  <c r="F450" i="3"/>
  <c r="AP450" i="3" s="1"/>
  <c r="Q450" i="3"/>
  <c r="AA450" i="3"/>
  <c r="AM450" i="3"/>
  <c r="K450" i="3"/>
  <c r="V450" i="3"/>
  <c r="AD450" i="3"/>
  <c r="J450" i="3"/>
  <c r="X450" i="3"/>
  <c r="AL450" i="3"/>
  <c r="BJ450" i="3" s="1"/>
  <c r="L450" i="3"/>
  <c r="Y450" i="3"/>
  <c r="AN450" i="3"/>
  <c r="M450" i="3"/>
  <c r="Z450" i="3"/>
  <c r="AO450" i="3"/>
  <c r="N450" i="3"/>
  <c r="AB450" i="3"/>
  <c r="AC447" i="3"/>
  <c r="F442" i="3"/>
  <c r="AP442" i="3" s="1"/>
  <c r="Q442" i="3"/>
  <c r="AA442" i="3"/>
  <c r="AM442" i="3"/>
  <c r="K442" i="3"/>
  <c r="V442" i="3"/>
  <c r="AD442" i="3"/>
  <c r="J442" i="3"/>
  <c r="X442" i="3"/>
  <c r="AL442" i="3"/>
  <c r="BJ442" i="3" s="1"/>
  <c r="L442" i="3"/>
  <c r="Y442" i="3"/>
  <c r="AN442" i="3"/>
  <c r="M442" i="3"/>
  <c r="Z442" i="3"/>
  <c r="AO442" i="3"/>
  <c r="N442" i="3"/>
  <c r="AB442" i="3"/>
  <c r="AC439" i="3"/>
  <c r="F434" i="3"/>
  <c r="AP434" i="3" s="1"/>
  <c r="Q434" i="3"/>
  <c r="AA434" i="3"/>
  <c r="AM434" i="3"/>
  <c r="K434" i="3"/>
  <c r="V434" i="3"/>
  <c r="AD434" i="3"/>
  <c r="J434" i="3"/>
  <c r="X434" i="3"/>
  <c r="AL434" i="3"/>
  <c r="BJ434" i="3" s="1"/>
  <c r="L434" i="3"/>
  <c r="Y434" i="3"/>
  <c r="AN434" i="3"/>
  <c r="M434" i="3"/>
  <c r="Z434" i="3"/>
  <c r="AO434" i="3"/>
  <c r="N434" i="3"/>
  <c r="AB434" i="3"/>
  <c r="F430" i="3"/>
  <c r="AP430" i="3" s="1"/>
  <c r="Q430" i="3"/>
  <c r="AA430" i="3"/>
  <c r="AM430" i="3"/>
  <c r="K430" i="3"/>
  <c r="V430" i="3"/>
  <c r="AD430" i="3"/>
  <c r="J430" i="3"/>
  <c r="X430" i="3"/>
  <c r="AL430" i="3"/>
  <c r="BJ430" i="3" s="1"/>
  <c r="L430" i="3"/>
  <c r="Y430" i="3"/>
  <c r="AN430" i="3"/>
  <c r="M430" i="3"/>
  <c r="Z430" i="3"/>
  <c r="AO430" i="3"/>
  <c r="N430" i="3"/>
  <c r="AB430" i="3"/>
  <c r="P430" i="3"/>
  <c r="AC430" i="3"/>
  <c r="F426" i="3"/>
  <c r="AP426" i="3" s="1"/>
  <c r="Q426" i="3"/>
  <c r="AA426" i="3"/>
  <c r="AM426" i="3"/>
  <c r="K426" i="3"/>
  <c r="V426" i="3"/>
  <c r="AD426" i="3"/>
  <c r="J426" i="3"/>
  <c r="X426" i="3"/>
  <c r="AL426" i="3"/>
  <c r="BJ426" i="3" s="1"/>
  <c r="L426" i="3"/>
  <c r="Y426" i="3"/>
  <c r="AN426" i="3"/>
  <c r="M426" i="3"/>
  <c r="Z426" i="3"/>
  <c r="AO426" i="3"/>
  <c r="N426" i="3"/>
  <c r="AB426" i="3"/>
  <c r="P426" i="3"/>
  <c r="AC426" i="3"/>
  <c r="AN421" i="3"/>
  <c r="M419" i="3"/>
  <c r="X419" i="3"/>
  <c r="AF419" i="3"/>
  <c r="F419" i="3"/>
  <c r="AP419" i="3" s="1"/>
  <c r="Q419" i="3"/>
  <c r="AA419" i="3"/>
  <c r="AM419" i="3"/>
  <c r="K419" i="3"/>
  <c r="V419" i="3"/>
  <c r="AD419" i="3"/>
  <c r="J419" i="3"/>
  <c r="Z419" i="3"/>
  <c r="L419" i="3"/>
  <c r="AB419" i="3"/>
  <c r="N419" i="3"/>
  <c r="AC419" i="3"/>
  <c r="P419" i="3"/>
  <c r="AE419" i="3"/>
  <c r="R419" i="3"/>
  <c r="AG419" i="3"/>
  <c r="AF383" i="3"/>
  <c r="I375" i="3"/>
  <c r="R375" i="3"/>
  <c r="AB375" i="3"/>
  <c r="AN375" i="3"/>
  <c r="K375" i="3"/>
  <c r="V375" i="3"/>
  <c r="AD375" i="3"/>
  <c r="L375" i="3"/>
  <c r="W375" i="3"/>
  <c r="AE375" i="3"/>
  <c r="B375" i="3"/>
  <c r="P375" i="3"/>
  <c r="Z375" i="3"/>
  <c r="AL375" i="3"/>
  <c r="BJ375" i="3" s="1"/>
  <c r="M375" i="3"/>
  <c r="AF375" i="3"/>
  <c r="N375" i="3"/>
  <c r="AG375" i="3"/>
  <c r="Q375" i="3"/>
  <c r="AM375" i="3"/>
  <c r="U375" i="3"/>
  <c r="AO375" i="3"/>
  <c r="X375" i="3"/>
  <c r="F375" i="3"/>
  <c r="AP375" i="3" s="1"/>
  <c r="AA375" i="3"/>
  <c r="J375" i="3"/>
  <c r="Y375" i="3"/>
  <c r="AC375" i="3"/>
  <c r="K409" i="3"/>
  <c r="V409" i="3"/>
  <c r="AD409" i="3"/>
  <c r="B409" i="3"/>
  <c r="Q409" i="3"/>
  <c r="AB409" i="3"/>
  <c r="AO409" i="3"/>
  <c r="F409" i="3"/>
  <c r="AP409" i="3" s="1"/>
  <c r="R409" i="3"/>
  <c r="AC409" i="3"/>
  <c r="I409" i="3"/>
  <c r="U409" i="3"/>
  <c r="AE409" i="3"/>
  <c r="J409" i="3"/>
  <c r="W409" i="3"/>
  <c r="AF409" i="3"/>
  <c r="N409" i="3"/>
  <c r="Z409" i="3"/>
  <c r="AM409" i="3"/>
  <c r="K407" i="3"/>
  <c r="V407" i="3"/>
  <c r="AD407" i="3"/>
  <c r="B407" i="3"/>
  <c r="Q407" i="3"/>
  <c r="AB407" i="3"/>
  <c r="AO407" i="3"/>
  <c r="F407" i="3"/>
  <c r="AP407" i="3" s="1"/>
  <c r="R407" i="3"/>
  <c r="AC407" i="3"/>
  <c r="I407" i="3"/>
  <c r="U407" i="3"/>
  <c r="AE407" i="3"/>
  <c r="J407" i="3"/>
  <c r="W407" i="3"/>
  <c r="AF407" i="3"/>
  <c r="N407" i="3"/>
  <c r="Z407" i="3"/>
  <c r="AM407" i="3"/>
  <c r="K405" i="3"/>
  <c r="V405" i="3"/>
  <c r="AD405" i="3"/>
  <c r="B405" i="3"/>
  <c r="Q405" i="3"/>
  <c r="AB405" i="3"/>
  <c r="AO405" i="3"/>
  <c r="F405" i="3"/>
  <c r="AP405" i="3" s="1"/>
  <c r="R405" i="3"/>
  <c r="AC405" i="3"/>
  <c r="I405" i="3"/>
  <c r="U405" i="3"/>
  <c r="AE405" i="3"/>
  <c r="J405" i="3"/>
  <c r="W405" i="3"/>
  <c r="AF405" i="3"/>
  <c r="N405" i="3"/>
  <c r="Z405" i="3"/>
  <c r="AM405" i="3"/>
  <c r="K403" i="3"/>
  <c r="V403" i="3"/>
  <c r="AD403" i="3"/>
  <c r="B403" i="3"/>
  <c r="Q403" i="3"/>
  <c r="AB403" i="3"/>
  <c r="AO403" i="3"/>
  <c r="F403" i="3"/>
  <c r="AP403" i="3" s="1"/>
  <c r="R403" i="3"/>
  <c r="AC403" i="3"/>
  <c r="I403" i="3"/>
  <c r="U403" i="3"/>
  <c r="AE403" i="3"/>
  <c r="J403" i="3"/>
  <c r="W403" i="3"/>
  <c r="AF403" i="3"/>
  <c r="N403" i="3"/>
  <c r="Z403" i="3"/>
  <c r="AM403" i="3"/>
  <c r="K401" i="3"/>
  <c r="V401" i="3"/>
  <c r="AD401" i="3"/>
  <c r="B401" i="3"/>
  <c r="Q401" i="3"/>
  <c r="AB401" i="3"/>
  <c r="AO401" i="3"/>
  <c r="F401" i="3"/>
  <c r="AP401" i="3" s="1"/>
  <c r="R401" i="3"/>
  <c r="AC401" i="3"/>
  <c r="I401" i="3"/>
  <c r="U401" i="3"/>
  <c r="AE401" i="3"/>
  <c r="J401" i="3"/>
  <c r="W401" i="3"/>
  <c r="AF401" i="3"/>
  <c r="N401" i="3"/>
  <c r="Z401" i="3"/>
  <c r="AM401" i="3"/>
  <c r="K399" i="3"/>
  <c r="V399" i="3"/>
  <c r="AD399" i="3"/>
  <c r="B399" i="3"/>
  <c r="Q399" i="3"/>
  <c r="AB399" i="3"/>
  <c r="AO399" i="3"/>
  <c r="F399" i="3"/>
  <c r="AP399" i="3" s="1"/>
  <c r="R399" i="3"/>
  <c r="AC399" i="3"/>
  <c r="I399" i="3"/>
  <c r="U399" i="3"/>
  <c r="AE399" i="3"/>
  <c r="J399" i="3"/>
  <c r="W399" i="3"/>
  <c r="AF399" i="3"/>
  <c r="N399" i="3"/>
  <c r="Z399" i="3"/>
  <c r="AM399" i="3"/>
  <c r="K397" i="3"/>
  <c r="V397" i="3"/>
  <c r="AD397" i="3"/>
  <c r="B397" i="3"/>
  <c r="Q397" i="3"/>
  <c r="AB397" i="3"/>
  <c r="AO397" i="3"/>
  <c r="F397" i="3"/>
  <c r="AP397" i="3" s="1"/>
  <c r="R397" i="3"/>
  <c r="AC397" i="3"/>
  <c r="I397" i="3"/>
  <c r="U397" i="3"/>
  <c r="AE397" i="3"/>
  <c r="J397" i="3"/>
  <c r="W397" i="3"/>
  <c r="AF397" i="3"/>
  <c r="N397" i="3"/>
  <c r="Z397" i="3"/>
  <c r="AM397" i="3"/>
  <c r="K395" i="3"/>
  <c r="V395" i="3"/>
  <c r="AD395" i="3"/>
  <c r="B395" i="3"/>
  <c r="Q395" i="3"/>
  <c r="AB395" i="3"/>
  <c r="AO395" i="3"/>
  <c r="F395" i="3"/>
  <c r="AP395" i="3" s="1"/>
  <c r="R395" i="3"/>
  <c r="AC395" i="3"/>
  <c r="I395" i="3"/>
  <c r="U395" i="3"/>
  <c r="AE395" i="3"/>
  <c r="J395" i="3"/>
  <c r="W395" i="3"/>
  <c r="AF395" i="3"/>
  <c r="N395" i="3"/>
  <c r="Z395" i="3"/>
  <c r="AM395" i="3"/>
  <c r="K393" i="3"/>
  <c r="V393" i="3"/>
  <c r="AD393" i="3"/>
  <c r="B393" i="3"/>
  <c r="Q393" i="3"/>
  <c r="AB393" i="3"/>
  <c r="AO393" i="3"/>
  <c r="F393" i="3"/>
  <c r="AP393" i="3" s="1"/>
  <c r="R393" i="3"/>
  <c r="AC393" i="3"/>
  <c r="I393" i="3"/>
  <c r="U393" i="3"/>
  <c r="AE393" i="3"/>
  <c r="J393" i="3"/>
  <c r="W393" i="3"/>
  <c r="AF393" i="3"/>
  <c r="N393" i="3"/>
  <c r="Z393" i="3"/>
  <c r="AM393" i="3"/>
  <c r="K391" i="3"/>
  <c r="V391" i="3"/>
  <c r="AD391" i="3"/>
  <c r="B391" i="3"/>
  <c r="Q391" i="3"/>
  <c r="AB391" i="3"/>
  <c r="AO391" i="3"/>
  <c r="F391" i="3"/>
  <c r="AP391" i="3" s="1"/>
  <c r="R391" i="3"/>
  <c r="AC391" i="3"/>
  <c r="I391" i="3"/>
  <c r="U391" i="3"/>
  <c r="AE391" i="3"/>
  <c r="J391" i="3"/>
  <c r="W391" i="3"/>
  <c r="AF391" i="3"/>
  <c r="N391" i="3"/>
  <c r="Z391" i="3"/>
  <c r="AM391" i="3"/>
  <c r="Q384" i="3"/>
  <c r="AO469" i="3"/>
  <c r="AC469" i="3"/>
  <c r="U469" i="3"/>
  <c r="AD467" i="3"/>
  <c r="U467" i="3"/>
  <c r="AD465" i="3"/>
  <c r="U465" i="3"/>
  <c r="AD463" i="3"/>
  <c r="U463" i="3"/>
  <c r="AD461" i="3"/>
  <c r="U461" i="3"/>
  <c r="AD459" i="3"/>
  <c r="U459" i="3"/>
  <c r="AD457" i="3"/>
  <c r="U457" i="3"/>
  <c r="AO422" i="3"/>
  <c r="Y422" i="3"/>
  <c r="AO420" i="3"/>
  <c r="Y420" i="3"/>
  <c r="AG409" i="3"/>
  <c r="AG407" i="3"/>
  <c r="AG405" i="3"/>
  <c r="AG403" i="3"/>
  <c r="AG401" i="3"/>
  <c r="AG399" i="3"/>
  <c r="AG397" i="3"/>
  <c r="AG395" i="3"/>
  <c r="AG393" i="3"/>
  <c r="AG391" i="3"/>
  <c r="I369" i="3"/>
  <c r="R369" i="3"/>
  <c r="AB369" i="3"/>
  <c r="AN369" i="3"/>
  <c r="K369" i="3"/>
  <c r="V369" i="3"/>
  <c r="AD369" i="3"/>
  <c r="L369" i="3"/>
  <c r="W369" i="3"/>
  <c r="AE369" i="3"/>
  <c r="B369" i="3"/>
  <c r="P369" i="3"/>
  <c r="Z369" i="3"/>
  <c r="AL369" i="3"/>
  <c r="BJ369" i="3" s="1"/>
  <c r="F369" i="3"/>
  <c r="AP369" i="3" s="1"/>
  <c r="AA369" i="3"/>
  <c r="J369" i="3"/>
  <c r="AC369" i="3"/>
  <c r="M369" i="3"/>
  <c r="AF369" i="3"/>
  <c r="N369" i="3"/>
  <c r="AG369" i="3"/>
  <c r="Q369" i="3"/>
  <c r="AM369" i="3"/>
  <c r="X369" i="3"/>
  <c r="I344" i="3"/>
  <c r="R344" i="3"/>
  <c r="AB344" i="3"/>
  <c r="AN344" i="3"/>
  <c r="K344" i="3"/>
  <c r="W344" i="3"/>
  <c r="AF344" i="3"/>
  <c r="L344" i="3"/>
  <c r="X344" i="3"/>
  <c r="AG344" i="3"/>
  <c r="M344" i="3"/>
  <c r="Y344" i="3"/>
  <c r="AL344" i="3"/>
  <c r="BJ344" i="3" s="1"/>
  <c r="N344" i="3"/>
  <c r="Z344" i="3"/>
  <c r="AM344" i="3"/>
  <c r="F344" i="3"/>
  <c r="AP344" i="3" s="1"/>
  <c r="U344" i="3"/>
  <c r="AD344" i="3"/>
  <c r="P344" i="3"/>
  <c r="Q344" i="3"/>
  <c r="V344" i="3"/>
  <c r="AA344" i="3"/>
  <c r="AC344" i="3"/>
  <c r="B344" i="3"/>
  <c r="AO344" i="3"/>
  <c r="I332" i="3"/>
  <c r="R332" i="3"/>
  <c r="AB332" i="3"/>
  <c r="AN332" i="3"/>
  <c r="K332" i="3"/>
  <c r="W332" i="3"/>
  <c r="AF332" i="3"/>
  <c r="L332" i="3"/>
  <c r="X332" i="3"/>
  <c r="AG332" i="3"/>
  <c r="M332" i="3"/>
  <c r="Y332" i="3"/>
  <c r="AL332" i="3"/>
  <c r="BJ332" i="3" s="1"/>
  <c r="N332" i="3"/>
  <c r="Z332" i="3"/>
  <c r="AM332" i="3"/>
  <c r="F332" i="3"/>
  <c r="AP332" i="3" s="1"/>
  <c r="U332" i="3"/>
  <c r="AD332" i="3"/>
  <c r="B332" i="3"/>
  <c r="AO332" i="3"/>
  <c r="J332" i="3"/>
  <c r="P332" i="3"/>
  <c r="Q332" i="3"/>
  <c r="V332" i="3"/>
  <c r="AC332" i="3"/>
  <c r="J310" i="3"/>
  <c r="U310" i="3"/>
  <c r="AC310" i="3"/>
  <c r="AO310" i="3"/>
  <c r="N310" i="3"/>
  <c r="Z310" i="3"/>
  <c r="AM310" i="3"/>
  <c r="B310" i="3"/>
  <c r="Q310" i="3"/>
  <c r="AB310" i="3"/>
  <c r="I310" i="3"/>
  <c r="V310" i="3"/>
  <c r="AE310" i="3"/>
  <c r="M310" i="3"/>
  <c r="AF310" i="3"/>
  <c r="P310" i="3"/>
  <c r="AG310" i="3"/>
  <c r="R310" i="3"/>
  <c r="AL310" i="3"/>
  <c r="BJ310" i="3" s="1"/>
  <c r="W310" i="3"/>
  <c r="AN310" i="3"/>
  <c r="K310" i="3"/>
  <c r="AA310" i="3"/>
  <c r="F310" i="3"/>
  <c r="AP310" i="3" s="1"/>
  <c r="L310" i="3"/>
  <c r="X310" i="3"/>
  <c r="Y310" i="3"/>
  <c r="AD310" i="3"/>
  <c r="J296" i="3"/>
  <c r="U296" i="3"/>
  <c r="AC296" i="3"/>
  <c r="AO296" i="3"/>
  <c r="N296" i="3"/>
  <c r="Z296" i="3"/>
  <c r="AM296" i="3"/>
  <c r="B296" i="3"/>
  <c r="Q296" i="3"/>
  <c r="AB296" i="3"/>
  <c r="I296" i="3"/>
  <c r="V296" i="3"/>
  <c r="AE296" i="3"/>
  <c r="F296" i="3"/>
  <c r="AP296" i="3" s="1"/>
  <c r="Y296" i="3"/>
  <c r="K296" i="3"/>
  <c r="AA296" i="3"/>
  <c r="L296" i="3"/>
  <c r="AD296" i="3"/>
  <c r="M296" i="3"/>
  <c r="AF296" i="3"/>
  <c r="W296" i="3"/>
  <c r="AN296" i="3"/>
  <c r="P296" i="3"/>
  <c r="R296" i="3"/>
  <c r="X296" i="3"/>
  <c r="AG296" i="3"/>
  <c r="AL296" i="3"/>
  <c r="BJ296" i="3" s="1"/>
  <c r="AA409" i="3"/>
  <c r="AA407" i="3"/>
  <c r="AA405" i="3"/>
  <c r="AA403" i="3"/>
  <c r="J319" i="3"/>
  <c r="U319" i="3"/>
  <c r="AC319" i="3"/>
  <c r="AO319" i="3"/>
  <c r="I319" i="3"/>
  <c r="V319" i="3"/>
  <c r="AE319" i="3"/>
  <c r="L319" i="3"/>
  <c r="X319" i="3"/>
  <c r="AG319" i="3"/>
  <c r="K319" i="3"/>
  <c r="Z319" i="3"/>
  <c r="M319" i="3"/>
  <c r="AA319" i="3"/>
  <c r="N319" i="3"/>
  <c r="AB319" i="3"/>
  <c r="P319" i="3"/>
  <c r="AD319" i="3"/>
  <c r="B319" i="3"/>
  <c r="W319" i="3"/>
  <c r="AM319" i="3"/>
  <c r="R319" i="3"/>
  <c r="Y319" i="3"/>
  <c r="AF319" i="3"/>
  <c r="AL319" i="3"/>
  <c r="BJ319" i="3" s="1"/>
  <c r="AN319" i="3"/>
  <c r="F319" i="3"/>
  <c r="AP319" i="3" s="1"/>
  <c r="F469" i="3"/>
  <c r="AP469" i="3" s="1"/>
  <c r="Q469" i="3"/>
  <c r="F467" i="3"/>
  <c r="AP467" i="3" s="1"/>
  <c r="Q467" i="3"/>
  <c r="AA467" i="3"/>
  <c r="AM467" i="3"/>
  <c r="F465" i="3"/>
  <c r="AP465" i="3" s="1"/>
  <c r="Q465" i="3"/>
  <c r="AA465" i="3"/>
  <c r="AM465" i="3"/>
  <c r="F463" i="3"/>
  <c r="AP463" i="3" s="1"/>
  <c r="Q463" i="3"/>
  <c r="AA463" i="3"/>
  <c r="AM463" i="3"/>
  <c r="F461" i="3"/>
  <c r="AP461" i="3" s="1"/>
  <c r="Q461" i="3"/>
  <c r="AA461" i="3"/>
  <c r="AM461" i="3"/>
  <c r="F459" i="3"/>
  <c r="AP459" i="3" s="1"/>
  <c r="Q459" i="3"/>
  <c r="AA459" i="3"/>
  <c r="AM459" i="3"/>
  <c r="F457" i="3"/>
  <c r="AP457" i="3" s="1"/>
  <c r="Q457" i="3"/>
  <c r="AA457" i="3"/>
  <c r="AM457" i="3"/>
  <c r="M422" i="3"/>
  <c r="X422" i="3"/>
  <c r="AF422" i="3"/>
  <c r="F422" i="3"/>
  <c r="AP422" i="3" s="1"/>
  <c r="Q422" i="3"/>
  <c r="AA422" i="3"/>
  <c r="AM422" i="3"/>
  <c r="K422" i="3"/>
  <c r="V422" i="3"/>
  <c r="AD422" i="3"/>
  <c r="M420" i="3"/>
  <c r="X420" i="3"/>
  <c r="AF420" i="3"/>
  <c r="F420" i="3"/>
  <c r="AP420" i="3" s="1"/>
  <c r="Q420" i="3"/>
  <c r="AA420" i="3"/>
  <c r="AM420" i="3"/>
  <c r="K420" i="3"/>
  <c r="V420" i="3"/>
  <c r="AD420" i="3"/>
  <c r="Y409" i="3"/>
  <c r="Y407" i="3"/>
  <c r="Y405" i="3"/>
  <c r="Y403" i="3"/>
  <c r="Y401" i="3"/>
  <c r="Y399" i="3"/>
  <c r="Y397" i="3"/>
  <c r="Y395" i="3"/>
  <c r="Y393" i="3"/>
  <c r="Y391" i="3"/>
  <c r="K384" i="3"/>
  <c r="V384" i="3"/>
  <c r="AD384" i="3"/>
  <c r="L384" i="3"/>
  <c r="W384" i="3"/>
  <c r="AE384" i="3"/>
  <c r="I384" i="3"/>
  <c r="X384" i="3"/>
  <c r="AL384" i="3"/>
  <c r="BJ384" i="3" s="1"/>
  <c r="J384" i="3"/>
  <c r="Y384" i="3"/>
  <c r="AM384" i="3"/>
  <c r="M384" i="3"/>
  <c r="Z384" i="3"/>
  <c r="AN384" i="3"/>
  <c r="N384" i="3"/>
  <c r="AA384" i="3"/>
  <c r="AO384" i="3"/>
  <c r="B384" i="3"/>
  <c r="R384" i="3"/>
  <c r="AF384" i="3"/>
  <c r="J322" i="3"/>
  <c r="U322" i="3"/>
  <c r="AC322" i="3"/>
  <c r="AO322" i="3"/>
  <c r="N322" i="3"/>
  <c r="Z322" i="3"/>
  <c r="AM322" i="3"/>
  <c r="B322" i="3"/>
  <c r="Q322" i="3"/>
  <c r="AB322" i="3"/>
  <c r="L322" i="3"/>
  <c r="AA322" i="3"/>
  <c r="M322" i="3"/>
  <c r="AD322" i="3"/>
  <c r="P322" i="3"/>
  <c r="AE322" i="3"/>
  <c r="R322" i="3"/>
  <c r="AF322" i="3"/>
  <c r="I322" i="3"/>
  <c r="X322" i="3"/>
  <c r="AN322" i="3"/>
  <c r="F322" i="3"/>
  <c r="AP322" i="3" s="1"/>
  <c r="K322" i="3"/>
  <c r="V322" i="3"/>
  <c r="W322" i="3"/>
  <c r="Y322" i="3"/>
  <c r="AL322" i="3"/>
  <c r="BJ322" i="3" s="1"/>
  <c r="AL469" i="3"/>
  <c r="BJ469" i="3" s="1"/>
  <c r="Z469" i="3"/>
  <c r="N469" i="3"/>
  <c r="AN467" i="3"/>
  <c r="Z467" i="3"/>
  <c r="N467" i="3"/>
  <c r="AN465" i="3"/>
  <c r="Z465" i="3"/>
  <c r="N465" i="3"/>
  <c r="AN463" i="3"/>
  <c r="Z463" i="3"/>
  <c r="N463" i="3"/>
  <c r="AN461" i="3"/>
  <c r="Z461" i="3"/>
  <c r="N461" i="3"/>
  <c r="AN459" i="3"/>
  <c r="Z459" i="3"/>
  <c r="N459" i="3"/>
  <c r="AN457" i="3"/>
  <c r="Z457" i="3"/>
  <c r="N457" i="3"/>
  <c r="AG422" i="3"/>
  <c r="R422" i="3"/>
  <c r="AG420" i="3"/>
  <c r="R420" i="3"/>
  <c r="X409" i="3"/>
  <c r="X407" i="3"/>
  <c r="X405" i="3"/>
  <c r="X403" i="3"/>
  <c r="X401" i="3"/>
  <c r="X399" i="3"/>
  <c r="X397" i="3"/>
  <c r="X395" i="3"/>
  <c r="X393" i="3"/>
  <c r="X391" i="3"/>
  <c r="K386" i="3"/>
  <c r="V386" i="3"/>
  <c r="AD386" i="3"/>
  <c r="L386" i="3"/>
  <c r="W386" i="3"/>
  <c r="AE386" i="3"/>
  <c r="B386" i="3"/>
  <c r="R386" i="3"/>
  <c r="AF386" i="3"/>
  <c r="F386" i="3"/>
  <c r="AP386" i="3" s="1"/>
  <c r="U386" i="3"/>
  <c r="AG386" i="3"/>
  <c r="I386" i="3"/>
  <c r="X386" i="3"/>
  <c r="AL386" i="3"/>
  <c r="BJ386" i="3" s="1"/>
  <c r="J386" i="3"/>
  <c r="Y386" i="3"/>
  <c r="AM386" i="3"/>
  <c r="P386" i="3"/>
  <c r="AB386" i="3"/>
  <c r="AG384" i="3"/>
  <c r="I358" i="3"/>
  <c r="R358" i="3"/>
  <c r="AB358" i="3"/>
  <c r="AN358" i="3"/>
  <c r="K358" i="3"/>
  <c r="W358" i="3"/>
  <c r="AF358" i="3"/>
  <c r="M358" i="3"/>
  <c r="Y358" i="3"/>
  <c r="AL358" i="3"/>
  <c r="BJ358" i="3" s="1"/>
  <c r="N358" i="3"/>
  <c r="Z358" i="3"/>
  <c r="AM358" i="3"/>
  <c r="F358" i="3"/>
  <c r="AP358" i="3" s="1"/>
  <c r="U358" i="3"/>
  <c r="AD358" i="3"/>
  <c r="L358" i="3"/>
  <c r="AG358" i="3"/>
  <c r="P358" i="3"/>
  <c r="AO358" i="3"/>
  <c r="Q358" i="3"/>
  <c r="V358" i="3"/>
  <c r="X358" i="3"/>
  <c r="B358" i="3"/>
  <c r="AC358" i="3"/>
  <c r="J307" i="3"/>
  <c r="U307" i="3"/>
  <c r="AC307" i="3"/>
  <c r="AO307" i="3"/>
  <c r="I307" i="3"/>
  <c r="V307" i="3"/>
  <c r="AE307" i="3"/>
  <c r="L307" i="3"/>
  <c r="X307" i="3"/>
  <c r="AG307" i="3"/>
  <c r="N307" i="3"/>
  <c r="Z307" i="3"/>
  <c r="AM307" i="3"/>
  <c r="B307" i="3"/>
  <c r="Y307" i="3"/>
  <c r="F307" i="3"/>
  <c r="AP307" i="3" s="1"/>
  <c r="AA307" i="3"/>
  <c r="K307" i="3"/>
  <c r="AB307" i="3"/>
  <c r="M307" i="3"/>
  <c r="AD307" i="3"/>
  <c r="R307" i="3"/>
  <c r="AN307" i="3"/>
  <c r="P307" i="3"/>
  <c r="Q307" i="3"/>
  <c r="W307" i="3"/>
  <c r="AF307" i="3"/>
  <c r="AL307" i="3"/>
  <c r="BJ307" i="3" s="1"/>
  <c r="J295" i="3"/>
  <c r="U295" i="3"/>
  <c r="AC295" i="3"/>
  <c r="AO295" i="3"/>
  <c r="I295" i="3"/>
  <c r="V295" i="3"/>
  <c r="AE295" i="3"/>
  <c r="L295" i="3"/>
  <c r="X295" i="3"/>
  <c r="AG295" i="3"/>
  <c r="N295" i="3"/>
  <c r="Z295" i="3"/>
  <c r="AM295" i="3"/>
  <c r="K295" i="3"/>
  <c r="AB295" i="3"/>
  <c r="M295" i="3"/>
  <c r="AD295" i="3"/>
  <c r="P295" i="3"/>
  <c r="AF295" i="3"/>
  <c r="Q295" i="3"/>
  <c r="AL295" i="3"/>
  <c r="BJ295" i="3" s="1"/>
  <c r="B295" i="3"/>
  <c r="Y295" i="3"/>
  <c r="F295" i="3"/>
  <c r="AP295" i="3" s="1"/>
  <c r="R295" i="3"/>
  <c r="W295" i="3"/>
  <c r="AA295" i="3"/>
  <c r="AN295" i="3"/>
  <c r="AD418" i="3"/>
  <c r="V418" i="3"/>
  <c r="K418" i="3"/>
  <c r="AD417" i="3"/>
  <c r="V417" i="3"/>
  <c r="K417" i="3"/>
  <c r="AD416" i="3"/>
  <c r="V416" i="3"/>
  <c r="K416" i="3"/>
  <c r="AD415" i="3"/>
  <c r="V415" i="3"/>
  <c r="K415" i="3"/>
  <c r="AD414" i="3"/>
  <c r="V414" i="3"/>
  <c r="K414" i="3"/>
  <c r="AD413" i="3"/>
  <c r="V413" i="3"/>
  <c r="K413" i="3"/>
  <c r="AD412" i="3"/>
  <c r="V412" i="3"/>
  <c r="K412" i="3"/>
  <c r="AD411" i="3"/>
  <c r="V411" i="3"/>
  <c r="K411" i="3"/>
  <c r="AD410" i="3"/>
  <c r="U410" i="3"/>
  <c r="AE408" i="3"/>
  <c r="U408" i="3"/>
  <c r="AE406" i="3"/>
  <c r="U406" i="3"/>
  <c r="AE404" i="3"/>
  <c r="U404" i="3"/>
  <c r="AE402" i="3"/>
  <c r="U402" i="3"/>
  <c r="AE400" i="3"/>
  <c r="U400" i="3"/>
  <c r="AE398" i="3"/>
  <c r="U398" i="3"/>
  <c r="AE396" i="3"/>
  <c r="U396" i="3"/>
  <c r="AE394" i="3"/>
  <c r="U394" i="3"/>
  <c r="AE392" i="3"/>
  <c r="U392" i="3"/>
  <c r="AE390" i="3"/>
  <c r="U390" i="3"/>
  <c r="AM389" i="3"/>
  <c r="Y389" i="3"/>
  <c r="J389" i="3"/>
  <c r="AN388" i="3"/>
  <c r="Z388" i="3"/>
  <c r="M388" i="3"/>
  <c r="K385" i="3"/>
  <c r="V385" i="3"/>
  <c r="AD385" i="3"/>
  <c r="L385" i="3"/>
  <c r="W385" i="3"/>
  <c r="AE385" i="3"/>
  <c r="AL382" i="3"/>
  <c r="BJ382" i="3" s="1"/>
  <c r="X382" i="3"/>
  <c r="AM381" i="3"/>
  <c r="Y381" i="3"/>
  <c r="J381" i="3"/>
  <c r="AN380" i="3"/>
  <c r="Z380" i="3"/>
  <c r="M380" i="3"/>
  <c r="Z377" i="3"/>
  <c r="I376" i="3"/>
  <c r="R376" i="3"/>
  <c r="AB376" i="3"/>
  <c r="AN376" i="3"/>
  <c r="K376" i="3"/>
  <c r="V376" i="3"/>
  <c r="AD376" i="3"/>
  <c r="L376" i="3"/>
  <c r="W376" i="3"/>
  <c r="AE376" i="3"/>
  <c r="AC374" i="3"/>
  <c r="AF373" i="3"/>
  <c r="AG372" i="3"/>
  <c r="N372" i="3"/>
  <c r="AM371" i="3"/>
  <c r="Q371" i="3"/>
  <c r="I368" i="3"/>
  <c r="R368" i="3"/>
  <c r="AB368" i="3"/>
  <c r="AN368" i="3"/>
  <c r="K368" i="3"/>
  <c r="V368" i="3"/>
  <c r="AD368" i="3"/>
  <c r="L368" i="3"/>
  <c r="W368" i="3"/>
  <c r="AE368" i="3"/>
  <c r="B368" i="3"/>
  <c r="P368" i="3"/>
  <c r="Z368" i="3"/>
  <c r="AL368" i="3"/>
  <c r="BJ368" i="3" s="1"/>
  <c r="AC366" i="3"/>
  <c r="AF365" i="3"/>
  <c r="AG364" i="3"/>
  <c r="N364" i="3"/>
  <c r="AM363" i="3"/>
  <c r="Q363" i="3"/>
  <c r="AO360" i="3"/>
  <c r="P360" i="3"/>
  <c r="I352" i="3"/>
  <c r="R352" i="3"/>
  <c r="AB352" i="3"/>
  <c r="AN352" i="3"/>
  <c r="K352" i="3"/>
  <c r="W352" i="3"/>
  <c r="AF352" i="3"/>
  <c r="M352" i="3"/>
  <c r="Y352" i="3"/>
  <c r="AL352" i="3"/>
  <c r="BJ352" i="3" s="1"/>
  <c r="N352" i="3"/>
  <c r="Z352" i="3"/>
  <c r="AM352" i="3"/>
  <c r="F352" i="3"/>
  <c r="AP352" i="3" s="1"/>
  <c r="U352" i="3"/>
  <c r="AD352" i="3"/>
  <c r="Q350" i="3"/>
  <c r="AE348" i="3"/>
  <c r="Q338" i="3"/>
  <c r="V336" i="3"/>
  <c r="J330" i="3"/>
  <c r="U330" i="3"/>
  <c r="N330" i="3"/>
  <c r="Z330" i="3"/>
  <c r="AL330" i="3"/>
  <c r="BJ330" i="3" s="1"/>
  <c r="B330" i="3"/>
  <c r="Q330" i="3"/>
  <c r="AB330" i="3"/>
  <c r="AN330" i="3"/>
  <c r="L330" i="3"/>
  <c r="AA330" i="3"/>
  <c r="M330" i="3"/>
  <c r="AC330" i="3"/>
  <c r="P330" i="3"/>
  <c r="AD330" i="3"/>
  <c r="R330" i="3"/>
  <c r="AE330" i="3"/>
  <c r="I330" i="3"/>
  <c r="X330" i="3"/>
  <c r="AM330" i="3"/>
  <c r="J329" i="3"/>
  <c r="U329" i="3"/>
  <c r="AC329" i="3"/>
  <c r="AO329" i="3"/>
  <c r="I329" i="3"/>
  <c r="V329" i="3"/>
  <c r="AE329" i="3"/>
  <c r="L329" i="3"/>
  <c r="X329" i="3"/>
  <c r="AG329" i="3"/>
  <c r="B329" i="3"/>
  <c r="W329" i="3"/>
  <c r="AM329" i="3"/>
  <c r="F329" i="3"/>
  <c r="AP329" i="3" s="1"/>
  <c r="Y329" i="3"/>
  <c r="AN329" i="3"/>
  <c r="K329" i="3"/>
  <c r="Z329" i="3"/>
  <c r="M329" i="3"/>
  <c r="AA329" i="3"/>
  <c r="Q329" i="3"/>
  <c r="AF329" i="3"/>
  <c r="J311" i="3"/>
  <c r="U311" i="3"/>
  <c r="AC311" i="3"/>
  <c r="AO311" i="3"/>
  <c r="I311" i="3"/>
  <c r="V311" i="3"/>
  <c r="AE311" i="3"/>
  <c r="L311" i="3"/>
  <c r="X311" i="3"/>
  <c r="AG311" i="3"/>
  <c r="K311" i="3"/>
  <c r="Z311" i="3"/>
  <c r="M311" i="3"/>
  <c r="AA311" i="3"/>
  <c r="N311" i="3"/>
  <c r="AB311" i="3"/>
  <c r="P311" i="3"/>
  <c r="AD311" i="3"/>
  <c r="B311" i="3"/>
  <c r="W311" i="3"/>
  <c r="AM311" i="3"/>
  <c r="AB291" i="3"/>
  <c r="J285" i="3"/>
  <c r="U285" i="3"/>
  <c r="AC285" i="3"/>
  <c r="AO285" i="3"/>
  <c r="L285" i="3"/>
  <c r="X285" i="3"/>
  <c r="AG285" i="3"/>
  <c r="M285" i="3"/>
  <c r="Y285" i="3"/>
  <c r="AL285" i="3"/>
  <c r="BJ285" i="3" s="1"/>
  <c r="F285" i="3"/>
  <c r="AP285" i="3" s="1"/>
  <c r="W285" i="3"/>
  <c r="AN285" i="3"/>
  <c r="K285" i="3"/>
  <c r="AA285" i="3"/>
  <c r="N285" i="3"/>
  <c r="AB285" i="3"/>
  <c r="P285" i="3"/>
  <c r="AD285" i="3"/>
  <c r="Q285" i="3"/>
  <c r="R285" i="3"/>
  <c r="V285" i="3"/>
  <c r="Z285" i="3"/>
  <c r="AE285" i="3"/>
  <c r="B285" i="3"/>
  <c r="AM285" i="3"/>
  <c r="I374" i="3"/>
  <c r="R374" i="3"/>
  <c r="AB374" i="3"/>
  <c r="AN374" i="3"/>
  <c r="K374" i="3"/>
  <c r="V374" i="3"/>
  <c r="AD374" i="3"/>
  <c r="L374" i="3"/>
  <c r="W374" i="3"/>
  <c r="AE374" i="3"/>
  <c r="B374" i="3"/>
  <c r="P374" i="3"/>
  <c r="Z374" i="3"/>
  <c r="AL374" i="3"/>
  <c r="BJ374" i="3" s="1"/>
  <c r="I366" i="3"/>
  <c r="R366" i="3"/>
  <c r="AB366" i="3"/>
  <c r="AN366" i="3"/>
  <c r="K366" i="3"/>
  <c r="V366" i="3"/>
  <c r="AD366" i="3"/>
  <c r="L366" i="3"/>
  <c r="W366" i="3"/>
  <c r="AE366" i="3"/>
  <c r="B366" i="3"/>
  <c r="P366" i="3"/>
  <c r="Z366" i="3"/>
  <c r="AL366" i="3"/>
  <c r="BJ366" i="3" s="1"/>
  <c r="I348" i="3"/>
  <c r="R348" i="3"/>
  <c r="AB348" i="3"/>
  <c r="AN348" i="3"/>
  <c r="K348" i="3"/>
  <c r="W348" i="3"/>
  <c r="AF348" i="3"/>
  <c r="M348" i="3"/>
  <c r="Y348" i="3"/>
  <c r="AL348" i="3"/>
  <c r="BJ348" i="3" s="1"/>
  <c r="N348" i="3"/>
  <c r="Z348" i="3"/>
  <c r="AM348" i="3"/>
  <c r="F348" i="3"/>
  <c r="AP348" i="3" s="1"/>
  <c r="U348" i="3"/>
  <c r="AD348" i="3"/>
  <c r="I342" i="3"/>
  <c r="R342" i="3"/>
  <c r="AB342" i="3"/>
  <c r="AN342" i="3"/>
  <c r="K342" i="3"/>
  <c r="W342" i="3"/>
  <c r="AF342" i="3"/>
  <c r="L342" i="3"/>
  <c r="X342" i="3"/>
  <c r="AG342" i="3"/>
  <c r="M342" i="3"/>
  <c r="Y342" i="3"/>
  <c r="AL342" i="3"/>
  <c r="BJ342" i="3" s="1"/>
  <c r="N342" i="3"/>
  <c r="Z342" i="3"/>
  <c r="AM342" i="3"/>
  <c r="F342" i="3"/>
  <c r="AP342" i="3" s="1"/>
  <c r="U342" i="3"/>
  <c r="AD342" i="3"/>
  <c r="J327" i="3"/>
  <c r="U327" i="3"/>
  <c r="AC327" i="3"/>
  <c r="AO327" i="3"/>
  <c r="I327" i="3"/>
  <c r="V327" i="3"/>
  <c r="AE327" i="3"/>
  <c r="L327" i="3"/>
  <c r="X327" i="3"/>
  <c r="AG327" i="3"/>
  <c r="K327" i="3"/>
  <c r="Z327" i="3"/>
  <c r="M327" i="3"/>
  <c r="AA327" i="3"/>
  <c r="N327" i="3"/>
  <c r="AB327" i="3"/>
  <c r="P327" i="3"/>
  <c r="AD327" i="3"/>
  <c r="B327" i="3"/>
  <c r="W327" i="3"/>
  <c r="AM327" i="3"/>
  <c r="J305" i="3"/>
  <c r="U305" i="3"/>
  <c r="AC305" i="3"/>
  <c r="AO305" i="3"/>
  <c r="I305" i="3"/>
  <c r="V305" i="3"/>
  <c r="AE305" i="3"/>
  <c r="L305" i="3"/>
  <c r="X305" i="3"/>
  <c r="AG305" i="3"/>
  <c r="N305" i="3"/>
  <c r="Z305" i="3"/>
  <c r="AM305" i="3"/>
  <c r="M305" i="3"/>
  <c r="AD305" i="3"/>
  <c r="P305" i="3"/>
  <c r="AF305" i="3"/>
  <c r="Q305" i="3"/>
  <c r="AL305" i="3"/>
  <c r="BJ305" i="3" s="1"/>
  <c r="R305" i="3"/>
  <c r="AN305" i="3"/>
  <c r="F305" i="3"/>
  <c r="AP305" i="3" s="1"/>
  <c r="AA305" i="3"/>
  <c r="J290" i="3"/>
  <c r="U290" i="3"/>
  <c r="AC290" i="3"/>
  <c r="AO290" i="3"/>
  <c r="B290" i="3"/>
  <c r="Q290" i="3"/>
  <c r="AB290" i="3"/>
  <c r="F290" i="3"/>
  <c r="AP290" i="3" s="1"/>
  <c r="V290" i="3"/>
  <c r="AF290" i="3"/>
  <c r="K290" i="3"/>
  <c r="X290" i="3"/>
  <c r="AL290" i="3"/>
  <c r="BJ290" i="3" s="1"/>
  <c r="M290" i="3"/>
  <c r="Z290" i="3"/>
  <c r="AN290" i="3"/>
  <c r="N290" i="3"/>
  <c r="AG290" i="3"/>
  <c r="P290" i="3"/>
  <c r="AM290" i="3"/>
  <c r="R290" i="3"/>
  <c r="W290" i="3"/>
  <c r="I290" i="3"/>
  <c r="AD290" i="3"/>
  <c r="I211" i="3"/>
  <c r="R211" i="3"/>
  <c r="AB211" i="3"/>
  <c r="AN211" i="3"/>
  <c r="F211" i="3"/>
  <c r="AP211" i="3" s="1"/>
  <c r="U211" i="3"/>
  <c r="AD211" i="3"/>
  <c r="B211" i="3"/>
  <c r="V211" i="3"/>
  <c r="AF211" i="3"/>
  <c r="J211" i="3"/>
  <c r="W211" i="3"/>
  <c r="AG211" i="3"/>
  <c r="K211" i="3"/>
  <c r="X211" i="3"/>
  <c r="AL211" i="3"/>
  <c r="BJ211" i="3" s="1"/>
  <c r="L211" i="3"/>
  <c r="Y211" i="3"/>
  <c r="AM211" i="3"/>
  <c r="P211" i="3"/>
  <c r="Q211" i="3"/>
  <c r="Z211" i="3"/>
  <c r="AA211" i="3"/>
  <c r="AC211" i="3"/>
  <c r="M211" i="3"/>
  <c r="AO211" i="3"/>
  <c r="N211" i="3"/>
  <c r="AE211" i="3"/>
  <c r="AM418" i="3"/>
  <c r="AA418" i="3"/>
  <c r="Q418" i="3"/>
  <c r="F418" i="3"/>
  <c r="AP418" i="3" s="1"/>
  <c r="AM417" i="3"/>
  <c r="AA417" i="3"/>
  <c r="Q417" i="3"/>
  <c r="F417" i="3"/>
  <c r="AP417" i="3" s="1"/>
  <c r="AM416" i="3"/>
  <c r="AA416" i="3"/>
  <c r="Q416" i="3"/>
  <c r="F416" i="3"/>
  <c r="AP416" i="3" s="1"/>
  <c r="AM415" i="3"/>
  <c r="AA415" i="3"/>
  <c r="Q415" i="3"/>
  <c r="F415" i="3"/>
  <c r="AP415" i="3" s="1"/>
  <c r="AM414" i="3"/>
  <c r="AA414" i="3"/>
  <c r="Q414" i="3"/>
  <c r="F414" i="3"/>
  <c r="AP414" i="3" s="1"/>
  <c r="AM413" i="3"/>
  <c r="AA413" i="3"/>
  <c r="Q413" i="3"/>
  <c r="F413" i="3"/>
  <c r="AP413" i="3" s="1"/>
  <c r="AM412" i="3"/>
  <c r="AA412" i="3"/>
  <c r="Q412" i="3"/>
  <c r="F412" i="3"/>
  <c r="AP412" i="3" s="1"/>
  <c r="AM411" i="3"/>
  <c r="AA411" i="3"/>
  <c r="Q411" i="3"/>
  <c r="F411" i="3"/>
  <c r="AP411" i="3" s="1"/>
  <c r="K410" i="3"/>
  <c r="V410" i="3"/>
  <c r="K408" i="3"/>
  <c r="V408" i="3"/>
  <c r="AD408" i="3"/>
  <c r="K406" i="3"/>
  <c r="V406" i="3"/>
  <c r="AD406" i="3"/>
  <c r="K404" i="3"/>
  <c r="V404" i="3"/>
  <c r="AD404" i="3"/>
  <c r="K402" i="3"/>
  <c r="V402" i="3"/>
  <c r="AD402" i="3"/>
  <c r="K400" i="3"/>
  <c r="V400" i="3"/>
  <c r="AD400" i="3"/>
  <c r="K398" i="3"/>
  <c r="V398" i="3"/>
  <c r="AD398" i="3"/>
  <c r="K396" i="3"/>
  <c r="V396" i="3"/>
  <c r="AD396" i="3"/>
  <c r="K394" i="3"/>
  <c r="V394" i="3"/>
  <c r="AD394" i="3"/>
  <c r="K392" i="3"/>
  <c r="V392" i="3"/>
  <c r="AD392" i="3"/>
  <c r="K390" i="3"/>
  <c r="V390" i="3"/>
  <c r="AD390" i="3"/>
  <c r="AF389" i="3"/>
  <c r="R389" i="3"/>
  <c r="AG388" i="3"/>
  <c r="U388" i="3"/>
  <c r="F388" i="3"/>
  <c r="AP388" i="3" s="1"/>
  <c r="K382" i="3"/>
  <c r="V382" i="3"/>
  <c r="AD382" i="3"/>
  <c r="L382" i="3"/>
  <c r="W382" i="3"/>
  <c r="AE382" i="3"/>
  <c r="AF381" i="3"/>
  <c r="R381" i="3"/>
  <c r="AG380" i="3"/>
  <c r="U380" i="3"/>
  <c r="I377" i="3"/>
  <c r="R377" i="3"/>
  <c r="AB377" i="3"/>
  <c r="AN377" i="3"/>
  <c r="K377" i="3"/>
  <c r="V377" i="3"/>
  <c r="AD377" i="3"/>
  <c r="L377" i="3"/>
  <c r="W377" i="3"/>
  <c r="AE377" i="3"/>
  <c r="X374" i="3"/>
  <c r="I373" i="3"/>
  <c r="R373" i="3"/>
  <c r="AB373" i="3"/>
  <c r="AN373" i="3"/>
  <c r="K373" i="3"/>
  <c r="V373" i="3"/>
  <c r="AD373" i="3"/>
  <c r="L373" i="3"/>
  <c r="W373" i="3"/>
  <c r="AE373" i="3"/>
  <c r="B373" i="3"/>
  <c r="P373" i="3"/>
  <c r="Z373" i="3"/>
  <c r="AL373" i="3"/>
  <c r="BJ373" i="3" s="1"/>
  <c r="AA372" i="3"/>
  <c r="AC371" i="3"/>
  <c r="J371" i="3"/>
  <c r="X366" i="3"/>
  <c r="I365" i="3"/>
  <c r="R365" i="3"/>
  <c r="AB365" i="3"/>
  <c r="AN365" i="3"/>
  <c r="K365" i="3"/>
  <c r="V365" i="3"/>
  <c r="AD365" i="3"/>
  <c r="L365" i="3"/>
  <c r="W365" i="3"/>
  <c r="AE365" i="3"/>
  <c r="B365" i="3"/>
  <c r="P365" i="3"/>
  <c r="Z365" i="3"/>
  <c r="AL365" i="3"/>
  <c r="BJ365" i="3" s="1"/>
  <c r="AA364" i="3"/>
  <c r="AC363" i="3"/>
  <c r="J363" i="3"/>
  <c r="AC360" i="3"/>
  <c r="I354" i="3"/>
  <c r="R354" i="3"/>
  <c r="AB354" i="3"/>
  <c r="AN354" i="3"/>
  <c r="K354" i="3"/>
  <c r="W354" i="3"/>
  <c r="AF354" i="3"/>
  <c r="M354" i="3"/>
  <c r="Y354" i="3"/>
  <c r="AL354" i="3"/>
  <c r="BJ354" i="3" s="1"/>
  <c r="N354" i="3"/>
  <c r="Z354" i="3"/>
  <c r="AM354" i="3"/>
  <c r="F354" i="3"/>
  <c r="AP354" i="3" s="1"/>
  <c r="U354" i="3"/>
  <c r="AD354" i="3"/>
  <c r="Q352" i="3"/>
  <c r="AE350" i="3"/>
  <c r="X348" i="3"/>
  <c r="AC342" i="3"/>
  <c r="I340" i="3"/>
  <c r="R340" i="3"/>
  <c r="AB340" i="3"/>
  <c r="AN340" i="3"/>
  <c r="K340" i="3"/>
  <c r="W340" i="3"/>
  <c r="AF340" i="3"/>
  <c r="L340" i="3"/>
  <c r="X340" i="3"/>
  <c r="AG340" i="3"/>
  <c r="M340" i="3"/>
  <c r="Y340" i="3"/>
  <c r="AL340" i="3"/>
  <c r="BJ340" i="3" s="1"/>
  <c r="N340" i="3"/>
  <c r="Z340" i="3"/>
  <c r="AM340" i="3"/>
  <c r="F340" i="3"/>
  <c r="AP340" i="3" s="1"/>
  <c r="U340" i="3"/>
  <c r="AD340" i="3"/>
  <c r="AO338" i="3"/>
  <c r="AN327" i="3"/>
  <c r="J300" i="3"/>
  <c r="U300" i="3"/>
  <c r="AC300" i="3"/>
  <c r="AO300" i="3"/>
  <c r="N300" i="3"/>
  <c r="Z300" i="3"/>
  <c r="AM300" i="3"/>
  <c r="B300" i="3"/>
  <c r="Q300" i="3"/>
  <c r="AB300" i="3"/>
  <c r="I300" i="3"/>
  <c r="V300" i="3"/>
  <c r="AE300" i="3"/>
  <c r="L300" i="3"/>
  <c r="AD300" i="3"/>
  <c r="M300" i="3"/>
  <c r="AF300" i="3"/>
  <c r="P300" i="3"/>
  <c r="AG300" i="3"/>
  <c r="R300" i="3"/>
  <c r="AL300" i="3"/>
  <c r="BJ300" i="3" s="1"/>
  <c r="F300" i="3"/>
  <c r="AP300" i="3" s="1"/>
  <c r="Y300" i="3"/>
  <c r="I231" i="3"/>
  <c r="R231" i="3"/>
  <c r="AB231" i="3"/>
  <c r="AN231" i="3"/>
  <c r="K231" i="3"/>
  <c r="W231" i="3"/>
  <c r="AF231" i="3"/>
  <c r="M231" i="3"/>
  <c r="Y231" i="3"/>
  <c r="AL231" i="3"/>
  <c r="BJ231" i="3" s="1"/>
  <c r="N231" i="3"/>
  <c r="Z231" i="3"/>
  <c r="AM231" i="3"/>
  <c r="F231" i="3"/>
  <c r="AP231" i="3" s="1"/>
  <c r="AA231" i="3"/>
  <c r="J231" i="3"/>
  <c r="AC231" i="3"/>
  <c r="L231" i="3"/>
  <c r="AD231" i="3"/>
  <c r="P231" i="3"/>
  <c r="AE231" i="3"/>
  <c r="Q231" i="3"/>
  <c r="AG231" i="3"/>
  <c r="V231" i="3"/>
  <c r="X231" i="3"/>
  <c r="AO231" i="3"/>
  <c r="B231" i="3"/>
  <c r="U231" i="3"/>
  <c r="K389" i="3"/>
  <c r="V389" i="3"/>
  <c r="AD389" i="3"/>
  <c r="L389" i="3"/>
  <c r="W389" i="3"/>
  <c r="AE389" i="3"/>
  <c r="AF388" i="3"/>
  <c r="R388" i="3"/>
  <c r="K381" i="3"/>
  <c r="V381" i="3"/>
  <c r="AD381" i="3"/>
  <c r="L381" i="3"/>
  <c r="W381" i="3"/>
  <c r="AE381" i="3"/>
  <c r="I380" i="3"/>
  <c r="K380" i="3"/>
  <c r="V380" i="3"/>
  <c r="AD380" i="3"/>
  <c r="L380" i="3"/>
  <c r="W380" i="3"/>
  <c r="AE380" i="3"/>
  <c r="AO374" i="3"/>
  <c r="U374" i="3"/>
  <c r="I372" i="3"/>
  <c r="R372" i="3"/>
  <c r="AB372" i="3"/>
  <c r="AN372" i="3"/>
  <c r="K372" i="3"/>
  <c r="V372" i="3"/>
  <c r="AD372" i="3"/>
  <c r="L372" i="3"/>
  <c r="W372" i="3"/>
  <c r="AE372" i="3"/>
  <c r="B372" i="3"/>
  <c r="P372" i="3"/>
  <c r="Z372" i="3"/>
  <c r="AL372" i="3"/>
  <c r="BJ372" i="3" s="1"/>
  <c r="AA371" i="3"/>
  <c r="AO366" i="3"/>
  <c r="U366" i="3"/>
  <c r="I364" i="3"/>
  <c r="R364" i="3"/>
  <c r="AB364" i="3"/>
  <c r="AN364" i="3"/>
  <c r="K364" i="3"/>
  <c r="V364" i="3"/>
  <c r="AD364" i="3"/>
  <c r="L364" i="3"/>
  <c r="W364" i="3"/>
  <c r="AE364" i="3"/>
  <c r="B364" i="3"/>
  <c r="P364" i="3"/>
  <c r="Z364" i="3"/>
  <c r="AL364" i="3"/>
  <c r="BJ364" i="3" s="1"/>
  <c r="AA363" i="3"/>
  <c r="I360" i="3"/>
  <c r="R360" i="3"/>
  <c r="AB360" i="3"/>
  <c r="AN360" i="3"/>
  <c r="K360" i="3"/>
  <c r="W360" i="3"/>
  <c r="AF360" i="3"/>
  <c r="M360" i="3"/>
  <c r="Y360" i="3"/>
  <c r="AL360" i="3"/>
  <c r="BJ360" i="3" s="1"/>
  <c r="N360" i="3"/>
  <c r="Z360" i="3"/>
  <c r="AM360" i="3"/>
  <c r="F360" i="3"/>
  <c r="AP360" i="3" s="1"/>
  <c r="U360" i="3"/>
  <c r="AD360" i="3"/>
  <c r="V348" i="3"/>
  <c r="AA342" i="3"/>
  <c r="I338" i="3"/>
  <c r="R338" i="3"/>
  <c r="AB338" i="3"/>
  <c r="AN338" i="3"/>
  <c r="K338" i="3"/>
  <c r="W338" i="3"/>
  <c r="AF338" i="3"/>
  <c r="L338" i="3"/>
  <c r="X338" i="3"/>
  <c r="AG338" i="3"/>
  <c r="M338" i="3"/>
  <c r="Y338" i="3"/>
  <c r="AL338" i="3"/>
  <c r="BJ338" i="3" s="1"/>
  <c r="N338" i="3"/>
  <c r="Z338" i="3"/>
  <c r="AM338" i="3"/>
  <c r="F338" i="3"/>
  <c r="AP338" i="3" s="1"/>
  <c r="U338" i="3"/>
  <c r="AD338" i="3"/>
  <c r="AL327" i="3"/>
  <c r="BJ327" i="3" s="1"/>
  <c r="J291" i="3"/>
  <c r="U291" i="3"/>
  <c r="AC291" i="3"/>
  <c r="AO291" i="3"/>
  <c r="L291" i="3"/>
  <c r="X291" i="3"/>
  <c r="AG291" i="3"/>
  <c r="B291" i="3"/>
  <c r="R291" i="3"/>
  <c r="AE291" i="3"/>
  <c r="I291" i="3"/>
  <c r="W291" i="3"/>
  <c r="AL291" i="3"/>
  <c r="BJ291" i="3" s="1"/>
  <c r="M291" i="3"/>
  <c r="Z291" i="3"/>
  <c r="AN291" i="3"/>
  <c r="P291" i="3"/>
  <c r="AM291" i="3"/>
  <c r="Q291" i="3"/>
  <c r="V291" i="3"/>
  <c r="Y291" i="3"/>
  <c r="K291" i="3"/>
  <c r="AD291" i="3"/>
  <c r="J279" i="3"/>
  <c r="U279" i="3"/>
  <c r="AC279" i="3"/>
  <c r="AO279" i="3"/>
  <c r="L279" i="3"/>
  <c r="X279" i="3"/>
  <c r="AG279" i="3"/>
  <c r="M279" i="3"/>
  <c r="Y279" i="3"/>
  <c r="AL279" i="3"/>
  <c r="BJ279" i="3" s="1"/>
  <c r="I279" i="3"/>
  <c r="Z279" i="3"/>
  <c r="K279" i="3"/>
  <c r="AA279" i="3"/>
  <c r="N279" i="3"/>
  <c r="AB279" i="3"/>
  <c r="P279" i="3"/>
  <c r="AD279" i="3"/>
  <c r="Q279" i="3"/>
  <c r="AE279" i="3"/>
  <c r="R279" i="3"/>
  <c r="V279" i="3"/>
  <c r="W279" i="3"/>
  <c r="AF279" i="3"/>
  <c r="AM279" i="3"/>
  <c r="B279" i="3"/>
  <c r="K388" i="3"/>
  <c r="V388" i="3"/>
  <c r="AD388" i="3"/>
  <c r="L388" i="3"/>
  <c r="W388" i="3"/>
  <c r="AE388" i="3"/>
  <c r="AM374" i="3"/>
  <c r="Q374" i="3"/>
  <c r="I371" i="3"/>
  <c r="R371" i="3"/>
  <c r="AB371" i="3"/>
  <c r="AN371" i="3"/>
  <c r="K371" i="3"/>
  <c r="V371" i="3"/>
  <c r="AD371" i="3"/>
  <c r="L371" i="3"/>
  <c r="W371" i="3"/>
  <c r="AE371" i="3"/>
  <c r="B371" i="3"/>
  <c r="P371" i="3"/>
  <c r="Z371" i="3"/>
  <c r="AL371" i="3"/>
  <c r="BJ371" i="3" s="1"/>
  <c r="AM366" i="3"/>
  <c r="Q366" i="3"/>
  <c r="I363" i="3"/>
  <c r="R363" i="3"/>
  <c r="AB363" i="3"/>
  <c r="AN363" i="3"/>
  <c r="K363" i="3"/>
  <c r="V363" i="3"/>
  <c r="AD363" i="3"/>
  <c r="L363" i="3"/>
  <c r="W363" i="3"/>
  <c r="AE363" i="3"/>
  <c r="B363" i="3"/>
  <c r="P363" i="3"/>
  <c r="Z363" i="3"/>
  <c r="AL363" i="3"/>
  <c r="BJ363" i="3" s="1"/>
  <c r="I350" i="3"/>
  <c r="R350" i="3"/>
  <c r="AB350" i="3"/>
  <c r="AN350" i="3"/>
  <c r="K350" i="3"/>
  <c r="W350" i="3"/>
  <c r="AF350" i="3"/>
  <c r="M350" i="3"/>
  <c r="Y350" i="3"/>
  <c r="AL350" i="3"/>
  <c r="BJ350" i="3" s="1"/>
  <c r="N350" i="3"/>
  <c r="Z350" i="3"/>
  <c r="AM350" i="3"/>
  <c r="F350" i="3"/>
  <c r="AP350" i="3" s="1"/>
  <c r="U350" i="3"/>
  <c r="AD350" i="3"/>
  <c r="Q348" i="3"/>
  <c r="V342" i="3"/>
  <c r="AC338" i="3"/>
  <c r="I336" i="3"/>
  <c r="R336" i="3"/>
  <c r="AB336" i="3"/>
  <c r="AN336" i="3"/>
  <c r="K336" i="3"/>
  <c r="W336" i="3"/>
  <c r="AF336" i="3"/>
  <c r="L336" i="3"/>
  <c r="X336" i="3"/>
  <c r="AG336" i="3"/>
  <c r="M336" i="3"/>
  <c r="Y336" i="3"/>
  <c r="AL336" i="3"/>
  <c r="BJ336" i="3" s="1"/>
  <c r="N336" i="3"/>
  <c r="Z336" i="3"/>
  <c r="AM336" i="3"/>
  <c r="F336" i="3"/>
  <c r="AP336" i="3" s="1"/>
  <c r="U336" i="3"/>
  <c r="AD336" i="3"/>
  <c r="AF327" i="3"/>
  <c r="AB305" i="3"/>
  <c r="AF418" i="3"/>
  <c r="X418" i="3"/>
  <c r="AF417" i="3"/>
  <c r="X417" i="3"/>
  <c r="AF416" i="3"/>
  <c r="X416" i="3"/>
  <c r="AF415" i="3"/>
  <c r="X415" i="3"/>
  <c r="AF414" i="3"/>
  <c r="X414" i="3"/>
  <c r="AF413" i="3"/>
  <c r="X413" i="3"/>
  <c r="AF412" i="3"/>
  <c r="X412" i="3"/>
  <c r="AF411" i="3"/>
  <c r="X411" i="3"/>
  <c r="AF410" i="3"/>
  <c r="X410" i="3"/>
  <c r="L410" i="3"/>
  <c r="AG408" i="3"/>
  <c r="X408" i="3"/>
  <c r="L408" i="3"/>
  <c r="AG406" i="3"/>
  <c r="X406" i="3"/>
  <c r="L406" i="3"/>
  <c r="AG404" i="3"/>
  <c r="X404" i="3"/>
  <c r="L404" i="3"/>
  <c r="AG402" i="3"/>
  <c r="X402" i="3"/>
  <c r="L402" i="3"/>
  <c r="AG400" i="3"/>
  <c r="X400" i="3"/>
  <c r="L400" i="3"/>
  <c r="AG398" i="3"/>
  <c r="X398" i="3"/>
  <c r="L398" i="3"/>
  <c r="AG396" i="3"/>
  <c r="X396" i="3"/>
  <c r="L396" i="3"/>
  <c r="AG394" i="3"/>
  <c r="X394" i="3"/>
  <c r="L394" i="3"/>
  <c r="AG392" i="3"/>
  <c r="X392" i="3"/>
  <c r="L392" i="3"/>
  <c r="AG390" i="3"/>
  <c r="X390" i="3"/>
  <c r="L390" i="3"/>
  <c r="AO389" i="3"/>
  <c r="AA389" i="3"/>
  <c r="N389" i="3"/>
  <c r="AB388" i="3"/>
  <c r="P388" i="3"/>
  <c r="K387" i="3"/>
  <c r="V387" i="3"/>
  <c r="AD387" i="3"/>
  <c r="L387" i="3"/>
  <c r="W387" i="3"/>
  <c r="AE387" i="3"/>
  <c r="AG385" i="3"/>
  <c r="U385" i="3"/>
  <c r="F385" i="3"/>
  <c r="AP385" i="3" s="1"/>
  <c r="AN382" i="3"/>
  <c r="Z382" i="3"/>
  <c r="M382" i="3"/>
  <c r="AO381" i="3"/>
  <c r="AA381" i="3"/>
  <c r="N381" i="3"/>
  <c r="AB380" i="3"/>
  <c r="P380" i="3"/>
  <c r="I378" i="3"/>
  <c r="R378" i="3"/>
  <c r="AB378" i="3"/>
  <c r="AN378" i="3"/>
  <c r="K378" i="3"/>
  <c r="V378" i="3"/>
  <c r="AD378" i="3"/>
  <c r="L378" i="3"/>
  <c r="W378" i="3"/>
  <c r="AE378" i="3"/>
  <c r="AC377" i="3"/>
  <c r="N377" i="3"/>
  <c r="AO376" i="3"/>
  <c r="Y376" i="3"/>
  <c r="F376" i="3"/>
  <c r="AP376" i="3" s="1"/>
  <c r="AG374" i="3"/>
  <c r="N374" i="3"/>
  <c r="AM373" i="3"/>
  <c r="Q373" i="3"/>
  <c r="AO372" i="3"/>
  <c r="U372" i="3"/>
  <c r="X371" i="3"/>
  <c r="I370" i="3"/>
  <c r="R370" i="3"/>
  <c r="AB370" i="3"/>
  <c r="AN370" i="3"/>
  <c r="K370" i="3"/>
  <c r="V370" i="3"/>
  <c r="AD370" i="3"/>
  <c r="L370" i="3"/>
  <c r="W370" i="3"/>
  <c r="AE370" i="3"/>
  <c r="B370" i="3"/>
  <c r="P370" i="3"/>
  <c r="Z370" i="3"/>
  <c r="AL370" i="3"/>
  <c r="BJ370" i="3" s="1"/>
  <c r="AC368" i="3"/>
  <c r="J368" i="3"/>
  <c r="AG366" i="3"/>
  <c r="N366" i="3"/>
  <c r="AM365" i="3"/>
  <c r="Q365" i="3"/>
  <c r="AO364" i="3"/>
  <c r="U364" i="3"/>
  <c r="X363" i="3"/>
  <c r="I362" i="3"/>
  <c r="R362" i="3"/>
  <c r="AB362" i="3"/>
  <c r="AN362" i="3"/>
  <c r="K362" i="3"/>
  <c r="V362" i="3"/>
  <c r="AD362" i="3"/>
  <c r="L362" i="3"/>
  <c r="W362" i="3"/>
  <c r="AE362" i="3"/>
  <c r="B362" i="3"/>
  <c r="P362" i="3"/>
  <c r="Z362" i="3"/>
  <c r="AL362" i="3"/>
  <c r="BJ362" i="3" s="1"/>
  <c r="V360" i="3"/>
  <c r="I356" i="3"/>
  <c r="R356" i="3"/>
  <c r="AB356" i="3"/>
  <c r="AN356" i="3"/>
  <c r="K356" i="3"/>
  <c r="W356" i="3"/>
  <c r="AF356" i="3"/>
  <c r="M356" i="3"/>
  <c r="Y356" i="3"/>
  <c r="AL356" i="3"/>
  <c r="BJ356" i="3" s="1"/>
  <c r="N356" i="3"/>
  <c r="Z356" i="3"/>
  <c r="AM356" i="3"/>
  <c r="F356" i="3"/>
  <c r="AP356" i="3" s="1"/>
  <c r="U356" i="3"/>
  <c r="AD356" i="3"/>
  <c r="Q354" i="3"/>
  <c r="AE352" i="3"/>
  <c r="J352" i="3"/>
  <c r="X350" i="3"/>
  <c r="AO348" i="3"/>
  <c r="P348" i="3"/>
  <c r="Q342" i="3"/>
  <c r="V340" i="3"/>
  <c r="AA338" i="3"/>
  <c r="AC336" i="3"/>
  <c r="I334" i="3"/>
  <c r="R334" i="3"/>
  <c r="AB334" i="3"/>
  <c r="AN334" i="3"/>
  <c r="K334" i="3"/>
  <c r="W334" i="3"/>
  <c r="AF334" i="3"/>
  <c r="L334" i="3"/>
  <c r="X334" i="3"/>
  <c r="AG334" i="3"/>
  <c r="M334" i="3"/>
  <c r="Y334" i="3"/>
  <c r="AL334" i="3"/>
  <c r="BJ334" i="3" s="1"/>
  <c r="N334" i="3"/>
  <c r="Z334" i="3"/>
  <c r="AM334" i="3"/>
  <c r="F334" i="3"/>
  <c r="AP334" i="3" s="1"/>
  <c r="U334" i="3"/>
  <c r="AD334" i="3"/>
  <c r="K330" i="3"/>
  <c r="P329" i="3"/>
  <c r="Y327" i="3"/>
  <c r="J314" i="3"/>
  <c r="U314" i="3"/>
  <c r="AC314" i="3"/>
  <c r="AO314" i="3"/>
  <c r="N314" i="3"/>
  <c r="Z314" i="3"/>
  <c r="AM314" i="3"/>
  <c r="B314" i="3"/>
  <c r="Q314" i="3"/>
  <c r="AB314" i="3"/>
  <c r="L314" i="3"/>
  <c r="AA314" i="3"/>
  <c r="M314" i="3"/>
  <c r="AD314" i="3"/>
  <c r="P314" i="3"/>
  <c r="AE314" i="3"/>
  <c r="R314" i="3"/>
  <c r="AF314" i="3"/>
  <c r="I314" i="3"/>
  <c r="X314" i="3"/>
  <c r="AN314" i="3"/>
  <c r="J313" i="3"/>
  <c r="U313" i="3"/>
  <c r="AC313" i="3"/>
  <c r="AO313" i="3"/>
  <c r="I313" i="3"/>
  <c r="V313" i="3"/>
  <c r="AE313" i="3"/>
  <c r="L313" i="3"/>
  <c r="X313" i="3"/>
  <c r="AG313" i="3"/>
  <c r="B313" i="3"/>
  <c r="W313" i="3"/>
  <c r="AM313" i="3"/>
  <c r="F313" i="3"/>
  <c r="AP313" i="3" s="1"/>
  <c r="Y313" i="3"/>
  <c r="AN313" i="3"/>
  <c r="K313" i="3"/>
  <c r="Z313" i="3"/>
  <c r="M313" i="3"/>
  <c r="AA313" i="3"/>
  <c r="Q313" i="3"/>
  <c r="AF313" i="3"/>
  <c r="Q311" i="3"/>
  <c r="Y305" i="3"/>
  <c r="AN300" i="3"/>
  <c r="J294" i="3"/>
  <c r="U294" i="3"/>
  <c r="AC294" i="3"/>
  <c r="AO294" i="3"/>
  <c r="N294" i="3"/>
  <c r="Z294" i="3"/>
  <c r="AM294" i="3"/>
  <c r="B294" i="3"/>
  <c r="Q294" i="3"/>
  <c r="AB294" i="3"/>
  <c r="I294" i="3"/>
  <c r="V294" i="3"/>
  <c r="AE294" i="3"/>
  <c r="M294" i="3"/>
  <c r="AF294" i="3"/>
  <c r="P294" i="3"/>
  <c r="AG294" i="3"/>
  <c r="R294" i="3"/>
  <c r="AL294" i="3"/>
  <c r="BJ294" i="3" s="1"/>
  <c r="W294" i="3"/>
  <c r="AN294" i="3"/>
  <c r="K294" i="3"/>
  <c r="AA294" i="3"/>
  <c r="AE290" i="3"/>
  <c r="AF285" i="3"/>
  <c r="J324" i="3"/>
  <c r="U324" i="3"/>
  <c r="AC324" i="3"/>
  <c r="AO324" i="3"/>
  <c r="N324" i="3"/>
  <c r="Z324" i="3"/>
  <c r="AM324" i="3"/>
  <c r="B324" i="3"/>
  <c r="Q324" i="3"/>
  <c r="AB324" i="3"/>
  <c r="AB323" i="3"/>
  <c r="N323" i="3"/>
  <c r="J316" i="3"/>
  <c r="U316" i="3"/>
  <c r="AC316" i="3"/>
  <c r="AO316" i="3"/>
  <c r="N316" i="3"/>
  <c r="Z316" i="3"/>
  <c r="AM316" i="3"/>
  <c r="B316" i="3"/>
  <c r="Q316" i="3"/>
  <c r="AB316" i="3"/>
  <c r="AB315" i="3"/>
  <c r="N315" i="3"/>
  <c r="AG308" i="3"/>
  <c r="P308" i="3"/>
  <c r="J306" i="3"/>
  <c r="U306" i="3"/>
  <c r="AC306" i="3"/>
  <c r="AO306" i="3"/>
  <c r="N306" i="3"/>
  <c r="Z306" i="3"/>
  <c r="AM306" i="3"/>
  <c r="B306" i="3"/>
  <c r="Q306" i="3"/>
  <c r="AB306" i="3"/>
  <c r="I306" i="3"/>
  <c r="V306" i="3"/>
  <c r="AE306" i="3"/>
  <c r="AF303" i="3"/>
  <c r="P303" i="3"/>
  <c r="J301" i="3"/>
  <c r="U301" i="3"/>
  <c r="AC301" i="3"/>
  <c r="AO301" i="3"/>
  <c r="I301" i="3"/>
  <c r="V301" i="3"/>
  <c r="AE301" i="3"/>
  <c r="L301" i="3"/>
  <c r="X301" i="3"/>
  <c r="AG301" i="3"/>
  <c r="N301" i="3"/>
  <c r="Z301" i="3"/>
  <c r="AM301" i="3"/>
  <c r="J288" i="3"/>
  <c r="U288" i="3"/>
  <c r="AC288" i="3"/>
  <c r="AO288" i="3"/>
  <c r="B288" i="3"/>
  <c r="Q288" i="3"/>
  <c r="AB288" i="3"/>
  <c r="F288" i="3"/>
  <c r="AP288" i="3" s="1"/>
  <c r="I288" i="3"/>
  <c r="W288" i="3"/>
  <c r="AG288" i="3"/>
  <c r="L288" i="3"/>
  <c r="Y288" i="3"/>
  <c r="AM288" i="3"/>
  <c r="N288" i="3"/>
  <c r="AA288" i="3"/>
  <c r="W287" i="3"/>
  <c r="J272" i="3"/>
  <c r="U272" i="3"/>
  <c r="AC272" i="3"/>
  <c r="AO272" i="3"/>
  <c r="B272" i="3"/>
  <c r="Q272" i="3"/>
  <c r="AB272" i="3"/>
  <c r="F272" i="3"/>
  <c r="AP272" i="3" s="1"/>
  <c r="R272" i="3"/>
  <c r="AD272" i="3"/>
  <c r="I272" i="3"/>
  <c r="X272" i="3"/>
  <c r="AM272" i="3"/>
  <c r="K272" i="3"/>
  <c r="Y272" i="3"/>
  <c r="AN272" i="3"/>
  <c r="L272" i="3"/>
  <c r="Z272" i="3"/>
  <c r="M272" i="3"/>
  <c r="AA272" i="3"/>
  <c r="N272" i="3"/>
  <c r="AE272" i="3"/>
  <c r="J259" i="3"/>
  <c r="U259" i="3"/>
  <c r="AC259" i="3"/>
  <c r="AO259" i="3"/>
  <c r="L259" i="3"/>
  <c r="X259" i="3"/>
  <c r="AG259" i="3"/>
  <c r="M259" i="3"/>
  <c r="Y259" i="3"/>
  <c r="AL259" i="3"/>
  <c r="BJ259" i="3" s="1"/>
  <c r="B259" i="3"/>
  <c r="V259" i="3"/>
  <c r="AM259" i="3"/>
  <c r="F259" i="3"/>
  <c r="AP259" i="3" s="1"/>
  <c r="W259" i="3"/>
  <c r="AN259" i="3"/>
  <c r="I259" i="3"/>
  <c r="Z259" i="3"/>
  <c r="K259" i="3"/>
  <c r="AA259" i="3"/>
  <c r="N259" i="3"/>
  <c r="AB259" i="3"/>
  <c r="Q259" i="3"/>
  <c r="AE259" i="3"/>
  <c r="J263" i="3"/>
  <c r="U263" i="3"/>
  <c r="AC263" i="3"/>
  <c r="AO263" i="3"/>
  <c r="L263" i="3"/>
  <c r="X263" i="3"/>
  <c r="AG263" i="3"/>
  <c r="M263" i="3"/>
  <c r="Y263" i="3"/>
  <c r="AL263" i="3"/>
  <c r="BJ263" i="3" s="1"/>
  <c r="I263" i="3"/>
  <c r="Z263" i="3"/>
  <c r="K263" i="3"/>
  <c r="AA263" i="3"/>
  <c r="N263" i="3"/>
  <c r="AB263" i="3"/>
  <c r="P263" i="3"/>
  <c r="AD263" i="3"/>
  <c r="Q263" i="3"/>
  <c r="AE263" i="3"/>
  <c r="B263" i="3"/>
  <c r="V263" i="3"/>
  <c r="AM263" i="3"/>
  <c r="J260" i="3"/>
  <c r="U260" i="3"/>
  <c r="AC260" i="3"/>
  <c r="AO260" i="3"/>
  <c r="B260" i="3"/>
  <c r="Q260" i="3"/>
  <c r="AB260" i="3"/>
  <c r="F260" i="3"/>
  <c r="AP260" i="3" s="1"/>
  <c r="R260" i="3"/>
  <c r="AD260" i="3"/>
  <c r="L260" i="3"/>
  <c r="Z260" i="3"/>
  <c r="M260" i="3"/>
  <c r="AA260" i="3"/>
  <c r="N260" i="3"/>
  <c r="AE260" i="3"/>
  <c r="P260" i="3"/>
  <c r="AF260" i="3"/>
  <c r="V260" i="3"/>
  <c r="AG260" i="3"/>
  <c r="I260" i="3"/>
  <c r="X260" i="3"/>
  <c r="AM260" i="3"/>
  <c r="AE361" i="3"/>
  <c r="V361" i="3"/>
  <c r="J361" i="3"/>
  <c r="AE359" i="3"/>
  <c r="V359" i="3"/>
  <c r="J359" i="3"/>
  <c r="AE357" i="3"/>
  <c r="V357" i="3"/>
  <c r="J357" i="3"/>
  <c r="AE355" i="3"/>
  <c r="V355" i="3"/>
  <c r="J355" i="3"/>
  <c r="AE353" i="3"/>
  <c r="V353" i="3"/>
  <c r="J353" i="3"/>
  <c r="AE351" i="3"/>
  <c r="V351" i="3"/>
  <c r="J351" i="3"/>
  <c r="AE349" i="3"/>
  <c r="V349" i="3"/>
  <c r="J349" i="3"/>
  <c r="AE347" i="3"/>
  <c r="V347" i="3"/>
  <c r="J347" i="3"/>
  <c r="AE345" i="3"/>
  <c r="V345" i="3"/>
  <c r="J345" i="3"/>
  <c r="AE343" i="3"/>
  <c r="V343" i="3"/>
  <c r="J343" i="3"/>
  <c r="AE341" i="3"/>
  <c r="V341" i="3"/>
  <c r="J341" i="3"/>
  <c r="AE339" i="3"/>
  <c r="V339" i="3"/>
  <c r="J339" i="3"/>
  <c r="AE337" i="3"/>
  <c r="V337" i="3"/>
  <c r="J337" i="3"/>
  <c r="AE335" i="3"/>
  <c r="V335" i="3"/>
  <c r="J335" i="3"/>
  <c r="AE333" i="3"/>
  <c r="V333" i="3"/>
  <c r="J333" i="3"/>
  <c r="B331" i="3"/>
  <c r="P331" i="3"/>
  <c r="Z331" i="3"/>
  <c r="I331" i="3"/>
  <c r="R331" i="3"/>
  <c r="AB331" i="3"/>
  <c r="AN331" i="3"/>
  <c r="AL328" i="3"/>
  <c r="BJ328" i="3" s="1"/>
  <c r="W328" i="3"/>
  <c r="Y326" i="3"/>
  <c r="K326" i="3"/>
  <c r="J325" i="3"/>
  <c r="U325" i="3"/>
  <c r="AC325" i="3"/>
  <c r="AO325" i="3"/>
  <c r="I325" i="3"/>
  <c r="V325" i="3"/>
  <c r="AE325" i="3"/>
  <c r="L325" i="3"/>
  <c r="X325" i="3"/>
  <c r="AG325" i="3"/>
  <c r="AD324" i="3"/>
  <c r="M324" i="3"/>
  <c r="AN323" i="3"/>
  <c r="Y323" i="3"/>
  <c r="F323" i="3"/>
  <c r="AP323" i="3" s="1"/>
  <c r="AL320" i="3"/>
  <c r="BJ320" i="3" s="1"/>
  <c r="W320" i="3"/>
  <c r="Y318" i="3"/>
  <c r="K318" i="3"/>
  <c r="J317" i="3"/>
  <c r="U317" i="3"/>
  <c r="AC317" i="3"/>
  <c r="AO317" i="3"/>
  <c r="I317" i="3"/>
  <c r="V317" i="3"/>
  <c r="AE317" i="3"/>
  <c r="L317" i="3"/>
  <c r="X317" i="3"/>
  <c r="AG317" i="3"/>
  <c r="AD316" i="3"/>
  <c r="M316" i="3"/>
  <c r="AN315" i="3"/>
  <c r="Y315" i="3"/>
  <c r="F315" i="3"/>
  <c r="AP315" i="3" s="1"/>
  <c r="AL312" i="3"/>
  <c r="BJ312" i="3" s="1"/>
  <c r="W312" i="3"/>
  <c r="Y309" i="3"/>
  <c r="AA308" i="3"/>
  <c r="K308" i="3"/>
  <c r="AG306" i="3"/>
  <c r="P306" i="3"/>
  <c r="J304" i="3"/>
  <c r="U304" i="3"/>
  <c r="AC304" i="3"/>
  <c r="AO304" i="3"/>
  <c r="N304" i="3"/>
  <c r="Z304" i="3"/>
  <c r="AM304" i="3"/>
  <c r="B304" i="3"/>
  <c r="Q304" i="3"/>
  <c r="AB304" i="3"/>
  <c r="I304" i="3"/>
  <c r="V304" i="3"/>
  <c r="AE304" i="3"/>
  <c r="AA303" i="3"/>
  <c r="F303" i="3"/>
  <c r="AP303" i="3" s="1"/>
  <c r="AD302" i="3"/>
  <c r="L302" i="3"/>
  <c r="AF301" i="3"/>
  <c r="P301" i="3"/>
  <c r="J299" i="3"/>
  <c r="U299" i="3"/>
  <c r="AC299" i="3"/>
  <c r="AO299" i="3"/>
  <c r="I299" i="3"/>
  <c r="V299" i="3"/>
  <c r="AE299" i="3"/>
  <c r="L299" i="3"/>
  <c r="X299" i="3"/>
  <c r="AG299" i="3"/>
  <c r="N299" i="3"/>
  <c r="Z299" i="3"/>
  <c r="AM299" i="3"/>
  <c r="Y298" i="3"/>
  <c r="AB297" i="3"/>
  <c r="K297" i="3"/>
  <c r="V288" i="3"/>
  <c r="AN287" i="3"/>
  <c r="N287" i="3"/>
  <c r="L282" i="3"/>
  <c r="AG272" i="3"/>
  <c r="AD361" i="3"/>
  <c r="U361" i="3"/>
  <c r="AD359" i="3"/>
  <c r="U359" i="3"/>
  <c r="AD357" i="3"/>
  <c r="U357" i="3"/>
  <c r="AD355" i="3"/>
  <c r="U355" i="3"/>
  <c r="AD353" i="3"/>
  <c r="U353" i="3"/>
  <c r="AD351" i="3"/>
  <c r="U351" i="3"/>
  <c r="AD349" i="3"/>
  <c r="U349" i="3"/>
  <c r="AD347" i="3"/>
  <c r="U347" i="3"/>
  <c r="AD345" i="3"/>
  <c r="U345" i="3"/>
  <c r="AD343" i="3"/>
  <c r="U343" i="3"/>
  <c r="AD341" i="3"/>
  <c r="U341" i="3"/>
  <c r="AD339" i="3"/>
  <c r="U339" i="3"/>
  <c r="AD337" i="3"/>
  <c r="U337" i="3"/>
  <c r="AD335" i="3"/>
  <c r="U335" i="3"/>
  <c r="AD333" i="3"/>
  <c r="U333" i="3"/>
  <c r="J328" i="3"/>
  <c r="U328" i="3"/>
  <c r="AC328" i="3"/>
  <c r="AO328" i="3"/>
  <c r="N328" i="3"/>
  <c r="Z328" i="3"/>
  <c r="AM328" i="3"/>
  <c r="B328" i="3"/>
  <c r="Q328" i="3"/>
  <c r="AB328" i="3"/>
  <c r="AN326" i="3"/>
  <c r="X326" i="3"/>
  <c r="AA324" i="3"/>
  <c r="L324" i="3"/>
  <c r="AM323" i="3"/>
  <c r="W323" i="3"/>
  <c r="J320" i="3"/>
  <c r="U320" i="3"/>
  <c r="AC320" i="3"/>
  <c r="AO320" i="3"/>
  <c r="N320" i="3"/>
  <c r="Z320" i="3"/>
  <c r="AM320" i="3"/>
  <c r="B320" i="3"/>
  <c r="Q320" i="3"/>
  <c r="AB320" i="3"/>
  <c r="AN318" i="3"/>
  <c r="X318" i="3"/>
  <c r="AA316" i="3"/>
  <c r="L316" i="3"/>
  <c r="AM315" i="3"/>
  <c r="W315" i="3"/>
  <c r="J312" i="3"/>
  <c r="U312" i="3"/>
  <c r="AC312" i="3"/>
  <c r="AO312" i="3"/>
  <c r="N312" i="3"/>
  <c r="Z312" i="3"/>
  <c r="AM312" i="3"/>
  <c r="B312" i="3"/>
  <c r="Q312" i="3"/>
  <c r="AB312" i="3"/>
  <c r="J309" i="3"/>
  <c r="U309" i="3"/>
  <c r="AC309" i="3"/>
  <c r="AO309" i="3"/>
  <c r="I309" i="3"/>
  <c r="V309" i="3"/>
  <c r="AE309" i="3"/>
  <c r="L309" i="3"/>
  <c r="X309" i="3"/>
  <c r="AG309" i="3"/>
  <c r="N309" i="3"/>
  <c r="Z309" i="3"/>
  <c r="AM309" i="3"/>
  <c r="Y308" i="3"/>
  <c r="AF306" i="3"/>
  <c r="M306" i="3"/>
  <c r="Y303" i="3"/>
  <c r="AA302" i="3"/>
  <c r="AD301" i="3"/>
  <c r="M301" i="3"/>
  <c r="J298" i="3"/>
  <c r="U298" i="3"/>
  <c r="AC298" i="3"/>
  <c r="AO298" i="3"/>
  <c r="N298" i="3"/>
  <c r="Z298" i="3"/>
  <c r="AM298" i="3"/>
  <c r="B298" i="3"/>
  <c r="Q298" i="3"/>
  <c r="AB298" i="3"/>
  <c r="I298" i="3"/>
  <c r="V298" i="3"/>
  <c r="AE298" i="3"/>
  <c r="AA297" i="3"/>
  <c r="AN288" i="3"/>
  <c r="R288" i="3"/>
  <c r="AF287" i="3"/>
  <c r="J284" i="3"/>
  <c r="U284" i="3"/>
  <c r="AC284" i="3"/>
  <c r="AO284" i="3"/>
  <c r="B284" i="3"/>
  <c r="Q284" i="3"/>
  <c r="AB284" i="3"/>
  <c r="F284" i="3"/>
  <c r="AP284" i="3" s="1"/>
  <c r="R284" i="3"/>
  <c r="AD284" i="3"/>
  <c r="V284" i="3"/>
  <c r="AG284" i="3"/>
  <c r="I284" i="3"/>
  <c r="X284" i="3"/>
  <c r="AM284" i="3"/>
  <c r="K284" i="3"/>
  <c r="Y284" i="3"/>
  <c r="AN284" i="3"/>
  <c r="L284" i="3"/>
  <c r="Z284" i="3"/>
  <c r="AM282" i="3"/>
  <c r="J276" i="3"/>
  <c r="U276" i="3"/>
  <c r="AC276" i="3"/>
  <c r="AO276" i="3"/>
  <c r="B276" i="3"/>
  <c r="Q276" i="3"/>
  <c r="AB276" i="3"/>
  <c r="F276" i="3"/>
  <c r="AP276" i="3" s="1"/>
  <c r="R276" i="3"/>
  <c r="AD276" i="3"/>
  <c r="L276" i="3"/>
  <c r="Z276" i="3"/>
  <c r="M276" i="3"/>
  <c r="AA276" i="3"/>
  <c r="N276" i="3"/>
  <c r="AE276" i="3"/>
  <c r="P276" i="3"/>
  <c r="AF276" i="3"/>
  <c r="V276" i="3"/>
  <c r="AG276" i="3"/>
  <c r="J275" i="3"/>
  <c r="U275" i="3"/>
  <c r="AC275" i="3"/>
  <c r="AO275" i="3"/>
  <c r="L275" i="3"/>
  <c r="X275" i="3"/>
  <c r="AG275" i="3"/>
  <c r="M275" i="3"/>
  <c r="Y275" i="3"/>
  <c r="AL275" i="3"/>
  <c r="BJ275" i="3" s="1"/>
  <c r="B275" i="3"/>
  <c r="V275" i="3"/>
  <c r="AM275" i="3"/>
  <c r="F275" i="3"/>
  <c r="AP275" i="3" s="1"/>
  <c r="W275" i="3"/>
  <c r="AN275" i="3"/>
  <c r="I275" i="3"/>
  <c r="Z275" i="3"/>
  <c r="K275" i="3"/>
  <c r="AA275" i="3"/>
  <c r="N275" i="3"/>
  <c r="AB275" i="3"/>
  <c r="AF272" i="3"/>
  <c r="J323" i="3"/>
  <c r="U323" i="3"/>
  <c r="AC323" i="3"/>
  <c r="AO323" i="3"/>
  <c r="I323" i="3"/>
  <c r="V323" i="3"/>
  <c r="AE323" i="3"/>
  <c r="L323" i="3"/>
  <c r="X323" i="3"/>
  <c r="AG323" i="3"/>
  <c r="J315" i="3"/>
  <c r="U315" i="3"/>
  <c r="AC315" i="3"/>
  <c r="AO315" i="3"/>
  <c r="I315" i="3"/>
  <c r="V315" i="3"/>
  <c r="AE315" i="3"/>
  <c r="L315" i="3"/>
  <c r="X315" i="3"/>
  <c r="AG315" i="3"/>
  <c r="J308" i="3"/>
  <c r="U308" i="3"/>
  <c r="AC308" i="3"/>
  <c r="AO308" i="3"/>
  <c r="N308" i="3"/>
  <c r="Z308" i="3"/>
  <c r="AM308" i="3"/>
  <c r="B308" i="3"/>
  <c r="Q308" i="3"/>
  <c r="AB308" i="3"/>
  <c r="I308" i="3"/>
  <c r="V308" i="3"/>
  <c r="AE308" i="3"/>
  <c r="J303" i="3"/>
  <c r="U303" i="3"/>
  <c r="AC303" i="3"/>
  <c r="AO303" i="3"/>
  <c r="I303" i="3"/>
  <c r="V303" i="3"/>
  <c r="AE303" i="3"/>
  <c r="L303" i="3"/>
  <c r="X303" i="3"/>
  <c r="AG303" i="3"/>
  <c r="N303" i="3"/>
  <c r="Z303" i="3"/>
  <c r="AM303" i="3"/>
  <c r="J287" i="3"/>
  <c r="U287" i="3"/>
  <c r="AC287" i="3"/>
  <c r="AO287" i="3"/>
  <c r="L287" i="3"/>
  <c r="X287" i="3"/>
  <c r="AG287" i="3"/>
  <c r="M287" i="3"/>
  <c r="Y287" i="3"/>
  <c r="AL287" i="3"/>
  <c r="BJ287" i="3" s="1"/>
  <c r="Q287" i="3"/>
  <c r="AE287" i="3"/>
  <c r="B287" i="3"/>
  <c r="V287" i="3"/>
  <c r="AM287" i="3"/>
  <c r="F287" i="3"/>
  <c r="AP287" i="3" s="1"/>
  <c r="I287" i="3"/>
  <c r="Z287" i="3"/>
  <c r="J282" i="3"/>
  <c r="U282" i="3"/>
  <c r="AC282" i="3"/>
  <c r="AO282" i="3"/>
  <c r="B282" i="3"/>
  <c r="Q282" i="3"/>
  <c r="AB282" i="3"/>
  <c r="F282" i="3"/>
  <c r="AP282" i="3" s="1"/>
  <c r="R282" i="3"/>
  <c r="AD282" i="3"/>
  <c r="K282" i="3"/>
  <c r="Y282" i="3"/>
  <c r="AN282" i="3"/>
  <c r="M282" i="3"/>
  <c r="AA282" i="3"/>
  <c r="N282" i="3"/>
  <c r="AE282" i="3"/>
  <c r="P282" i="3"/>
  <c r="AF282" i="3"/>
  <c r="W272" i="3"/>
  <c r="AN263" i="3"/>
  <c r="AN260" i="3"/>
  <c r="I361" i="3"/>
  <c r="R361" i="3"/>
  <c r="AB361" i="3"/>
  <c r="I359" i="3"/>
  <c r="R359" i="3"/>
  <c r="AB359" i="3"/>
  <c r="AN359" i="3"/>
  <c r="I357" i="3"/>
  <c r="R357" i="3"/>
  <c r="AB357" i="3"/>
  <c r="AN357" i="3"/>
  <c r="I355" i="3"/>
  <c r="R355" i="3"/>
  <c r="AB355" i="3"/>
  <c r="AN355" i="3"/>
  <c r="I353" i="3"/>
  <c r="R353" i="3"/>
  <c r="AB353" i="3"/>
  <c r="AN353" i="3"/>
  <c r="I351" i="3"/>
  <c r="R351" i="3"/>
  <c r="AB351" i="3"/>
  <c r="AN351" i="3"/>
  <c r="I349" i="3"/>
  <c r="R349" i="3"/>
  <c r="AB349" i="3"/>
  <c r="AN349" i="3"/>
  <c r="I347" i="3"/>
  <c r="R347" i="3"/>
  <c r="AB347" i="3"/>
  <c r="AN347" i="3"/>
  <c r="I345" i="3"/>
  <c r="R345" i="3"/>
  <c r="AB345" i="3"/>
  <c r="AN345" i="3"/>
  <c r="I343" i="3"/>
  <c r="R343" i="3"/>
  <c r="AB343" i="3"/>
  <c r="AN343" i="3"/>
  <c r="I341" i="3"/>
  <c r="R341" i="3"/>
  <c r="AB341" i="3"/>
  <c r="AN341" i="3"/>
  <c r="I339" i="3"/>
  <c r="R339" i="3"/>
  <c r="AB339" i="3"/>
  <c r="AN339" i="3"/>
  <c r="I337" i="3"/>
  <c r="R337" i="3"/>
  <c r="AB337" i="3"/>
  <c r="AN337" i="3"/>
  <c r="I335" i="3"/>
  <c r="R335" i="3"/>
  <c r="AB335" i="3"/>
  <c r="AN335" i="3"/>
  <c r="I333" i="3"/>
  <c r="R333" i="3"/>
  <c r="AB333" i="3"/>
  <c r="AN333" i="3"/>
  <c r="J326" i="3"/>
  <c r="U326" i="3"/>
  <c r="AC326" i="3"/>
  <c r="AO326" i="3"/>
  <c r="N326" i="3"/>
  <c r="Z326" i="3"/>
  <c r="AM326" i="3"/>
  <c r="B326" i="3"/>
  <c r="Q326" i="3"/>
  <c r="AB326" i="3"/>
  <c r="AN324" i="3"/>
  <c r="X324" i="3"/>
  <c r="I324" i="3"/>
  <c r="AF323" i="3"/>
  <c r="Q323" i="3"/>
  <c r="J318" i="3"/>
  <c r="U318" i="3"/>
  <c r="AC318" i="3"/>
  <c r="AO318" i="3"/>
  <c r="N318" i="3"/>
  <c r="Z318" i="3"/>
  <c r="AM318" i="3"/>
  <c r="B318" i="3"/>
  <c r="Q318" i="3"/>
  <c r="AB318" i="3"/>
  <c r="AN316" i="3"/>
  <c r="X316" i="3"/>
  <c r="I316" i="3"/>
  <c r="AF315" i="3"/>
  <c r="Q315" i="3"/>
  <c r="AN308" i="3"/>
  <c r="W308" i="3"/>
  <c r="AA306" i="3"/>
  <c r="K306" i="3"/>
  <c r="AN303" i="3"/>
  <c r="R303" i="3"/>
  <c r="J302" i="3"/>
  <c r="U302" i="3"/>
  <c r="AC302" i="3"/>
  <c r="AO302" i="3"/>
  <c r="N302" i="3"/>
  <c r="Z302" i="3"/>
  <c r="AM302" i="3"/>
  <c r="B302" i="3"/>
  <c r="Q302" i="3"/>
  <c r="AB302" i="3"/>
  <c r="I302" i="3"/>
  <c r="V302" i="3"/>
  <c r="AE302" i="3"/>
  <c r="AA301" i="3"/>
  <c r="F301" i="3"/>
  <c r="AP301" i="3" s="1"/>
  <c r="J297" i="3"/>
  <c r="U297" i="3"/>
  <c r="AC297" i="3"/>
  <c r="AO297" i="3"/>
  <c r="I297" i="3"/>
  <c r="V297" i="3"/>
  <c r="AE297" i="3"/>
  <c r="L297" i="3"/>
  <c r="X297" i="3"/>
  <c r="AG297" i="3"/>
  <c r="N297" i="3"/>
  <c r="Z297" i="3"/>
  <c r="AM297" i="3"/>
  <c r="M288" i="3"/>
  <c r="AB287" i="3"/>
  <c r="V272" i="3"/>
  <c r="AF263" i="3"/>
  <c r="AL260" i="3"/>
  <c r="BJ260" i="3" s="1"/>
  <c r="J269" i="3"/>
  <c r="U269" i="3"/>
  <c r="AC269" i="3"/>
  <c r="AO269" i="3"/>
  <c r="L269" i="3"/>
  <c r="X269" i="3"/>
  <c r="AG269" i="3"/>
  <c r="M269" i="3"/>
  <c r="Y269" i="3"/>
  <c r="AL269" i="3"/>
  <c r="BJ269" i="3" s="1"/>
  <c r="J266" i="3"/>
  <c r="U266" i="3"/>
  <c r="AC266" i="3"/>
  <c r="AO266" i="3"/>
  <c r="B266" i="3"/>
  <c r="Q266" i="3"/>
  <c r="AB266" i="3"/>
  <c r="F266" i="3"/>
  <c r="AP266" i="3" s="1"/>
  <c r="R266" i="3"/>
  <c r="AD266" i="3"/>
  <c r="J256" i="3"/>
  <c r="U256" i="3"/>
  <c r="AC256" i="3"/>
  <c r="AO256" i="3"/>
  <c r="N256" i="3"/>
  <c r="Z256" i="3"/>
  <c r="AM256" i="3"/>
  <c r="B256" i="3"/>
  <c r="Q256" i="3"/>
  <c r="AB256" i="3"/>
  <c r="F256" i="3"/>
  <c r="AP256" i="3" s="1"/>
  <c r="R256" i="3"/>
  <c r="AD256" i="3"/>
  <c r="J252" i="3"/>
  <c r="U252" i="3"/>
  <c r="AC252" i="3"/>
  <c r="AO252" i="3"/>
  <c r="N252" i="3"/>
  <c r="Z252" i="3"/>
  <c r="AM252" i="3"/>
  <c r="B252" i="3"/>
  <c r="Q252" i="3"/>
  <c r="AB252" i="3"/>
  <c r="F252" i="3"/>
  <c r="AP252" i="3" s="1"/>
  <c r="R252" i="3"/>
  <c r="AD252" i="3"/>
  <c r="J248" i="3"/>
  <c r="U248" i="3"/>
  <c r="AC248" i="3"/>
  <c r="AO248" i="3"/>
  <c r="N248" i="3"/>
  <c r="Z248" i="3"/>
  <c r="AM248" i="3"/>
  <c r="B248" i="3"/>
  <c r="Q248" i="3"/>
  <c r="AB248" i="3"/>
  <c r="F248" i="3"/>
  <c r="AP248" i="3" s="1"/>
  <c r="R248" i="3"/>
  <c r="AD248" i="3"/>
  <c r="J286" i="3"/>
  <c r="U286" i="3"/>
  <c r="AC286" i="3"/>
  <c r="AO286" i="3"/>
  <c r="B286" i="3"/>
  <c r="Q286" i="3"/>
  <c r="AB286" i="3"/>
  <c r="F286" i="3"/>
  <c r="AP286" i="3" s="1"/>
  <c r="R286" i="3"/>
  <c r="AD286" i="3"/>
  <c r="AM283" i="3"/>
  <c r="V283" i="3"/>
  <c r="AM280" i="3"/>
  <c r="X280" i="3"/>
  <c r="J273" i="3"/>
  <c r="U273" i="3"/>
  <c r="AC273" i="3"/>
  <c r="AO273" i="3"/>
  <c r="L273" i="3"/>
  <c r="X273" i="3"/>
  <c r="AG273" i="3"/>
  <c r="M273" i="3"/>
  <c r="Y273" i="3"/>
  <c r="AL273" i="3"/>
  <c r="BJ273" i="3" s="1"/>
  <c r="Z271" i="3"/>
  <c r="I271" i="3"/>
  <c r="J270" i="3"/>
  <c r="U270" i="3"/>
  <c r="AC270" i="3"/>
  <c r="AO270" i="3"/>
  <c r="B270" i="3"/>
  <c r="Q270" i="3"/>
  <c r="AB270" i="3"/>
  <c r="F270" i="3"/>
  <c r="AP270" i="3" s="1"/>
  <c r="R270" i="3"/>
  <c r="AD270" i="3"/>
  <c r="AD269" i="3"/>
  <c r="P269" i="3"/>
  <c r="Z268" i="3"/>
  <c r="L268" i="3"/>
  <c r="AM267" i="3"/>
  <c r="V267" i="3"/>
  <c r="AF266" i="3"/>
  <c r="P266" i="3"/>
  <c r="AM264" i="3"/>
  <c r="X264" i="3"/>
  <c r="AL256" i="3"/>
  <c r="BJ256" i="3" s="1"/>
  <c r="V256" i="3"/>
  <c r="J255" i="3"/>
  <c r="U255" i="3"/>
  <c r="AC255" i="3"/>
  <c r="AO255" i="3"/>
  <c r="I255" i="3"/>
  <c r="V255" i="3"/>
  <c r="AE255" i="3"/>
  <c r="L255" i="3"/>
  <c r="X255" i="3"/>
  <c r="AG255" i="3"/>
  <c r="M255" i="3"/>
  <c r="Y255" i="3"/>
  <c r="AL255" i="3"/>
  <c r="BJ255" i="3" s="1"/>
  <c r="AL252" i="3"/>
  <c r="BJ252" i="3" s="1"/>
  <c r="V252" i="3"/>
  <c r="J251" i="3"/>
  <c r="U251" i="3"/>
  <c r="AC251" i="3"/>
  <c r="AO251" i="3"/>
  <c r="I251" i="3"/>
  <c r="V251" i="3"/>
  <c r="AE251" i="3"/>
  <c r="L251" i="3"/>
  <c r="X251" i="3"/>
  <c r="AG251" i="3"/>
  <c r="M251" i="3"/>
  <c r="Y251" i="3"/>
  <c r="AL251" i="3"/>
  <c r="BJ251" i="3" s="1"/>
  <c r="AL248" i="3"/>
  <c r="BJ248" i="3" s="1"/>
  <c r="V248" i="3"/>
  <c r="J247" i="3"/>
  <c r="U247" i="3"/>
  <c r="AC247" i="3"/>
  <c r="AO247" i="3"/>
  <c r="I247" i="3"/>
  <c r="V247" i="3"/>
  <c r="AE247" i="3"/>
  <c r="L247" i="3"/>
  <c r="X247" i="3"/>
  <c r="AG247" i="3"/>
  <c r="M247" i="3"/>
  <c r="Y247" i="3"/>
  <c r="AL247" i="3"/>
  <c r="BJ247" i="3" s="1"/>
  <c r="AF242" i="3"/>
  <c r="J241" i="3"/>
  <c r="U241" i="3"/>
  <c r="AC241" i="3"/>
  <c r="AO241" i="3"/>
  <c r="I241" i="3"/>
  <c r="V241" i="3"/>
  <c r="AE241" i="3"/>
  <c r="L241" i="3"/>
  <c r="X241" i="3"/>
  <c r="AG241" i="3"/>
  <c r="M241" i="3"/>
  <c r="Y241" i="3"/>
  <c r="AL241" i="3"/>
  <c r="BJ241" i="3" s="1"/>
  <c r="N241" i="3"/>
  <c r="Z241" i="3"/>
  <c r="AM241" i="3"/>
  <c r="I208" i="3"/>
  <c r="R208" i="3"/>
  <c r="AB208" i="3"/>
  <c r="AN208" i="3"/>
  <c r="M208" i="3"/>
  <c r="Y208" i="3"/>
  <c r="AL208" i="3"/>
  <c r="BJ208" i="3" s="1"/>
  <c r="K208" i="3"/>
  <c r="X208" i="3"/>
  <c r="AM208" i="3"/>
  <c r="L208" i="3"/>
  <c r="Z208" i="3"/>
  <c r="AO208" i="3"/>
  <c r="N208" i="3"/>
  <c r="AA208" i="3"/>
  <c r="P208" i="3"/>
  <c r="AC208" i="3"/>
  <c r="J208" i="3"/>
  <c r="AG208" i="3"/>
  <c r="Q208" i="3"/>
  <c r="U208" i="3"/>
  <c r="V208" i="3"/>
  <c r="W208" i="3"/>
  <c r="B208" i="3"/>
  <c r="AE208" i="3"/>
  <c r="J283" i="3"/>
  <c r="U283" i="3"/>
  <c r="AC283" i="3"/>
  <c r="AO283" i="3"/>
  <c r="L283" i="3"/>
  <c r="X283" i="3"/>
  <c r="AG283" i="3"/>
  <c r="M283" i="3"/>
  <c r="Y283" i="3"/>
  <c r="AL283" i="3"/>
  <c r="BJ283" i="3" s="1"/>
  <c r="J280" i="3"/>
  <c r="U280" i="3"/>
  <c r="AC280" i="3"/>
  <c r="AO280" i="3"/>
  <c r="B280" i="3"/>
  <c r="Q280" i="3"/>
  <c r="AB280" i="3"/>
  <c r="F280" i="3"/>
  <c r="AP280" i="3" s="1"/>
  <c r="R280" i="3"/>
  <c r="AD280" i="3"/>
  <c r="AB269" i="3"/>
  <c r="N269" i="3"/>
  <c r="J267" i="3"/>
  <c r="U267" i="3"/>
  <c r="AC267" i="3"/>
  <c r="AO267" i="3"/>
  <c r="L267" i="3"/>
  <c r="X267" i="3"/>
  <c r="AG267" i="3"/>
  <c r="M267" i="3"/>
  <c r="Y267" i="3"/>
  <c r="AL267" i="3"/>
  <c r="BJ267" i="3" s="1"/>
  <c r="AE266" i="3"/>
  <c r="N266" i="3"/>
  <c r="J264" i="3"/>
  <c r="U264" i="3"/>
  <c r="AC264" i="3"/>
  <c r="AO264" i="3"/>
  <c r="B264" i="3"/>
  <c r="Q264" i="3"/>
  <c r="AB264" i="3"/>
  <c r="F264" i="3"/>
  <c r="AP264" i="3" s="1"/>
  <c r="R264" i="3"/>
  <c r="AD264" i="3"/>
  <c r="AG256" i="3"/>
  <c r="P256" i="3"/>
  <c r="AG252" i="3"/>
  <c r="P252" i="3"/>
  <c r="AG248" i="3"/>
  <c r="P248" i="3"/>
  <c r="J242" i="3"/>
  <c r="U242" i="3"/>
  <c r="AC242" i="3"/>
  <c r="AO242" i="3"/>
  <c r="N242" i="3"/>
  <c r="Z242" i="3"/>
  <c r="AM242" i="3"/>
  <c r="B242" i="3"/>
  <c r="Q242" i="3"/>
  <c r="AB242" i="3"/>
  <c r="F242" i="3"/>
  <c r="AP242" i="3" s="1"/>
  <c r="R242" i="3"/>
  <c r="AD242" i="3"/>
  <c r="I242" i="3"/>
  <c r="V242" i="3"/>
  <c r="AE242" i="3"/>
  <c r="I217" i="3"/>
  <c r="R217" i="3"/>
  <c r="AB217" i="3"/>
  <c r="AN217" i="3"/>
  <c r="F217" i="3"/>
  <c r="AP217" i="3" s="1"/>
  <c r="U217" i="3"/>
  <c r="AD217" i="3"/>
  <c r="K217" i="3"/>
  <c r="X217" i="3"/>
  <c r="AL217" i="3"/>
  <c r="BJ217" i="3" s="1"/>
  <c r="L217" i="3"/>
  <c r="Y217" i="3"/>
  <c r="AM217" i="3"/>
  <c r="M217" i="3"/>
  <c r="Z217" i="3"/>
  <c r="AO217" i="3"/>
  <c r="N217" i="3"/>
  <c r="AA217" i="3"/>
  <c r="J217" i="3"/>
  <c r="AG217" i="3"/>
  <c r="P217" i="3"/>
  <c r="Q217" i="3"/>
  <c r="V217" i="3"/>
  <c r="W217" i="3"/>
  <c r="AF286" i="3"/>
  <c r="P286" i="3"/>
  <c r="AE283" i="3"/>
  <c r="Q283" i="3"/>
  <c r="AG280" i="3"/>
  <c r="V280" i="3"/>
  <c r="J277" i="3"/>
  <c r="U277" i="3"/>
  <c r="AC277" i="3"/>
  <c r="AO277" i="3"/>
  <c r="L277" i="3"/>
  <c r="X277" i="3"/>
  <c r="AG277" i="3"/>
  <c r="M277" i="3"/>
  <c r="Y277" i="3"/>
  <c r="AL277" i="3"/>
  <c r="BJ277" i="3" s="1"/>
  <c r="J274" i="3"/>
  <c r="U274" i="3"/>
  <c r="AC274" i="3"/>
  <c r="AO274" i="3"/>
  <c r="B274" i="3"/>
  <c r="Q274" i="3"/>
  <c r="AB274" i="3"/>
  <c r="F274" i="3"/>
  <c r="AP274" i="3" s="1"/>
  <c r="R274" i="3"/>
  <c r="AD274" i="3"/>
  <c r="AD273" i="3"/>
  <c r="P273" i="3"/>
  <c r="AM271" i="3"/>
  <c r="V271" i="3"/>
  <c r="AF270" i="3"/>
  <c r="P270" i="3"/>
  <c r="AA269" i="3"/>
  <c r="K269" i="3"/>
  <c r="AM268" i="3"/>
  <c r="X268" i="3"/>
  <c r="AE267" i="3"/>
  <c r="Q267" i="3"/>
  <c r="AA266" i="3"/>
  <c r="M266" i="3"/>
  <c r="AG264" i="3"/>
  <c r="V264" i="3"/>
  <c r="J261" i="3"/>
  <c r="U261" i="3"/>
  <c r="AC261" i="3"/>
  <c r="AO261" i="3"/>
  <c r="L261" i="3"/>
  <c r="X261" i="3"/>
  <c r="AG261" i="3"/>
  <c r="M261" i="3"/>
  <c r="Y261" i="3"/>
  <c r="AL261" i="3"/>
  <c r="BJ261" i="3" s="1"/>
  <c r="J258" i="3"/>
  <c r="U258" i="3"/>
  <c r="AC258" i="3"/>
  <c r="AO258" i="3"/>
  <c r="B258" i="3"/>
  <c r="Q258" i="3"/>
  <c r="AB258" i="3"/>
  <c r="F258" i="3"/>
  <c r="AP258" i="3" s="1"/>
  <c r="R258" i="3"/>
  <c r="AD258" i="3"/>
  <c r="AF256" i="3"/>
  <c r="M256" i="3"/>
  <c r="AM255" i="3"/>
  <c r="Q255" i="3"/>
  <c r="J254" i="3"/>
  <c r="U254" i="3"/>
  <c r="AC254" i="3"/>
  <c r="AO254" i="3"/>
  <c r="N254" i="3"/>
  <c r="Z254" i="3"/>
  <c r="AM254" i="3"/>
  <c r="B254" i="3"/>
  <c r="Q254" i="3"/>
  <c r="AB254" i="3"/>
  <c r="F254" i="3"/>
  <c r="AP254" i="3" s="1"/>
  <c r="R254" i="3"/>
  <c r="AD254" i="3"/>
  <c r="AF252" i="3"/>
  <c r="M252" i="3"/>
  <c r="AM251" i="3"/>
  <c r="Q251" i="3"/>
  <c r="J250" i="3"/>
  <c r="U250" i="3"/>
  <c r="AC250" i="3"/>
  <c r="AO250" i="3"/>
  <c r="N250" i="3"/>
  <c r="Z250" i="3"/>
  <c r="AM250" i="3"/>
  <c r="B250" i="3"/>
  <c r="Q250" i="3"/>
  <c r="AB250" i="3"/>
  <c r="F250" i="3"/>
  <c r="AP250" i="3" s="1"/>
  <c r="R250" i="3"/>
  <c r="AD250" i="3"/>
  <c r="AF248" i="3"/>
  <c r="M248" i="3"/>
  <c r="AM247" i="3"/>
  <c r="Q247" i="3"/>
  <c r="J246" i="3"/>
  <c r="U246" i="3"/>
  <c r="AC246" i="3"/>
  <c r="AO246" i="3"/>
  <c r="N246" i="3"/>
  <c r="Z246" i="3"/>
  <c r="AM246" i="3"/>
  <c r="B246" i="3"/>
  <c r="Q246" i="3"/>
  <c r="AB246" i="3"/>
  <c r="F246" i="3"/>
  <c r="AP246" i="3" s="1"/>
  <c r="R246" i="3"/>
  <c r="AD246" i="3"/>
  <c r="AB243" i="3"/>
  <c r="Y242" i="3"/>
  <c r="R241" i="3"/>
  <c r="AF280" i="3"/>
  <c r="P280" i="3"/>
  <c r="J271" i="3"/>
  <c r="U271" i="3"/>
  <c r="AC271" i="3"/>
  <c r="AO271" i="3"/>
  <c r="L271" i="3"/>
  <c r="X271" i="3"/>
  <c r="AG271" i="3"/>
  <c r="M271" i="3"/>
  <c r="Y271" i="3"/>
  <c r="AL271" i="3"/>
  <c r="BJ271" i="3" s="1"/>
  <c r="Z269" i="3"/>
  <c r="I269" i="3"/>
  <c r="J268" i="3"/>
  <c r="U268" i="3"/>
  <c r="AC268" i="3"/>
  <c r="AO268" i="3"/>
  <c r="B268" i="3"/>
  <c r="Q268" i="3"/>
  <c r="AB268" i="3"/>
  <c r="F268" i="3"/>
  <c r="AP268" i="3" s="1"/>
  <c r="R268" i="3"/>
  <c r="AD268" i="3"/>
  <c r="AD267" i="3"/>
  <c r="P267" i="3"/>
  <c r="Z266" i="3"/>
  <c r="L266" i="3"/>
  <c r="AF264" i="3"/>
  <c r="P264" i="3"/>
  <c r="AE256" i="3"/>
  <c r="L256" i="3"/>
  <c r="AE252" i="3"/>
  <c r="L252" i="3"/>
  <c r="AE248" i="3"/>
  <c r="L248" i="3"/>
  <c r="J243" i="3"/>
  <c r="U243" i="3"/>
  <c r="AC243" i="3"/>
  <c r="AO243" i="3"/>
  <c r="I243" i="3"/>
  <c r="V243" i="3"/>
  <c r="AE243" i="3"/>
  <c r="L243" i="3"/>
  <c r="X243" i="3"/>
  <c r="AG243" i="3"/>
  <c r="M243" i="3"/>
  <c r="Y243" i="3"/>
  <c r="AL243" i="3"/>
  <c r="BJ243" i="3" s="1"/>
  <c r="N243" i="3"/>
  <c r="Z243" i="3"/>
  <c r="AM243" i="3"/>
  <c r="X242" i="3"/>
  <c r="Q241" i="3"/>
  <c r="J293" i="3"/>
  <c r="U293" i="3"/>
  <c r="AC293" i="3"/>
  <c r="AO293" i="3"/>
  <c r="L293" i="3"/>
  <c r="X293" i="3"/>
  <c r="AG293" i="3"/>
  <c r="J292" i="3"/>
  <c r="U292" i="3"/>
  <c r="AC292" i="3"/>
  <c r="AO292" i="3"/>
  <c r="B292" i="3"/>
  <c r="Q292" i="3"/>
  <c r="AB292" i="3"/>
  <c r="AA286" i="3"/>
  <c r="M286" i="3"/>
  <c r="AB283" i="3"/>
  <c r="N283" i="3"/>
  <c r="J281" i="3"/>
  <c r="U281" i="3"/>
  <c r="AC281" i="3"/>
  <c r="AO281" i="3"/>
  <c r="L281" i="3"/>
  <c r="X281" i="3"/>
  <c r="AG281" i="3"/>
  <c r="M281" i="3"/>
  <c r="Y281" i="3"/>
  <c r="AL281" i="3"/>
  <c r="BJ281" i="3" s="1"/>
  <c r="AE280" i="3"/>
  <c r="N280" i="3"/>
  <c r="J278" i="3"/>
  <c r="U278" i="3"/>
  <c r="AC278" i="3"/>
  <c r="AO278" i="3"/>
  <c r="B278" i="3"/>
  <c r="Q278" i="3"/>
  <c r="AB278" i="3"/>
  <c r="F278" i="3"/>
  <c r="AP278" i="3" s="1"/>
  <c r="R278" i="3"/>
  <c r="AD278" i="3"/>
  <c r="AD277" i="3"/>
  <c r="P277" i="3"/>
  <c r="AF274" i="3"/>
  <c r="P274" i="3"/>
  <c r="AA273" i="3"/>
  <c r="K273" i="3"/>
  <c r="AE271" i="3"/>
  <c r="Q271" i="3"/>
  <c r="AA270" i="3"/>
  <c r="M270" i="3"/>
  <c r="AN269" i="3"/>
  <c r="W269" i="3"/>
  <c r="F269" i="3"/>
  <c r="AP269" i="3" s="1"/>
  <c r="AG268" i="3"/>
  <c r="V268" i="3"/>
  <c r="AB267" i="3"/>
  <c r="N267" i="3"/>
  <c r="AN266" i="3"/>
  <c r="Y266" i="3"/>
  <c r="K266" i="3"/>
  <c r="J265" i="3"/>
  <c r="U265" i="3"/>
  <c r="AC265" i="3"/>
  <c r="AO265" i="3"/>
  <c r="L265" i="3"/>
  <c r="X265" i="3"/>
  <c r="AG265" i="3"/>
  <c r="M265" i="3"/>
  <c r="Y265" i="3"/>
  <c r="AL265" i="3"/>
  <c r="BJ265" i="3" s="1"/>
  <c r="AE264" i="3"/>
  <c r="N264" i="3"/>
  <c r="J262" i="3"/>
  <c r="U262" i="3"/>
  <c r="AC262" i="3"/>
  <c r="AO262" i="3"/>
  <c r="B262" i="3"/>
  <c r="Q262" i="3"/>
  <c r="AB262" i="3"/>
  <c r="F262" i="3"/>
  <c r="AP262" i="3" s="1"/>
  <c r="R262" i="3"/>
  <c r="AD262" i="3"/>
  <c r="AD261" i="3"/>
  <c r="P261" i="3"/>
  <c r="AF258" i="3"/>
  <c r="P258" i="3"/>
  <c r="J257" i="3"/>
  <c r="U257" i="3"/>
  <c r="AC257" i="3"/>
  <c r="AO257" i="3"/>
  <c r="I257" i="3"/>
  <c r="V257" i="3"/>
  <c r="AE257" i="3"/>
  <c r="L257" i="3"/>
  <c r="X257" i="3"/>
  <c r="AG257" i="3"/>
  <c r="M257" i="3"/>
  <c r="Y257" i="3"/>
  <c r="AL257" i="3"/>
  <c r="BJ257" i="3" s="1"/>
  <c r="AA256" i="3"/>
  <c r="K256" i="3"/>
  <c r="AD255" i="3"/>
  <c r="N255" i="3"/>
  <c r="AL254" i="3"/>
  <c r="BJ254" i="3" s="1"/>
  <c r="V254" i="3"/>
  <c r="J253" i="3"/>
  <c r="U253" i="3"/>
  <c r="AC253" i="3"/>
  <c r="AO253" i="3"/>
  <c r="I253" i="3"/>
  <c r="V253" i="3"/>
  <c r="AE253" i="3"/>
  <c r="L253" i="3"/>
  <c r="X253" i="3"/>
  <c r="AG253" i="3"/>
  <c r="M253" i="3"/>
  <c r="Y253" i="3"/>
  <c r="AL253" i="3"/>
  <c r="BJ253" i="3" s="1"/>
  <c r="AA252" i="3"/>
  <c r="K252" i="3"/>
  <c r="AD251" i="3"/>
  <c r="N251" i="3"/>
  <c r="AL250" i="3"/>
  <c r="BJ250" i="3" s="1"/>
  <c r="V250" i="3"/>
  <c r="J249" i="3"/>
  <c r="U249" i="3"/>
  <c r="AC249" i="3"/>
  <c r="AO249" i="3"/>
  <c r="I249" i="3"/>
  <c r="V249" i="3"/>
  <c r="AE249" i="3"/>
  <c r="L249" i="3"/>
  <c r="X249" i="3"/>
  <c r="AG249" i="3"/>
  <c r="M249" i="3"/>
  <c r="Y249" i="3"/>
  <c r="AL249" i="3"/>
  <c r="BJ249" i="3" s="1"/>
  <c r="AA248" i="3"/>
  <c r="K248" i="3"/>
  <c r="AD247" i="3"/>
  <c r="N247" i="3"/>
  <c r="AL246" i="3"/>
  <c r="BJ246" i="3" s="1"/>
  <c r="V246" i="3"/>
  <c r="J245" i="3"/>
  <c r="U245" i="3"/>
  <c r="AC245" i="3"/>
  <c r="AO245" i="3"/>
  <c r="I245" i="3"/>
  <c r="V245" i="3"/>
  <c r="AE245" i="3"/>
  <c r="L245" i="3"/>
  <c r="X245" i="3"/>
  <c r="AG245" i="3"/>
  <c r="M245" i="3"/>
  <c r="Y245" i="3"/>
  <c r="AL245" i="3"/>
  <c r="BJ245" i="3" s="1"/>
  <c r="J244" i="3"/>
  <c r="U244" i="3"/>
  <c r="AC244" i="3"/>
  <c r="AO244" i="3"/>
  <c r="N244" i="3"/>
  <c r="Z244" i="3"/>
  <c r="AM244" i="3"/>
  <c r="B244" i="3"/>
  <c r="Q244" i="3"/>
  <c r="AB244" i="3"/>
  <c r="F244" i="3"/>
  <c r="AP244" i="3" s="1"/>
  <c r="R244" i="3"/>
  <c r="AD244" i="3"/>
  <c r="I244" i="3"/>
  <c r="V244" i="3"/>
  <c r="W243" i="3"/>
  <c r="W242" i="3"/>
  <c r="AN241" i="3"/>
  <c r="P241" i="3"/>
  <c r="I225" i="3"/>
  <c r="R225" i="3"/>
  <c r="AB225" i="3"/>
  <c r="AN225" i="3"/>
  <c r="F225" i="3"/>
  <c r="AP225" i="3" s="1"/>
  <c r="K225" i="3"/>
  <c r="W225" i="3"/>
  <c r="AF225" i="3"/>
  <c r="M225" i="3"/>
  <c r="Y225" i="3"/>
  <c r="AL225" i="3"/>
  <c r="BJ225" i="3" s="1"/>
  <c r="N225" i="3"/>
  <c r="Z225" i="3"/>
  <c r="AM225" i="3"/>
  <c r="L225" i="3"/>
  <c r="AD225" i="3"/>
  <c r="P225" i="3"/>
  <c r="AE225" i="3"/>
  <c r="Q225" i="3"/>
  <c r="AG225" i="3"/>
  <c r="U225" i="3"/>
  <c r="AO225" i="3"/>
  <c r="V225" i="3"/>
  <c r="K115" i="3"/>
  <c r="V115" i="3"/>
  <c r="AD115" i="3"/>
  <c r="L115" i="3"/>
  <c r="W115" i="3"/>
  <c r="N115" i="3"/>
  <c r="AA115" i="3"/>
  <c r="AN115" i="3"/>
  <c r="P115" i="3"/>
  <c r="AB115" i="3"/>
  <c r="AO115" i="3"/>
  <c r="B115" i="3"/>
  <c r="R115" i="3"/>
  <c r="AE115" i="3"/>
  <c r="J115" i="3"/>
  <c r="Y115" i="3"/>
  <c r="AL115" i="3"/>
  <c r="BJ115" i="3" s="1"/>
  <c r="Q115" i="3"/>
  <c r="U115" i="3"/>
  <c r="X115" i="3"/>
  <c r="Z115" i="3"/>
  <c r="I115" i="3"/>
  <c r="AG115" i="3"/>
  <c r="M115" i="3"/>
  <c r="AM115" i="3"/>
  <c r="AF115" i="3"/>
  <c r="F115" i="3"/>
  <c r="AP115" i="3" s="1"/>
  <c r="I233" i="3"/>
  <c r="R233" i="3"/>
  <c r="AB233" i="3"/>
  <c r="AN233" i="3"/>
  <c r="K233" i="3"/>
  <c r="W233" i="3"/>
  <c r="AF233" i="3"/>
  <c r="M233" i="3"/>
  <c r="Y233" i="3"/>
  <c r="AL233" i="3"/>
  <c r="BJ233" i="3" s="1"/>
  <c r="N233" i="3"/>
  <c r="Z233" i="3"/>
  <c r="AM233" i="3"/>
  <c r="I224" i="3"/>
  <c r="R224" i="3"/>
  <c r="AB224" i="3"/>
  <c r="AN224" i="3"/>
  <c r="M224" i="3"/>
  <c r="Y224" i="3"/>
  <c r="AL224" i="3"/>
  <c r="BJ224" i="3" s="1"/>
  <c r="K224" i="3"/>
  <c r="X224" i="3"/>
  <c r="AM224" i="3"/>
  <c r="N224" i="3"/>
  <c r="AA224" i="3"/>
  <c r="P224" i="3"/>
  <c r="AC224" i="3"/>
  <c r="F99" i="3"/>
  <c r="AP99" i="3" s="1"/>
  <c r="Q99" i="3"/>
  <c r="AA99" i="3"/>
  <c r="AM99" i="3"/>
  <c r="I99" i="3"/>
  <c r="U99" i="3"/>
  <c r="AD99" i="3"/>
  <c r="J99" i="3"/>
  <c r="V99" i="3"/>
  <c r="AE99" i="3"/>
  <c r="K99" i="3"/>
  <c r="W99" i="3"/>
  <c r="AF99" i="3"/>
  <c r="B99" i="3"/>
  <c r="Z99" i="3"/>
  <c r="L99" i="3"/>
  <c r="AB99" i="3"/>
  <c r="N99" i="3"/>
  <c r="AG99" i="3"/>
  <c r="X99" i="3"/>
  <c r="AO99" i="3"/>
  <c r="R99" i="3"/>
  <c r="Y99" i="3"/>
  <c r="AC99" i="3"/>
  <c r="AL99" i="3"/>
  <c r="BJ99" i="3" s="1"/>
  <c r="M99" i="3"/>
  <c r="P99" i="3"/>
  <c r="AN99" i="3"/>
  <c r="AL239" i="3"/>
  <c r="BJ239" i="3" s="1"/>
  <c r="X239" i="3"/>
  <c r="J239" i="3"/>
  <c r="I237" i="3"/>
  <c r="R237" i="3"/>
  <c r="AB237" i="3"/>
  <c r="AN237" i="3"/>
  <c r="K237" i="3"/>
  <c r="W237" i="3"/>
  <c r="AF237" i="3"/>
  <c r="AO235" i="3"/>
  <c r="X235" i="3"/>
  <c r="AO233" i="3"/>
  <c r="U233" i="3"/>
  <c r="AC229" i="3"/>
  <c r="J229" i="3"/>
  <c r="X227" i="3"/>
  <c r="V224" i="3"/>
  <c r="I218" i="3"/>
  <c r="R218" i="3"/>
  <c r="AB218" i="3"/>
  <c r="AN218" i="3"/>
  <c r="M218" i="3"/>
  <c r="Y218" i="3"/>
  <c r="AL218" i="3"/>
  <c r="BJ218" i="3" s="1"/>
  <c r="F218" i="3"/>
  <c r="AP218" i="3" s="1"/>
  <c r="V218" i="3"/>
  <c r="AF218" i="3"/>
  <c r="J218" i="3"/>
  <c r="W218" i="3"/>
  <c r="AG218" i="3"/>
  <c r="K218" i="3"/>
  <c r="X218" i="3"/>
  <c r="AM218" i="3"/>
  <c r="L218" i="3"/>
  <c r="Z218" i="3"/>
  <c r="AO218" i="3"/>
  <c r="AG216" i="3"/>
  <c r="J216" i="3"/>
  <c r="P210" i="3"/>
  <c r="I209" i="3"/>
  <c r="R209" i="3"/>
  <c r="AB209" i="3"/>
  <c r="AN209" i="3"/>
  <c r="F209" i="3"/>
  <c r="AP209" i="3" s="1"/>
  <c r="U209" i="3"/>
  <c r="AD209" i="3"/>
  <c r="K209" i="3"/>
  <c r="X209" i="3"/>
  <c r="AL209" i="3"/>
  <c r="BJ209" i="3" s="1"/>
  <c r="L209" i="3"/>
  <c r="Y209" i="3"/>
  <c r="AM209" i="3"/>
  <c r="M209" i="3"/>
  <c r="Z209" i="3"/>
  <c r="AO209" i="3"/>
  <c r="N209" i="3"/>
  <c r="AA209" i="3"/>
  <c r="K126" i="3"/>
  <c r="V126" i="3"/>
  <c r="AD126" i="3"/>
  <c r="J126" i="3"/>
  <c r="W126" i="3"/>
  <c r="AF126" i="3"/>
  <c r="L126" i="3"/>
  <c r="X126" i="3"/>
  <c r="AG126" i="3"/>
  <c r="N126" i="3"/>
  <c r="Z126" i="3"/>
  <c r="AM126" i="3"/>
  <c r="F126" i="3"/>
  <c r="AP126" i="3" s="1"/>
  <c r="R126" i="3"/>
  <c r="AC126" i="3"/>
  <c r="M126" i="3"/>
  <c r="AL126" i="3"/>
  <c r="BJ126" i="3" s="1"/>
  <c r="P126" i="3"/>
  <c r="AN126" i="3"/>
  <c r="Q126" i="3"/>
  <c r="AO126" i="3"/>
  <c r="U126" i="3"/>
  <c r="B126" i="3"/>
  <c r="AB126" i="3"/>
  <c r="I126" i="3"/>
  <c r="AE126" i="3"/>
  <c r="Y126" i="3"/>
  <c r="AA126" i="3"/>
  <c r="K104" i="3"/>
  <c r="V104" i="3"/>
  <c r="AD104" i="3"/>
  <c r="L104" i="3"/>
  <c r="W104" i="3"/>
  <c r="AE104" i="3"/>
  <c r="M104" i="3"/>
  <c r="X104" i="3"/>
  <c r="AF104" i="3"/>
  <c r="B104" i="3"/>
  <c r="U104" i="3"/>
  <c r="AM104" i="3"/>
  <c r="F104" i="3"/>
  <c r="AP104" i="3" s="1"/>
  <c r="Y104" i="3"/>
  <c r="AN104" i="3"/>
  <c r="J104" i="3"/>
  <c r="AA104" i="3"/>
  <c r="Q104" i="3"/>
  <c r="AG104" i="3"/>
  <c r="R104" i="3"/>
  <c r="Z104" i="3"/>
  <c r="AB104" i="3"/>
  <c r="AC104" i="3"/>
  <c r="N104" i="3"/>
  <c r="P104" i="3"/>
  <c r="AO104" i="3"/>
  <c r="I104" i="3"/>
  <c r="AG239" i="3"/>
  <c r="V239" i="3"/>
  <c r="I235" i="3"/>
  <c r="R235" i="3"/>
  <c r="AB235" i="3"/>
  <c r="AN235" i="3"/>
  <c r="K235" i="3"/>
  <c r="W235" i="3"/>
  <c r="AF235" i="3"/>
  <c r="M235" i="3"/>
  <c r="Y235" i="3"/>
  <c r="AL235" i="3"/>
  <c r="BJ235" i="3" s="1"/>
  <c r="N235" i="3"/>
  <c r="AG233" i="3"/>
  <c r="Q233" i="3"/>
  <c r="AA229" i="3"/>
  <c r="I227" i="3"/>
  <c r="R227" i="3"/>
  <c r="AB227" i="3"/>
  <c r="AN227" i="3"/>
  <c r="K227" i="3"/>
  <c r="W227" i="3"/>
  <c r="AF227" i="3"/>
  <c r="M227" i="3"/>
  <c r="Y227" i="3"/>
  <c r="AL227" i="3"/>
  <c r="BJ227" i="3" s="1"/>
  <c r="N227" i="3"/>
  <c r="Z227" i="3"/>
  <c r="AM227" i="3"/>
  <c r="AO224" i="3"/>
  <c r="U224" i="3"/>
  <c r="AF216" i="3"/>
  <c r="K161" i="3"/>
  <c r="V161" i="3"/>
  <c r="AD161" i="3"/>
  <c r="B161" i="3"/>
  <c r="Q161" i="3"/>
  <c r="AB161" i="3"/>
  <c r="AO161" i="3"/>
  <c r="J161" i="3"/>
  <c r="X161" i="3"/>
  <c r="AL161" i="3"/>
  <c r="BJ161" i="3" s="1"/>
  <c r="L161" i="3"/>
  <c r="Y161" i="3"/>
  <c r="AM161" i="3"/>
  <c r="M161" i="3"/>
  <c r="Z161" i="3"/>
  <c r="AN161" i="3"/>
  <c r="N161" i="3"/>
  <c r="AA161" i="3"/>
  <c r="F161" i="3"/>
  <c r="AP161" i="3" s="1"/>
  <c r="U161" i="3"/>
  <c r="AF161" i="3"/>
  <c r="I161" i="3"/>
  <c r="W161" i="3"/>
  <c r="AG161" i="3"/>
  <c r="P161" i="3"/>
  <c r="R161" i="3"/>
  <c r="AC161" i="3"/>
  <c r="AE161" i="3"/>
  <c r="I239" i="3"/>
  <c r="R239" i="3"/>
  <c r="AB239" i="3"/>
  <c r="AN239" i="3"/>
  <c r="K239" i="3"/>
  <c r="W239" i="3"/>
  <c r="AF239" i="3"/>
  <c r="AD233" i="3"/>
  <c r="L233" i="3"/>
  <c r="I229" i="3"/>
  <c r="R229" i="3"/>
  <c r="AB229" i="3"/>
  <c r="AN229" i="3"/>
  <c r="K229" i="3"/>
  <c r="W229" i="3"/>
  <c r="AF229" i="3"/>
  <c r="M229" i="3"/>
  <c r="Y229" i="3"/>
  <c r="AL229" i="3"/>
  <c r="BJ229" i="3" s="1"/>
  <c r="N229" i="3"/>
  <c r="Z229" i="3"/>
  <c r="AM229" i="3"/>
  <c r="AF224" i="3"/>
  <c r="L224" i="3"/>
  <c r="I219" i="3"/>
  <c r="R219" i="3"/>
  <c r="AB219" i="3"/>
  <c r="AN219" i="3"/>
  <c r="F219" i="3"/>
  <c r="AP219" i="3" s="1"/>
  <c r="U219" i="3"/>
  <c r="AD219" i="3"/>
  <c r="B219" i="3"/>
  <c r="V219" i="3"/>
  <c r="AF219" i="3"/>
  <c r="J219" i="3"/>
  <c r="W219" i="3"/>
  <c r="AG219" i="3"/>
  <c r="K219" i="3"/>
  <c r="X219" i="3"/>
  <c r="AL219" i="3"/>
  <c r="BJ219" i="3" s="1"/>
  <c r="L219" i="3"/>
  <c r="Y219" i="3"/>
  <c r="AM219" i="3"/>
  <c r="I216" i="3"/>
  <c r="R216" i="3"/>
  <c r="AB216" i="3"/>
  <c r="AN216" i="3"/>
  <c r="M216" i="3"/>
  <c r="Y216" i="3"/>
  <c r="AL216" i="3"/>
  <c r="BJ216" i="3" s="1"/>
  <c r="K216" i="3"/>
  <c r="X216" i="3"/>
  <c r="AM216" i="3"/>
  <c r="L216" i="3"/>
  <c r="Z216" i="3"/>
  <c r="AO216" i="3"/>
  <c r="N216" i="3"/>
  <c r="AA216" i="3"/>
  <c r="P216" i="3"/>
  <c r="AC216" i="3"/>
  <c r="I210" i="3"/>
  <c r="R210" i="3"/>
  <c r="AB210" i="3"/>
  <c r="AN210" i="3"/>
  <c r="M210" i="3"/>
  <c r="Y210" i="3"/>
  <c r="AL210" i="3"/>
  <c r="BJ210" i="3" s="1"/>
  <c r="F210" i="3"/>
  <c r="AP210" i="3" s="1"/>
  <c r="V210" i="3"/>
  <c r="AF210" i="3"/>
  <c r="J210" i="3"/>
  <c r="W210" i="3"/>
  <c r="AG210" i="3"/>
  <c r="K210" i="3"/>
  <c r="X210" i="3"/>
  <c r="AM210" i="3"/>
  <c r="L210" i="3"/>
  <c r="Z210" i="3"/>
  <c r="AO210" i="3"/>
  <c r="K160" i="3"/>
  <c r="V160" i="3"/>
  <c r="AD160" i="3"/>
  <c r="L160" i="3"/>
  <c r="X160" i="3"/>
  <c r="AG160" i="3"/>
  <c r="J160" i="3"/>
  <c r="Y160" i="3"/>
  <c r="AM160" i="3"/>
  <c r="M160" i="3"/>
  <c r="Z160" i="3"/>
  <c r="AN160" i="3"/>
  <c r="N160" i="3"/>
  <c r="AA160" i="3"/>
  <c r="AO160" i="3"/>
  <c r="P160" i="3"/>
  <c r="AB160" i="3"/>
  <c r="F160" i="3"/>
  <c r="AP160" i="3" s="1"/>
  <c r="U160" i="3"/>
  <c r="AF160" i="3"/>
  <c r="I160" i="3"/>
  <c r="W160" i="3"/>
  <c r="AL160" i="3"/>
  <c r="BJ160" i="3" s="1"/>
  <c r="B160" i="3"/>
  <c r="Q160" i="3"/>
  <c r="R160" i="3"/>
  <c r="AC160" i="3"/>
  <c r="AE160" i="3"/>
  <c r="K162" i="3"/>
  <c r="V162" i="3"/>
  <c r="AD162" i="3"/>
  <c r="L162" i="3"/>
  <c r="X162" i="3"/>
  <c r="AG162" i="3"/>
  <c r="I162" i="3"/>
  <c r="W162" i="3"/>
  <c r="AL162" i="3"/>
  <c r="BJ162" i="3" s="1"/>
  <c r="J162" i="3"/>
  <c r="Y162" i="3"/>
  <c r="AM162" i="3"/>
  <c r="M162" i="3"/>
  <c r="Z162" i="3"/>
  <c r="AN162" i="3"/>
  <c r="N162" i="3"/>
  <c r="AA162" i="3"/>
  <c r="AO162" i="3"/>
  <c r="B162" i="3"/>
  <c r="R162" i="3"/>
  <c r="AE162" i="3"/>
  <c r="F162" i="3"/>
  <c r="AP162" i="3" s="1"/>
  <c r="U162" i="3"/>
  <c r="AF162" i="3"/>
  <c r="K143" i="3"/>
  <c r="V143" i="3"/>
  <c r="AD143" i="3"/>
  <c r="B143" i="3"/>
  <c r="Q143" i="3"/>
  <c r="AB143" i="3"/>
  <c r="AO143" i="3"/>
  <c r="I143" i="3"/>
  <c r="U143" i="3"/>
  <c r="AE143" i="3"/>
  <c r="M143" i="3"/>
  <c r="AA143" i="3"/>
  <c r="N143" i="3"/>
  <c r="AC143" i="3"/>
  <c r="P143" i="3"/>
  <c r="AF143" i="3"/>
  <c r="R143" i="3"/>
  <c r="AG143" i="3"/>
  <c r="J143" i="3"/>
  <c r="Y143" i="3"/>
  <c r="AN143" i="3"/>
  <c r="L143" i="3"/>
  <c r="Z143" i="3"/>
  <c r="K118" i="3"/>
  <c r="V118" i="3"/>
  <c r="AD118" i="3"/>
  <c r="J118" i="3"/>
  <c r="W118" i="3"/>
  <c r="AF118" i="3"/>
  <c r="L118" i="3"/>
  <c r="X118" i="3"/>
  <c r="AG118" i="3"/>
  <c r="N118" i="3"/>
  <c r="Z118" i="3"/>
  <c r="AM118" i="3"/>
  <c r="F118" i="3"/>
  <c r="AP118" i="3" s="1"/>
  <c r="R118" i="3"/>
  <c r="AC118" i="3"/>
  <c r="M118" i="3"/>
  <c r="AL118" i="3"/>
  <c r="BJ118" i="3" s="1"/>
  <c r="P118" i="3"/>
  <c r="AN118" i="3"/>
  <c r="Q118" i="3"/>
  <c r="AO118" i="3"/>
  <c r="U118" i="3"/>
  <c r="B118" i="3"/>
  <c r="AB118" i="3"/>
  <c r="I118" i="3"/>
  <c r="AE118" i="3"/>
  <c r="K112" i="3"/>
  <c r="V112" i="3"/>
  <c r="AD112" i="3"/>
  <c r="L112" i="3"/>
  <c r="W112" i="3"/>
  <c r="AE112" i="3"/>
  <c r="B112" i="3"/>
  <c r="R112" i="3"/>
  <c r="AF112" i="3"/>
  <c r="F112" i="3"/>
  <c r="AP112" i="3" s="1"/>
  <c r="U112" i="3"/>
  <c r="AG112" i="3"/>
  <c r="J112" i="3"/>
  <c r="Y112" i="3"/>
  <c r="AM112" i="3"/>
  <c r="P112" i="3"/>
  <c r="AB112" i="3"/>
  <c r="Q112" i="3"/>
  <c r="X112" i="3"/>
  <c r="Z112" i="3"/>
  <c r="AA112" i="3"/>
  <c r="M112" i="3"/>
  <c r="AN112" i="3"/>
  <c r="N112" i="3"/>
  <c r="AO112" i="3"/>
  <c r="I223" i="3"/>
  <c r="R223" i="3"/>
  <c r="AB223" i="3"/>
  <c r="AN223" i="3"/>
  <c r="F223" i="3"/>
  <c r="AP223" i="3" s="1"/>
  <c r="U223" i="3"/>
  <c r="AD223" i="3"/>
  <c r="AE222" i="3"/>
  <c r="U222" i="3"/>
  <c r="AG221" i="3"/>
  <c r="W221" i="3"/>
  <c r="J221" i="3"/>
  <c r="I215" i="3"/>
  <c r="R215" i="3"/>
  <c r="AB215" i="3"/>
  <c r="AN215" i="3"/>
  <c r="F215" i="3"/>
  <c r="AP215" i="3" s="1"/>
  <c r="U215" i="3"/>
  <c r="AD215" i="3"/>
  <c r="AE214" i="3"/>
  <c r="U214" i="3"/>
  <c r="AG213" i="3"/>
  <c r="W213" i="3"/>
  <c r="J213" i="3"/>
  <c r="I207" i="3"/>
  <c r="R207" i="3"/>
  <c r="AB207" i="3"/>
  <c r="AN207" i="3"/>
  <c r="F207" i="3"/>
  <c r="AP207" i="3" s="1"/>
  <c r="U207" i="3"/>
  <c r="AD207" i="3"/>
  <c r="AE206" i="3"/>
  <c r="U206" i="3"/>
  <c r="AG205" i="3"/>
  <c r="W205" i="3"/>
  <c r="J205" i="3"/>
  <c r="AM203" i="3"/>
  <c r="Y203" i="3"/>
  <c r="L203" i="3"/>
  <c r="AO199" i="3"/>
  <c r="Y199" i="3"/>
  <c r="AM197" i="3"/>
  <c r="X197" i="3"/>
  <c r="I195" i="3"/>
  <c r="R195" i="3"/>
  <c r="AB195" i="3"/>
  <c r="AN195" i="3"/>
  <c r="F195" i="3"/>
  <c r="AP195" i="3" s="1"/>
  <c r="U195" i="3"/>
  <c r="AD195" i="3"/>
  <c r="K195" i="3"/>
  <c r="W195" i="3"/>
  <c r="AF195" i="3"/>
  <c r="K140" i="3"/>
  <c r="V140" i="3"/>
  <c r="AD140" i="3"/>
  <c r="J140" i="3"/>
  <c r="L140" i="3"/>
  <c r="X140" i="3"/>
  <c r="AG140" i="3"/>
  <c r="N140" i="3"/>
  <c r="Z140" i="3"/>
  <c r="AM140" i="3"/>
  <c r="I140" i="3"/>
  <c r="AA140" i="3"/>
  <c r="M140" i="3"/>
  <c r="AB140" i="3"/>
  <c r="P140" i="3"/>
  <c r="AC140" i="3"/>
  <c r="Q140" i="3"/>
  <c r="AE140" i="3"/>
  <c r="B140" i="3"/>
  <c r="W140" i="3"/>
  <c r="AN140" i="3"/>
  <c r="F140" i="3"/>
  <c r="AP140" i="3" s="1"/>
  <c r="Y140" i="3"/>
  <c r="AO140" i="3"/>
  <c r="F92" i="3"/>
  <c r="AP92" i="3" s="1"/>
  <c r="Q92" i="3"/>
  <c r="AA92" i="3"/>
  <c r="AM92" i="3"/>
  <c r="L92" i="3"/>
  <c r="W92" i="3"/>
  <c r="AE92" i="3"/>
  <c r="J92" i="3"/>
  <c r="X92" i="3"/>
  <c r="AL92" i="3"/>
  <c r="BJ92" i="3" s="1"/>
  <c r="K92" i="3"/>
  <c r="Y92" i="3"/>
  <c r="AN92" i="3"/>
  <c r="M92" i="3"/>
  <c r="Z92" i="3"/>
  <c r="AO92" i="3"/>
  <c r="N92" i="3"/>
  <c r="AB92" i="3"/>
  <c r="B92" i="3"/>
  <c r="U92" i="3"/>
  <c r="AF92" i="3"/>
  <c r="I92" i="3"/>
  <c r="P92" i="3"/>
  <c r="V92" i="3"/>
  <c r="AG92" i="3"/>
  <c r="AC92" i="3"/>
  <c r="AD92" i="3"/>
  <c r="I222" i="3"/>
  <c r="R222" i="3"/>
  <c r="AB222" i="3"/>
  <c r="AN222" i="3"/>
  <c r="M222" i="3"/>
  <c r="Y222" i="3"/>
  <c r="AL222" i="3"/>
  <c r="BJ222" i="3" s="1"/>
  <c r="AF221" i="3"/>
  <c r="V221" i="3"/>
  <c r="I214" i="3"/>
  <c r="R214" i="3"/>
  <c r="AB214" i="3"/>
  <c r="AN214" i="3"/>
  <c r="M214" i="3"/>
  <c r="Y214" i="3"/>
  <c r="AL214" i="3"/>
  <c r="BJ214" i="3" s="1"/>
  <c r="AF213" i="3"/>
  <c r="V213" i="3"/>
  <c r="I206" i="3"/>
  <c r="R206" i="3"/>
  <c r="AB206" i="3"/>
  <c r="AN206" i="3"/>
  <c r="M206" i="3"/>
  <c r="Y206" i="3"/>
  <c r="AL206" i="3"/>
  <c r="BJ206" i="3" s="1"/>
  <c r="AF205" i="3"/>
  <c r="V205" i="3"/>
  <c r="AL203" i="3"/>
  <c r="BJ203" i="3" s="1"/>
  <c r="X203" i="3"/>
  <c r="K203" i="3"/>
  <c r="I197" i="3"/>
  <c r="R197" i="3"/>
  <c r="AB197" i="3"/>
  <c r="AN197" i="3"/>
  <c r="F197" i="3"/>
  <c r="AP197" i="3" s="1"/>
  <c r="U197" i="3"/>
  <c r="AD197" i="3"/>
  <c r="K197" i="3"/>
  <c r="W197" i="3"/>
  <c r="AF197" i="3"/>
  <c r="AM143" i="3"/>
  <c r="K130" i="3"/>
  <c r="V130" i="3"/>
  <c r="AD130" i="3"/>
  <c r="J130" i="3"/>
  <c r="W130" i="3"/>
  <c r="AF130" i="3"/>
  <c r="L130" i="3"/>
  <c r="X130" i="3"/>
  <c r="AG130" i="3"/>
  <c r="N130" i="3"/>
  <c r="Z130" i="3"/>
  <c r="AM130" i="3"/>
  <c r="F130" i="3"/>
  <c r="AP130" i="3" s="1"/>
  <c r="R130" i="3"/>
  <c r="AC130" i="3"/>
  <c r="M130" i="3"/>
  <c r="AL130" i="3"/>
  <c r="BJ130" i="3" s="1"/>
  <c r="P130" i="3"/>
  <c r="AN130" i="3"/>
  <c r="Q130" i="3"/>
  <c r="AO130" i="3"/>
  <c r="U130" i="3"/>
  <c r="B130" i="3"/>
  <c r="AB130" i="3"/>
  <c r="I130" i="3"/>
  <c r="AE130" i="3"/>
  <c r="K122" i="3"/>
  <c r="V122" i="3"/>
  <c r="AD122" i="3"/>
  <c r="J122" i="3"/>
  <c r="W122" i="3"/>
  <c r="AF122" i="3"/>
  <c r="L122" i="3"/>
  <c r="X122" i="3"/>
  <c r="AG122" i="3"/>
  <c r="N122" i="3"/>
  <c r="Z122" i="3"/>
  <c r="AM122" i="3"/>
  <c r="F122" i="3"/>
  <c r="AP122" i="3" s="1"/>
  <c r="R122" i="3"/>
  <c r="AC122" i="3"/>
  <c r="M122" i="3"/>
  <c r="AL122" i="3"/>
  <c r="BJ122" i="3" s="1"/>
  <c r="P122" i="3"/>
  <c r="AN122" i="3"/>
  <c r="Q122" i="3"/>
  <c r="AO122" i="3"/>
  <c r="U122" i="3"/>
  <c r="B122" i="3"/>
  <c r="AB122" i="3"/>
  <c r="I122" i="3"/>
  <c r="AE122" i="3"/>
  <c r="I221" i="3"/>
  <c r="R221" i="3"/>
  <c r="AB221" i="3"/>
  <c r="AN221" i="3"/>
  <c r="F221" i="3"/>
  <c r="AP221" i="3" s="1"/>
  <c r="U221" i="3"/>
  <c r="AD221" i="3"/>
  <c r="I213" i="3"/>
  <c r="R213" i="3"/>
  <c r="AB213" i="3"/>
  <c r="AN213" i="3"/>
  <c r="F213" i="3"/>
  <c r="AP213" i="3" s="1"/>
  <c r="U213" i="3"/>
  <c r="AD213" i="3"/>
  <c r="I205" i="3"/>
  <c r="R205" i="3"/>
  <c r="AB205" i="3"/>
  <c r="AN205" i="3"/>
  <c r="F205" i="3"/>
  <c r="AP205" i="3" s="1"/>
  <c r="U205" i="3"/>
  <c r="AD205" i="3"/>
  <c r="AG203" i="3"/>
  <c r="W203" i="3"/>
  <c r="J203" i="3"/>
  <c r="I199" i="3"/>
  <c r="R199" i="3"/>
  <c r="AB199" i="3"/>
  <c r="AN199" i="3"/>
  <c r="F199" i="3"/>
  <c r="AP199" i="3" s="1"/>
  <c r="U199" i="3"/>
  <c r="AD199" i="3"/>
  <c r="K199" i="3"/>
  <c r="W199" i="3"/>
  <c r="AF199" i="3"/>
  <c r="AG197" i="3"/>
  <c r="Q197" i="3"/>
  <c r="AE195" i="3"/>
  <c r="P195" i="3"/>
  <c r="AC162" i="3"/>
  <c r="K146" i="3"/>
  <c r="V146" i="3"/>
  <c r="AD146" i="3"/>
  <c r="L146" i="3"/>
  <c r="X146" i="3"/>
  <c r="AG146" i="3"/>
  <c r="I146" i="3"/>
  <c r="W146" i="3"/>
  <c r="AL146" i="3"/>
  <c r="BJ146" i="3" s="1"/>
  <c r="J146" i="3"/>
  <c r="Y146" i="3"/>
  <c r="AM146" i="3"/>
  <c r="M146" i="3"/>
  <c r="Z146" i="3"/>
  <c r="AN146" i="3"/>
  <c r="N146" i="3"/>
  <c r="AA146" i="3"/>
  <c r="AO146" i="3"/>
  <c r="B146" i="3"/>
  <c r="R146" i="3"/>
  <c r="AE146" i="3"/>
  <c r="F146" i="3"/>
  <c r="AP146" i="3" s="1"/>
  <c r="U146" i="3"/>
  <c r="AF146" i="3"/>
  <c r="AL143" i="3"/>
  <c r="BJ143" i="3" s="1"/>
  <c r="K77" i="3"/>
  <c r="V77" i="3"/>
  <c r="AD77" i="3"/>
  <c r="B77" i="3"/>
  <c r="Q77" i="3"/>
  <c r="AB77" i="3"/>
  <c r="AO77" i="3"/>
  <c r="L77" i="3"/>
  <c r="X77" i="3"/>
  <c r="AG77" i="3"/>
  <c r="F77" i="3"/>
  <c r="AP77" i="3" s="1"/>
  <c r="W77" i="3"/>
  <c r="AM77" i="3"/>
  <c r="I77" i="3"/>
  <c r="Y77" i="3"/>
  <c r="AN77" i="3"/>
  <c r="J77" i="3"/>
  <c r="Z77" i="3"/>
  <c r="M77" i="3"/>
  <c r="AA77" i="3"/>
  <c r="R77" i="3"/>
  <c r="AF77" i="3"/>
  <c r="AC77" i="3"/>
  <c r="AE77" i="3"/>
  <c r="P77" i="3"/>
  <c r="U77" i="3"/>
  <c r="AL77" i="3"/>
  <c r="BJ77" i="3" s="1"/>
  <c r="I240" i="3"/>
  <c r="R240" i="3"/>
  <c r="AB240" i="3"/>
  <c r="AN240" i="3"/>
  <c r="I238" i="3"/>
  <c r="R238" i="3"/>
  <c r="AB238" i="3"/>
  <c r="AN238" i="3"/>
  <c r="I236" i="3"/>
  <c r="R236" i="3"/>
  <c r="AB236" i="3"/>
  <c r="AN236" i="3"/>
  <c r="I234" i="3"/>
  <c r="R234" i="3"/>
  <c r="AB234" i="3"/>
  <c r="AN234" i="3"/>
  <c r="I232" i="3"/>
  <c r="R232" i="3"/>
  <c r="AB232" i="3"/>
  <c r="AN232" i="3"/>
  <c r="I230" i="3"/>
  <c r="R230" i="3"/>
  <c r="AB230" i="3"/>
  <c r="AN230" i="3"/>
  <c r="I228" i="3"/>
  <c r="R228" i="3"/>
  <c r="AB228" i="3"/>
  <c r="AN228" i="3"/>
  <c r="I226" i="3"/>
  <c r="R226" i="3"/>
  <c r="AB226" i="3"/>
  <c r="AN226" i="3"/>
  <c r="AO223" i="3"/>
  <c r="Z223" i="3"/>
  <c r="M223" i="3"/>
  <c r="AA222" i="3"/>
  <c r="N222" i="3"/>
  <c r="AC221" i="3"/>
  <c r="P221" i="3"/>
  <c r="I220" i="3"/>
  <c r="R220" i="3"/>
  <c r="AB220" i="3"/>
  <c r="AN220" i="3"/>
  <c r="M220" i="3"/>
  <c r="Y220" i="3"/>
  <c r="AL220" i="3"/>
  <c r="BJ220" i="3" s="1"/>
  <c r="AO215" i="3"/>
  <c r="Z215" i="3"/>
  <c r="M215" i="3"/>
  <c r="AA214" i="3"/>
  <c r="N214" i="3"/>
  <c r="AC213" i="3"/>
  <c r="P213" i="3"/>
  <c r="I212" i="3"/>
  <c r="R212" i="3"/>
  <c r="AB212" i="3"/>
  <c r="AN212" i="3"/>
  <c r="M212" i="3"/>
  <c r="Y212" i="3"/>
  <c r="AL212" i="3"/>
  <c r="BJ212" i="3" s="1"/>
  <c r="AO207" i="3"/>
  <c r="Z207" i="3"/>
  <c r="M207" i="3"/>
  <c r="AA206" i="3"/>
  <c r="N206" i="3"/>
  <c r="AC205" i="3"/>
  <c r="P205" i="3"/>
  <c r="I204" i="3"/>
  <c r="R204" i="3"/>
  <c r="AB204" i="3"/>
  <c r="AN204" i="3"/>
  <c r="M204" i="3"/>
  <c r="Y204" i="3"/>
  <c r="AL204" i="3"/>
  <c r="BJ204" i="3" s="1"/>
  <c r="AF203" i="3"/>
  <c r="V203" i="3"/>
  <c r="I201" i="3"/>
  <c r="R201" i="3"/>
  <c r="AB201" i="3"/>
  <c r="AN201" i="3"/>
  <c r="F201" i="3"/>
  <c r="AP201" i="3" s="1"/>
  <c r="U201" i="3"/>
  <c r="AD201" i="3"/>
  <c r="K201" i="3"/>
  <c r="W201" i="3"/>
  <c r="AF201" i="3"/>
  <c r="AG199" i="3"/>
  <c r="Q199" i="3"/>
  <c r="AE197" i="3"/>
  <c r="P197" i="3"/>
  <c r="AC195" i="3"/>
  <c r="N195" i="3"/>
  <c r="AB162" i="3"/>
  <c r="X143" i="3"/>
  <c r="AL112" i="3"/>
  <c r="BJ112" i="3" s="1"/>
  <c r="I203" i="3"/>
  <c r="R203" i="3"/>
  <c r="AB203" i="3"/>
  <c r="AN203" i="3"/>
  <c r="F203" i="3"/>
  <c r="AP203" i="3" s="1"/>
  <c r="U203" i="3"/>
  <c r="AD203" i="3"/>
  <c r="Q162" i="3"/>
  <c r="K159" i="3"/>
  <c r="V159" i="3"/>
  <c r="AD159" i="3"/>
  <c r="B159" i="3"/>
  <c r="Q159" i="3"/>
  <c r="AB159" i="3"/>
  <c r="AO159" i="3"/>
  <c r="L159" i="3"/>
  <c r="Y159" i="3"/>
  <c r="AM159" i="3"/>
  <c r="M159" i="3"/>
  <c r="Z159" i="3"/>
  <c r="AN159" i="3"/>
  <c r="N159" i="3"/>
  <c r="AA159" i="3"/>
  <c r="P159" i="3"/>
  <c r="AC159" i="3"/>
  <c r="I159" i="3"/>
  <c r="W159" i="3"/>
  <c r="AG159" i="3"/>
  <c r="J159" i="3"/>
  <c r="X159" i="3"/>
  <c r="AL159" i="3"/>
  <c r="BJ159" i="3" s="1"/>
  <c r="W143" i="3"/>
  <c r="AL140" i="3"/>
  <c r="BJ140" i="3" s="1"/>
  <c r="AA118" i="3"/>
  <c r="AC112" i="3"/>
  <c r="K166" i="3"/>
  <c r="V166" i="3"/>
  <c r="AD166" i="3"/>
  <c r="L166" i="3"/>
  <c r="X166" i="3"/>
  <c r="AG166" i="3"/>
  <c r="K165" i="3"/>
  <c r="V165" i="3"/>
  <c r="AD165" i="3"/>
  <c r="B165" i="3"/>
  <c r="Q165" i="3"/>
  <c r="AB165" i="3"/>
  <c r="AO165" i="3"/>
  <c r="AO154" i="3"/>
  <c r="AA154" i="3"/>
  <c r="N154" i="3"/>
  <c r="AA153" i="3"/>
  <c r="N153" i="3"/>
  <c r="K150" i="3"/>
  <c r="V150" i="3"/>
  <c r="AD150" i="3"/>
  <c r="L150" i="3"/>
  <c r="X150" i="3"/>
  <c r="AG150" i="3"/>
  <c r="K149" i="3"/>
  <c r="V149" i="3"/>
  <c r="AD149" i="3"/>
  <c r="B149" i="3"/>
  <c r="Q149" i="3"/>
  <c r="AB149" i="3"/>
  <c r="AO149" i="3"/>
  <c r="K136" i="3"/>
  <c r="V136" i="3"/>
  <c r="AD136" i="3"/>
  <c r="J136" i="3"/>
  <c r="W136" i="3"/>
  <c r="AF136" i="3"/>
  <c r="L136" i="3"/>
  <c r="X136" i="3"/>
  <c r="AG136" i="3"/>
  <c r="N136" i="3"/>
  <c r="Z136" i="3"/>
  <c r="AM136" i="3"/>
  <c r="AL132" i="3"/>
  <c r="BJ132" i="3" s="1"/>
  <c r="Q132" i="3"/>
  <c r="U128" i="3"/>
  <c r="U124" i="3"/>
  <c r="K105" i="3"/>
  <c r="V105" i="3"/>
  <c r="AD105" i="3"/>
  <c r="L105" i="3"/>
  <c r="W105" i="3"/>
  <c r="AE105" i="3"/>
  <c r="M105" i="3"/>
  <c r="X105" i="3"/>
  <c r="AF105" i="3"/>
  <c r="J105" i="3"/>
  <c r="AA105" i="3"/>
  <c r="N105" i="3"/>
  <c r="AB105" i="3"/>
  <c r="Q105" i="3"/>
  <c r="AG105" i="3"/>
  <c r="F105" i="3"/>
  <c r="AP105" i="3" s="1"/>
  <c r="Y105" i="3"/>
  <c r="AN105" i="3"/>
  <c r="F101" i="3"/>
  <c r="AP101" i="3" s="1"/>
  <c r="Q101" i="3"/>
  <c r="AA101" i="3"/>
  <c r="AM101" i="3"/>
  <c r="I101" i="3"/>
  <c r="U101" i="3"/>
  <c r="AD101" i="3"/>
  <c r="J101" i="3"/>
  <c r="V101" i="3"/>
  <c r="AE101" i="3"/>
  <c r="K101" i="3"/>
  <c r="W101" i="3"/>
  <c r="AF101" i="3"/>
  <c r="R101" i="3"/>
  <c r="AN101" i="3"/>
  <c r="X101" i="3"/>
  <c r="AO101" i="3"/>
  <c r="B101" i="3"/>
  <c r="Z101" i="3"/>
  <c r="N101" i="3"/>
  <c r="AG101" i="3"/>
  <c r="I193" i="3"/>
  <c r="R193" i="3"/>
  <c r="AB193" i="3"/>
  <c r="AN193" i="3"/>
  <c r="AF192" i="3"/>
  <c r="W192" i="3"/>
  <c r="I191" i="3"/>
  <c r="R191" i="3"/>
  <c r="AB191" i="3"/>
  <c r="AN191" i="3"/>
  <c r="AF190" i="3"/>
  <c r="W190" i="3"/>
  <c r="I189" i="3"/>
  <c r="R189" i="3"/>
  <c r="AB189" i="3"/>
  <c r="AN189" i="3"/>
  <c r="AF188" i="3"/>
  <c r="W188" i="3"/>
  <c r="I187" i="3"/>
  <c r="R187" i="3"/>
  <c r="AB187" i="3"/>
  <c r="AN187" i="3"/>
  <c r="AF186" i="3"/>
  <c r="W186" i="3"/>
  <c r="I185" i="3"/>
  <c r="R185" i="3"/>
  <c r="AB185" i="3"/>
  <c r="AN185" i="3"/>
  <c r="AF184" i="3"/>
  <c r="W184" i="3"/>
  <c r="I183" i="3"/>
  <c r="R183" i="3"/>
  <c r="AB183" i="3"/>
  <c r="AN183" i="3"/>
  <c r="AF182" i="3"/>
  <c r="W182" i="3"/>
  <c r="I181" i="3"/>
  <c r="R181" i="3"/>
  <c r="AB181" i="3"/>
  <c r="AN181" i="3"/>
  <c r="AF180" i="3"/>
  <c r="W180" i="3"/>
  <c r="I179" i="3"/>
  <c r="R179" i="3"/>
  <c r="AB179" i="3"/>
  <c r="AN179" i="3"/>
  <c r="AF178" i="3"/>
  <c r="W178" i="3"/>
  <c r="I177" i="3"/>
  <c r="R177" i="3"/>
  <c r="AB177" i="3"/>
  <c r="AN177" i="3"/>
  <c r="AF176" i="3"/>
  <c r="W176" i="3"/>
  <c r="I175" i="3"/>
  <c r="R175" i="3"/>
  <c r="AB175" i="3"/>
  <c r="AN175" i="3"/>
  <c r="AF174" i="3"/>
  <c r="W174" i="3"/>
  <c r="I173" i="3"/>
  <c r="R173" i="3"/>
  <c r="AB173" i="3"/>
  <c r="AN173" i="3"/>
  <c r="AF172" i="3"/>
  <c r="W172" i="3"/>
  <c r="I171" i="3"/>
  <c r="R171" i="3"/>
  <c r="AB171" i="3"/>
  <c r="AN171" i="3"/>
  <c r="AF170" i="3"/>
  <c r="W170" i="3"/>
  <c r="I169" i="3"/>
  <c r="R169" i="3"/>
  <c r="AB169" i="3"/>
  <c r="AN169" i="3"/>
  <c r="AF168" i="3"/>
  <c r="W168" i="3"/>
  <c r="AO167" i="3"/>
  <c r="AA167" i="3"/>
  <c r="N167" i="3"/>
  <c r="AB166" i="3"/>
  <c r="P166" i="3"/>
  <c r="AC165" i="3"/>
  <c r="P165" i="3"/>
  <c r="K164" i="3"/>
  <c r="V164" i="3"/>
  <c r="AD164" i="3"/>
  <c r="L164" i="3"/>
  <c r="X164" i="3"/>
  <c r="AG164" i="3"/>
  <c r="K163" i="3"/>
  <c r="V163" i="3"/>
  <c r="AD163" i="3"/>
  <c r="B163" i="3"/>
  <c r="Q163" i="3"/>
  <c r="AB163" i="3"/>
  <c r="AO163" i="3"/>
  <c r="AL158" i="3"/>
  <c r="BJ158" i="3" s="1"/>
  <c r="W158" i="3"/>
  <c r="AL157" i="3"/>
  <c r="BJ157" i="3" s="1"/>
  <c r="X157" i="3"/>
  <c r="AM156" i="3"/>
  <c r="Y156" i="3"/>
  <c r="J156" i="3"/>
  <c r="AM155" i="3"/>
  <c r="Y155" i="3"/>
  <c r="L155" i="3"/>
  <c r="AN154" i="3"/>
  <c r="Z154" i="3"/>
  <c r="M154" i="3"/>
  <c r="AN153" i="3"/>
  <c r="Z153" i="3"/>
  <c r="M153" i="3"/>
  <c r="AO152" i="3"/>
  <c r="AA152" i="3"/>
  <c r="N152" i="3"/>
  <c r="AA151" i="3"/>
  <c r="N151" i="3"/>
  <c r="AB150" i="3"/>
  <c r="P150" i="3"/>
  <c r="AC149" i="3"/>
  <c r="P149" i="3"/>
  <c r="K148" i="3"/>
  <c r="V148" i="3"/>
  <c r="AD148" i="3"/>
  <c r="L148" i="3"/>
  <c r="X148" i="3"/>
  <c r="AG148" i="3"/>
  <c r="K147" i="3"/>
  <c r="V147" i="3"/>
  <c r="AD147" i="3"/>
  <c r="B147" i="3"/>
  <c r="Q147" i="3"/>
  <c r="AB147" i="3"/>
  <c r="AO147" i="3"/>
  <c r="K145" i="3"/>
  <c r="V145" i="3"/>
  <c r="AD145" i="3"/>
  <c r="B145" i="3"/>
  <c r="Q145" i="3"/>
  <c r="AB145" i="3"/>
  <c r="AO145" i="3"/>
  <c r="I145" i="3"/>
  <c r="AC144" i="3"/>
  <c r="P144" i="3"/>
  <c r="K142" i="3"/>
  <c r="V142" i="3"/>
  <c r="AD142" i="3"/>
  <c r="L142" i="3"/>
  <c r="X142" i="3"/>
  <c r="AG142" i="3"/>
  <c r="N142" i="3"/>
  <c r="Z142" i="3"/>
  <c r="AM142" i="3"/>
  <c r="AA141" i="3"/>
  <c r="M141" i="3"/>
  <c r="K138" i="3"/>
  <c r="V138" i="3"/>
  <c r="AD138" i="3"/>
  <c r="J138" i="3"/>
  <c r="W138" i="3"/>
  <c r="AF138" i="3"/>
  <c r="L138" i="3"/>
  <c r="X138" i="3"/>
  <c r="AG138" i="3"/>
  <c r="N138" i="3"/>
  <c r="Z138" i="3"/>
  <c r="AM138" i="3"/>
  <c r="AN136" i="3"/>
  <c r="R136" i="3"/>
  <c r="AL134" i="3"/>
  <c r="BJ134" i="3" s="1"/>
  <c r="Q134" i="3"/>
  <c r="AE132" i="3"/>
  <c r="P132" i="3"/>
  <c r="AO128" i="3"/>
  <c r="Q128" i="3"/>
  <c r="AO124" i="3"/>
  <c r="Q124" i="3"/>
  <c r="AO120" i="3"/>
  <c r="Q120" i="3"/>
  <c r="AO116" i="3"/>
  <c r="Q116" i="3"/>
  <c r="Z110" i="3"/>
  <c r="AC105" i="3"/>
  <c r="Y103" i="3"/>
  <c r="AL101" i="3"/>
  <c r="BJ101" i="3" s="1"/>
  <c r="F91" i="3"/>
  <c r="AP91" i="3" s="1"/>
  <c r="Q91" i="3"/>
  <c r="AA91" i="3"/>
  <c r="AM91" i="3"/>
  <c r="L91" i="3"/>
  <c r="W91" i="3"/>
  <c r="AE91" i="3"/>
  <c r="K91" i="3"/>
  <c r="Y91" i="3"/>
  <c r="AN91" i="3"/>
  <c r="M91" i="3"/>
  <c r="Z91" i="3"/>
  <c r="AO91" i="3"/>
  <c r="N91" i="3"/>
  <c r="AB91" i="3"/>
  <c r="P91" i="3"/>
  <c r="AC91" i="3"/>
  <c r="I91" i="3"/>
  <c r="V91" i="3"/>
  <c r="AG91" i="3"/>
  <c r="U91" i="3"/>
  <c r="X91" i="3"/>
  <c r="AF91" i="3"/>
  <c r="J91" i="3"/>
  <c r="I48" i="3"/>
  <c r="R48" i="3"/>
  <c r="AB48" i="3"/>
  <c r="AN48" i="3"/>
  <c r="J48" i="3"/>
  <c r="U48" i="3"/>
  <c r="AC48" i="3"/>
  <c r="AO48" i="3"/>
  <c r="F48" i="3"/>
  <c r="AP48" i="3" s="1"/>
  <c r="W48" i="3"/>
  <c r="AG48" i="3"/>
  <c r="K48" i="3"/>
  <c r="X48" i="3"/>
  <c r="AL48" i="3"/>
  <c r="BJ48" i="3" s="1"/>
  <c r="L48" i="3"/>
  <c r="Y48" i="3"/>
  <c r="AM48" i="3"/>
  <c r="M48" i="3"/>
  <c r="Z48" i="3"/>
  <c r="P48" i="3"/>
  <c r="Q48" i="3"/>
  <c r="V48" i="3"/>
  <c r="AA48" i="3"/>
  <c r="B48" i="3"/>
  <c r="AF48" i="3"/>
  <c r="AE48" i="3"/>
  <c r="N48" i="3"/>
  <c r="AD48" i="3"/>
  <c r="AG167" i="3"/>
  <c r="X167" i="3"/>
  <c r="J167" i="3"/>
  <c r="AM166" i="3"/>
  <c r="Y166" i="3"/>
  <c r="J166" i="3"/>
  <c r="AM165" i="3"/>
  <c r="Y165" i="3"/>
  <c r="L165" i="3"/>
  <c r="K158" i="3"/>
  <c r="V158" i="3"/>
  <c r="AD158" i="3"/>
  <c r="L158" i="3"/>
  <c r="X158" i="3"/>
  <c r="AG158" i="3"/>
  <c r="K157" i="3"/>
  <c r="V157" i="3"/>
  <c r="AD157" i="3"/>
  <c r="B157" i="3"/>
  <c r="Q157" i="3"/>
  <c r="AB157" i="3"/>
  <c r="AO157" i="3"/>
  <c r="AE156" i="3"/>
  <c r="R156" i="3"/>
  <c r="AF155" i="3"/>
  <c r="U155" i="3"/>
  <c r="AF154" i="3"/>
  <c r="U154" i="3"/>
  <c r="F154" i="3"/>
  <c r="AP154" i="3" s="1"/>
  <c r="AG153" i="3"/>
  <c r="W153" i="3"/>
  <c r="I153" i="3"/>
  <c r="AL152" i="3"/>
  <c r="BJ152" i="3" s="1"/>
  <c r="W152" i="3"/>
  <c r="I152" i="3"/>
  <c r="AL151" i="3"/>
  <c r="BJ151" i="3" s="1"/>
  <c r="X151" i="3"/>
  <c r="J151" i="3"/>
  <c r="AM150" i="3"/>
  <c r="Y150" i="3"/>
  <c r="J150" i="3"/>
  <c r="AM149" i="3"/>
  <c r="Y149" i="3"/>
  <c r="L149" i="3"/>
  <c r="AO144" i="3"/>
  <c r="Y144" i="3"/>
  <c r="I144" i="3"/>
  <c r="AM141" i="3"/>
  <c r="X141" i="3"/>
  <c r="AC136" i="3"/>
  <c r="M136" i="3"/>
  <c r="AB134" i="3"/>
  <c r="I134" i="3"/>
  <c r="AA132" i="3"/>
  <c r="F132" i="3"/>
  <c r="AP132" i="3" s="1"/>
  <c r="AE128" i="3"/>
  <c r="I128" i="3"/>
  <c r="AE124" i="3"/>
  <c r="I124" i="3"/>
  <c r="AE120" i="3"/>
  <c r="I120" i="3"/>
  <c r="AE116" i="3"/>
  <c r="I116" i="3"/>
  <c r="P110" i="3"/>
  <c r="R105" i="3"/>
  <c r="Y101" i="3"/>
  <c r="F97" i="3"/>
  <c r="AP97" i="3" s="1"/>
  <c r="Q97" i="3"/>
  <c r="AA97" i="3"/>
  <c r="AM97" i="3"/>
  <c r="I97" i="3"/>
  <c r="U97" i="3"/>
  <c r="AD97" i="3"/>
  <c r="J97" i="3"/>
  <c r="V97" i="3"/>
  <c r="AE97" i="3"/>
  <c r="K97" i="3"/>
  <c r="W97" i="3"/>
  <c r="AF97" i="3"/>
  <c r="N97" i="3"/>
  <c r="AG97" i="3"/>
  <c r="P97" i="3"/>
  <c r="AL97" i="3"/>
  <c r="BJ97" i="3" s="1"/>
  <c r="X97" i="3"/>
  <c r="AO97" i="3"/>
  <c r="L97" i="3"/>
  <c r="AB97" i="3"/>
  <c r="AL83" i="3"/>
  <c r="BJ83" i="3" s="1"/>
  <c r="U78" i="3"/>
  <c r="I54" i="3"/>
  <c r="R54" i="3"/>
  <c r="AB54" i="3"/>
  <c r="AN54" i="3"/>
  <c r="J54" i="3"/>
  <c r="U54" i="3"/>
  <c r="AC54" i="3"/>
  <c r="F54" i="3"/>
  <c r="AP54" i="3" s="1"/>
  <c r="W54" i="3"/>
  <c r="AG54" i="3"/>
  <c r="K54" i="3"/>
  <c r="X54" i="3"/>
  <c r="AL54" i="3"/>
  <c r="BJ54" i="3" s="1"/>
  <c r="L54" i="3"/>
  <c r="Y54" i="3"/>
  <c r="AM54" i="3"/>
  <c r="M54" i="3"/>
  <c r="Z54" i="3"/>
  <c r="AO54" i="3"/>
  <c r="P54" i="3"/>
  <c r="Q54" i="3"/>
  <c r="V54" i="3"/>
  <c r="AA54" i="3"/>
  <c r="B54" i="3"/>
  <c r="AF54" i="3"/>
  <c r="AD54" i="3"/>
  <c r="N54" i="3"/>
  <c r="I202" i="3"/>
  <c r="R202" i="3"/>
  <c r="AB202" i="3"/>
  <c r="AN202" i="3"/>
  <c r="I200" i="3"/>
  <c r="R200" i="3"/>
  <c r="AB200" i="3"/>
  <c r="AN200" i="3"/>
  <c r="I198" i="3"/>
  <c r="R198" i="3"/>
  <c r="AB198" i="3"/>
  <c r="AN198" i="3"/>
  <c r="I196" i="3"/>
  <c r="R196" i="3"/>
  <c r="AB196" i="3"/>
  <c r="AN196" i="3"/>
  <c r="I194" i="3"/>
  <c r="R194" i="3"/>
  <c r="AB194" i="3"/>
  <c r="AN194" i="3"/>
  <c r="I192" i="3"/>
  <c r="R192" i="3"/>
  <c r="AB192" i="3"/>
  <c r="AN192" i="3"/>
  <c r="I190" i="3"/>
  <c r="R190" i="3"/>
  <c r="AB190" i="3"/>
  <c r="AN190" i="3"/>
  <c r="I188" i="3"/>
  <c r="R188" i="3"/>
  <c r="AB188" i="3"/>
  <c r="AN188" i="3"/>
  <c r="I186" i="3"/>
  <c r="R186" i="3"/>
  <c r="AB186" i="3"/>
  <c r="AN186" i="3"/>
  <c r="I184" i="3"/>
  <c r="R184" i="3"/>
  <c r="AB184" i="3"/>
  <c r="AN184" i="3"/>
  <c r="I182" i="3"/>
  <c r="R182" i="3"/>
  <c r="AB182" i="3"/>
  <c r="AN182" i="3"/>
  <c r="I180" i="3"/>
  <c r="R180" i="3"/>
  <c r="AB180" i="3"/>
  <c r="AN180" i="3"/>
  <c r="I178" i="3"/>
  <c r="R178" i="3"/>
  <c r="AB178" i="3"/>
  <c r="AN178" i="3"/>
  <c r="I176" i="3"/>
  <c r="R176" i="3"/>
  <c r="AB176" i="3"/>
  <c r="AN176" i="3"/>
  <c r="I174" i="3"/>
  <c r="R174" i="3"/>
  <c r="AB174" i="3"/>
  <c r="AN174" i="3"/>
  <c r="I172" i="3"/>
  <c r="R172" i="3"/>
  <c r="AB172" i="3"/>
  <c r="AN172" i="3"/>
  <c r="I170" i="3"/>
  <c r="R170" i="3"/>
  <c r="AB170" i="3"/>
  <c r="AN170" i="3"/>
  <c r="I168" i="3"/>
  <c r="R168" i="3"/>
  <c r="AB168" i="3"/>
  <c r="AN168" i="3"/>
  <c r="AF167" i="3"/>
  <c r="W167" i="3"/>
  <c r="AL166" i="3"/>
  <c r="BJ166" i="3" s="1"/>
  <c r="W166" i="3"/>
  <c r="I166" i="3"/>
  <c r="AL165" i="3"/>
  <c r="BJ165" i="3" s="1"/>
  <c r="X165" i="3"/>
  <c r="J165" i="3"/>
  <c r="K156" i="3"/>
  <c r="V156" i="3"/>
  <c r="AD156" i="3"/>
  <c r="L156" i="3"/>
  <c r="X156" i="3"/>
  <c r="AG156" i="3"/>
  <c r="K155" i="3"/>
  <c r="V155" i="3"/>
  <c r="AD155" i="3"/>
  <c r="B155" i="3"/>
  <c r="Q155" i="3"/>
  <c r="AB155" i="3"/>
  <c r="AO155" i="3"/>
  <c r="AE154" i="3"/>
  <c r="R154" i="3"/>
  <c r="AF153" i="3"/>
  <c r="U153" i="3"/>
  <c r="AF152" i="3"/>
  <c r="U152" i="3"/>
  <c r="AG151" i="3"/>
  <c r="W151" i="3"/>
  <c r="AL150" i="3"/>
  <c r="BJ150" i="3" s="1"/>
  <c r="W150" i="3"/>
  <c r="I150" i="3"/>
  <c r="AL149" i="3"/>
  <c r="BJ149" i="3" s="1"/>
  <c r="X149" i="3"/>
  <c r="J149" i="3"/>
  <c r="AN144" i="3"/>
  <c r="W144" i="3"/>
  <c r="K141" i="3"/>
  <c r="V141" i="3"/>
  <c r="AD141" i="3"/>
  <c r="B141" i="3"/>
  <c r="Q141" i="3"/>
  <c r="AB141" i="3"/>
  <c r="AO141" i="3"/>
  <c r="I141" i="3"/>
  <c r="U141" i="3"/>
  <c r="AE141" i="3"/>
  <c r="AB136" i="3"/>
  <c r="I136" i="3"/>
  <c r="AA134" i="3"/>
  <c r="Y132" i="3"/>
  <c r="AB128" i="3"/>
  <c r="AB124" i="3"/>
  <c r="AB120" i="3"/>
  <c r="AB116" i="3"/>
  <c r="AN110" i="3"/>
  <c r="P105" i="3"/>
  <c r="F103" i="3"/>
  <c r="AP103" i="3" s="1"/>
  <c r="Q103" i="3"/>
  <c r="AA103" i="3"/>
  <c r="I103" i="3"/>
  <c r="U103" i="3"/>
  <c r="AD103" i="3"/>
  <c r="J103" i="3"/>
  <c r="V103" i="3"/>
  <c r="AE103" i="3"/>
  <c r="K103" i="3"/>
  <c r="W103" i="3"/>
  <c r="AF103" i="3"/>
  <c r="M103" i="3"/>
  <c r="AC103" i="3"/>
  <c r="N103" i="3"/>
  <c r="AG103" i="3"/>
  <c r="R103" i="3"/>
  <c r="AM103" i="3"/>
  <c r="B103" i="3"/>
  <c r="Z103" i="3"/>
  <c r="P101" i="3"/>
  <c r="I52" i="3"/>
  <c r="R52" i="3"/>
  <c r="AB52" i="3"/>
  <c r="AN52" i="3"/>
  <c r="J52" i="3"/>
  <c r="U52" i="3"/>
  <c r="AC52" i="3"/>
  <c r="AO52" i="3"/>
  <c r="F52" i="3"/>
  <c r="AP52" i="3" s="1"/>
  <c r="W52" i="3"/>
  <c r="AG52" i="3"/>
  <c r="K52" i="3"/>
  <c r="X52" i="3"/>
  <c r="AL52" i="3"/>
  <c r="BJ52" i="3" s="1"/>
  <c r="L52" i="3"/>
  <c r="Y52" i="3"/>
  <c r="AM52" i="3"/>
  <c r="M52" i="3"/>
  <c r="Z52" i="3"/>
  <c r="P52" i="3"/>
  <c r="Q52" i="3"/>
  <c r="V52" i="3"/>
  <c r="AA52" i="3"/>
  <c r="B52" i="3"/>
  <c r="AF52" i="3"/>
  <c r="N52" i="3"/>
  <c r="AD52" i="3"/>
  <c r="AE52" i="3"/>
  <c r="K154" i="3"/>
  <c r="V154" i="3"/>
  <c r="AD154" i="3"/>
  <c r="L154" i="3"/>
  <c r="X154" i="3"/>
  <c r="AG154" i="3"/>
  <c r="K153" i="3"/>
  <c r="V153" i="3"/>
  <c r="AD153" i="3"/>
  <c r="B153" i="3"/>
  <c r="Q153" i="3"/>
  <c r="AB153" i="3"/>
  <c r="AO153" i="3"/>
  <c r="K132" i="3"/>
  <c r="V132" i="3"/>
  <c r="AD132" i="3"/>
  <c r="J132" i="3"/>
  <c r="W132" i="3"/>
  <c r="AF132" i="3"/>
  <c r="L132" i="3"/>
  <c r="X132" i="3"/>
  <c r="AG132" i="3"/>
  <c r="N132" i="3"/>
  <c r="Z132" i="3"/>
  <c r="AM132" i="3"/>
  <c r="K128" i="3"/>
  <c r="V128" i="3"/>
  <c r="AD128" i="3"/>
  <c r="J128" i="3"/>
  <c r="W128" i="3"/>
  <c r="AF128" i="3"/>
  <c r="L128" i="3"/>
  <c r="X128" i="3"/>
  <c r="AG128" i="3"/>
  <c r="N128" i="3"/>
  <c r="Z128" i="3"/>
  <c r="AM128" i="3"/>
  <c r="F128" i="3"/>
  <c r="AP128" i="3" s="1"/>
  <c r="R128" i="3"/>
  <c r="AC128" i="3"/>
  <c r="K124" i="3"/>
  <c r="V124" i="3"/>
  <c r="AD124" i="3"/>
  <c r="J124" i="3"/>
  <c r="W124" i="3"/>
  <c r="AF124" i="3"/>
  <c r="L124" i="3"/>
  <c r="X124" i="3"/>
  <c r="AG124" i="3"/>
  <c r="N124" i="3"/>
  <c r="Z124" i="3"/>
  <c r="AM124" i="3"/>
  <c r="F124" i="3"/>
  <c r="AP124" i="3" s="1"/>
  <c r="R124" i="3"/>
  <c r="AC124" i="3"/>
  <c r="K120" i="3"/>
  <c r="V120" i="3"/>
  <c r="AD120" i="3"/>
  <c r="J120" i="3"/>
  <c r="W120" i="3"/>
  <c r="AF120" i="3"/>
  <c r="L120" i="3"/>
  <c r="X120" i="3"/>
  <c r="AG120" i="3"/>
  <c r="N120" i="3"/>
  <c r="Z120" i="3"/>
  <c r="AM120" i="3"/>
  <c r="F120" i="3"/>
  <c r="AP120" i="3" s="1"/>
  <c r="R120" i="3"/>
  <c r="AC120" i="3"/>
  <c r="K116" i="3"/>
  <c r="V116" i="3"/>
  <c r="AD116" i="3"/>
  <c r="J116" i="3"/>
  <c r="W116" i="3"/>
  <c r="AF116" i="3"/>
  <c r="L116" i="3"/>
  <c r="X116" i="3"/>
  <c r="AG116" i="3"/>
  <c r="N116" i="3"/>
  <c r="Z116" i="3"/>
  <c r="AM116" i="3"/>
  <c r="F116" i="3"/>
  <c r="AP116" i="3" s="1"/>
  <c r="R116" i="3"/>
  <c r="AC116" i="3"/>
  <c r="K78" i="3"/>
  <c r="V78" i="3"/>
  <c r="AD78" i="3"/>
  <c r="L78" i="3"/>
  <c r="X78" i="3"/>
  <c r="AG78" i="3"/>
  <c r="B78" i="3"/>
  <c r="Q78" i="3"/>
  <c r="AB78" i="3"/>
  <c r="AO78" i="3"/>
  <c r="M78" i="3"/>
  <c r="AA78" i="3"/>
  <c r="N78" i="3"/>
  <c r="AC78" i="3"/>
  <c r="P78" i="3"/>
  <c r="AE78" i="3"/>
  <c r="R78" i="3"/>
  <c r="AF78" i="3"/>
  <c r="I78" i="3"/>
  <c r="Y78" i="3"/>
  <c r="AN78" i="3"/>
  <c r="W78" i="3"/>
  <c r="Z78" i="3"/>
  <c r="AM78" i="3"/>
  <c r="J78" i="3"/>
  <c r="AL202" i="3"/>
  <c r="BJ202" i="3" s="1"/>
  <c r="Y202" i="3"/>
  <c r="M202" i="3"/>
  <c r="AL200" i="3"/>
  <c r="BJ200" i="3" s="1"/>
  <c r="Y200" i="3"/>
  <c r="M200" i="3"/>
  <c r="AL198" i="3"/>
  <c r="BJ198" i="3" s="1"/>
  <c r="Y198" i="3"/>
  <c r="M198" i="3"/>
  <c r="AL196" i="3"/>
  <c r="BJ196" i="3" s="1"/>
  <c r="Y196" i="3"/>
  <c r="M196" i="3"/>
  <c r="AL194" i="3"/>
  <c r="BJ194" i="3" s="1"/>
  <c r="Y194" i="3"/>
  <c r="M194" i="3"/>
  <c r="AL192" i="3"/>
  <c r="BJ192" i="3" s="1"/>
  <c r="Y192" i="3"/>
  <c r="M192" i="3"/>
  <c r="AL190" i="3"/>
  <c r="BJ190" i="3" s="1"/>
  <c r="Y190" i="3"/>
  <c r="M190" i="3"/>
  <c r="AL188" i="3"/>
  <c r="BJ188" i="3" s="1"/>
  <c r="Y188" i="3"/>
  <c r="M188" i="3"/>
  <c r="K167" i="3"/>
  <c r="V167" i="3"/>
  <c r="B167" i="3"/>
  <c r="Q167" i="3"/>
  <c r="AB167" i="3"/>
  <c r="AN167" i="3"/>
  <c r="AE166" i="3"/>
  <c r="R166" i="3"/>
  <c r="B166" i="3"/>
  <c r="AF165" i="3"/>
  <c r="U165" i="3"/>
  <c r="F165" i="3"/>
  <c r="AP165" i="3" s="1"/>
  <c r="AB154" i="3"/>
  <c r="P154" i="3"/>
  <c r="AC153" i="3"/>
  <c r="P153" i="3"/>
  <c r="K152" i="3"/>
  <c r="V152" i="3"/>
  <c r="AD152" i="3"/>
  <c r="L152" i="3"/>
  <c r="X152" i="3"/>
  <c r="AG152" i="3"/>
  <c r="K151" i="3"/>
  <c r="V151" i="3"/>
  <c r="AD151" i="3"/>
  <c r="B151" i="3"/>
  <c r="Q151" i="3"/>
  <c r="AB151" i="3"/>
  <c r="AO151" i="3"/>
  <c r="AE150" i="3"/>
  <c r="R150" i="3"/>
  <c r="B150" i="3"/>
  <c r="AF149" i="3"/>
  <c r="U149" i="3"/>
  <c r="F149" i="3"/>
  <c r="AP149" i="3" s="1"/>
  <c r="K144" i="3"/>
  <c r="V144" i="3"/>
  <c r="AD144" i="3"/>
  <c r="L144" i="3"/>
  <c r="X144" i="3"/>
  <c r="AG144" i="3"/>
  <c r="N144" i="3"/>
  <c r="Z144" i="3"/>
  <c r="AM144" i="3"/>
  <c r="Y136" i="3"/>
  <c r="B136" i="3"/>
  <c r="K134" i="3"/>
  <c r="V134" i="3"/>
  <c r="AD134" i="3"/>
  <c r="J134" i="3"/>
  <c r="W134" i="3"/>
  <c r="AF134" i="3"/>
  <c r="L134" i="3"/>
  <c r="X134" i="3"/>
  <c r="AG134" i="3"/>
  <c r="N134" i="3"/>
  <c r="Z134" i="3"/>
  <c r="AM134" i="3"/>
  <c r="AN132" i="3"/>
  <c r="R132" i="3"/>
  <c r="Y128" i="3"/>
  <c r="Y124" i="3"/>
  <c r="Y120" i="3"/>
  <c r="Y116" i="3"/>
  <c r="K110" i="3"/>
  <c r="V110" i="3"/>
  <c r="AD110" i="3"/>
  <c r="L110" i="3"/>
  <c r="W110" i="3"/>
  <c r="AE110" i="3"/>
  <c r="I110" i="3"/>
  <c r="X110" i="3"/>
  <c r="AL110" i="3"/>
  <c r="BJ110" i="3" s="1"/>
  <c r="J110" i="3"/>
  <c r="Y110" i="3"/>
  <c r="AM110" i="3"/>
  <c r="N110" i="3"/>
  <c r="AA110" i="3"/>
  <c r="AO110" i="3"/>
  <c r="B110" i="3"/>
  <c r="R110" i="3"/>
  <c r="AF110" i="3"/>
  <c r="AM105" i="3"/>
  <c r="B105" i="3"/>
  <c r="L101" i="3"/>
  <c r="K83" i="3"/>
  <c r="V83" i="3"/>
  <c r="AD83" i="3"/>
  <c r="B83" i="3"/>
  <c r="Q83" i="3"/>
  <c r="AB83" i="3"/>
  <c r="AO83" i="3"/>
  <c r="L83" i="3"/>
  <c r="X83" i="3"/>
  <c r="AG83" i="3"/>
  <c r="J83" i="3"/>
  <c r="Z83" i="3"/>
  <c r="M83" i="3"/>
  <c r="AA83" i="3"/>
  <c r="N83" i="3"/>
  <c r="AC83" i="3"/>
  <c r="P83" i="3"/>
  <c r="AE83" i="3"/>
  <c r="F83" i="3"/>
  <c r="AP83" i="3" s="1"/>
  <c r="W83" i="3"/>
  <c r="AM83" i="3"/>
  <c r="I83" i="3"/>
  <c r="R83" i="3"/>
  <c r="Y83" i="3"/>
  <c r="AN83" i="3"/>
  <c r="K111" i="3"/>
  <c r="V111" i="3"/>
  <c r="AD111" i="3"/>
  <c r="L111" i="3"/>
  <c r="W111" i="3"/>
  <c r="AE111" i="3"/>
  <c r="K107" i="3"/>
  <c r="V107" i="3"/>
  <c r="AD107" i="3"/>
  <c r="L107" i="3"/>
  <c r="W107" i="3"/>
  <c r="AE107" i="3"/>
  <c r="M107" i="3"/>
  <c r="X107" i="3"/>
  <c r="AF107" i="3"/>
  <c r="F95" i="3"/>
  <c r="AP95" i="3" s="1"/>
  <c r="Q95" i="3"/>
  <c r="AA95" i="3"/>
  <c r="AM95" i="3"/>
  <c r="L95" i="3"/>
  <c r="B95" i="3"/>
  <c r="U95" i="3"/>
  <c r="AD95" i="3"/>
  <c r="I95" i="3"/>
  <c r="V95" i="3"/>
  <c r="AE95" i="3"/>
  <c r="J95" i="3"/>
  <c r="W95" i="3"/>
  <c r="AF95" i="3"/>
  <c r="N95" i="3"/>
  <c r="Z95" i="3"/>
  <c r="AN95" i="3"/>
  <c r="AE139" i="3"/>
  <c r="U139" i="3"/>
  <c r="I139" i="3"/>
  <c r="AE137" i="3"/>
  <c r="U137" i="3"/>
  <c r="I137" i="3"/>
  <c r="AE135" i="3"/>
  <c r="U135" i="3"/>
  <c r="I135" i="3"/>
  <c r="AE133" i="3"/>
  <c r="U133" i="3"/>
  <c r="I133" i="3"/>
  <c r="AE131" i="3"/>
  <c r="U131" i="3"/>
  <c r="I131" i="3"/>
  <c r="AE129" i="3"/>
  <c r="U129" i="3"/>
  <c r="I129" i="3"/>
  <c r="AE127" i="3"/>
  <c r="U127" i="3"/>
  <c r="I127" i="3"/>
  <c r="AE125" i="3"/>
  <c r="U125" i="3"/>
  <c r="I125" i="3"/>
  <c r="AE123" i="3"/>
  <c r="U123" i="3"/>
  <c r="I123" i="3"/>
  <c r="AE121" i="3"/>
  <c r="U121" i="3"/>
  <c r="I121" i="3"/>
  <c r="AE119" i="3"/>
  <c r="U119" i="3"/>
  <c r="I119" i="3"/>
  <c r="AE117" i="3"/>
  <c r="U117" i="3"/>
  <c r="I117" i="3"/>
  <c r="AL113" i="3"/>
  <c r="BJ113" i="3" s="1"/>
  <c r="X113" i="3"/>
  <c r="I113" i="3"/>
  <c r="AN111" i="3"/>
  <c r="Z111" i="3"/>
  <c r="M111" i="3"/>
  <c r="K108" i="3"/>
  <c r="V108" i="3"/>
  <c r="AD108" i="3"/>
  <c r="L108" i="3"/>
  <c r="W108" i="3"/>
  <c r="AE108" i="3"/>
  <c r="M108" i="3"/>
  <c r="X108" i="3"/>
  <c r="AF108" i="3"/>
  <c r="AB107" i="3"/>
  <c r="N107" i="3"/>
  <c r="X95" i="3"/>
  <c r="K75" i="3"/>
  <c r="V75" i="3"/>
  <c r="AD75" i="3"/>
  <c r="B75" i="3"/>
  <c r="Q75" i="3"/>
  <c r="AB75" i="3"/>
  <c r="AO75" i="3"/>
  <c r="L75" i="3"/>
  <c r="X75" i="3"/>
  <c r="AG75" i="3"/>
  <c r="J75" i="3"/>
  <c r="Z75" i="3"/>
  <c r="M75" i="3"/>
  <c r="AA75" i="3"/>
  <c r="N75" i="3"/>
  <c r="AC75" i="3"/>
  <c r="P75" i="3"/>
  <c r="AE75" i="3"/>
  <c r="F75" i="3"/>
  <c r="AP75" i="3" s="1"/>
  <c r="W75" i="3"/>
  <c r="AM75" i="3"/>
  <c r="K65" i="3"/>
  <c r="V65" i="3"/>
  <c r="AD65" i="3"/>
  <c r="L65" i="3"/>
  <c r="W65" i="3"/>
  <c r="AE65" i="3"/>
  <c r="F65" i="3"/>
  <c r="AP65" i="3" s="1"/>
  <c r="U65" i="3"/>
  <c r="AG65" i="3"/>
  <c r="I65" i="3"/>
  <c r="X65" i="3"/>
  <c r="AL65" i="3"/>
  <c r="BJ65" i="3" s="1"/>
  <c r="J65" i="3"/>
  <c r="Y65" i="3"/>
  <c r="AM65" i="3"/>
  <c r="P65" i="3"/>
  <c r="AB65" i="3"/>
  <c r="B65" i="3"/>
  <c r="AF65" i="3"/>
  <c r="M65" i="3"/>
  <c r="AN65" i="3"/>
  <c r="N65" i="3"/>
  <c r="AO65" i="3"/>
  <c r="Q65" i="3"/>
  <c r="AA65" i="3"/>
  <c r="AO139" i="3"/>
  <c r="AB139" i="3"/>
  <c r="Q139" i="3"/>
  <c r="AO137" i="3"/>
  <c r="AB137" i="3"/>
  <c r="Q137" i="3"/>
  <c r="AO135" i="3"/>
  <c r="AB135" i="3"/>
  <c r="Q135" i="3"/>
  <c r="AO133" i="3"/>
  <c r="AB133" i="3"/>
  <c r="Q133" i="3"/>
  <c r="AO131" i="3"/>
  <c r="AB131" i="3"/>
  <c r="Q131" i="3"/>
  <c r="AO129" i="3"/>
  <c r="AB129" i="3"/>
  <c r="Q129" i="3"/>
  <c r="AO127" i="3"/>
  <c r="AB127" i="3"/>
  <c r="Q127" i="3"/>
  <c r="AO125" i="3"/>
  <c r="AB125" i="3"/>
  <c r="Q125" i="3"/>
  <c r="AO123" i="3"/>
  <c r="AB123" i="3"/>
  <c r="Q123" i="3"/>
  <c r="AO121" i="3"/>
  <c r="AB121" i="3"/>
  <c r="Q121" i="3"/>
  <c r="AO119" i="3"/>
  <c r="AB119" i="3"/>
  <c r="Q119" i="3"/>
  <c r="AO117" i="3"/>
  <c r="AB117" i="3"/>
  <c r="Q117" i="3"/>
  <c r="K114" i="3"/>
  <c r="V114" i="3"/>
  <c r="AD114" i="3"/>
  <c r="L114" i="3"/>
  <c r="W114" i="3"/>
  <c r="AE114" i="3"/>
  <c r="AF113" i="3"/>
  <c r="R113" i="3"/>
  <c r="AL111" i="3"/>
  <c r="BJ111" i="3" s="1"/>
  <c r="X111" i="3"/>
  <c r="I111" i="3"/>
  <c r="AM109" i="3"/>
  <c r="U109" i="3"/>
  <c r="AC108" i="3"/>
  <c r="P108" i="3"/>
  <c r="AO107" i="3"/>
  <c r="Z107" i="3"/>
  <c r="I107" i="3"/>
  <c r="K106" i="3"/>
  <c r="V106" i="3"/>
  <c r="AD106" i="3"/>
  <c r="L106" i="3"/>
  <c r="W106" i="3"/>
  <c r="AE106" i="3"/>
  <c r="M106" i="3"/>
  <c r="X106" i="3"/>
  <c r="AF106" i="3"/>
  <c r="AO95" i="3"/>
  <c r="P95" i="3"/>
  <c r="AF94" i="3"/>
  <c r="AL75" i="3"/>
  <c r="BJ75" i="3" s="1"/>
  <c r="K70" i="3"/>
  <c r="V70" i="3"/>
  <c r="AD70" i="3"/>
  <c r="L70" i="3"/>
  <c r="W70" i="3"/>
  <c r="AE70" i="3"/>
  <c r="M70" i="3"/>
  <c r="Z70" i="3"/>
  <c r="AN70" i="3"/>
  <c r="N70" i="3"/>
  <c r="AA70" i="3"/>
  <c r="AO70" i="3"/>
  <c r="P70" i="3"/>
  <c r="AB70" i="3"/>
  <c r="F70" i="3"/>
  <c r="AP70" i="3" s="1"/>
  <c r="U70" i="3"/>
  <c r="AG70" i="3"/>
  <c r="Q70" i="3"/>
  <c r="R70" i="3"/>
  <c r="X70" i="3"/>
  <c r="Y70" i="3"/>
  <c r="I70" i="3"/>
  <c r="AL70" i="3"/>
  <c r="BJ70" i="3" s="1"/>
  <c r="K66" i="3"/>
  <c r="V66" i="3"/>
  <c r="AD66" i="3"/>
  <c r="L66" i="3"/>
  <c r="W66" i="3"/>
  <c r="AE66" i="3"/>
  <c r="B66" i="3"/>
  <c r="R66" i="3"/>
  <c r="AF66" i="3"/>
  <c r="F66" i="3"/>
  <c r="AP66" i="3" s="1"/>
  <c r="U66" i="3"/>
  <c r="AG66" i="3"/>
  <c r="I66" i="3"/>
  <c r="X66" i="3"/>
  <c r="AL66" i="3"/>
  <c r="BJ66" i="3" s="1"/>
  <c r="N66" i="3"/>
  <c r="AA66" i="3"/>
  <c r="AO66" i="3"/>
  <c r="P66" i="3"/>
  <c r="Q66" i="3"/>
  <c r="Y66" i="3"/>
  <c r="Z66" i="3"/>
  <c r="J66" i="3"/>
  <c r="AM66" i="3"/>
  <c r="K139" i="3"/>
  <c r="V139" i="3"/>
  <c r="AD139" i="3"/>
  <c r="K137" i="3"/>
  <c r="V137" i="3"/>
  <c r="AD137" i="3"/>
  <c r="K135" i="3"/>
  <c r="V135" i="3"/>
  <c r="AD135" i="3"/>
  <c r="K133" i="3"/>
  <c r="V133" i="3"/>
  <c r="AD133" i="3"/>
  <c r="K131" i="3"/>
  <c r="V131" i="3"/>
  <c r="AD131" i="3"/>
  <c r="K129" i="3"/>
  <c r="V129" i="3"/>
  <c r="AD129" i="3"/>
  <c r="K127" i="3"/>
  <c r="V127" i="3"/>
  <c r="AD127" i="3"/>
  <c r="K125" i="3"/>
  <c r="V125" i="3"/>
  <c r="AD125" i="3"/>
  <c r="K123" i="3"/>
  <c r="V123" i="3"/>
  <c r="AD123" i="3"/>
  <c r="K121" i="3"/>
  <c r="V121" i="3"/>
  <c r="AD121" i="3"/>
  <c r="K119" i="3"/>
  <c r="V119" i="3"/>
  <c r="AD119" i="3"/>
  <c r="K117" i="3"/>
  <c r="V117" i="3"/>
  <c r="AD117" i="3"/>
  <c r="K113" i="3"/>
  <c r="V113" i="3"/>
  <c r="AD113" i="3"/>
  <c r="L113" i="3"/>
  <c r="W113" i="3"/>
  <c r="AE113" i="3"/>
  <c r="AG111" i="3"/>
  <c r="U111" i="3"/>
  <c r="F111" i="3"/>
  <c r="AP111" i="3" s="1"/>
  <c r="K109" i="3"/>
  <c r="V109" i="3"/>
  <c r="AD109" i="3"/>
  <c r="L109" i="3"/>
  <c r="W109" i="3"/>
  <c r="AE109" i="3"/>
  <c r="M109" i="3"/>
  <c r="X109" i="3"/>
  <c r="AF109" i="3"/>
  <c r="AB108" i="3"/>
  <c r="N108" i="3"/>
  <c r="AN107" i="3"/>
  <c r="Y107" i="3"/>
  <c r="F107" i="3"/>
  <c r="AP107" i="3" s="1"/>
  <c r="AL95" i="3"/>
  <c r="BJ95" i="3" s="1"/>
  <c r="M95" i="3"/>
  <c r="F94" i="3"/>
  <c r="AP94" i="3" s="1"/>
  <c r="Q94" i="3"/>
  <c r="AA94" i="3"/>
  <c r="AM94" i="3"/>
  <c r="L94" i="3"/>
  <c r="W94" i="3"/>
  <c r="AE94" i="3"/>
  <c r="I94" i="3"/>
  <c r="V94" i="3"/>
  <c r="AG94" i="3"/>
  <c r="J94" i="3"/>
  <c r="X94" i="3"/>
  <c r="AL94" i="3"/>
  <c r="BJ94" i="3" s="1"/>
  <c r="K94" i="3"/>
  <c r="Y94" i="3"/>
  <c r="AN94" i="3"/>
  <c r="P94" i="3"/>
  <c r="AC94" i="3"/>
  <c r="K86" i="3"/>
  <c r="V86" i="3"/>
  <c r="AD86" i="3"/>
  <c r="L86" i="3"/>
  <c r="X86" i="3"/>
  <c r="AG86" i="3"/>
  <c r="B86" i="3"/>
  <c r="Q86" i="3"/>
  <c r="AB86" i="3"/>
  <c r="AO86" i="3"/>
  <c r="M86" i="3"/>
  <c r="AA86" i="3"/>
  <c r="N86" i="3"/>
  <c r="AC86" i="3"/>
  <c r="P86" i="3"/>
  <c r="AE86" i="3"/>
  <c r="R86" i="3"/>
  <c r="AF86" i="3"/>
  <c r="I86" i="3"/>
  <c r="Y86" i="3"/>
  <c r="AN86" i="3"/>
  <c r="K85" i="3"/>
  <c r="V85" i="3"/>
  <c r="AD85" i="3"/>
  <c r="B85" i="3"/>
  <c r="Q85" i="3"/>
  <c r="AB85" i="3"/>
  <c r="AO85" i="3"/>
  <c r="L85" i="3"/>
  <c r="X85" i="3"/>
  <c r="AG85" i="3"/>
  <c r="F85" i="3"/>
  <c r="AP85" i="3" s="1"/>
  <c r="W85" i="3"/>
  <c r="AM85" i="3"/>
  <c r="I85" i="3"/>
  <c r="Y85" i="3"/>
  <c r="AN85" i="3"/>
  <c r="J85" i="3"/>
  <c r="Z85" i="3"/>
  <c r="M85" i="3"/>
  <c r="AA85" i="3"/>
  <c r="R85" i="3"/>
  <c r="AF85" i="3"/>
  <c r="AF75" i="3"/>
  <c r="K63" i="3"/>
  <c r="V63" i="3"/>
  <c r="AD63" i="3"/>
  <c r="L63" i="3"/>
  <c r="W63" i="3"/>
  <c r="AE63" i="3"/>
  <c r="J63" i="3"/>
  <c r="Y63" i="3"/>
  <c r="AM63" i="3"/>
  <c r="M63" i="3"/>
  <c r="Z63" i="3"/>
  <c r="AN63" i="3"/>
  <c r="N63" i="3"/>
  <c r="AA63" i="3"/>
  <c r="AO63" i="3"/>
  <c r="B63" i="3"/>
  <c r="R63" i="3"/>
  <c r="AF63" i="3"/>
  <c r="P63" i="3"/>
  <c r="Q63" i="3"/>
  <c r="U63" i="3"/>
  <c r="X63" i="3"/>
  <c r="F63" i="3"/>
  <c r="AP63" i="3" s="1"/>
  <c r="AG63" i="3"/>
  <c r="F93" i="3"/>
  <c r="AP93" i="3" s="1"/>
  <c r="Q93" i="3"/>
  <c r="AA93" i="3"/>
  <c r="AM93" i="3"/>
  <c r="L93" i="3"/>
  <c r="W93" i="3"/>
  <c r="AE93" i="3"/>
  <c r="AL90" i="3"/>
  <c r="BJ90" i="3" s="1"/>
  <c r="X90" i="3"/>
  <c r="AN89" i="3"/>
  <c r="Y89" i="3"/>
  <c r="K89" i="3"/>
  <c r="AO88" i="3"/>
  <c r="Z88" i="3"/>
  <c r="AB87" i="3"/>
  <c r="AA84" i="3"/>
  <c r="AE82" i="3"/>
  <c r="P82" i="3"/>
  <c r="Z81" i="3"/>
  <c r="K80" i="3"/>
  <c r="V80" i="3"/>
  <c r="AD80" i="3"/>
  <c r="L80" i="3"/>
  <c r="X80" i="3"/>
  <c r="AG80" i="3"/>
  <c r="B80" i="3"/>
  <c r="Q80" i="3"/>
  <c r="AB80" i="3"/>
  <c r="AO80" i="3"/>
  <c r="AC79" i="3"/>
  <c r="AA76" i="3"/>
  <c r="AC74" i="3"/>
  <c r="K73" i="3"/>
  <c r="V73" i="3"/>
  <c r="AD73" i="3"/>
  <c r="L73" i="3"/>
  <c r="W73" i="3"/>
  <c r="AE73" i="3"/>
  <c r="I73" i="3"/>
  <c r="X73" i="3"/>
  <c r="AL73" i="3"/>
  <c r="BJ73" i="3" s="1"/>
  <c r="P73" i="3"/>
  <c r="AB73" i="3"/>
  <c r="AO71" i="3"/>
  <c r="F102" i="3"/>
  <c r="AP102" i="3" s="1"/>
  <c r="Q102" i="3"/>
  <c r="AA102" i="3"/>
  <c r="AM102" i="3"/>
  <c r="F100" i="3"/>
  <c r="AP100" i="3" s="1"/>
  <c r="Q100" i="3"/>
  <c r="AA100" i="3"/>
  <c r="AM100" i="3"/>
  <c r="F98" i="3"/>
  <c r="AP98" i="3" s="1"/>
  <c r="Q98" i="3"/>
  <c r="AA98" i="3"/>
  <c r="AM98" i="3"/>
  <c r="F96" i="3"/>
  <c r="AP96" i="3" s="1"/>
  <c r="Q96" i="3"/>
  <c r="AA96" i="3"/>
  <c r="AM96" i="3"/>
  <c r="AO93" i="3"/>
  <c r="Z93" i="3"/>
  <c r="M93" i="3"/>
  <c r="F90" i="3"/>
  <c r="AP90" i="3" s="1"/>
  <c r="Q90" i="3"/>
  <c r="AA90" i="3"/>
  <c r="AM90" i="3"/>
  <c r="L90" i="3"/>
  <c r="W90" i="3"/>
  <c r="AE90" i="3"/>
  <c r="AF89" i="3"/>
  <c r="U89" i="3"/>
  <c r="Z82" i="3"/>
  <c r="J82" i="3"/>
  <c r="K81" i="3"/>
  <c r="V81" i="3"/>
  <c r="AD81" i="3"/>
  <c r="B81" i="3"/>
  <c r="Q81" i="3"/>
  <c r="AB81" i="3"/>
  <c r="AO81" i="3"/>
  <c r="L81" i="3"/>
  <c r="X81" i="3"/>
  <c r="AG81" i="3"/>
  <c r="K62" i="3"/>
  <c r="V62" i="3"/>
  <c r="AD62" i="3"/>
  <c r="L62" i="3"/>
  <c r="W62" i="3"/>
  <c r="AE62" i="3"/>
  <c r="M62" i="3"/>
  <c r="X62" i="3"/>
  <c r="AF62" i="3"/>
  <c r="B62" i="3"/>
  <c r="U62" i="3"/>
  <c r="AM62" i="3"/>
  <c r="F62" i="3"/>
  <c r="AP62" i="3" s="1"/>
  <c r="Y62" i="3"/>
  <c r="AN62" i="3"/>
  <c r="I62" i="3"/>
  <c r="Z62" i="3"/>
  <c r="AO62" i="3"/>
  <c r="P62" i="3"/>
  <c r="AC62" i="3"/>
  <c r="AE46" i="3"/>
  <c r="AN93" i="3"/>
  <c r="Y93" i="3"/>
  <c r="K93" i="3"/>
  <c r="F89" i="3"/>
  <c r="AP89" i="3" s="1"/>
  <c r="Q89" i="3"/>
  <c r="AA89" i="3"/>
  <c r="AM89" i="3"/>
  <c r="L89" i="3"/>
  <c r="W89" i="3"/>
  <c r="AE89" i="3"/>
  <c r="K84" i="3"/>
  <c r="V84" i="3"/>
  <c r="AD84" i="3"/>
  <c r="L84" i="3"/>
  <c r="X84" i="3"/>
  <c r="AG84" i="3"/>
  <c r="B84" i="3"/>
  <c r="Q84" i="3"/>
  <c r="AB84" i="3"/>
  <c r="AO84" i="3"/>
  <c r="AN82" i="3"/>
  <c r="Y82" i="3"/>
  <c r="I82" i="3"/>
  <c r="AF81" i="3"/>
  <c r="R81" i="3"/>
  <c r="K76" i="3"/>
  <c r="V76" i="3"/>
  <c r="AD76" i="3"/>
  <c r="L76" i="3"/>
  <c r="X76" i="3"/>
  <c r="AG76" i="3"/>
  <c r="B76" i="3"/>
  <c r="Q76" i="3"/>
  <c r="AB76" i="3"/>
  <c r="AO76" i="3"/>
  <c r="K74" i="3"/>
  <c r="V74" i="3"/>
  <c r="AD74" i="3"/>
  <c r="L74" i="3"/>
  <c r="W74" i="3"/>
  <c r="AE74" i="3"/>
  <c r="F74" i="3"/>
  <c r="AP74" i="3" s="1"/>
  <c r="U74" i="3"/>
  <c r="AG74" i="3"/>
  <c r="N74" i="3"/>
  <c r="AA74" i="3"/>
  <c r="AO74" i="3"/>
  <c r="K71" i="3"/>
  <c r="V71" i="3"/>
  <c r="AD71" i="3"/>
  <c r="L71" i="3"/>
  <c r="W71" i="3"/>
  <c r="AE71" i="3"/>
  <c r="J71" i="3"/>
  <c r="Y71" i="3"/>
  <c r="AM71" i="3"/>
  <c r="M71" i="3"/>
  <c r="Z71" i="3"/>
  <c r="AN71" i="3"/>
  <c r="N71" i="3"/>
  <c r="B71" i="3"/>
  <c r="R71" i="3"/>
  <c r="AF71" i="3"/>
  <c r="AG62" i="3"/>
  <c r="I50" i="3"/>
  <c r="R50" i="3"/>
  <c r="AB50" i="3"/>
  <c r="AN50" i="3"/>
  <c r="J50" i="3"/>
  <c r="U50" i="3"/>
  <c r="AC50" i="3"/>
  <c r="AO50" i="3"/>
  <c r="F50" i="3"/>
  <c r="AP50" i="3" s="1"/>
  <c r="W50" i="3"/>
  <c r="AG50" i="3"/>
  <c r="K50" i="3"/>
  <c r="X50" i="3"/>
  <c r="AL50" i="3"/>
  <c r="BJ50" i="3" s="1"/>
  <c r="L50" i="3"/>
  <c r="Y50" i="3"/>
  <c r="AM50" i="3"/>
  <c r="M50" i="3"/>
  <c r="Z50" i="3"/>
  <c r="P50" i="3"/>
  <c r="Q50" i="3"/>
  <c r="V50" i="3"/>
  <c r="AA50" i="3"/>
  <c r="B50" i="3"/>
  <c r="AF50" i="3"/>
  <c r="AD46" i="3"/>
  <c r="F33" i="3"/>
  <c r="AP33" i="3" s="1"/>
  <c r="Q33" i="3"/>
  <c r="AA33" i="3"/>
  <c r="AM33" i="3"/>
  <c r="K33" i="3"/>
  <c r="W33" i="3"/>
  <c r="AF33" i="3"/>
  <c r="L33" i="3"/>
  <c r="X33" i="3"/>
  <c r="AG33" i="3"/>
  <c r="M33" i="3"/>
  <c r="Y33" i="3"/>
  <c r="AL33" i="3"/>
  <c r="BJ33" i="3" s="1"/>
  <c r="N33" i="3"/>
  <c r="Z33" i="3"/>
  <c r="AN33" i="3"/>
  <c r="B33" i="3"/>
  <c r="AC33" i="3"/>
  <c r="I33" i="3"/>
  <c r="AD33" i="3"/>
  <c r="J33" i="3"/>
  <c r="AE33" i="3"/>
  <c r="P33" i="3"/>
  <c r="AO33" i="3"/>
  <c r="V33" i="3"/>
  <c r="R33" i="3"/>
  <c r="U33" i="3"/>
  <c r="AB33" i="3"/>
  <c r="AL102" i="3"/>
  <c r="BJ102" i="3" s="1"/>
  <c r="Y102" i="3"/>
  <c r="M102" i="3"/>
  <c r="AL100" i="3"/>
  <c r="BJ100" i="3" s="1"/>
  <c r="Y100" i="3"/>
  <c r="M100" i="3"/>
  <c r="AL98" i="3"/>
  <c r="BJ98" i="3" s="1"/>
  <c r="Y98" i="3"/>
  <c r="M98" i="3"/>
  <c r="AL96" i="3"/>
  <c r="BJ96" i="3" s="1"/>
  <c r="Y96" i="3"/>
  <c r="M96" i="3"/>
  <c r="AL93" i="3"/>
  <c r="BJ93" i="3" s="1"/>
  <c r="X93" i="3"/>
  <c r="J93" i="3"/>
  <c r="AB90" i="3"/>
  <c r="N90" i="3"/>
  <c r="AC89" i="3"/>
  <c r="P89" i="3"/>
  <c r="F88" i="3"/>
  <c r="AP88" i="3" s="1"/>
  <c r="Q88" i="3"/>
  <c r="AA88" i="3"/>
  <c r="AM88" i="3"/>
  <c r="L88" i="3"/>
  <c r="W88" i="3"/>
  <c r="AE88" i="3"/>
  <c r="K87" i="3"/>
  <c r="B87" i="3"/>
  <c r="Q87" i="3"/>
  <c r="AA87" i="3"/>
  <c r="AM87" i="3"/>
  <c r="L87" i="3"/>
  <c r="W87" i="3"/>
  <c r="AE87" i="3"/>
  <c r="AF84" i="3"/>
  <c r="R84" i="3"/>
  <c r="AM82" i="3"/>
  <c r="W82" i="3"/>
  <c r="AE81" i="3"/>
  <c r="P81" i="3"/>
  <c r="K79" i="3"/>
  <c r="V79" i="3"/>
  <c r="AD79" i="3"/>
  <c r="B79" i="3"/>
  <c r="Q79" i="3"/>
  <c r="AB79" i="3"/>
  <c r="AO79" i="3"/>
  <c r="L79" i="3"/>
  <c r="X79" i="3"/>
  <c r="AG79" i="3"/>
  <c r="AF76" i="3"/>
  <c r="R76" i="3"/>
  <c r="AM74" i="3"/>
  <c r="R74" i="3"/>
  <c r="AB62" i="3"/>
  <c r="K82" i="3"/>
  <c r="V82" i="3"/>
  <c r="AD82" i="3"/>
  <c r="L82" i="3"/>
  <c r="X82" i="3"/>
  <c r="AG82" i="3"/>
  <c r="B82" i="3"/>
  <c r="Q82" i="3"/>
  <c r="AB82" i="3"/>
  <c r="AO82" i="3"/>
  <c r="I46" i="3"/>
  <c r="R46" i="3"/>
  <c r="AB46" i="3"/>
  <c r="AN46" i="3"/>
  <c r="J46" i="3"/>
  <c r="U46" i="3"/>
  <c r="AC46" i="3"/>
  <c r="AO46" i="3"/>
  <c r="F46" i="3"/>
  <c r="AP46" i="3" s="1"/>
  <c r="W46" i="3"/>
  <c r="AG46" i="3"/>
  <c r="K46" i="3"/>
  <c r="X46" i="3"/>
  <c r="AL46" i="3"/>
  <c r="BJ46" i="3" s="1"/>
  <c r="L46" i="3"/>
  <c r="Y46" i="3"/>
  <c r="AM46" i="3"/>
  <c r="M46" i="3"/>
  <c r="Z46" i="3"/>
  <c r="P46" i="3"/>
  <c r="Q46" i="3"/>
  <c r="V46" i="3"/>
  <c r="AA46" i="3"/>
  <c r="B46" i="3"/>
  <c r="AF46" i="3"/>
  <c r="K72" i="3"/>
  <c r="V72" i="3"/>
  <c r="AD72" i="3"/>
  <c r="L72" i="3"/>
  <c r="W72" i="3"/>
  <c r="AE72" i="3"/>
  <c r="AL69" i="3"/>
  <c r="BJ69" i="3" s="1"/>
  <c r="X69" i="3"/>
  <c r="AN67" i="3"/>
  <c r="Z67" i="3"/>
  <c r="M67" i="3"/>
  <c r="K64" i="3"/>
  <c r="V64" i="3"/>
  <c r="AD64" i="3"/>
  <c r="L64" i="3"/>
  <c r="W64" i="3"/>
  <c r="AE64" i="3"/>
  <c r="I61" i="3"/>
  <c r="R61" i="3"/>
  <c r="AB61" i="3"/>
  <c r="F61" i="3"/>
  <c r="AP61" i="3" s="1"/>
  <c r="U61" i="3"/>
  <c r="AD61" i="3"/>
  <c r="J61" i="3"/>
  <c r="V61" i="3"/>
  <c r="AE61" i="3"/>
  <c r="K61" i="3"/>
  <c r="W61" i="3"/>
  <c r="AF61" i="3"/>
  <c r="I57" i="3"/>
  <c r="R57" i="3"/>
  <c r="AB57" i="3"/>
  <c r="AN57" i="3"/>
  <c r="B57" i="3"/>
  <c r="Q57" i="3"/>
  <c r="AC57" i="3"/>
  <c r="F57" i="3"/>
  <c r="AP57" i="3" s="1"/>
  <c r="U57" i="3"/>
  <c r="AD57" i="3"/>
  <c r="J57" i="3"/>
  <c r="V57" i="3"/>
  <c r="AE57" i="3"/>
  <c r="K57" i="3"/>
  <c r="W57" i="3"/>
  <c r="AF57" i="3"/>
  <c r="V53" i="3"/>
  <c r="V51" i="3"/>
  <c r="V49" i="3"/>
  <c r="V47" i="3"/>
  <c r="V45" i="3"/>
  <c r="K69" i="3"/>
  <c r="V69" i="3"/>
  <c r="AD69" i="3"/>
  <c r="L69" i="3"/>
  <c r="W69" i="3"/>
  <c r="AE69" i="3"/>
  <c r="AG67" i="3"/>
  <c r="U67" i="3"/>
  <c r="F67" i="3"/>
  <c r="AP67" i="3" s="1"/>
  <c r="N53" i="3"/>
  <c r="N51" i="3"/>
  <c r="N49" i="3"/>
  <c r="N47" i="3"/>
  <c r="N45" i="3"/>
  <c r="F41" i="3"/>
  <c r="AP41" i="3" s="1"/>
  <c r="Q41" i="3"/>
  <c r="AA41" i="3"/>
  <c r="AM41" i="3"/>
  <c r="L41" i="3"/>
  <c r="X41" i="3"/>
  <c r="AG41" i="3"/>
  <c r="M41" i="3"/>
  <c r="Y41" i="3"/>
  <c r="AL41" i="3"/>
  <c r="BJ41" i="3" s="1"/>
  <c r="N41" i="3"/>
  <c r="Z41" i="3"/>
  <c r="AN41" i="3"/>
  <c r="I41" i="3"/>
  <c r="AB41" i="3"/>
  <c r="J41" i="3"/>
  <c r="AC41" i="3"/>
  <c r="K41" i="3"/>
  <c r="AD41" i="3"/>
  <c r="P41" i="3"/>
  <c r="AE41" i="3"/>
  <c r="AM72" i="3"/>
  <c r="Y72" i="3"/>
  <c r="J72" i="3"/>
  <c r="AB69" i="3"/>
  <c r="P69" i="3"/>
  <c r="K68" i="3"/>
  <c r="V68" i="3"/>
  <c r="AD68" i="3"/>
  <c r="L68" i="3"/>
  <c r="W68" i="3"/>
  <c r="AE68" i="3"/>
  <c r="AF67" i="3"/>
  <c r="R67" i="3"/>
  <c r="AM64" i="3"/>
  <c r="Y64" i="3"/>
  <c r="J64" i="3"/>
  <c r="AG61" i="3"/>
  <c r="N61" i="3"/>
  <c r="I59" i="3"/>
  <c r="R59" i="3"/>
  <c r="AB59" i="3"/>
  <c r="AN59" i="3"/>
  <c r="B59" i="3"/>
  <c r="Q59" i="3"/>
  <c r="AC59" i="3"/>
  <c r="F59" i="3"/>
  <c r="AP59" i="3" s="1"/>
  <c r="U59" i="3"/>
  <c r="AD59" i="3"/>
  <c r="J59" i="3"/>
  <c r="V59" i="3"/>
  <c r="AE59" i="3"/>
  <c r="K59" i="3"/>
  <c r="W59" i="3"/>
  <c r="AF59" i="3"/>
  <c r="AO57" i="3"/>
  <c r="P57" i="3"/>
  <c r="I55" i="3"/>
  <c r="R55" i="3"/>
  <c r="AB55" i="3"/>
  <c r="AN55" i="3"/>
  <c r="B55" i="3"/>
  <c r="Q55" i="3"/>
  <c r="AC55" i="3"/>
  <c r="F55" i="3"/>
  <c r="AP55" i="3" s="1"/>
  <c r="U55" i="3"/>
  <c r="AD55" i="3"/>
  <c r="J55" i="3"/>
  <c r="V55" i="3"/>
  <c r="AE55" i="3"/>
  <c r="K55" i="3"/>
  <c r="W55" i="3"/>
  <c r="AF55" i="3"/>
  <c r="AF53" i="3"/>
  <c r="AF51" i="3"/>
  <c r="AF49" i="3"/>
  <c r="AF47" i="3"/>
  <c r="AF45" i="3"/>
  <c r="AO41" i="3"/>
  <c r="F40" i="3"/>
  <c r="AP40" i="3" s="1"/>
  <c r="Q40" i="3"/>
  <c r="AA40" i="3"/>
  <c r="AM40" i="3"/>
  <c r="B40" i="3"/>
  <c r="R40" i="3"/>
  <c r="AC40" i="3"/>
  <c r="I40" i="3"/>
  <c r="U40" i="3"/>
  <c r="AD40" i="3"/>
  <c r="J40" i="3"/>
  <c r="V40" i="3"/>
  <c r="AE40" i="3"/>
  <c r="M40" i="3"/>
  <c r="AF40" i="3"/>
  <c r="N40" i="3"/>
  <c r="AG40" i="3"/>
  <c r="P40" i="3"/>
  <c r="AL40" i="3"/>
  <c r="BJ40" i="3" s="1"/>
  <c r="W40" i="3"/>
  <c r="AN40" i="3"/>
  <c r="K67" i="3"/>
  <c r="V67" i="3"/>
  <c r="AD67" i="3"/>
  <c r="L67" i="3"/>
  <c r="W67" i="3"/>
  <c r="AE67" i="3"/>
  <c r="I53" i="3"/>
  <c r="R53" i="3"/>
  <c r="AB53" i="3"/>
  <c r="AN53" i="3"/>
  <c r="J53" i="3"/>
  <c r="U53" i="3"/>
  <c r="AC53" i="3"/>
  <c r="AO53" i="3"/>
  <c r="F53" i="3"/>
  <c r="AP53" i="3" s="1"/>
  <c r="W53" i="3"/>
  <c r="AG53" i="3"/>
  <c r="K53" i="3"/>
  <c r="X53" i="3"/>
  <c r="AL53" i="3"/>
  <c r="BJ53" i="3" s="1"/>
  <c r="L53" i="3"/>
  <c r="Y53" i="3"/>
  <c r="AM53" i="3"/>
  <c r="M53" i="3"/>
  <c r="Z53" i="3"/>
  <c r="I51" i="3"/>
  <c r="R51" i="3"/>
  <c r="AB51" i="3"/>
  <c r="AN51" i="3"/>
  <c r="J51" i="3"/>
  <c r="U51" i="3"/>
  <c r="AC51" i="3"/>
  <c r="AO51" i="3"/>
  <c r="F51" i="3"/>
  <c r="AP51" i="3" s="1"/>
  <c r="W51" i="3"/>
  <c r="AG51" i="3"/>
  <c r="K51" i="3"/>
  <c r="X51" i="3"/>
  <c r="AL51" i="3"/>
  <c r="BJ51" i="3" s="1"/>
  <c r="L51" i="3"/>
  <c r="Y51" i="3"/>
  <c r="AM51" i="3"/>
  <c r="M51" i="3"/>
  <c r="Z51" i="3"/>
  <c r="I49" i="3"/>
  <c r="R49" i="3"/>
  <c r="AB49" i="3"/>
  <c r="AN49" i="3"/>
  <c r="J49" i="3"/>
  <c r="U49" i="3"/>
  <c r="AC49" i="3"/>
  <c r="AO49" i="3"/>
  <c r="F49" i="3"/>
  <c r="AP49" i="3" s="1"/>
  <c r="W49" i="3"/>
  <c r="AG49" i="3"/>
  <c r="K49" i="3"/>
  <c r="X49" i="3"/>
  <c r="AL49" i="3"/>
  <c r="BJ49" i="3" s="1"/>
  <c r="L49" i="3"/>
  <c r="Y49" i="3"/>
  <c r="AM49" i="3"/>
  <c r="M49" i="3"/>
  <c r="Z49" i="3"/>
  <c r="I47" i="3"/>
  <c r="R47" i="3"/>
  <c r="AB47" i="3"/>
  <c r="AN47" i="3"/>
  <c r="J47" i="3"/>
  <c r="U47" i="3"/>
  <c r="AC47" i="3"/>
  <c r="AO47" i="3"/>
  <c r="F47" i="3"/>
  <c r="AP47" i="3" s="1"/>
  <c r="W47" i="3"/>
  <c r="AG47" i="3"/>
  <c r="K47" i="3"/>
  <c r="X47" i="3"/>
  <c r="AL47" i="3"/>
  <c r="BJ47" i="3" s="1"/>
  <c r="L47" i="3"/>
  <c r="Y47" i="3"/>
  <c r="AM47" i="3"/>
  <c r="M47" i="3"/>
  <c r="Z47" i="3"/>
  <c r="I45" i="3"/>
  <c r="R45" i="3"/>
  <c r="AB45" i="3"/>
  <c r="AN45" i="3"/>
  <c r="J45" i="3"/>
  <c r="U45" i="3"/>
  <c r="AC45" i="3"/>
  <c r="AO45" i="3"/>
  <c r="F45" i="3"/>
  <c r="AP45" i="3" s="1"/>
  <c r="W45" i="3"/>
  <c r="AG45" i="3"/>
  <c r="K45" i="3"/>
  <c r="X45" i="3"/>
  <c r="AL45" i="3"/>
  <c r="BJ45" i="3" s="1"/>
  <c r="L45" i="3"/>
  <c r="Y45" i="3"/>
  <c r="AM45" i="3"/>
  <c r="M45" i="3"/>
  <c r="Z45" i="3"/>
  <c r="AF41" i="3"/>
  <c r="F27" i="3"/>
  <c r="AP27" i="3" s="1"/>
  <c r="Q27" i="3"/>
  <c r="AA27" i="3"/>
  <c r="J27" i="3"/>
  <c r="U27" i="3"/>
  <c r="AC27" i="3"/>
  <c r="AO27" i="3"/>
  <c r="L27" i="3"/>
  <c r="Y27" i="3"/>
  <c r="AM27" i="3"/>
  <c r="M27" i="3"/>
  <c r="Z27" i="3"/>
  <c r="AN27" i="3"/>
  <c r="N27" i="3"/>
  <c r="AB27" i="3"/>
  <c r="B27" i="3"/>
  <c r="V27" i="3"/>
  <c r="AF27" i="3"/>
  <c r="I27" i="3"/>
  <c r="AG27" i="3"/>
  <c r="K27" i="3"/>
  <c r="AL27" i="3"/>
  <c r="BJ27" i="3" s="1"/>
  <c r="P27" i="3"/>
  <c r="R27" i="3"/>
  <c r="AD27" i="3"/>
  <c r="AE27" i="3"/>
  <c r="W27" i="3"/>
  <c r="W41" i="3"/>
  <c r="B23" i="3"/>
  <c r="P23" i="3"/>
  <c r="Z23" i="3"/>
  <c r="AL23" i="3"/>
  <c r="BJ23" i="3" s="1"/>
  <c r="I23" i="3"/>
  <c r="R23" i="3"/>
  <c r="AB23" i="3"/>
  <c r="AN23" i="3"/>
  <c r="F23" i="3"/>
  <c r="AP23" i="3" s="1"/>
  <c r="V23" i="3"/>
  <c r="AF23" i="3"/>
  <c r="K23" i="3"/>
  <c r="X23" i="3"/>
  <c r="AM23" i="3"/>
  <c r="Q23" i="3"/>
  <c r="AG23" i="3"/>
  <c r="U23" i="3"/>
  <c r="AO23" i="3"/>
  <c r="W23" i="3"/>
  <c r="L23" i="3"/>
  <c r="AC23" i="3"/>
  <c r="N23" i="3"/>
  <c r="Y23" i="3"/>
  <c r="AA23" i="3"/>
  <c r="AD23" i="3"/>
  <c r="I60" i="3"/>
  <c r="R60" i="3"/>
  <c r="AB60" i="3"/>
  <c r="AN60" i="3"/>
  <c r="I58" i="3"/>
  <c r="R58" i="3"/>
  <c r="AB58" i="3"/>
  <c r="AN58" i="3"/>
  <c r="I56" i="3"/>
  <c r="R56" i="3"/>
  <c r="AB56" i="3"/>
  <c r="AN56" i="3"/>
  <c r="B19" i="3"/>
  <c r="P19" i="3"/>
  <c r="Z19" i="3"/>
  <c r="AL19" i="3"/>
  <c r="BJ19" i="3" s="1"/>
  <c r="I19" i="3"/>
  <c r="R19" i="3"/>
  <c r="AB19" i="3"/>
  <c r="AN19" i="3"/>
  <c r="F19" i="3"/>
  <c r="AP19" i="3" s="1"/>
  <c r="V19" i="3"/>
  <c r="AF19" i="3"/>
  <c r="K19" i="3"/>
  <c r="X19" i="3"/>
  <c r="AM19" i="3"/>
  <c r="N19" i="3"/>
  <c r="AE19" i="3"/>
  <c r="Q19" i="3"/>
  <c r="AG19" i="3"/>
  <c r="U19" i="3"/>
  <c r="AO19" i="3"/>
  <c r="W19" i="3"/>
  <c r="L19" i="3"/>
  <c r="AC19" i="3"/>
  <c r="M19" i="3"/>
  <c r="Y19" i="3"/>
  <c r="AA19" i="3"/>
  <c r="AD19" i="3"/>
  <c r="AM60" i="3"/>
  <c r="Z60" i="3"/>
  <c r="N60" i="3"/>
  <c r="AM58" i="3"/>
  <c r="Z58" i="3"/>
  <c r="N58" i="3"/>
  <c r="AM56" i="3"/>
  <c r="Z56" i="3"/>
  <c r="N56" i="3"/>
  <c r="AM44" i="3"/>
  <c r="Y44" i="3"/>
  <c r="K44" i="3"/>
  <c r="F43" i="3"/>
  <c r="AP43" i="3" s="1"/>
  <c r="Q43" i="3"/>
  <c r="AA43" i="3"/>
  <c r="AM43" i="3"/>
  <c r="L43" i="3"/>
  <c r="X43" i="3"/>
  <c r="AG43" i="3"/>
  <c r="M43" i="3"/>
  <c r="Y43" i="3"/>
  <c r="AL43" i="3"/>
  <c r="BJ43" i="3" s="1"/>
  <c r="F39" i="3"/>
  <c r="AP39" i="3" s="1"/>
  <c r="Q39" i="3"/>
  <c r="AA39" i="3"/>
  <c r="AM39" i="3"/>
  <c r="L39" i="3"/>
  <c r="X39" i="3"/>
  <c r="AG39" i="3"/>
  <c r="M39" i="3"/>
  <c r="Y39" i="3"/>
  <c r="AL39" i="3"/>
  <c r="BJ39" i="3" s="1"/>
  <c r="N39" i="3"/>
  <c r="Z39" i="3"/>
  <c r="AN39" i="3"/>
  <c r="AD35" i="3"/>
  <c r="I35" i="3"/>
  <c r="F25" i="3"/>
  <c r="AP25" i="3" s="1"/>
  <c r="Q25" i="3"/>
  <c r="AA25" i="3"/>
  <c r="AM25" i="3"/>
  <c r="J25" i="3"/>
  <c r="U25" i="3"/>
  <c r="AC25" i="3"/>
  <c r="AO25" i="3"/>
  <c r="L25" i="3"/>
  <c r="Y25" i="3"/>
  <c r="AN25" i="3"/>
  <c r="M25" i="3"/>
  <c r="Z25" i="3"/>
  <c r="N25" i="3"/>
  <c r="AB25" i="3"/>
  <c r="B25" i="3"/>
  <c r="V25" i="3"/>
  <c r="AF25" i="3"/>
  <c r="P25" i="3"/>
  <c r="R25" i="3"/>
  <c r="W25" i="3"/>
  <c r="X25" i="3"/>
  <c r="AL60" i="3"/>
  <c r="BJ60" i="3" s="1"/>
  <c r="Y60" i="3"/>
  <c r="M60" i="3"/>
  <c r="AL58" i="3"/>
  <c r="BJ58" i="3" s="1"/>
  <c r="Y58" i="3"/>
  <c r="M58" i="3"/>
  <c r="AL56" i="3"/>
  <c r="BJ56" i="3" s="1"/>
  <c r="Y56" i="3"/>
  <c r="M56" i="3"/>
  <c r="AL44" i="3"/>
  <c r="BJ44" i="3" s="1"/>
  <c r="X44" i="3"/>
  <c r="AE43" i="3"/>
  <c r="R43" i="3"/>
  <c r="F42" i="3"/>
  <c r="AP42" i="3" s="1"/>
  <c r="Q42" i="3"/>
  <c r="AA42" i="3"/>
  <c r="AM42" i="3"/>
  <c r="B42" i="3"/>
  <c r="R42" i="3"/>
  <c r="AC42" i="3"/>
  <c r="I42" i="3"/>
  <c r="U42" i="3"/>
  <c r="AD42" i="3"/>
  <c r="J42" i="3"/>
  <c r="V42" i="3"/>
  <c r="AE42" i="3"/>
  <c r="AO39" i="3"/>
  <c r="U39" i="3"/>
  <c r="F37" i="3"/>
  <c r="AP37" i="3" s="1"/>
  <c r="Q37" i="3"/>
  <c r="AA37" i="3"/>
  <c r="AM37" i="3"/>
  <c r="K37" i="3"/>
  <c r="W37" i="3"/>
  <c r="AF37" i="3"/>
  <c r="L37" i="3"/>
  <c r="X37" i="3"/>
  <c r="AG37" i="3"/>
  <c r="M37" i="3"/>
  <c r="Y37" i="3"/>
  <c r="AL37" i="3"/>
  <c r="BJ37" i="3" s="1"/>
  <c r="N37" i="3"/>
  <c r="Z37" i="3"/>
  <c r="AN37" i="3"/>
  <c r="AC35" i="3"/>
  <c r="AE23" i="3"/>
  <c r="F44" i="3"/>
  <c r="AP44" i="3" s="1"/>
  <c r="Q44" i="3"/>
  <c r="B44" i="3"/>
  <c r="R44" i="3"/>
  <c r="AB44" i="3"/>
  <c r="AN44" i="3"/>
  <c r="I44" i="3"/>
  <c r="U44" i="3"/>
  <c r="AC44" i="3"/>
  <c r="AO44" i="3"/>
  <c r="F35" i="3"/>
  <c r="AP35" i="3" s="1"/>
  <c r="Q35" i="3"/>
  <c r="AA35" i="3"/>
  <c r="AM35" i="3"/>
  <c r="K35" i="3"/>
  <c r="W35" i="3"/>
  <c r="AF35" i="3"/>
  <c r="L35" i="3"/>
  <c r="X35" i="3"/>
  <c r="AG35" i="3"/>
  <c r="M35" i="3"/>
  <c r="Y35" i="3"/>
  <c r="AL35" i="3"/>
  <c r="BJ35" i="3" s="1"/>
  <c r="N35" i="3"/>
  <c r="Z35" i="3"/>
  <c r="AN35" i="3"/>
  <c r="M23" i="3"/>
  <c r="AE38" i="3"/>
  <c r="V38" i="3"/>
  <c r="J38" i="3"/>
  <c r="AE36" i="3"/>
  <c r="V36" i="3"/>
  <c r="J36" i="3"/>
  <c r="AE34" i="3"/>
  <c r="V34" i="3"/>
  <c r="J34" i="3"/>
  <c r="Z31" i="3"/>
  <c r="L31" i="3"/>
  <c r="AG26" i="3"/>
  <c r="AD38" i="3"/>
  <c r="U38" i="3"/>
  <c r="I38" i="3"/>
  <c r="AD36" i="3"/>
  <c r="U36" i="3"/>
  <c r="I36" i="3"/>
  <c r="AD34" i="3"/>
  <c r="U34" i="3"/>
  <c r="I34" i="3"/>
  <c r="AN31" i="3"/>
  <c r="Y31" i="3"/>
  <c r="I31" i="3"/>
  <c r="F26" i="3"/>
  <c r="AP26" i="3" s="1"/>
  <c r="Q26" i="3"/>
  <c r="AA26" i="3"/>
  <c r="AM26" i="3"/>
  <c r="J26" i="3"/>
  <c r="U26" i="3"/>
  <c r="AC26" i="3"/>
  <c r="AO26" i="3"/>
  <c r="L26" i="3"/>
  <c r="Y26" i="3"/>
  <c r="AN26" i="3"/>
  <c r="M26" i="3"/>
  <c r="Z26" i="3"/>
  <c r="N26" i="3"/>
  <c r="AB26" i="3"/>
  <c r="B26" i="3"/>
  <c r="V26" i="3"/>
  <c r="AF26" i="3"/>
  <c r="AC38" i="3"/>
  <c r="R38" i="3"/>
  <c r="AC36" i="3"/>
  <c r="R36" i="3"/>
  <c r="AC34" i="3"/>
  <c r="R34" i="3"/>
  <c r="AM31" i="3"/>
  <c r="X31" i="3"/>
  <c r="F38" i="3"/>
  <c r="AP38" i="3" s="1"/>
  <c r="Q38" i="3"/>
  <c r="AA38" i="3"/>
  <c r="AM38" i="3"/>
  <c r="F36" i="3"/>
  <c r="AP36" i="3" s="1"/>
  <c r="Q36" i="3"/>
  <c r="AA36" i="3"/>
  <c r="AM36" i="3"/>
  <c r="F34" i="3"/>
  <c r="AP34" i="3" s="1"/>
  <c r="Q34" i="3"/>
  <c r="AA34" i="3"/>
  <c r="AM34" i="3"/>
  <c r="J31" i="3"/>
  <c r="U31" i="3"/>
  <c r="AC31" i="3"/>
  <c r="AO31" i="3"/>
  <c r="B31" i="3"/>
  <c r="Q31" i="3"/>
  <c r="AB31" i="3"/>
  <c r="K31" i="3"/>
  <c r="W31" i="3"/>
  <c r="AF31" i="3"/>
  <c r="J32" i="3"/>
  <c r="U32" i="3"/>
  <c r="J30" i="3"/>
  <c r="U30" i="3"/>
  <c r="AC30" i="3"/>
  <c r="AO30" i="3"/>
  <c r="AF29" i="3"/>
  <c r="W29" i="3"/>
  <c r="K29" i="3"/>
  <c r="J28" i="3"/>
  <c r="U28" i="3"/>
  <c r="AC28" i="3"/>
  <c r="AO28" i="3"/>
  <c r="B24" i="3"/>
  <c r="F24" i="3"/>
  <c r="AP24" i="3" s="1"/>
  <c r="Q24" i="3"/>
  <c r="AA24" i="3"/>
  <c r="AM24" i="3"/>
  <c r="J24" i="3"/>
  <c r="U24" i="3"/>
  <c r="AC24" i="3"/>
  <c r="AO24" i="3"/>
  <c r="AE22" i="3"/>
  <c r="N22" i="3"/>
  <c r="AO21" i="3"/>
  <c r="U21" i="3"/>
  <c r="B20" i="3"/>
  <c r="P20" i="3"/>
  <c r="Z20" i="3"/>
  <c r="AL20" i="3"/>
  <c r="BJ20" i="3" s="1"/>
  <c r="I20" i="3"/>
  <c r="R20" i="3"/>
  <c r="AB20" i="3"/>
  <c r="AN20" i="3"/>
  <c r="F20" i="3"/>
  <c r="AP20" i="3" s="1"/>
  <c r="V20" i="3"/>
  <c r="AF20" i="3"/>
  <c r="K20" i="3"/>
  <c r="X20" i="3"/>
  <c r="AM20" i="3"/>
  <c r="AE18" i="3"/>
  <c r="N18" i="3"/>
  <c r="AO17" i="3"/>
  <c r="U17" i="3"/>
  <c r="W16" i="3"/>
  <c r="W15" i="3"/>
  <c r="W14" i="3"/>
  <c r="W13" i="3"/>
  <c r="W12" i="3"/>
  <c r="W11" i="3"/>
  <c r="W10" i="3"/>
  <c r="W9" i="3"/>
  <c r="W8" i="3"/>
  <c r="W7" i="3"/>
  <c r="AB29" i="3"/>
  <c r="Q29" i="3"/>
  <c r="AA22" i="3"/>
  <c r="AD21" i="3"/>
  <c r="M21" i="3"/>
  <c r="AA18" i="3"/>
  <c r="AD17" i="3"/>
  <c r="M17" i="3"/>
  <c r="AG16" i="3"/>
  <c r="M16" i="3"/>
  <c r="AG15" i="3"/>
  <c r="M15" i="3"/>
  <c r="AG14" i="3"/>
  <c r="M14" i="3"/>
  <c r="AG13" i="3"/>
  <c r="M13" i="3"/>
  <c r="AG12" i="3"/>
  <c r="M12" i="3"/>
  <c r="AG11" i="3"/>
  <c r="M11" i="3"/>
  <c r="AG10" i="3"/>
  <c r="M10" i="3"/>
  <c r="AG9" i="3"/>
  <c r="M9" i="3"/>
  <c r="AG8" i="3"/>
  <c r="M8" i="3"/>
  <c r="AG7" i="3"/>
  <c r="M7" i="3"/>
  <c r="J29" i="3"/>
  <c r="U29" i="3"/>
  <c r="AC29" i="3"/>
  <c r="AO29" i="3"/>
  <c r="B22" i="3"/>
  <c r="P22" i="3"/>
  <c r="Z22" i="3"/>
  <c r="AL22" i="3"/>
  <c r="BJ22" i="3" s="1"/>
  <c r="I22" i="3"/>
  <c r="R22" i="3"/>
  <c r="AB22" i="3"/>
  <c r="AN22" i="3"/>
  <c r="F22" i="3"/>
  <c r="AP22" i="3" s="1"/>
  <c r="V22" i="3"/>
  <c r="AF22" i="3"/>
  <c r="K22" i="3"/>
  <c r="X22" i="3"/>
  <c r="AM22" i="3"/>
  <c r="AC21" i="3"/>
  <c r="L21" i="3"/>
  <c r="B18" i="3"/>
  <c r="P18" i="3"/>
  <c r="Z18" i="3"/>
  <c r="AL18" i="3"/>
  <c r="BJ18" i="3" s="1"/>
  <c r="I18" i="3"/>
  <c r="R18" i="3"/>
  <c r="AB18" i="3"/>
  <c r="AN18" i="3"/>
  <c r="F18" i="3"/>
  <c r="AP18" i="3" s="1"/>
  <c r="V18" i="3"/>
  <c r="AF18" i="3"/>
  <c r="K18" i="3"/>
  <c r="X18" i="3"/>
  <c r="AM18" i="3"/>
  <c r="AC17" i="3"/>
  <c r="L17" i="3"/>
  <c r="AE16" i="3"/>
  <c r="L16" i="3"/>
  <c r="AE15" i="3"/>
  <c r="L15" i="3"/>
  <c r="AE14" i="3"/>
  <c r="L14" i="3"/>
  <c r="AE13" i="3"/>
  <c r="L13" i="3"/>
  <c r="AE12" i="3"/>
  <c r="L12" i="3"/>
  <c r="AE11" i="3"/>
  <c r="L11" i="3"/>
  <c r="AE10" i="3"/>
  <c r="L10" i="3"/>
  <c r="AE9" i="3"/>
  <c r="L9" i="3"/>
  <c r="AE8" i="3"/>
  <c r="L8" i="3"/>
  <c r="AE7" i="3"/>
  <c r="L7" i="3"/>
  <c r="AA21" i="3"/>
  <c r="W18" i="3"/>
  <c r="AA17" i="3"/>
  <c r="AD16" i="3"/>
  <c r="AD15" i="3"/>
  <c r="AD14" i="3"/>
  <c r="AD13" i="3"/>
  <c r="AD12" i="3"/>
  <c r="AD11" i="3"/>
  <c r="AD10" i="3"/>
  <c r="AD9" i="3"/>
  <c r="AD8" i="3"/>
  <c r="AD7" i="3"/>
  <c r="B21" i="3"/>
  <c r="P21" i="3"/>
  <c r="Z21" i="3"/>
  <c r="AL21" i="3"/>
  <c r="BJ21" i="3" s="1"/>
  <c r="I21" i="3"/>
  <c r="R21" i="3"/>
  <c r="AB21" i="3"/>
  <c r="AN21" i="3"/>
  <c r="F21" i="3"/>
  <c r="AP21" i="3" s="1"/>
  <c r="V21" i="3"/>
  <c r="AF21" i="3"/>
  <c r="K21" i="3"/>
  <c r="X21" i="3"/>
  <c r="AM21" i="3"/>
  <c r="B17" i="3"/>
  <c r="P17" i="3"/>
  <c r="Z17" i="3"/>
  <c r="AL17" i="3"/>
  <c r="BJ17" i="3" s="1"/>
  <c r="I17" i="3"/>
  <c r="R17" i="3"/>
  <c r="AB17" i="3"/>
  <c r="AN17" i="3"/>
  <c r="F17" i="3"/>
  <c r="AP17" i="3" s="1"/>
  <c r="V17" i="3"/>
  <c r="AF17" i="3"/>
  <c r="K17" i="3"/>
  <c r="X17" i="3"/>
  <c r="AM17" i="3"/>
  <c r="B16" i="3"/>
  <c r="P16" i="3"/>
  <c r="Z16" i="3"/>
  <c r="AL16" i="3"/>
  <c r="BJ16" i="3" s="1"/>
  <c r="I16" i="3"/>
  <c r="R16" i="3"/>
  <c r="AB16" i="3"/>
  <c r="AN16" i="3"/>
  <c r="F16" i="3"/>
  <c r="AP16" i="3" s="1"/>
  <c r="V16" i="3"/>
  <c r="AF16" i="3"/>
  <c r="K16" i="3"/>
  <c r="X16" i="3"/>
  <c r="AM16" i="3"/>
  <c r="N16" i="3"/>
  <c r="AC16" i="3"/>
  <c r="B15" i="3"/>
  <c r="P15" i="3"/>
  <c r="Z15" i="3"/>
  <c r="AL15" i="3"/>
  <c r="BJ15" i="3" s="1"/>
  <c r="I15" i="3"/>
  <c r="R15" i="3"/>
  <c r="AB15" i="3"/>
  <c r="AN15" i="3"/>
  <c r="F15" i="3"/>
  <c r="AP15" i="3" s="1"/>
  <c r="V15" i="3"/>
  <c r="AF15" i="3"/>
  <c r="K15" i="3"/>
  <c r="X15" i="3"/>
  <c r="AM15" i="3"/>
  <c r="N15" i="3"/>
  <c r="AC15" i="3"/>
  <c r="B14" i="3"/>
  <c r="P14" i="3"/>
  <c r="Z14" i="3"/>
  <c r="AL14" i="3"/>
  <c r="BJ14" i="3" s="1"/>
  <c r="I14" i="3"/>
  <c r="R14" i="3"/>
  <c r="AB14" i="3"/>
  <c r="AN14" i="3"/>
  <c r="F14" i="3"/>
  <c r="AP14" i="3" s="1"/>
  <c r="V14" i="3"/>
  <c r="AF14" i="3"/>
  <c r="K14" i="3"/>
  <c r="X14" i="3"/>
  <c r="AM14" i="3"/>
  <c r="N14" i="3"/>
  <c r="AC14" i="3"/>
  <c r="B13" i="3"/>
  <c r="P13" i="3"/>
  <c r="Z13" i="3"/>
  <c r="AL13" i="3"/>
  <c r="BJ13" i="3" s="1"/>
  <c r="I13" i="3"/>
  <c r="R13" i="3"/>
  <c r="AB13" i="3"/>
  <c r="AN13" i="3"/>
  <c r="F13" i="3"/>
  <c r="AP13" i="3" s="1"/>
  <c r="V13" i="3"/>
  <c r="AF13" i="3"/>
  <c r="K13" i="3"/>
  <c r="X13" i="3"/>
  <c r="AM13" i="3"/>
  <c r="N13" i="3"/>
  <c r="AC13" i="3"/>
  <c r="B12" i="3"/>
  <c r="P12" i="3"/>
  <c r="Z12" i="3"/>
  <c r="AL12" i="3"/>
  <c r="BJ12" i="3" s="1"/>
  <c r="I12" i="3"/>
  <c r="R12" i="3"/>
  <c r="AB12" i="3"/>
  <c r="AN12" i="3"/>
  <c r="F12" i="3"/>
  <c r="AP12" i="3" s="1"/>
  <c r="V12" i="3"/>
  <c r="AF12" i="3"/>
  <c r="K12" i="3"/>
  <c r="X12" i="3"/>
  <c r="AM12" i="3"/>
  <c r="N12" i="3"/>
  <c r="AC12" i="3"/>
  <c r="B11" i="3"/>
  <c r="P11" i="3"/>
  <c r="Z11" i="3"/>
  <c r="AL11" i="3"/>
  <c r="BJ11" i="3" s="1"/>
  <c r="I11" i="3"/>
  <c r="R11" i="3"/>
  <c r="AB11" i="3"/>
  <c r="AN11" i="3"/>
  <c r="F11" i="3"/>
  <c r="AP11" i="3" s="1"/>
  <c r="V11" i="3"/>
  <c r="AF11" i="3"/>
  <c r="K11" i="3"/>
  <c r="X11" i="3"/>
  <c r="AM11" i="3"/>
  <c r="N11" i="3"/>
  <c r="AC11" i="3"/>
  <c r="B10" i="3"/>
  <c r="P10" i="3"/>
  <c r="Z10" i="3"/>
  <c r="AL10" i="3"/>
  <c r="BJ10" i="3" s="1"/>
  <c r="I10" i="3"/>
  <c r="R10" i="3"/>
  <c r="AB10" i="3"/>
  <c r="AN10" i="3"/>
  <c r="F10" i="3"/>
  <c r="AP10" i="3" s="1"/>
  <c r="V10" i="3"/>
  <c r="AF10" i="3"/>
  <c r="K10" i="3"/>
  <c r="X10" i="3"/>
  <c r="AM10" i="3"/>
  <c r="N10" i="3"/>
  <c r="AC10" i="3"/>
  <c r="B9" i="3"/>
  <c r="P9" i="3"/>
  <c r="Z9" i="3"/>
  <c r="AL9" i="3"/>
  <c r="BJ9" i="3" s="1"/>
  <c r="I9" i="3"/>
  <c r="R9" i="3"/>
  <c r="AB9" i="3"/>
  <c r="AN9" i="3"/>
  <c r="F9" i="3"/>
  <c r="AP9" i="3" s="1"/>
  <c r="V9" i="3"/>
  <c r="AF9" i="3"/>
  <c r="K9" i="3"/>
  <c r="X9" i="3"/>
  <c r="AM9" i="3"/>
  <c r="N9" i="3"/>
  <c r="AC9" i="3"/>
  <c r="B8" i="3"/>
  <c r="P8" i="3"/>
  <c r="Z8" i="3"/>
  <c r="AL8" i="3"/>
  <c r="BJ8" i="3" s="1"/>
  <c r="I8" i="3"/>
  <c r="R8" i="3"/>
  <c r="AB8" i="3"/>
  <c r="AN8" i="3"/>
  <c r="F8" i="3"/>
  <c r="AP8" i="3" s="1"/>
  <c r="V8" i="3"/>
  <c r="AF8" i="3"/>
  <c r="K8" i="3"/>
  <c r="X8" i="3"/>
  <c r="AM8" i="3"/>
  <c r="N8" i="3"/>
  <c r="AC8" i="3"/>
  <c r="B7" i="3"/>
  <c r="P7" i="3"/>
  <c r="Z7" i="3"/>
  <c r="AL7" i="3"/>
  <c r="BJ7" i="3" s="1"/>
  <c r="I7" i="3"/>
  <c r="R7" i="3"/>
  <c r="AB7" i="3"/>
  <c r="AN7" i="3"/>
  <c r="F7" i="3"/>
  <c r="AP7" i="3" s="1"/>
  <c r="V7" i="3"/>
  <c r="AF7" i="3"/>
  <c r="K7" i="3"/>
  <c r="X7" i="3"/>
  <c r="AM7" i="3"/>
  <c r="N7" i="3"/>
  <c r="AC7" i="3"/>
  <c r="B6" i="3"/>
  <c r="Z4" i="3"/>
  <c r="P4" i="3"/>
  <c r="AF3" i="3"/>
  <c r="X3" i="3"/>
  <c r="M3" i="3"/>
  <c r="B5" i="3"/>
  <c r="AN6" i="3"/>
  <c r="AB6" i="3"/>
  <c r="R6" i="3"/>
  <c r="I6" i="3"/>
  <c r="AL5" i="3"/>
  <c r="BJ5" i="3" s="1"/>
  <c r="Z5" i="3"/>
  <c r="P5" i="3"/>
  <c r="AF4" i="3"/>
  <c r="X4" i="3"/>
  <c r="M4" i="3"/>
  <c r="AD3" i="3"/>
  <c r="V3" i="3"/>
  <c r="K3" i="3"/>
  <c r="B4" i="3"/>
  <c r="AL6" i="3"/>
  <c r="BJ6" i="3" s="1"/>
  <c r="Z6" i="3"/>
  <c r="AF5" i="3"/>
  <c r="X5" i="3"/>
  <c r="AD4" i="3"/>
  <c r="V4" i="3"/>
  <c r="AN3" i="3"/>
  <c r="AB3" i="3"/>
  <c r="R3" i="3"/>
  <c r="I3" i="3"/>
  <c r="D648" i="16" l="1"/>
  <c r="C556" i="16"/>
  <c r="C555" i="16"/>
  <c r="C602" i="16"/>
  <c r="C640" i="16"/>
  <c r="C548" i="16"/>
  <c r="D568" i="16"/>
  <c r="C593" i="16"/>
  <c r="C639" i="16"/>
  <c r="C564" i="16"/>
  <c r="C553" i="16"/>
  <c r="C592" i="16"/>
  <c r="C638" i="16"/>
  <c r="S550" i="16"/>
  <c r="T550" i="16" s="1"/>
  <c r="D558" i="16"/>
  <c r="D597" i="16"/>
  <c r="D643" i="16"/>
  <c r="S553" i="16"/>
  <c r="T553" i="16" s="1"/>
  <c r="S592" i="16"/>
  <c r="T592" i="16" s="1"/>
  <c r="S638" i="16"/>
  <c r="T638" i="16" s="1"/>
  <c r="S599" i="16"/>
  <c r="T599" i="16" s="1"/>
  <c r="S645" i="16"/>
  <c r="T645" i="16" s="1"/>
  <c r="C597" i="16"/>
  <c r="D555" i="16"/>
  <c r="D594" i="16"/>
  <c r="D640" i="16"/>
  <c r="S566" i="16"/>
  <c r="T566" i="16" s="1"/>
  <c r="D569" i="16"/>
  <c r="C594" i="16"/>
  <c r="C632" i="16"/>
  <c r="S558" i="16"/>
  <c r="T558" i="16" s="1"/>
  <c r="D560" i="16"/>
  <c r="D607" i="16"/>
  <c r="D653" i="16"/>
  <c r="D554" i="16"/>
  <c r="D567" i="16"/>
  <c r="D606" i="16"/>
  <c r="D652" i="16"/>
  <c r="C595" i="16"/>
  <c r="D550" i="16"/>
  <c r="S609" i="16"/>
  <c r="T609" i="16" s="1"/>
  <c r="D635" i="16"/>
  <c r="C606" i="16"/>
  <c r="C652" i="16"/>
  <c r="C558" i="16"/>
  <c r="S591" i="16"/>
  <c r="T591" i="16" s="1"/>
  <c r="S637" i="16"/>
  <c r="T637" i="16" s="1"/>
  <c r="D603" i="16"/>
  <c r="S567" i="16"/>
  <c r="T567" i="16" s="1"/>
  <c r="S606" i="16"/>
  <c r="T606" i="16" s="1"/>
  <c r="D632" i="16"/>
  <c r="C603" i="16"/>
  <c r="D561" i="16"/>
  <c r="D608" i="16"/>
  <c r="D646" i="16"/>
  <c r="D609" i="16"/>
  <c r="D552" i="16"/>
  <c r="D599" i="16"/>
  <c r="D645" i="16"/>
  <c r="C611" i="16"/>
  <c r="D559" i="16"/>
  <c r="D598" i="16"/>
  <c r="D644" i="16"/>
  <c r="S597" i="16"/>
  <c r="T597" i="16" s="1"/>
  <c r="S562" i="16"/>
  <c r="T562" i="16" s="1"/>
  <c r="S601" i="16"/>
  <c r="T601" i="16" s="1"/>
  <c r="S647" i="16"/>
  <c r="T647" i="16" s="1"/>
  <c r="C598" i="16"/>
  <c r="C644" i="16"/>
  <c r="D564" i="16"/>
  <c r="C643" i="16"/>
  <c r="C567" i="16"/>
  <c r="S607" i="16"/>
  <c r="T607" i="16" s="1"/>
  <c r="S559" i="16"/>
  <c r="T559" i="16" s="1"/>
  <c r="S598" i="16"/>
  <c r="T598" i="16" s="1"/>
  <c r="S652" i="16"/>
  <c r="T652" i="16" s="1"/>
  <c r="D593" i="16"/>
  <c r="D553" i="16"/>
  <c r="D600" i="16"/>
  <c r="D638" i="16"/>
  <c r="S605" i="16"/>
  <c r="T605" i="16" s="1"/>
  <c r="S564" i="16"/>
  <c r="T564" i="16" s="1"/>
  <c r="D591" i="16"/>
  <c r="D637" i="16"/>
  <c r="D601" i="16"/>
  <c r="D551" i="16"/>
  <c r="D590" i="16"/>
  <c r="D636" i="16"/>
  <c r="C633" i="16"/>
  <c r="S554" i="16"/>
  <c r="T554" i="16" s="1"/>
  <c r="S593" i="16"/>
  <c r="T593" i="16" s="1"/>
  <c r="S639" i="16"/>
  <c r="T639" i="16" s="1"/>
  <c r="C590" i="16"/>
  <c r="C636" i="16"/>
  <c r="D548" i="16"/>
  <c r="C635" i="16"/>
  <c r="C566" i="16"/>
  <c r="C651" i="16"/>
  <c r="S551" i="16"/>
  <c r="T551" i="16" s="1"/>
  <c r="S590" i="16"/>
  <c r="T590" i="16" s="1"/>
  <c r="S644" i="16"/>
  <c r="T644" i="16" s="1"/>
  <c r="C641" i="16"/>
  <c r="S565" i="16"/>
  <c r="T565" i="16" s="1"/>
  <c r="D592" i="16"/>
  <c r="S650" i="16"/>
  <c r="T650" i="16" s="1"/>
  <c r="D647" i="16"/>
  <c r="S556" i="16"/>
  <c r="T556" i="16" s="1"/>
  <c r="S611" i="16"/>
  <c r="T611" i="16" s="1"/>
  <c r="S649" i="16"/>
  <c r="T649" i="16" s="1"/>
  <c r="C649" i="16"/>
  <c r="S563" i="16"/>
  <c r="T563" i="16" s="1"/>
  <c r="S610" i="16"/>
  <c r="T610" i="16" s="1"/>
  <c r="S648" i="16"/>
  <c r="T648" i="16" s="1"/>
  <c r="C568" i="16"/>
  <c r="C607" i="16"/>
  <c r="C653" i="16"/>
  <c r="D557" i="16"/>
  <c r="D604" i="16"/>
  <c r="D650" i="16"/>
  <c r="S552" i="16"/>
  <c r="T552" i="16" s="1"/>
  <c r="D649" i="16"/>
  <c r="C550" i="16"/>
  <c r="C565" i="16"/>
  <c r="C604" i="16"/>
  <c r="C650" i="16"/>
  <c r="S636" i="16"/>
  <c r="T636" i="16" s="1"/>
  <c r="S651" i="16"/>
  <c r="T651" i="16" s="1"/>
  <c r="S557" i="16"/>
  <c r="T557" i="16" s="1"/>
  <c r="S604" i="16"/>
  <c r="T604" i="16" s="1"/>
  <c r="S642" i="16"/>
  <c r="T642" i="16" s="1"/>
  <c r="S643" i="16"/>
  <c r="T643" i="16" s="1"/>
  <c r="S548" i="16"/>
  <c r="T548" i="16" s="1"/>
  <c r="S603" i="16"/>
  <c r="T603" i="16" s="1"/>
  <c r="S641" i="16"/>
  <c r="T641" i="16" s="1"/>
  <c r="D639" i="16"/>
  <c r="S555" i="16"/>
  <c r="T555" i="16" s="1"/>
  <c r="S602" i="16"/>
  <c r="T602" i="16" s="1"/>
  <c r="S640" i="16"/>
  <c r="T640" i="16" s="1"/>
  <c r="C560" i="16"/>
  <c r="C599" i="16"/>
  <c r="C645" i="16"/>
  <c r="D549" i="16"/>
  <c r="D596" i="16"/>
  <c r="D642" i="16"/>
  <c r="C605" i="16"/>
  <c r="D641" i="16"/>
  <c r="D556" i="16"/>
  <c r="C557" i="16"/>
  <c r="C596" i="16"/>
  <c r="C642" i="16"/>
  <c r="S635" i="16"/>
  <c r="T635" i="16" s="1"/>
  <c r="S549" i="16"/>
  <c r="T549" i="16" s="1"/>
  <c r="S596" i="16"/>
  <c r="T596" i="16" s="1"/>
  <c r="S634" i="16"/>
  <c r="T634" i="16" s="1"/>
  <c r="C562" i="16"/>
  <c r="C609" i="16"/>
  <c r="S595" i="16"/>
  <c r="T595" i="16" s="1"/>
  <c r="S633" i="16"/>
  <c r="T633" i="16" s="1"/>
  <c r="C569" i="16"/>
  <c r="C608" i="16"/>
  <c r="S594" i="16"/>
  <c r="T594" i="16" s="1"/>
  <c r="S632" i="16"/>
  <c r="T632" i="16" s="1"/>
  <c r="C552" i="16"/>
  <c r="C591" i="16"/>
  <c r="C637" i="16"/>
  <c r="S569" i="16"/>
  <c r="T569" i="16" s="1"/>
  <c r="S608" i="16"/>
  <c r="T608" i="16" s="1"/>
  <c r="D634" i="16"/>
  <c r="D611" i="16"/>
  <c r="D633" i="16"/>
  <c r="S568" i="16"/>
  <c r="T568" i="16" s="1"/>
  <c r="C549" i="16"/>
  <c r="D610" i="16"/>
  <c r="C634" i="16"/>
  <c r="D565" i="16"/>
  <c r="C563" i="16"/>
  <c r="C610" i="16"/>
  <c r="C648" i="16"/>
  <c r="C551" i="16"/>
  <c r="C554" i="16"/>
  <c r="C601" i="16"/>
  <c r="C647" i="16"/>
  <c r="C559" i="16"/>
  <c r="C561" i="16"/>
  <c r="C600" i="16"/>
  <c r="C646" i="16"/>
  <c r="D562" i="16"/>
  <c r="D566" i="16"/>
  <c r="D605" i="16"/>
  <c r="D651" i="16"/>
  <c r="S561" i="16"/>
  <c r="T561" i="16" s="1"/>
  <c r="S600" i="16"/>
  <c r="T600" i="16" s="1"/>
  <c r="S646" i="16"/>
  <c r="T646" i="16" s="1"/>
  <c r="D595" i="16"/>
  <c r="S653" i="16"/>
  <c r="T653" i="16" s="1"/>
  <c r="S560" i="16"/>
  <c r="T560" i="16" s="1"/>
  <c r="D563" i="16"/>
  <c r="D602" i="16"/>
  <c r="D626" i="16"/>
  <c r="D628" i="16"/>
  <c r="S619" i="16"/>
  <c r="T619" i="16" s="1"/>
  <c r="C620" i="16"/>
  <c r="C613" i="16"/>
  <c r="C624" i="16"/>
  <c r="D631" i="16"/>
  <c r="D614" i="16"/>
  <c r="S624" i="16"/>
  <c r="T624" i="16" s="1"/>
  <c r="C617" i="16"/>
  <c r="C618" i="16"/>
  <c r="S630" i="16"/>
  <c r="T630" i="16" s="1"/>
  <c r="S623" i="16"/>
  <c r="T623" i="16" s="1"/>
  <c r="D619" i="16"/>
  <c r="S613" i="16"/>
  <c r="T613" i="16" s="1"/>
  <c r="S612" i="16"/>
  <c r="T612" i="16" s="1"/>
  <c r="C623" i="16"/>
  <c r="D623" i="16"/>
  <c r="D613" i="16"/>
  <c r="C629" i="16"/>
  <c r="C614" i="16"/>
  <c r="S617" i="16"/>
  <c r="T617" i="16" s="1"/>
  <c r="D630" i="16"/>
  <c r="S510" i="16"/>
  <c r="T510" i="16" s="1"/>
  <c r="D618" i="16"/>
  <c r="D615" i="16"/>
  <c r="D624" i="16"/>
  <c r="C625" i="16"/>
  <c r="C616" i="16"/>
  <c r="S628" i="16"/>
  <c r="T628" i="16" s="1"/>
  <c r="C622" i="16"/>
  <c r="S616" i="16"/>
  <c r="T616" i="16" s="1"/>
  <c r="D629" i="16"/>
  <c r="C630" i="16"/>
  <c r="S622" i="16"/>
  <c r="T622" i="16" s="1"/>
  <c r="C628" i="16"/>
  <c r="C627" i="16"/>
  <c r="S618" i="16"/>
  <c r="T618" i="16" s="1"/>
  <c r="C615" i="16"/>
  <c r="S627" i="16"/>
  <c r="T627" i="16" s="1"/>
  <c r="S626" i="16"/>
  <c r="T626" i="16" s="1"/>
  <c r="C621" i="16"/>
  <c r="C612" i="16"/>
  <c r="D625" i="16"/>
  <c r="D622" i="16"/>
  <c r="D516" i="16"/>
  <c r="S621" i="16"/>
  <c r="T621" i="16" s="1"/>
  <c r="S631" i="16"/>
  <c r="T631" i="16" s="1"/>
  <c r="C626" i="16"/>
  <c r="D612" i="16"/>
  <c r="D616" i="16"/>
  <c r="D627" i="16"/>
  <c r="S615" i="16"/>
  <c r="T615" i="16" s="1"/>
  <c r="S620" i="16"/>
  <c r="T620" i="16" s="1"/>
  <c r="C631" i="16"/>
  <c r="D617" i="16"/>
  <c r="D621" i="16"/>
  <c r="S629" i="16"/>
  <c r="T629" i="16" s="1"/>
  <c r="S614" i="16"/>
  <c r="T614" i="16" s="1"/>
  <c r="S625" i="16"/>
  <c r="T625" i="16" s="1"/>
  <c r="D620" i="16"/>
  <c r="C619" i="16"/>
  <c r="S538" i="16"/>
  <c r="T538" i="16" s="1"/>
  <c r="D523" i="16"/>
  <c r="S546" i="16"/>
  <c r="T546" i="16" s="1"/>
  <c r="C516" i="16"/>
  <c r="C546" i="16"/>
  <c r="C514" i="16"/>
  <c r="C507" i="16"/>
  <c r="D528" i="16"/>
  <c r="S507" i="16"/>
  <c r="T507" i="16" s="1"/>
  <c r="S529" i="16"/>
  <c r="T529" i="16" s="1"/>
  <c r="S514" i="16"/>
  <c r="T514" i="16" s="1"/>
  <c r="D534" i="16"/>
  <c r="D509" i="16"/>
  <c r="D537" i="16"/>
  <c r="D541" i="16"/>
  <c r="C506" i="16"/>
  <c r="S509" i="16"/>
  <c r="T509" i="16" s="1"/>
  <c r="C521" i="16"/>
  <c r="S536" i="16"/>
  <c r="T536" i="16" s="1"/>
  <c r="C528" i="16"/>
  <c r="S506" i="16"/>
  <c r="T506" i="16" s="1"/>
  <c r="S532" i="16"/>
  <c r="T532" i="16" s="1"/>
  <c r="S521" i="16"/>
  <c r="T521" i="16" s="1"/>
  <c r="S535" i="16"/>
  <c r="T535" i="16" s="1"/>
  <c r="D508" i="16"/>
  <c r="C537" i="16"/>
  <c r="D515" i="16"/>
  <c r="D543" i="16"/>
  <c r="C508" i="16"/>
  <c r="S539" i="16"/>
  <c r="T539" i="16" s="1"/>
  <c r="D520" i="16"/>
  <c r="D544" i="16"/>
  <c r="C513" i="16"/>
  <c r="D513" i="16"/>
  <c r="C520" i="16"/>
  <c r="D530" i="16"/>
  <c r="C531" i="16"/>
  <c r="S513" i="16"/>
  <c r="T513" i="16" s="1"/>
  <c r="C534" i="16"/>
  <c r="S520" i="16"/>
  <c r="T520" i="16" s="1"/>
  <c r="D532" i="16"/>
  <c r="D507" i="16"/>
  <c r="S541" i="16"/>
  <c r="T541" i="16" s="1"/>
  <c r="D522" i="16"/>
  <c r="C538" i="16"/>
  <c r="D512" i="16"/>
  <c r="S542" i="16"/>
  <c r="T542" i="16" s="1"/>
  <c r="D527" i="16"/>
  <c r="C544" i="16"/>
  <c r="C512" i="16"/>
  <c r="S525" i="16"/>
  <c r="T525" i="16" s="1"/>
  <c r="C527" i="16"/>
  <c r="D546" i="16"/>
  <c r="D529" i="16"/>
  <c r="S512" i="16"/>
  <c r="T512" i="16" s="1"/>
  <c r="S530" i="16"/>
  <c r="T530" i="16" s="1"/>
  <c r="S527" i="16"/>
  <c r="T527" i="16" s="1"/>
  <c r="C540" i="16"/>
  <c r="D514" i="16"/>
  <c r="D533" i="16"/>
  <c r="S524" i="16"/>
  <c r="T524" i="16" s="1"/>
  <c r="C541" i="16"/>
  <c r="D519" i="16"/>
  <c r="D539" i="16"/>
  <c r="D526" i="16"/>
  <c r="S545" i="16"/>
  <c r="T545" i="16" s="1"/>
  <c r="C519" i="16"/>
  <c r="C523" i="16"/>
  <c r="C526" i="16"/>
  <c r="C543" i="16"/>
  <c r="C529" i="16"/>
  <c r="S519" i="16"/>
  <c r="T519" i="16" s="1"/>
  <c r="D535" i="16"/>
  <c r="D506" i="16"/>
  <c r="D538" i="16"/>
  <c r="S531" i="16"/>
  <c r="T531" i="16" s="1"/>
  <c r="S516" i="16"/>
  <c r="T516" i="16" s="1"/>
  <c r="D536" i="16"/>
  <c r="D511" i="16"/>
  <c r="S537" i="16"/>
  <c r="T537" i="16" s="1"/>
  <c r="D518" i="16"/>
  <c r="D542" i="16"/>
  <c r="C511" i="16"/>
  <c r="D545" i="16"/>
  <c r="C518" i="16"/>
  <c r="S528" i="16"/>
  <c r="T528" i="16" s="1"/>
  <c r="C525" i="16"/>
  <c r="S511" i="16"/>
  <c r="T511" i="16" s="1"/>
  <c r="S533" i="16"/>
  <c r="T533" i="16" s="1"/>
  <c r="S526" i="16"/>
  <c r="T526" i="16" s="1"/>
  <c r="C515" i="16"/>
  <c r="C530" i="16"/>
  <c r="S508" i="16"/>
  <c r="T508" i="16" s="1"/>
  <c r="S534" i="16"/>
  <c r="T534" i="16" s="1"/>
  <c r="S523" i="16"/>
  <c r="T523" i="16" s="1"/>
  <c r="C536" i="16"/>
  <c r="D510" i="16"/>
  <c r="S540" i="16"/>
  <c r="T540" i="16" s="1"/>
  <c r="D525" i="16"/>
  <c r="S543" i="16"/>
  <c r="T543" i="16" s="1"/>
  <c r="C510" i="16"/>
  <c r="C545" i="16"/>
  <c r="C517" i="16"/>
  <c r="S544" i="16"/>
  <c r="T544" i="16" s="1"/>
  <c r="C532" i="16"/>
  <c r="S518" i="16"/>
  <c r="T518" i="16" s="1"/>
  <c r="S517" i="16"/>
  <c r="T517" i="16" s="1"/>
  <c r="C522" i="16"/>
  <c r="C535" i="16"/>
  <c r="C533" i="16"/>
  <c r="S515" i="16"/>
  <c r="T515" i="16" s="1"/>
  <c r="D531" i="16"/>
  <c r="S522" i="16"/>
  <c r="T522" i="16" s="1"/>
  <c r="C539" i="16"/>
  <c r="D517" i="16"/>
  <c r="C542" i="16"/>
  <c r="D524" i="16"/>
  <c r="D540" i="16"/>
  <c r="C509" i="16"/>
  <c r="D521" i="16"/>
  <c r="C524" i="16"/>
  <c r="D10" i="16"/>
  <c r="D18" i="16"/>
  <c r="D26" i="16"/>
  <c r="D34" i="16"/>
  <c r="D42" i="16"/>
  <c r="D50" i="16"/>
  <c r="D58" i="16"/>
  <c r="D66" i="16"/>
  <c r="D74" i="16"/>
  <c r="D82" i="16"/>
  <c r="D90" i="16"/>
  <c r="D98" i="16"/>
  <c r="D106" i="16"/>
  <c r="D114" i="16"/>
  <c r="D122" i="16"/>
  <c r="D130" i="16"/>
  <c r="D138" i="16"/>
  <c r="D146" i="16"/>
  <c r="D154" i="16"/>
  <c r="D162" i="16"/>
  <c r="D170" i="16"/>
  <c r="D178" i="16"/>
  <c r="D186" i="16"/>
  <c r="D194" i="16"/>
  <c r="D202" i="16"/>
  <c r="D210" i="16"/>
  <c r="D218" i="16"/>
  <c r="D226" i="16"/>
  <c r="D234" i="16"/>
  <c r="D242" i="16"/>
  <c r="D250" i="16"/>
  <c r="D258" i="16"/>
  <c r="D266" i="16"/>
  <c r="D274" i="16"/>
  <c r="D282" i="16"/>
  <c r="D290" i="16"/>
  <c r="D298" i="16"/>
  <c r="D306" i="16"/>
  <c r="D314" i="16"/>
  <c r="D322" i="16"/>
  <c r="D330" i="16"/>
  <c r="D338" i="16"/>
  <c r="D346" i="16"/>
  <c r="D354" i="16"/>
  <c r="D362" i="16"/>
  <c r="D370" i="16"/>
  <c r="D378" i="16"/>
  <c r="D386" i="16"/>
  <c r="D394" i="16"/>
  <c r="D402" i="16"/>
  <c r="D410" i="16"/>
  <c r="D418" i="16"/>
  <c r="D426" i="16"/>
  <c r="D434" i="16"/>
  <c r="D442" i="16"/>
  <c r="D450" i="16"/>
  <c r="D458" i="16"/>
  <c r="D466" i="16"/>
  <c r="D474" i="16"/>
  <c r="D482" i="16"/>
  <c r="D490" i="16"/>
  <c r="D498" i="16"/>
  <c r="D572" i="16"/>
  <c r="D580" i="16"/>
  <c r="D588" i="16"/>
  <c r="D654" i="16"/>
  <c r="D662" i="16"/>
  <c r="D670" i="16"/>
  <c r="D678" i="16"/>
  <c r="D686" i="16"/>
  <c r="D694" i="16"/>
  <c r="D702" i="16"/>
  <c r="D710" i="16"/>
  <c r="D718" i="16"/>
  <c r="D726" i="16"/>
  <c r="D734" i="16"/>
  <c r="D742" i="16"/>
  <c r="D750" i="16"/>
  <c r="D2" i="16"/>
  <c r="C10" i="16"/>
  <c r="C18" i="16"/>
  <c r="C26" i="16"/>
  <c r="C34" i="16"/>
  <c r="C42" i="16"/>
  <c r="C50" i="16"/>
  <c r="C58" i="16"/>
  <c r="C66" i="16"/>
  <c r="C74" i="16"/>
  <c r="C82" i="16"/>
  <c r="C90" i="16"/>
  <c r="C98" i="16"/>
  <c r="C106" i="16"/>
  <c r="C114" i="16"/>
  <c r="C122" i="16"/>
  <c r="C130" i="16"/>
  <c r="C138" i="16"/>
  <c r="C146" i="16"/>
  <c r="C154" i="16"/>
  <c r="C162" i="16"/>
  <c r="C170" i="16"/>
  <c r="C178" i="16"/>
  <c r="C186" i="16"/>
  <c r="C194" i="16"/>
  <c r="C202" i="16"/>
  <c r="C210" i="16"/>
  <c r="C218" i="16"/>
  <c r="C226" i="16"/>
  <c r="C234" i="16"/>
  <c r="C242" i="16"/>
  <c r="C250" i="16"/>
  <c r="C258" i="16"/>
  <c r="C266" i="16"/>
  <c r="C274" i="16"/>
  <c r="C282" i="16"/>
  <c r="C290" i="16"/>
  <c r="C298" i="16"/>
  <c r="C306" i="16"/>
  <c r="C314" i="16"/>
  <c r="C322" i="16"/>
  <c r="C330" i="16"/>
  <c r="C338" i="16"/>
  <c r="C346" i="16"/>
  <c r="C354" i="16"/>
  <c r="C362" i="16"/>
  <c r="C370" i="16"/>
  <c r="C378" i="16"/>
  <c r="C386" i="16"/>
  <c r="C394" i="16"/>
  <c r="C402" i="16"/>
  <c r="C410" i="16"/>
  <c r="C418" i="16"/>
  <c r="C426" i="16"/>
  <c r="C434" i="16"/>
  <c r="C442" i="16"/>
  <c r="C450" i="16"/>
  <c r="C458" i="16"/>
  <c r="C466" i="16"/>
  <c r="C474" i="16"/>
  <c r="C482" i="16"/>
  <c r="C490" i="16"/>
  <c r="C498" i="16"/>
  <c r="C572" i="16"/>
  <c r="C580" i="16"/>
  <c r="C588" i="16"/>
  <c r="C654" i="16"/>
  <c r="C662" i="16"/>
  <c r="C670" i="16"/>
  <c r="C678" i="16"/>
  <c r="C686" i="16"/>
  <c r="C694" i="16"/>
  <c r="C702" i="16"/>
  <c r="C710" i="16"/>
  <c r="C718" i="16"/>
  <c r="C726" i="16"/>
  <c r="C734" i="16"/>
  <c r="C742" i="16"/>
  <c r="C750" i="16"/>
  <c r="C2" i="16"/>
  <c r="S3" i="16"/>
  <c r="T3" i="16" s="1"/>
  <c r="S7" i="16"/>
  <c r="T7" i="16" s="1"/>
  <c r="S11" i="16"/>
  <c r="T11" i="16" s="1"/>
  <c r="S15" i="16"/>
  <c r="T15" i="16" s="1"/>
  <c r="S23" i="16"/>
  <c r="T23" i="16" s="1"/>
  <c r="S27" i="16"/>
  <c r="T27" i="16" s="1"/>
  <c r="S31" i="16"/>
  <c r="T31" i="16" s="1"/>
  <c r="S35" i="16"/>
  <c r="T35" i="16" s="1"/>
  <c r="S39" i="16"/>
  <c r="T39" i="16" s="1"/>
  <c r="S43" i="16"/>
  <c r="T43" i="16" s="1"/>
  <c r="S47" i="16"/>
  <c r="T47" i="16" s="1"/>
  <c r="S51" i="16"/>
  <c r="T51" i="16" s="1"/>
  <c r="S55" i="16"/>
  <c r="T55" i="16" s="1"/>
  <c r="S59" i="16"/>
  <c r="T59" i="16" s="1"/>
  <c r="S63" i="16"/>
  <c r="T63" i="16" s="1"/>
  <c r="S67" i="16"/>
  <c r="T67" i="16" s="1"/>
  <c r="S71" i="16"/>
  <c r="T71" i="16" s="1"/>
  <c r="S75" i="16"/>
  <c r="T75" i="16" s="1"/>
  <c r="S79" i="16"/>
  <c r="T79" i="16" s="1"/>
  <c r="S83" i="16"/>
  <c r="T83" i="16" s="1"/>
  <c r="S87" i="16"/>
  <c r="T87" i="16" s="1"/>
  <c r="S91" i="16"/>
  <c r="T91" i="16" s="1"/>
  <c r="S95" i="16"/>
  <c r="T95" i="16" s="1"/>
  <c r="S99" i="16"/>
  <c r="T99" i="16" s="1"/>
  <c r="S103" i="16"/>
  <c r="T103" i="16" s="1"/>
  <c r="S107" i="16"/>
  <c r="T107" i="16" s="1"/>
  <c r="S111" i="16"/>
  <c r="T111" i="16" s="1"/>
  <c r="S115" i="16"/>
  <c r="T115" i="16" s="1"/>
  <c r="S119" i="16"/>
  <c r="T119" i="16" s="1"/>
  <c r="S123" i="16"/>
  <c r="T123" i="16" s="1"/>
  <c r="S127" i="16"/>
  <c r="T127" i="16" s="1"/>
  <c r="S131" i="16"/>
  <c r="T131" i="16" s="1"/>
  <c r="S135" i="16"/>
  <c r="T135" i="16" s="1"/>
  <c r="S139" i="16"/>
  <c r="T139" i="16" s="1"/>
  <c r="S143" i="16"/>
  <c r="T143" i="16" s="1"/>
  <c r="S147" i="16"/>
  <c r="T147" i="16" s="1"/>
  <c r="S151" i="16"/>
  <c r="T151" i="16" s="1"/>
  <c r="S155" i="16"/>
  <c r="T155" i="16" s="1"/>
  <c r="S159" i="16"/>
  <c r="T159" i="16" s="1"/>
  <c r="S163" i="16"/>
  <c r="T163" i="16" s="1"/>
  <c r="S167" i="16"/>
  <c r="T167" i="16" s="1"/>
  <c r="S171" i="16"/>
  <c r="T171" i="16" s="1"/>
  <c r="S175" i="16"/>
  <c r="T175" i="16" s="1"/>
  <c r="S179" i="16"/>
  <c r="T179" i="16" s="1"/>
  <c r="S183" i="16"/>
  <c r="T183" i="16" s="1"/>
  <c r="S187" i="16"/>
  <c r="T187" i="16" s="1"/>
  <c r="S191" i="16"/>
  <c r="T191" i="16" s="1"/>
  <c r="S195" i="16"/>
  <c r="T195" i="16" s="1"/>
  <c r="S199" i="16"/>
  <c r="T199" i="16" s="1"/>
  <c r="S203" i="16"/>
  <c r="T203" i="16" s="1"/>
  <c r="S207" i="16"/>
  <c r="T207" i="16" s="1"/>
  <c r="S211" i="16"/>
  <c r="T211" i="16" s="1"/>
  <c r="S215" i="16"/>
  <c r="T215" i="16" s="1"/>
  <c r="S219" i="16"/>
  <c r="T219" i="16" s="1"/>
  <c r="S223" i="16"/>
  <c r="T223" i="16" s="1"/>
  <c r="S227" i="16"/>
  <c r="T227" i="16" s="1"/>
  <c r="S231" i="16"/>
  <c r="T231" i="16" s="1"/>
  <c r="S235" i="16"/>
  <c r="T235" i="16" s="1"/>
  <c r="S239" i="16"/>
  <c r="T239" i="16" s="1"/>
  <c r="S243" i="16"/>
  <c r="T243" i="16" s="1"/>
  <c r="S247" i="16"/>
  <c r="T247" i="16" s="1"/>
  <c r="S251" i="16"/>
  <c r="T251" i="16" s="1"/>
  <c r="S255" i="16"/>
  <c r="T255" i="16" s="1"/>
  <c r="S259" i="16"/>
  <c r="T259" i="16" s="1"/>
  <c r="S263" i="16"/>
  <c r="T263" i="16" s="1"/>
  <c r="S267" i="16"/>
  <c r="T267" i="16" s="1"/>
  <c r="S271" i="16"/>
  <c r="T271" i="16" s="1"/>
  <c r="S275" i="16"/>
  <c r="T275" i="16" s="1"/>
  <c r="S279" i="16"/>
  <c r="T279" i="16" s="1"/>
  <c r="S283" i="16"/>
  <c r="T283" i="16" s="1"/>
  <c r="S287" i="16"/>
  <c r="T287" i="16" s="1"/>
  <c r="S291" i="16"/>
  <c r="T291" i="16" s="1"/>
  <c r="S295" i="16"/>
  <c r="T295" i="16" s="1"/>
  <c r="S299" i="16"/>
  <c r="T299" i="16" s="1"/>
  <c r="S303" i="16"/>
  <c r="T303" i="16" s="1"/>
  <c r="S307" i="16"/>
  <c r="T307" i="16" s="1"/>
  <c r="S311" i="16"/>
  <c r="T311" i="16" s="1"/>
  <c r="S315" i="16"/>
  <c r="T315" i="16" s="1"/>
  <c r="S319" i="16"/>
  <c r="T319" i="16" s="1"/>
  <c r="S323" i="16"/>
  <c r="T323" i="16" s="1"/>
  <c r="S327" i="16"/>
  <c r="T327" i="16" s="1"/>
  <c r="S331" i="16"/>
  <c r="T331" i="16" s="1"/>
  <c r="S335" i="16"/>
  <c r="T335" i="16" s="1"/>
  <c r="S339" i="16"/>
  <c r="T339" i="16" s="1"/>
  <c r="S343" i="16"/>
  <c r="T343" i="16" s="1"/>
  <c r="S347" i="16"/>
  <c r="T347" i="16" s="1"/>
  <c r="S351" i="16"/>
  <c r="T351" i="16" s="1"/>
  <c r="S355" i="16"/>
  <c r="T355" i="16" s="1"/>
  <c r="S359" i="16"/>
  <c r="T359" i="16" s="1"/>
  <c r="S363" i="16"/>
  <c r="T363" i="16" s="1"/>
  <c r="S367" i="16"/>
  <c r="T367" i="16" s="1"/>
  <c r="S371" i="16"/>
  <c r="T371" i="16" s="1"/>
  <c r="S375" i="16"/>
  <c r="T375" i="16" s="1"/>
  <c r="S379" i="16"/>
  <c r="T379" i="16" s="1"/>
  <c r="S383" i="16"/>
  <c r="T383" i="16" s="1"/>
  <c r="S387" i="16"/>
  <c r="T387" i="16" s="1"/>
  <c r="S391" i="16"/>
  <c r="T391" i="16" s="1"/>
  <c r="S395" i="16"/>
  <c r="T395" i="16" s="1"/>
  <c r="S399" i="16"/>
  <c r="T399" i="16" s="1"/>
  <c r="S403" i="16"/>
  <c r="T403" i="16" s="1"/>
  <c r="S407" i="16"/>
  <c r="T407" i="16" s="1"/>
  <c r="S411" i="16"/>
  <c r="T411" i="16" s="1"/>
  <c r="S415" i="16"/>
  <c r="T415" i="16" s="1"/>
  <c r="S419" i="16"/>
  <c r="T419" i="16" s="1"/>
  <c r="S423" i="16"/>
  <c r="T423" i="16" s="1"/>
  <c r="S427" i="16"/>
  <c r="T427" i="16" s="1"/>
  <c r="S431" i="16"/>
  <c r="T431" i="16" s="1"/>
  <c r="S435" i="16"/>
  <c r="T435" i="16" s="1"/>
  <c r="S439" i="16"/>
  <c r="T439" i="16" s="1"/>
  <c r="S443" i="16"/>
  <c r="T443" i="16" s="1"/>
  <c r="S447" i="16"/>
  <c r="T447" i="16" s="1"/>
  <c r="S451" i="16"/>
  <c r="T451" i="16" s="1"/>
  <c r="S455" i="16"/>
  <c r="T455" i="16" s="1"/>
  <c r="S459" i="16"/>
  <c r="T459" i="16" s="1"/>
  <c r="S463" i="16"/>
  <c r="T463" i="16" s="1"/>
  <c r="S467" i="16"/>
  <c r="T467" i="16" s="1"/>
  <c r="S471" i="16"/>
  <c r="T471" i="16" s="1"/>
  <c r="S475" i="16"/>
  <c r="T475" i="16" s="1"/>
  <c r="S479" i="16"/>
  <c r="T479" i="16" s="1"/>
  <c r="S483" i="16"/>
  <c r="T483" i="16" s="1"/>
  <c r="S487" i="16"/>
  <c r="T487" i="16" s="1"/>
  <c r="S491" i="16"/>
  <c r="T491" i="16" s="1"/>
  <c r="S495" i="16"/>
  <c r="T495" i="16" s="1"/>
  <c r="S499" i="16"/>
  <c r="T499" i="16" s="1"/>
  <c r="S503" i="16"/>
  <c r="T503" i="16" s="1"/>
  <c r="S573" i="16"/>
  <c r="T573" i="16" s="1"/>
  <c r="S577" i="16"/>
  <c r="T577" i="16" s="1"/>
  <c r="S581" i="16"/>
  <c r="T581" i="16" s="1"/>
  <c r="S585" i="16"/>
  <c r="T585" i="16" s="1"/>
  <c r="S589" i="16"/>
  <c r="T589" i="16" s="1"/>
  <c r="S655" i="16"/>
  <c r="T655" i="16" s="1"/>
  <c r="S659" i="16"/>
  <c r="T659" i="16" s="1"/>
  <c r="S663" i="16"/>
  <c r="T663" i="16" s="1"/>
  <c r="S667" i="16"/>
  <c r="T667" i="16" s="1"/>
  <c r="S671" i="16"/>
  <c r="T671" i="16" s="1"/>
  <c r="S675" i="16"/>
  <c r="T675" i="16" s="1"/>
  <c r="S679" i="16"/>
  <c r="T679" i="16" s="1"/>
  <c r="S683" i="16"/>
  <c r="T683" i="16" s="1"/>
  <c r="S687" i="16"/>
  <c r="T687" i="16" s="1"/>
  <c r="S691" i="16"/>
  <c r="T691" i="16" s="1"/>
  <c r="S695" i="16"/>
  <c r="T695" i="16" s="1"/>
  <c r="S699" i="16"/>
  <c r="T699" i="16" s="1"/>
  <c r="S703" i="16"/>
  <c r="T703" i="16" s="1"/>
  <c r="S707" i="16"/>
  <c r="T707" i="16" s="1"/>
  <c r="S711" i="16"/>
  <c r="T711" i="16" s="1"/>
  <c r="S715" i="16"/>
  <c r="T715" i="16" s="1"/>
  <c r="S719" i="16"/>
  <c r="T719" i="16" s="1"/>
  <c r="S723" i="16"/>
  <c r="T723" i="16" s="1"/>
  <c r="S727" i="16"/>
  <c r="T727" i="16" s="1"/>
  <c r="S731" i="16"/>
  <c r="T731" i="16" s="1"/>
  <c r="S735" i="16"/>
  <c r="T735" i="16" s="1"/>
  <c r="S739" i="16"/>
  <c r="T739" i="16" s="1"/>
  <c r="S743" i="16"/>
  <c r="T743" i="16" s="1"/>
  <c r="S747" i="16"/>
  <c r="T747" i="16" s="1"/>
  <c r="S751" i="16"/>
  <c r="T751" i="16" s="1"/>
  <c r="S755" i="16"/>
  <c r="T755" i="16" s="1"/>
  <c r="D3" i="16"/>
  <c r="D11" i="16"/>
  <c r="D27" i="16"/>
  <c r="D35" i="16"/>
  <c r="D43" i="16"/>
  <c r="D51" i="16"/>
  <c r="D59" i="16"/>
  <c r="D67" i="16"/>
  <c r="D75" i="16"/>
  <c r="D83" i="16"/>
  <c r="D91" i="16"/>
  <c r="D99" i="16"/>
  <c r="D107" i="16"/>
  <c r="D115" i="16"/>
  <c r="D123" i="16"/>
  <c r="D131" i="16"/>
  <c r="D139" i="16"/>
  <c r="D147" i="16"/>
  <c r="D155" i="16"/>
  <c r="D163" i="16"/>
  <c r="D171" i="16"/>
  <c r="D179" i="16"/>
  <c r="D187" i="16"/>
  <c r="D195" i="16"/>
  <c r="D203" i="16"/>
  <c r="D211" i="16"/>
  <c r="D219" i="16"/>
  <c r="D227" i="16"/>
  <c r="D235" i="16"/>
  <c r="D243" i="16"/>
  <c r="D251" i="16"/>
  <c r="D259" i="16"/>
  <c r="D267" i="16"/>
  <c r="D275" i="16"/>
  <c r="D283" i="16"/>
  <c r="D291" i="16"/>
  <c r="D299" i="16"/>
  <c r="D307" i="16"/>
  <c r="D315" i="16"/>
  <c r="D323" i="16"/>
  <c r="D331" i="16"/>
  <c r="D339" i="16"/>
  <c r="D347" i="16"/>
  <c r="D355" i="16"/>
  <c r="D363" i="16"/>
  <c r="D371" i="16"/>
  <c r="D379" i="16"/>
  <c r="D387" i="16"/>
  <c r="D395" i="16"/>
  <c r="D403" i="16"/>
  <c r="D411" i="16"/>
  <c r="D419" i="16"/>
  <c r="D427" i="16"/>
  <c r="D435" i="16"/>
  <c r="D443" i="16"/>
  <c r="D451" i="16"/>
  <c r="D459" i="16"/>
  <c r="D467" i="16"/>
  <c r="D475" i="16"/>
  <c r="D483" i="16"/>
  <c r="D491" i="16"/>
  <c r="D499" i="16"/>
  <c r="D573" i="16"/>
  <c r="D581" i="16"/>
  <c r="D589" i="16"/>
  <c r="D655" i="16"/>
  <c r="D663" i="16"/>
  <c r="D671" i="16"/>
  <c r="D679" i="16"/>
  <c r="D687" i="16"/>
  <c r="D695" i="16"/>
  <c r="D703" i="16"/>
  <c r="D711" i="16"/>
  <c r="D719" i="16"/>
  <c r="D727" i="16"/>
  <c r="D735" i="16"/>
  <c r="D743" i="16"/>
  <c r="D751" i="16"/>
  <c r="C3" i="16"/>
  <c r="C11" i="16"/>
  <c r="C27" i="16"/>
  <c r="C35" i="16"/>
  <c r="C43" i="16"/>
  <c r="C51" i="16"/>
  <c r="C59" i="16"/>
  <c r="C67" i="16"/>
  <c r="C75" i="16"/>
  <c r="C83" i="16"/>
  <c r="C91" i="16"/>
  <c r="C99" i="16"/>
  <c r="C107" i="16"/>
  <c r="C115" i="16"/>
  <c r="C123" i="16"/>
  <c r="C131" i="16"/>
  <c r="C139" i="16"/>
  <c r="C147" i="16"/>
  <c r="C155" i="16"/>
  <c r="C163" i="16"/>
  <c r="C171" i="16"/>
  <c r="C179" i="16"/>
  <c r="C187" i="16"/>
  <c r="C195" i="16"/>
  <c r="C203" i="16"/>
  <c r="C211" i="16"/>
  <c r="C219" i="16"/>
  <c r="C227" i="16"/>
  <c r="C235" i="16"/>
  <c r="C243" i="16"/>
  <c r="C251" i="16"/>
  <c r="C259" i="16"/>
  <c r="C267" i="16"/>
  <c r="C275" i="16"/>
  <c r="C283" i="16"/>
  <c r="C291" i="16"/>
  <c r="C299" i="16"/>
  <c r="C307" i="16"/>
  <c r="C315" i="16"/>
  <c r="C323" i="16"/>
  <c r="C331" i="16"/>
  <c r="C339" i="16"/>
  <c r="C347" i="16"/>
  <c r="C355" i="16"/>
  <c r="C363" i="16"/>
  <c r="C371" i="16"/>
  <c r="C379" i="16"/>
  <c r="C387" i="16"/>
  <c r="C395" i="16"/>
  <c r="C403" i="16"/>
  <c r="C411" i="16"/>
  <c r="C419" i="16"/>
  <c r="C427" i="16"/>
  <c r="C435" i="16"/>
  <c r="C443" i="16"/>
  <c r="C451" i="16"/>
  <c r="C459" i="16"/>
  <c r="C467" i="16"/>
  <c r="C475" i="16"/>
  <c r="C483" i="16"/>
  <c r="C491" i="16"/>
  <c r="C499" i="16"/>
  <c r="C573" i="16"/>
  <c r="C581" i="16"/>
  <c r="C589" i="16"/>
  <c r="C655" i="16"/>
  <c r="C663" i="16"/>
  <c r="C671" i="16"/>
  <c r="C679" i="16"/>
  <c r="C687" i="16"/>
  <c r="C695" i="16"/>
  <c r="C703" i="16"/>
  <c r="C711" i="16"/>
  <c r="C719" i="16"/>
  <c r="C727" i="16"/>
  <c r="C735" i="16"/>
  <c r="C743" i="16"/>
  <c r="C751" i="16"/>
  <c r="S4" i="16"/>
  <c r="T4" i="16" s="1"/>
  <c r="S8" i="16"/>
  <c r="T8" i="16" s="1"/>
  <c r="S12" i="16"/>
  <c r="T12" i="16" s="1"/>
  <c r="S16" i="16"/>
  <c r="T16" i="16" s="1"/>
  <c r="S20" i="16"/>
  <c r="T20" i="16" s="1"/>
  <c r="S24" i="16"/>
  <c r="T24" i="16" s="1"/>
  <c r="S28" i="16"/>
  <c r="T28" i="16" s="1"/>
  <c r="S32" i="16"/>
  <c r="T32" i="16" s="1"/>
  <c r="S36" i="16"/>
  <c r="T36" i="16" s="1"/>
  <c r="S40" i="16"/>
  <c r="T40" i="16" s="1"/>
  <c r="S44" i="16"/>
  <c r="T44" i="16" s="1"/>
  <c r="S48" i="16"/>
  <c r="T48" i="16" s="1"/>
  <c r="S52" i="16"/>
  <c r="T52" i="16" s="1"/>
  <c r="S56" i="16"/>
  <c r="T56" i="16" s="1"/>
  <c r="S60" i="16"/>
  <c r="T60" i="16" s="1"/>
  <c r="S64" i="16"/>
  <c r="T64" i="16" s="1"/>
  <c r="S68" i="16"/>
  <c r="T68" i="16" s="1"/>
  <c r="S72" i="16"/>
  <c r="T72" i="16" s="1"/>
  <c r="S76" i="16"/>
  <c r="T76" i="16" s="1"/>
  <c r="S80" i="16"/>
  <c r="T80" i="16" s="1"/>
  <c r="S84" i="16"/>
  <c r="T84" i="16" s="1"/>
  <c r="S88" i="16"/>
  <c r="T88" i="16" s="1"/>
  <c r="S92" i="16"/>
  <c r="T92" i="16" s="1"/>
  <c r="S96" i="16"/>
  <c r="T96" i="16" s="1"/>
  <c r="S100" i="16"/>
  <c r="T100" i="16" s="1"/>
  <c r="S104" i="16"/>
  <c r="T104" i="16" s="1"/>
  <c r="S108" i="16"/>
  <c r="T108" i="16" s="1"/>
  <c r="S112" i="16"/>
  <c r="T112" i="16" s="1"/>
  <c r="S116" i="16"/>
  <c r="T116" i="16" s="1"/>
  <c r="S120" i="16"/>
  <c r="T120" i="16" s="1"/>
  <c r="S124" i="16"/>
  <c r="T124" i="16" s="1"/>
  <c r="S128" i="16"/>
  <c r="T128" i="16" s="1"/>
  <c r="S132" i="16"/>
  <c r="T132" i="16" s="1"/>
  <c r="S136" i="16"/>
  <c r="T136" i="16" s="1"/>
  <c r="S140" i="16"/>
  <c r="T140" i="16" s="1"/>
  <c r="S144" i="16"/>
  <c r="T144" i="16" s="1"/>
  <c r="S148" i="16"/>
  <c r="T148" i="16" s="1"/>
  <c r="S152" i="16"/>
  <c r="T152" i="16" s="1"/>
  <c r="S156" i="16"/>
  <c r="T156" i="16" s="1"/>
  <c r="S160" i="16"/>
  <c r="T160" i="16" s="1"/>
  <c r="S164" i="16"/>
  <c r="T164" i="16" s="1"/>
  <c r="S168" i="16"/>
  <c r="T168" i="16" s="1"/>
  <c r="S172" i="16"/>
  <c r="T172" i="16" s="1"/>
  <c r="S176" i="16"/>
  <c r="T176" i="16" s="1"/>
  <c r="S180" i="16"/>
  <c r="T180" i="16" s="1"/>
  <c r="S184" i="16"/>
  <c r="T184" i="16" s="1"/>
  <c r="S188" i="16"/>
  <c r="T188" i="16" s="1"/>
  <c r="S192" i="16"/>
  <c r="T192" i="16" s="1"/>
  <c r="S196" i="16"/>
  <c r="T196" i="16" s="1"/>
  <c r="S200" i="16"/>
  <c r="T200" i="16" s="1"/>
  <c r="S204" i="16"/>
  <c r="T204" i="16" s="1"/>
  <c r="S208" i="16"/>
  <c r="T208" i="16" s="1"/>
  <c r="S212" i="16"/>
  <c r="T212" i="16" s="1"/>
  <c r="S216" i="16"/>
  <c r="T216" i="16" s="1"/>
  <c r="S220" i="16"/>
  <c r="T220" i="16" s="1"/>
  <c r="S224" i="16"/>
  <c r="T224" i="16" s="1"/>
  <c r="S228" i="16"/>
  <c r="T228" i="16" s="1"/>
  <c r="S232" i="16"/>
  <c r="T232" i="16" s="1"/>
  <c r="S236" i="16"/>
  <c r="T236" i="16" s="1"/>
  <c r="S240" i="16"/>
  <c r="T240" i="16" s="1"/>
  <c r="S244" i="16"/>
  <c r="T244" i="16" s="1"/>
  <c r="S248" i="16"/>
  <c r="T248" i="16" s="1"/>
  <c r="S252" i="16"/>
  <c r="T252" i="16" s="1"/>
  <c r="S256" i="16"/>
  <c r="T256" i="16" s="1"/>
  <c r="S260" i="16"/>
  <c r="T260" i="16" s="1"/>
  <c r="S264" i="16"/>
  <c r="T264" i="16" s="1"/>
  <c r="S268" i="16"/>
  <c r="T268" i="16" s="1"/>
  <c r="S272" i="16"/>
  <c r="T272" i="16" s="1"/>
  <c r="S276" i="16"/>
  <c r="T276" i="16" s="1"/>
  <c r="S280" i="16"/>
  <c r="T280" i="16" s="1"/>
  <c r="S284" i="16"/>
  <c r="T284" i="16" s="1"/>
  <c r="S288" i="16"/>
  <c r="T288" i="16" s="1"/>
  <c r="S292" i="16"/>
  <c r="T292" i="16" s="1"/>
  <c r="S296" i="16"/>
  <c r="T296" i="16" s="1"/>
  <c r="S300" i="16"/>
  <c r="T300" i="16" s="1"/>
  <c r="S304" i="16"/>
  <c r="T304" i="16" s="1"/>
  <c r="S308" i="16"/>
  <c r="T308" i="16" s="1"/>
  <c r="S312" i="16"/>
  <c r="T312" i="16" s="1"/>
  <c r="S316" i="16"/>
  <c r="T316" i="16" s="1"/>
  <c r="S320" i="16"/>
  <c r="T320" i="16" s="1"/>
  <c r="S324" i="16"/>
  <c r="T324" i="16" s="1"/>
  <c r="S328" i="16"/>
  <c r="T328" i="16" s="1"/>
  <c r="S332" i="16"/>
  <c r="T332" i="16" s="1"/>
  <c r="S336" i="16"/>
  <c r="T336" i="16" s="1"/>
  <c r="S340" i="16"/>
  <c r="T340" i="16" s="1"/>
  <c r="S344" i="16"/>
  <c r="T344" i="16" s="1"/>
  <c r="S348" i="16"/>
  <c r="T348" i="16" s="1"/>
  <c r="S352" i="16"/>
  <c r="T352" i="16" s="1"/>
  <c r="S356" i="16"/>
  <c r="T356" i="16" s="1"/>
  <c r="S360" i="16"/>
  <c r="T360" i="16" s="1"/>
  <c r="S364" i="16"/>
  <c r="T364" i="16" s="1"/>
  <c r="S368" i="16"/>
  <c r="T368" i="16" s="1"/>
  <c r="S372" i="16"/>
  <c r="T372" i="16" s="1"/>
  <c r="S376" i="16"/>
  <c r="T376" i="16" s="1"/>
  <c r="S380" i="16"/>
  <c r="T380" i="16" s="1"/>
  <c r="S384" i="16"/>
  <c r="T384" i="16" s="1"/>
  <c r="S388" i="16"/>
  <c r="T388" i="16" s="1"/>
  <c r="S392" i="16"/>
  <c r="T392" i="16" s="1"/>
  <c r="S396" i="16"/>
  <c r="T396" i="16" s="1"/>
  <c r="S400" i="16"/>
  <c r="T400" i="16" s="1"/>
  <c r="S404" i="16"/>
  <c r="T404" i="16" s="1"/>
  <c r="S408" i="16"/>
  <c r="T408" i="16" s="1"/>
  <c r="S412" i="16"/>
  <c r="T412" i="16" s="1"/>
  <c r="S416" i="16"/>
  <c r="T416" i="16" s="1"/>
  <c r="S420" i="16"/>
  <c r="T420" i="16" s="1"/>
  <c r="S424" i="16"/>
  <c r="T424" i="16" s="1"/>
  <c r="S428" i="16"/>
  <c r="T428" i="16" s="1"/>
  <c r="S432" i="16"/>
  <c r="T432" i="16" s="1"/>
  <c r="S436" i="16"/>
  <c r="T436" i="16" s="1"/>
  <c r="S440" i="16"/>
  <c r="T440" i="16" s="1"/>
  <c r="S444" i="16"/>
  <c r="T444" i="16" s="1"/>
  <c r="S448" i="16"/>
  <c r="T448" i="16" s="1"/>
  <c r="S452" i="16"/>
  <c r="T452" i="16" s="1"/>
  <c r="S456" i="16"/>
  <c r="T456" i="16" s="1"/>
  <c r="S460" i="16"/>
  <c r="T460" i="16" s="1"/>
  <c r="S464" i="16"/>
  <c r="T464" i="16" s="1"/>
  <c r="S468" i="16"/>
  <c r="T468" i="16" s="1"/>
  <c r="S472" i="16"/>
  <c r="T472" i="16" s="1"/>
  <c r="S476" i="16"/>
  <c r="T476" i="16" s="1"/>
  <c r="S480" i="16"/>
  <c r="T480" i="16" s="1"/>
  <c r="S484" i="16"/>
  <c r="T484" i="16" s="1"/>
  <c r="S488" i="16"/>
  <c r="T488" i="16" s="1"/>
  <c r="S492" i="16"/>
  <c r="T492" i="16" s="1"/>
  <c r="S496" i="16"/>
  <c r="T496" i="16" s="1"/>
  <c r="S500" i="16"/>
  <c r="T500" i="16" s="1"/>
  <c r="S504" i="16"/>
  <c r="T504" i="16" s="1"/>
  <c r="S570" i="16"/>
  <c r="T570" i="16" s="1"/>
  <c r="S574" i="16"/>
  <c r="T574" i="16" s="1"/>
  <c r="S578" i="16"/>
  <c r="T578" i="16" s="1"/>
  <c r="S582" i="16"/>
  <c r="T582" i="16" s="1"/>
  <c r="S586" i="16"/>
  <c r="T586" i="16" s="1"/>
  <c r="S656" i="16"/>
  <c r="T656" i="16" s="1"/>
  <c r="S660" i="16"/>
  <c r="T660" i="16" s="1"/>
  <c r="S664" i="16"/>
  <c r="T664" i="16" s="1"/>
  <c r="S668" i="16"/>
  <c r="T668" i="16" s="1"/>
  <c r="S672" i="16"/>
  <c r="T672" i="16" s="1"/>
  <c r="S676" i="16"/>
  <c r="T676" i="16" s="1"/>
  <c r="S680" i="16"/>
  <c r="T680" i="16" s="1"/>
  <c r="S684" i="16"/>
  <c r="T684" i="16" s="1"/>
  <c r="S688" i="16"/>
  <c r="T688" i="16" s="1"/>
  <c r="S692" i="16"/>
  <c r="T692" i="16" s="1"/>
  <c r="S696" i="16"/>
  <c r="T696" i="16" s="1"/>
  <c r="S700" i="16"/>
  <c r="T700" i="16" s="1"/>
  <c r="S704" i="16"/>
  <c r="T704" i="16" s="1"/>
  <c r="S708" i="16"/>
  <c r="T708" i="16" s="1"/>
  <c r="S712" i="16"/>
  <c r="T712" i="16" s="1"/>
  <c r="S716" i="16"/>
  <c r="T716" i="16" s="1"/>
  <c r="S720" i="16"/>
  <c r="T720" i="16" s="1"/>
  <c r="S724" i="16"/>
  <c r="T724" i="16" s="1"/>
  <c r="S728" i="16"/>
  <c r="T728" i="16" s="1"/>
  <c r="S732" i="16"/>
  <c r="T732" i="16" s="1"/>
  <c r="S736" i="16"/>
  <c r="T736" i="16" s="1"/>
  <c r="S740" i="16"/>
  <c r="T740" i="16" s="1"/>
  <c r="S744" i="16"/>
  <c r="T744" i="16" s="1"/>
  <c r="S748" i="16"/>
  <c r="T748" i="16" s="1"/>
  <c r="S752" i="16"/>
  <c r="T752" i="16" s="1"/>
  <c r="S756" i="16"/>
  <c r="T756" i="16" s="1"/>
  <c r="D5" i="16"/>
  <c r="D13" i="16"/>
  <c r="D21" i="16"/>
  <c r="D29" i="16"/>
  <c r="D37" i="16"/>
  <c r="D45" i="16"/>
  <c r="D53" i="16"/>
  <c r="D61" i="16"/>
  <c r="D69" i="16"/>
  <c r="D77" i="16"/>
  <c r="D85" i="16"/>
  <c r="D93" i="16"/>
  <c r="D101" i="16"/>
  <c r="D109" i="16"/>
  <c r="D117" i="16"/>
  <c r="D125" i="16"/>
  <c r="D133" i="16"/>
  <c r="D141" i="16"/>
  <c r="D149" i="16"/>
  <c r="D157" i="16"/>
  <c r="D165" i="16"/>
  <c r="D173" i="16"/>
  <c r="D181" i="16"/>
  <c r="D189" i="16"/>
  <c r="D197" i="16"/>
  <c r="D205" i="16"/>
  <c r="D213" i="16"/>
  <c r="D221" i="16"/>
  <c r="D229" i="16"/>
  <c r="D237" i="16"/>
  <c r="D245" i="16"/>
  <c r="D253" i="16"/>
  <c r="D261" i="16"/>
  <c r="D269" i="16"/>
  <c r="D277" i="16"/>
  <c r="D285" i="16"/>
  <c r="D293" i="16"/>
  <c r="D301" i="16"/>
  <c r="D309" i="16"/>
  <c r="D317" i="16"/>
  <c r="D325" i="16"/>
  <c r="D333" i="16"/>
  <c r="D341" i="16"/>
  <c r="D349" i="16"/>
  <c r="D357" i="16"/>
  <c r="D365" i="16"/>
  <c r="D373" i="16"/>
  <c r="D381" i="16"/>
  <c r="D389" i="16"/>
  <c r="D397" i="16"/>
  <c r="D405" i="16"/>
  <c r="D413" i="16"/>
  <c r="D421" i="16"/>
  <c r="D429" i="16"/>
  <c r="D437" i="16"/>
  <c r="D445" i="16"/>
  <c r="D453" i="16"/>
  <c r="D461" i="16"/>
  <c r="D469" i="16"/>
  <c r="D477" i="16"/>
  <c r="D485" i="16"/>
  <c r="D493" i="16"/>
  <c r="D501" i="16"/>
  <c r="D575" i="16"/>
  <c r="D583" i="16"/>
  <c r="D657" i="16"/>
  <c r="D665" i="16"/>
  <c r="D673" i="16"/>
  <c r="D681" i="16"/>
  <c r="D689" i="16"/>
  <c r="D697" i="16"/>
  <c r="D705" i="16"/>
  <c r="D713" i="16"/>
  <c r="D721" i="16"/>
  <c r="D729" i="16"/>
  <c r="D737" i="16"/>
  <c r="D745" i="16"/>
  <c r="D753" i="16"/>
  <c r="C5" i="16"/>
  <c r="C13" i="16"/>
  <c r="C21" i="16"/>
  <c r="C29" i="16"/>
  <c r="C37" i="16"/>
  <c r="C45" i="16"/>
  <c r="C53" i="16"/>
  <c r="C61" i="16"/>
  <c r="C69" i="16"/>
  <c r="C77" i="16"/>
  <c r="C85" i="16"/>
  <c r="C93" i="16"/>
  <c r="C101" i="16"/>
  <c r="C109" i="16"/>
  <c r="C117" i="16"/>
  <c r="C125" i="16"/>
  <c r="C133" i="16"/>
  <c r="C141" i="16"/>
  <c r="C149" i="16"/>
  <c r="C157" i="16"/>
  <c r="C165" i="16"/>
  <c r="C173" i="16"/>
  <c r="C181" i="16"/>
  <c r="C189" i="16"/>
  <c r="C197" i="16"/>
  <c r="C205" i="16"/>
  <c r="C213" i="16"/>
  <c r="C221" i="16"/>
  <c r="C229" i="16"/>
  <c r="C237" i="16"/>
  <c r="C245" i="16"/>
  <c r="C253" i="16"/>
  <c r="C261" i="16"/>
  <c r="C269" i="16"/>
  <c r="C277" i="16"/>
  <c r="C285" i="16"/>
  <c r="C293" i="16"/>
  <c r="C301" i="16"/>
  <c r="C309" i="16"/>
  <c r="C317" i="16"/>
  <c r="C325" i="16"/>
  <c r="C333" i="16"/>
  <c r="C341" i="16"/>
  <c r="C349" i="16"/>
  <c r="C357" i="16"/>
  <c r="C365" i="16"/>
  <c r="C373" i="16"/>
  <c r="C381" i="16"/>
  <c r="C389" i="16"/>
  <c r="C397" i="16"/>
  <c r="C405" i="16"/>
  <c r="C413" i="16"/>
  <c r="C421" i="16"/>
  <c r="C429" i="16"/>
  <c r="C437" i="16"/>
  <c r="C445" i="16"/>
  <c r="C453" i="16"/>
  <c r="C461" i="16"/>
  <c r="C469" i="16"/>
  <c r="C477" i="16"/>
  <c r="C485" i="16"/>
  <c r="C493" i="16"/>
  <c r="C501" i="16"/>
  <c r="C575" i="16"/>
  <c r="C583" i="16"/>
  <c r="C657" i="16"/>
  <c r="C665" i="16"/>
  <c r="C673" i="16"/>
  <c r="C681" i="16"/>
  <c r="C689" i="16"/>
  <c r="C697" i="16"/>
  <c r="C705" i="16"/>
  <c r="C713" i="16"/>
  <c r="C721" i="16"/>
  <c r="C729" i="16"/>
  <c r="C737" i="16"/>
  <c r="C745" i="16"/>
  <c r="C753" i="16"/>
  <c r="S5" i="16"/>
  <c r="T5" i="16" s="1"/>
  <c r="S9" i="16"/>
  <c r="T9" i="16" s="1"/>
  <c r="S13" i="16"/>
  <c r="T13" i="16" s="1"/>
  <c r="S17" i="16"/>
  <c r="T17" i="16" s="1"/>
  <c r="S21" i="16"/>
  <c r="T21" i="16" s="1"/>
  <c r="S25" i="16"/>
  <c r="T25" i="16" s="1"/>
  <c r="S29" i="16"/>
  <c r="T29" i="16" s="1"/>
  <c r="S33" i="16"/>
  <c r="T33" i="16" s="1"/>
  <c r="S37" i="16"/>
  <c r="T37" i="16" s="1"/>
  <c r="S41" i="16"/>
  <c r="T41" i="16" s="1"/>
  <c r="S45" i="16"/>
  <c r="T45" i="16" s="1"/>
  <c r="S49" i="16"/>
  <c r="T49" i="16" s="1"/>
  <c r="S53" i="16"/>
  <c r="T53" i="16" s="1"/>
  <c r="S57" i="16"/>
  <c r="T57" i="16" s="1"/>
  <c r="S61" i="16"/>
  <c r="T61" i="16" s="1"/>
  <c r="S65" i="16"/>
  <c r="T65" i="16" s="1"/>
  <c r="S69" i="16"/>
  <c r="T69" i="16" s="1"/>
  <c r="S73" i="16"/>
  <c r="T73" i="16" s="1"/>
  <c r="S77" i="16"/>
  <c r="T77" i="16" s="1"/>
  <c r="S81" i="16"/>
  <c r="T81" i="16" s="1"/>
  <c r="S85" i="16"/>
  <c r="T85" i="16" s="1"/>
  <c r="S89" i="16"/>
  <c r="T89" i="16" s="1"/>
  <c r="S93" i="16"/>
  <c r="T93" i="16" s="1"/>
  <c r="S97" i="16"/>
  <c r="T97" i="16" s="1"/>
  <c r="S101" i="16"/>
  <c r="T101" i="16" s="1"/>
  <c r="S38" i="16"/>
  <c r="T38" i="16" s="1"/>
  <c r="S70" i="16"/>
  <c r="T70" i="16" s="1"/>
  <c r="S102" i="16"/>
  <c r="T102" i="16" s="1"/>
  <c r="S110" i="16"/>
  <c r="T110" i="16" s="1"/>
  <c r="S118" i="16"/>
  <c r="T118" i="16" s="1"/>
  <c r="S126" i="16"/>
  <c r="T126" i="16" s="1"/>
  <c r="S134" i="16"/>
  <c r="T134" i="16" s="1"/>
  <c r="S142" i="16"/>
  <c r="T142" i="16" s="1"/>
  <c r="S150" i="16"/>
  <c r="T150" i="16" s="1"/>
  <c r="S158" i="16"/>
  <c r="T158" i="16" s="1"/>
  <c r="S166" i="16"/>
  <c r="T166" i="16" s="1"/>
  <c r="S174" i="16"/>
  <c r="T174" i="16" s="1"/>
  <c r="S182" i="16"/>
  <c r="T182" i="16" s="1"/>
  <c r="S190" i="16"/>
  <c r="T190" i="16" s="1"/>
  <c r="S198" i="16"/>
  <c r="T198" i="16" s="1"/>
  <c r="S206" i="16"/>
  <c r="T206" i="16" s="1"/>
  <c r="S214" i="16"/>
  <c r="T214" i="16" s="1"/>
  <c r="S222" i="16"/>
  <c r="T222" i="16" s="1"/>
  <c r="S230" i="16"/>
  <c r="T230" i="16" s="1"/>
  <c r="S238" i="16"/>
  <c r="T238" i="16" s="1"/>
  <c r="S246" i="16"/>
  <c r="T246" i="16" s="1"/>
  <c r="S254" i="16"/>
  <c r="T254" i="16" s="1"/>
  <c r="S262" i="16"/>
  <c r="T262" i="16" s="1"/>
  <c r="S270" i="16"/>
  <c r="T270" i="16" s="1"/>
  <c r="S278" i="16"/>
  <c r="T278" i="16" s="1"/>
  <c r="S286" i="16"/>
  <c r="T286" i="16" s="1"/>
  <c r="S294" i="16"/>
  <c r="T294" i="16" s="1"/>
  <c r="S302" i="16"/>
  <c r="T302" i="16" s="1"/>
  <c r="S310" i="16"/>
  <c r="T310" i="16" s="1"/>
  <c r="S318" i="16"/>
  <c r="T318" i="16" s="1"/>
  <c r="S326" i="16"/>
  <c r="T326" i="16" s="1"/>
  <c r="S334" i="16"/>
  <c r="T334" i="16" s="1"/>
  <c r="S342" i="16"/>
  <c r="T342" i="16" s="1"/>
  <c r="S350" i="16"/>
  <c r="T350" i="16" s="1"/>
  <c r="S358" i="16"/>
  <c r="T358" i="16" s="1"/>
  <c r="S366" i="16"/>
  <c r="T366" i="16" s="1"/>
  <c r="S374" i="16"/>
  <c r="T374" i="16" s="1"/>
  <c r="S382" i="16"/>
  <c r="T382" i="16" s="1"/>
  <c r="S390" i="16"/>
  <c r="T390" i="16" s="1"/>
  <c r="S398" i="16"/>
  <c r="T398" i="16" s="1"/>
  <c r="S406" i="16"/>
  <c r="T406" i="16" s="1"/>
  <c r="S414" i="16"/>
  <c r="T414" i="16" s="1"/>
  <c r="S422" i="16"/>
  <c r="T422" i="16" s="1"/>
  <c r="S430" i="16"/>
  <c r="T430" i="16" s="1"/>
  <c r="S438" i="16"/>
  <c r="T438" i="16" s="1"/>
  <c r="S446" i="16"/>
  <c r="T446" i="16" s="1"/>
  <c r="S454" i="16"/>
  <c r="T454" i="16" s="1"/>
  <c r="S474" i="16"/>
  <c r="T474" i="16" s="1"/>
  <c r="S481" i="16"/>
  <c r="T481" i="16" s="1"/>
  <c r="S580" i="16"/>
  <c r="T580" i="16" s="1"/>
  <c r="S587" i="16"/>
  <c r="T587" i="16" s="1"/>
  <c r="S654" i="16"/>
  <c r="T654" i="16" s="1"/>
  <c r="S661" i="16"/>
  <c r="T661" i="16" s="1"/>
  <c r="S686" i="16"/>
  <c r="T686" i="16" s="1"/>
  <c r="S693" i="16"/>
  <c r="T693" i="16" s="1"/>
  <c r="S718" i="16"/>
  <c r="T718" i="16" s="1"/>
  <c r="S725" i="16"/>
  <c r="T725" i="16" s="1"/>
  <c r="S750" i="16"/>
  <c r="T750" i="16" s="1"/>
  <c r="S757" i="16"/>
  <c r="T757" i="16" s="1"/>
  <c r="D12" i="16"/>
  <c r="D23" i="16"/>
  <c r="D36" i="16"/>
  <c r="D48" i="16"/>
  <c r="D62" i="16"/>
  <c r="D73" i="16"/>
  <c r="D87" i="16"/>
  <c r="D100" i="16"/>
  <c r="D112" i="16"/>
  <c r="D126" i="16"/>
  <c r="D137" i="16"/>
  <c r="D151" i="16"/>
  <c r="D164" i="16"/>
  <c r="D176" i="16"/>
  <c r="D190" i="16"/>
  <c r="D201" i="16"/>
  <c r="D215" i="16"/>
  <c r="D228" i="16"/>
  <c r="D240" i="16"/>
  <c r="D254" i="16"/>
  <c r="D265" i="16"/>
  <c r="D279" i="16"/>
  <c r="D292" i="16"/>
  <c r="D304" i="16"/>
  <c r="D318" i="16"/>
  <c r="D329" i="16"/>
  <c r="D343" i="16"/>
  <c r="D356" i="16"/>
  <c r="D368" i="16"/>
  <c r="D382" i="16"/>
  <c r="D393" i="16"/>
  <c r="D407" i="16"/>
  <c r="D420" i="16"/>
  <c r="D432" i="16"/>
  <c r="D446" i="16"/>
  <c r="D457" i="16"/>
  <c r="D471" i="16"/>
  <c r="D484" i="16"/>
  <c r="D496" i="16"/>
  <c r="D577" i="16"/>
  <c r="D658" i="16"/>
  <c r="D669" i="16"/>
  <c r="D683" i="16"/>
  <c r="D696" i="16"/>
  <c r="D708" i="16"/>
  <c r="D722" i="16"/>
  <c r="D733" i="16"/>
  <c r="D747" i="16"/>
  <c r="C4" i="16"/>
  <c r="C16" i="16"/>
  <c r="C28" i="16"/>
  <c r="C40" i="16"/>
  <c r="C54" i="16"/>
  <c r="C65" i="16"/>
  <c r="C79" i="16"/>
  <c r="C92" i="16"/>
  <c r="C104" i="16"/>
  <c r="C118" i="16"/>
  <c r="C129" i="16"/>
  <c r="C143" i="16"/>
  <c r="S10" i="16"/>
  <c r="T10" i="16" s="1"/>
  <c r="S50" i="16"/>
  <c r="T50" i="16" s="1"/>
  <c r="S82" i="16"/>
  <c r="T82" i="16" s="1"/>
  <c r="S462" i="16"/>
  <c r="T462" i="16" s="1"/>
  <c r="S469" i="16"/>
  <c r="T469" i="16" s="1"/>
  <c r="S494" i="16"/>
  <c r="T494" i="16" s="1"/>
  <c r="S501" i="16"/>
  <c r="T501" i="16" s="1"/>
  <c r="S547" i="16"/>
  <c r="T547" i="16" s="1"/>
  <c r="S575" i="16"/>
  <c r="T575" i="16" s="1"/>
  <c r="S674" i="16"/>
  <c r="T674" i="16" s="1"/>
  <c r="S681" i="16"/>
  <c r="T681" i="16" s="1"/>
  <c r="S706" i="16"/>
  <c r="T706" i="16" s="1"/>
  <c r="S713" i="16"/>
  <c r="T713" i="16" s="1"/>
  <c r="S738" i="16"/>
  <c r="T738" i="16" s="1"/>
  <c r="S745" i="16"/>
  <c r="T745" i="16" s="1"/>
  <c r="D14" i="16"/>
  <c r="D24" i="16"/>
  <c r="D38" i="16"/>
  <c r="D49" i="16"/>
  <c r="D63" i="16"/>
  <c r="D76" i="16"/>
  <c r="D88" i="16"/>
  <c r="D102" i="16"/>
  <c r="D113" i="16"/>
  <c r="D127" i="16"/>
  <c r="D140" i="16"/>
  <c r="D152" i="16"/>
  <c r="D166" i="16"/>
  <c r="D177" i="16"/>
  <c r="D191" i="16"/>
  <c r="D204" i="16"/>
  <c r="D216" i="16"/>
  <c r="D230" i="16"/>
  <c r="D241" i="16"/>
  <c r="D255" i="16"/>
  <c r="D268" i="16"/>
  <c r="D280" i="16"/>
  <c r="D294" i="16"/>
  <c r="D305" i="16"/>
  <c r="D319" i="16"/>
  <c r="D332" i="16"/>
  <c r="D344" i="16"/>
  <c r="D358" i="16"/>
  <c r="D369" i="16"/>
  <c r="D383" i="16"/>
  <c r="D396" i="16"/>
  <c r="D408" i="16"/>
  <c r="D422" i="16"/>
  <c r="D433" i="16"/>
  <c r="S30" i="16"/>
  <c r="T30" i="16" s="1"/>
  <c r="S62" i="16"/>
  <c r="T62" i="16" s="1"/>
  <c r="S94" i="16"/>
  <c r="T94" i="16" s="1"/>
  <c r="S105" i="16"/>
  <c r="T105" i="16" s="1"/>
  <c r="S113" i="16"/>
  <c r="T113" i="16" s="1"/>
  <c r="S121" i="16"/>
  <c r="T121" i="16" s="1"/>
  <c r="S129" i="16"/>
  <c r="T129" i="16" s="1"/>
  <c r="S137" i="16"/>
  <c r="T137" i="16" s="1"/>
  <c r="S145" i="16"/>
  <c r="T145" i="16" s="1"/>
  <c r="S153" i="16"/>
  <c r="T153" i="16" s="1"/>
  <c r="S161" i="16"/>
  <c r="T161" i="16" s="1"/>
  <c r="S169" i="16"/>
  <c r="T169" i="16" s="1"/>
  <c r="S177" i="16"/>
  <c r="T177" i="16" s="1"/>
  <c r="S185" i="16"/>
  <c r="T185" i="16" s="1"/>
  <c r="S193" i="16"/>
  <c r="T193" i="16" s="1"/>
  <c r="S201" i="16"/>
  <c r="T201" i="16" s="1"/>
  <c r="S209" i="16"/>
  <c r="T209" i="16" s="1"/>
  <c r="S217" i="16"/>
  <c r="T217" i="16" s="1"/>
  <c r="S225" i="16"/>
  <c r="T225" i="16" s="1"/>
  <c r="S233" i="16"/>
  <c r="T233" i="16" s="1"/>
  <c r="S241" i="16"/>
  <c r="T241" i="16" s="1"/>
  <c r="S249" i="16"/>
  <c r="T249" i="16" s="1"/>
  <c r="S257" i="16"/>
  <c r="T257" i="16" s="1"/>
  <c r="S265" i="16"/>
  <c r="T265" i="16" s="1"/>
  <c r="S273" i="16"/>
  <c r="T273" i="16" s="1"/>
  <c r="S281" i="16"/>
  <c r="T281" i="16" s="1"/>
  <c r="S289" i="16"/>
  <c r="T289" i="16" s="1"/>
  <c r="S297" i="16"/>
  <c r="T297" i="16" s="1"/>
  <c r="S305" i="16"/>
  <c r="T305" i="16" s="1"/>
  <c r="S313" i="16"/>
  <c r="T313" i="16" s="1"/>
  <c r="S321" i="16"/>
  <c r="T321" i="16" s="1"/>
  <c r="S329" i="16"/>
  <c r="T329" i="16" s="1"/>
  <c r="S337" i="16"/>
  <c r="T337" i="16" s="1"/>
  <c r="S345" i="16"/>
  <c r="T345" i="16" s="1"/>
  <c r="S353" i="16"/>
  <c r="T353" i="16" s="1"/>
  <c r="S361" i="16"/>
  <c r="T361" i="16" s="1"/>
  <c r="S369" i="16"/>
  <c r="T369" i="16" s="1"/>
  <c r="S377" i="16"/>
  <c r="T377" i="16" s="1"/>
  <c r="S385" i="16"/>
  <c r="T385" i="16" s="1"/>
  <c r="S393" i="16"/>
  <c r="T393" i="16" s="1"/>
  <c r="S401" i="16"/>
  <c r="T401" i="16" s="1"/>
  <c r="S409" i="16"/>
  <c r="T409" i="16" s="1"/>
  <c r="S417" i="16"/>
  <c r="T417" i="16" s="1"/>
  <c r="S425" i="16"/>
  <c r="T425" i="16" s="1"/>
  <c r="S433" i="16"/>
  <c r="T433" i="16" s="1"/>
  <c r="S441" i="16"/>
  <c r="T441" i="16" s="1"/>
  <c r="S449" i="16"/>
  <c r="T449" i="16" s="1"/>
  <c r="S457" i="16"/>
  <c r="T457" i="16" s="1"/>
  <c r="S482" i="16"/>
  <c r="T482" i="16" s="1"/>
  <c r="S489" i="16"/>
  <c r="T489" i="16" s="1"/>
  <c r="S588" i="16"/>
  <c r="T588" i="16" s="1"/>
  <c r="S662" i="16"/>
  <c r="T662" i="16" s="1"/>
  <c r="S669" i="16"/>
  <c r="T669" i="16" s="1"/>
  <c r="S694" i="16"/>
  <c r="T694" i="16" s="1"/>
  <c r="S701" i="16"/>
  <c r="T701" i="16" s="1"/>
  <c r="S726" i="16"/>
  <c r="T726" i="16" s="1"/>
  <c r="S733" i="16"/>
  <c r="T733" i="16" s="1"/>
  <c r="S2" i="16"/>
  <c r="T2" i="16" s="1"/>
  <c r="D15" i="16"/>
  <c r="D25" i="16"/>
  <c r="D39" i="16"/>
  <c r="D52" i="16"/>
  <c r="D64" i="16"/>
  <c r="D78" i="16"/>
  <c r="D89" i="16"/>
  <c r="D103" i="16"/>
  <c r="D116" i="16"/>
  <c r="D128" i="16"/>
  <c r="D142" i="16"/>
  <c r="D153" i="16"/>
  <c r="D167" i="16"/>
  <c r="D180" i="16"/>
  <c r="D192" i="16"/>
  <c r="D206" i="16"/>
  <c r="D217" i="16"/>
  <c r="D231" i="16"/>
  <c r="D244" i="16"/>
  <c r="D256" i="16"/>
  <c r="D270" i="16"/>
  <c r="D281" i="16"/>
  <c r="D295" i="16"/>
  <c r="D308" i="16"/>
  <c r="D320" i="16"/>
  <c r="D334" i="16"/>
  <c r="D345" i="16"/>
  <c r="D359" i="16"/>
  <c r="D372" i="16"/>
  <c r="D384" i="16"/>
  <c r="D398" i="16"/>
  <c r="D409" i="16"/>
  <c r="D423" i="16"/>
  <c r="D436" i="16"/>
  <c r="D448" i="16"/>
  <c r="D462" i="16"/>
  <c r="D473" i="16"/>
  <c r="D487" i="16"/>
  <c r="D500" i="16"/>
  <c r="D547" i="16"/>
  <c r="D579" i="16"/>
  <c r="D660" i="16"/>
  <c r="D674" i="16"/>
  <c r="D685" i="16"/>
  <c r="D699" i="16"/>
  <c r="D712" i="16"/>
  <c r="D724" i="16"/>
  <c r="D738" i="16"/>
  <c r="D749" i="16"/>
  <c r="C7" i="16"/>
  <c r="C31" i="16"/>
  <c r="C44" i="16"/>
  <c r="C56" i="16"/>
  <c r="C70" i="16"/>
  <c r="C81" i="16"/>
  <c r="C95" i="16"/>
  <c r="C108" i="16"/>
  <c r="C120" i="16"/>
  <c r="C134" i="16"/>
  <c r="C145" i="16"/>
  <c r="C159" i="16"/>
  <c r="C172" i="16"/>
  <c r="C184" i="16"/>
  <c r="C198" i="16"/>
  <c r="C209" i="16"/>
  <c r="C223" i="16"/>
  <c r="C236" i="16"/>
  <c r="C248" i="16"/>
  <c r="C262" i="16"/>
  <c r="C273" i="16"/>
  <c r="C287" i="16"/>
  <c r="C300" i="16"/>
  <c r="C312" i="16"/>
  <c r="C326" i="16"/>
  <c r="C337" i="16"/>
  <c r="C351" i="16"/>
  <c r="C364" i="16"/>
  <c r="C376" i="16"/>
  <c r="C390" i="16"/>
  <c r="C401" i="16"/>
  <c r="C415" i="16"/>
  <c r="C428" i="16"/>
  <c r="S42" i="16"/>
  <c r="T42" i="16" s="1"/>
  <c r="S74" i="16"/>
  <c r="T74" i="16" s="1"/>
  <c r="S470" i="16"/>
  <c r="T470" i="16" s="1"/>
  <c r="S477" i="16"/>
  <c r="T477" i="16" s="1"/>
  <c r="S502" i="16"/>
  <c r="T502" i="16" s="1"/>
  <c r="S576" i="16"/>
  <c r="T576" i="16" s="1"/>
  <c r="S583" i="16"/>
  <c r="T583" i="16" s="1"/>
  <c r="S657" i="16"/>
  <c r="T657" i="16" s="1"/>
  <c r="S682" i="16"/>
  <c r="T682" i="16" s="1"/>
  <c r="S689" i="16"/>
  <c r="T689" i="16" s="1"/>
  <c r="S714" i="16"/>
  <c r="T714" i="16" s="1"/>
  <c r="S721" i="16"/>
  <c r="T721" i="16" s="1"/>
  <c r="S746" i="16"/>
  <c r="T746" i="16" s="1"/>
  <c r="S753" i="16"/>
  <c r="T753" i="16" s="1"/>
  <c r="D4" i="16"/>
  <c r="D16" i="16"/>
  <c r="D28" i="16"/>
  <c r="D40" i="16"/>
  <c r="D54" i="16"/>
  <c r="D65" i="16"/>
  <c r="D79" i="16"/>
  <c r="D92" i="16"/>
  <c r="D104" i="16"/>
  <c r="D118" i="16"/>
  <c r="D129" i="16"/>
  <c r="D143" i="16"/>
  <c r="D156" i="16"/>
  <c r="D168" i="16"/>
  <c r="D182" i="16"/>
  <c r="D193" i="16"/>
  <c r="D207" i="16"/>
  <c r="D220" i="16"/>
  <c r="D232" i="16"/>
  <c r="D246" i="16"/>
  <c r="D257" i="16"/>
  <c r="D271" i="16"/>
  <c r="D284" i="16"/>
  <c r="D296" i="16"/>
  <c r="D310" i="16"/>
  <c r="D321" i="16"/>
  <c r="D335" i="16"/>
  <c r="D348" i="16"/>
  <c r="D360" i="16"/>
  <c r="D374" i="16"/>
  <c r="D385" i="16"/>
  <c r="D399" i="16"/>
  <c r="D412" i="16"/>
  <c r="D424" i="16"/>
  <c r="D438" i="16"/>
  <c r="D449" i="16"/>
  <c r="D463" i="16"/>
  <c r="D476" i="16"/>
  <c r="D488" i="16"/>
  <c r="D502" i="16"/>
  <c r="D582" i="16"/>
  <c r="D661" i="16"/>
  <c r="D675" i="16"/>
  <c r="D688" i="16"/>
  <c r="D700" i="16"/>
  <c r="D714" i="16"/>
  <c r="D725" i="16"/>
  <c r="D739" i="16"/>
  <c r="D752" i="16"/>
  <c r="C8" i="16"/>
  <c r="C20" i="16"/>
  <c r="C32" i="16"/>
  <c r="C46" i="16"/>
  <c r="C57" i="16"/>
  <c r="C71" i="16"/>
  <c r="C84" i="16"/>
  <c r="C96" i="16"/>
  <c r="C110" i="16"/>
  <c r="C121" i="16"/>
  <c r="C135" i="16"/>
  <c r="C148" i="16"/>
  <c r="C160" i="16"/>
  <c r="C174" i="16"/>
  <c r="C185" i="16"/>
  <c r="C199" i="16"/>
  <c r="C212" i="16"/>
  <c r="C224" i="16"/>
  <c r="C238" i="16"/>
  <c r="C249" i="16"/>
  <c r="C263" i="16"/>
  <c r="C276" i="16"/>
  <c r="C288" i="16"/>
  <c r="C302" i="16"/>
  <c r="C313" i="16"/>
  <c r="C327" i="16"/>
  <c r="C340" i="16"/>
  <c r="C352" i="16"/>
  <c r="C366" i="16"/>
  <c r="C377" i="16"/>
  <c r="C391" i="16"/>
  <c r="C404" i="16"/>
  <c r="C416" i="16"/>
  <c r="C430" i="16"/>
  <c r="C441" i="16"/>
  <c r="C455" i="16"/>
  <c r="C468" i="16"/>
  <c r="C480" i="16"/>
  <c r="C494" i="16"/>
  <c r="C505" i="16"/>
  <c r="C574" i="16"/>
  <c r="C586" i="16"/>
  <c r="C667" i="16"/>
  <c r="C680" i="16"/>
  <c r="C692" i="16"/>
  <c r="C706" i="16"/>
  <c r="C717" i="16"/>
  <c r="C731" i="16"/>
  <c r="C744" i="16"/>
  <c r="C756" i="16"/>
  <c r="S14" i="16"/>
  <c r="T14" i="16" s="1"/>
  <c r="S22" i="16"/>
  <c r="T22" i="16" s="1"/>
  <c r="S54" i="16"/>
  <c r="T54" i="16" s="1"/>
  <c r="S86" i="16"/>
  <c r="T86" i="16" s="1"/>
  <c r="S106" i="16"/>
  <c r="T106" i="16" s="1"/>
  <c r="S114" i="16"/>
  <c r="T114" i="16" s="1"/>
  <c r="S122" i="16"/>
  <c r="T122" i="16" s="1"/>
  <c r="S130" i="16"/>
  <c r="T130" i="16" s="1"/>
  <c r="S138" i="16"/>
  <c r="T138" i="16" s="1"/>
  <c r="S146" i="16"/>
  <c r="T146" i="16" s="1"/>
  <c r="S154" i="16"/>
  <c r="T154" i="16" s="1"/>
  <c r="S162" i="16"/>
  <c r="T162" i="16" s="1"/>
  <c r="S170" i="16"/>
  <c r="T170" i="16" s="1"/>
  <c r="S178" i="16"/>
  <c r="T178" i="16" s="1"/>
  <c r="S186" i="16"/>
  <c r="T186" i="16" s="1"/>
  <c r="S194" i="16"/>
  <c r="T194" i="16" s="1"/>
  <c r="S202" i="16"/>
  <c r="T202" i="16" s="1"/>
  <c r="S210" i="16"/>
  <c r="T210" i="16" s="1"/>
  <c r="S218" i="16"/>
  <c r="T218" i="16" s="1"/>
  <c r="S226" i="16"/>
  <c r="T226" i="16" s="1"/>
  <c r="S234" i="16"/>
  <c r="T234" i="16" s="1"/>
  <c r="S242" i="16"/>
  <c r="T242" i="16" s="1"/>
  <c r="S250" i="16"/>
  <c r="T250" i="16" s="1"/>
  <c r="S258" i="16"/>
  <c r="T258" i="16" s="1"/>
  <c r="S266" i="16"/>
  <c r="T266" i="16" s="1"/>
  <c r="S274" i="16"/>
  <c r="T274" i="16" s="1"/>
  <c r="S282" i="16"/>
  <c r="T282" i="16" s="1"/>
  <c r="S290" i="16"/>
  <c r="T290" i="16" s="1"/>
  <c r="S298" i="16"/>
  <c r="T298" i="16" s="1"/>
  <c r="S306" i="16"/>
  <c r="T306" i="16" s="1"/>
  <c r="S314" i="16"/>
  <c r="T314" i="16" s="1"/>
  <c r="S322" i="16"/>
  <c r="T322" i="16" s="1"/>
  <c r="S330" i="16"/>
  <c r="T330" i="16" s="1"/>
  <c r="S338" i="16"/>
  <c r="T338" i="16" s="1"/>
  <c r="S346" i="16"/>
  <c r="T346" i="16" s="1"/>
  <c r="S354" i="16"/>
  <c r="T354" i="16" s="1"/>
  <c r="S362" i="16"/>
  <c r="T362" i="16" s="1"/>
  <c r="S370" i="16"/>
  <c r="T370" i="16" s="1"/>
  <c r="S378" i="16"/>
  <c r="T378" i="16" s="1"/>
  <c r="S386" i="16"/>
  <c r="T386" i="16" s="1"/>
  <c r="S394" i="16"/>
  <c r="T394" i="16" s="1"/>
  <c r="S402" i="16"/>
  <c r="T402" i="16" s="1"/>
  <c r="S410" i="16"/>
  <c r="T410" i="16" s="1"/>
  <c r="S418" i="16"/>
  <c r="T418" i="16" s="1"/>
  <c r="S426" i="16"/>
  <c r="T426" i="16" s="1"/>
  <c r="S434" i="16"/>
  <c r="T434" i="16" s="1"/>
  <c r="S442" i="16"/>
  <c r="T442" i="16" s="1"/>
  <c r="S450" i="16"/>
  <c r="T450" i="16" s="1"/>
  <c r="S458" i="16"/>
  <c r="T458" i="16" s="1"/>
  <c r="S465" i="16"/>
  <c r="T465" i="16" s="1"/>
  <c r="S490" i="16"/>
  <c r="T490" i="16" s="1"/>
  <c r="S497" i="16"/>
  <c r="T497" i="16" s="1"/>
  <c r="S571" i="16"/>
  <c r="T571" i="16" s="1"/>
  <c r="S670" i="16"/>
  <c r="T670" i="16" s="1"/>
  <c r="S677" i="16"/>
  <c r="T677" i="16" s="1"/>
  <c r="S702" i="16"/>
  <c r="T702" i="16" s="1"/>
  <c r="S709" i="16"/>
  <c r="T709" i="16" s="1"/>
  <c r="S734" i="16"/>
  <c r="T734" i="16" s="1"/>
  <c r="S741" i="16"/>
  <c r="T741" i="16" s="1"/>
  <c r="D6" i="16"/>
  <c r="D17" i="16"/>
  <c r="D30" i="16"/>
  <c r="D41" i="16"/>
  <c r="D55" i="16"/>
  <c r="D68" i="16"/>
  <c r="D80" i="16"/>
  <c r="D94" i="16"/>
  <c r="D105" i="16"/>
  <c r="D119" i="16"/>
  <c r="D132" i="16"/>
  <c r="D144" i="16"/>
  <c r="D158" i="16"/>
  <c r="D169" i="16"/>
  <c r="D183" i="16"/>
  <c r="D196" i="16"/>
  <c r="D208" i="16"/>
  <c r="D222" i="16"/>
  <c r="D233" i="16"/>
  <c r="D247" i="16"/>
  <c r="D260" i="16"/>
  <c r="D272" i="16"/>
  <c r="D286" i="16"/>
  <c r="D297" i="16"/>
  <c r="D311" i="16"/>
  <c r="D324" i="16"/>
  <c r="D336" i="16"/>
  <c r="D350" i="16"/>
  <c r="D361" i="16"/>
  <c r="D375" i="16"/>
  <c r="D388" i="16"/>
  <c r="D400" i="16"/>
  <c r="D414" i="16"/>
  <c r="D425" i="16"/>
  <c r="D439" i="16"/>
  <c r="D452" i="16"/>
  <c r="D464" i="16"/>
  <c r="D478" i="16"/>
  <c r="D489" i="16"/>
  <c r="D503" i="16"/>
  <c r="D570" i="16"/>
  <c r="D584" i="16"/>
  <c r="D664" i="16"/>
  <c r="D676" i="16"/>
  <c r="D690" i="16"/>
  <c r="D701" i="16"/>
  <c r="D715" i="16"/>
  <c r="D728" i="16"/>
  <c r="D740" i="16"/>
  <c r="D754" i="16"/>
  <c r="C9" i="16"/>
  <c r="C22" i="16"/>
  <c r="C33" i="16"/>
  <c r="C47" i="16"/>
  <c r="C60" i="16"/>
  <c r="C72" i="16"/>
  <c r="C86" i="16"/>
  <c r="C97" i="16"/>
  <c r="C111" i="16"/>
  <c r="C124" i="16"/>
  <c r="C136" i="16"/>
  <c r="C150" i="16"/>
  <c r="C161" i="16"/>
  <c r="C175" i="16"/>
  <c r="C188" i="16"/>
  <c r="C200" i="16"/>
  <c r="C214" i="16"/>
  <c r="C225" i="16"/>
  <c r="C239" i="16"/>
  <c r="C252" i="16"/>
  <c r="C264" i="16"/>
  <c r="C278" i="16"/>
  <c r="C289" i="16"/>
  <c r="C303" i="16"/>
  <c r="C316" i="16"/>
  <c r="S6" i="16"/>
  <c r="T6" i="16" s="1"/>
  <c r="S46" i="16"/>
  <c r="T46" i="16" s="1"/>
  <c r="S78" i="16"/>
  <c r="T78" i="16" s="1"/>
  <c r="S109" i="16"/>
  <c r="T109" i="16" s="1"/>
  <c r="S117" i="16"/>
  <c r="T117" i="16" s="1"/>
  <c r="S125" i="16"/>
  <c r="T125" i="16" s="1"/>
  <c r="S133" i="16"/>
  <c r="T133" i="16" s="1"/>
  <c r="S141" i="16"/>
  <c r="T141" i="16" s="1"/>
  <c r="S149" i="16"/>
  <c r="T149" i="16" s="1"/>
  <c r="S157" i="16"/>
  <c r="T157" i="16" s="1"/>
  <c r="S165" i="16"/>
  <c r="T165" i="16" s="1"/>
  <c r="S173" i="16"/>
  <c r="T173" i="16" s="1"/>
  <c r="S181" i="16"/>
  <c r="T181" i="16" s="1"/>
  <c r="S189" i="16"/>
  <c r="T189" i="16" s="1"/>
  <c r="S197" i="16"/>
  <c r="T197" i="16" s="1"/>
  <c r="S205" i="16"/>
  <c r="T205" i="16" s="1"/>
  <c r="S213" i="16"/>
  <c r="T213" i="16" s="1"/>
  <c r="S221" i="16"/>
  <c r="T221" i="16" s="1"/>
  <c r="S229" i="16"/>
  <c r="T229" i="16" s="1"/>
  <c r="S237" i="16"/>
  <c r="T237" i="16" s="1"/>
  <c r="S245" i="16"/>
  <c r="T245" i="16" s="1"/>
  <c r="S253" i="16"/>
  <c r="T253" i="16" s="1"/>
  <c r="S261" i="16"/>
  <c r="T261" i="16" s="1"/>
  <c r="S269" i="16"/>
  <c r="T269" i="16" s="1"/>
  <c r="S277" i="16"/>
  <c r="T277" i="16" s="1"/>
  <c r="S285" i="16"/>
  <c r="T285" i="16" s="1"/>
  <c r="S293" i="16"/>
  <c r="T293" i="16" s="1"/>
  <c r="S301" i="16"/>
  <c r="T301" i="16" s="1"/>
  <c r="S309" i="16"/>
  <c r="T309" i="16" s="1"/>
  <c r="S317" i="16"/>
  <c r="T317" i="16" s="1"/>
  <c r="S325" i="16"/>
  <c r="T325" i="16" s="1"/>
  <c r="S333" i="16"/>
  <c r="T333" i="16" s="1"/>
  <c r="S341" i="16"/>
  <c r="T341" i="16" s="1"/>
  <c r="S349" i="16"/>
  <c r="T349" i="16" s="1"/>
  <c r="S357" i="16"/>
  <c r="T357" i="16" s="1"/>
  <c r="S365" i="16"/>
  <c r="T365" i="16" s="1"/>
  <c r="S373" i="16"/>
  <c r="T373" i="16" s="1"/>
  <c r="S381" i="16"/>
  <c r="T381" i="16" s="1"/>
  <c r="S389" i="16"/>
  <c r="T389" i="16" s="1"/>
  <c r="S397" i="16"/>
  <c r="T397" i="16" s="1"/>
  <c r="S405" i="16"/>
  <c r="T405" i="16" s="1"/>
  <c r="S413" i="16"/>
  <c r="T413" i="16" s="1"/>
  <c r="S421" i="16"/>
  <c r="T421" i="16" s="1"/>
  <c r="S429" i="16"/>
  <c r="T429" i="16" s="1"/>
  <c r="S437" i="16"/>
  <c r="T437" i="16" s="1"/>
  <c r="S445" i="16"/>
  <c r="T445" i="16" s="1"/>
  <c r="S453" i="16"/>
  <c r="T453" i="16" s="1"/>
  <c r="S466" i="16"/>
  <c r="T466" i="16" s="1"/>
  <c r="S473" i="16"/>
  <c r="T473" i="16" s="1"/>
  <c r="S66" i="16"/>
  <c r="T66" i="16" s="1"/>
  <c r="S498" i="16"/>
  <c r="T498" i="16" s="1"/>
  <c r="S666" i="16"/>
  <c r="T666" i="16" s="1"/>
  <c r="S685" i="16"/>
  <c r="T685" i="16" s="1"/>
  <c r="S754" i="16"/>
  <c r="T754" i="16" s="1"/>
  <c r="D22" i="16"/>
  <c r="D57" i="16"/>
  <c r="D95" i="16"/>
  <c r="D124" i="16"/>
  <c r="D160" i="16"/>
  <c r="D198" i="16"/>
  <c r="D225" i="16"/>
  <c r="D263" i="16"/>
  <c r="D300" i="16"/>
  <c r="D328" i="16"/>
  <c r="D366" i="16"/>
  <c r="D401" i="16"/>
  <c r="D431" i="16"/>
  <c r="D460" i="16"/>
  <c r="D486" i="16"/>
  <c r="D578" i="16"/>
  <c r="D672" i="16"/>
  <c r="D698" i="16"/>
  <c r="D723" i="16"/>
  <c r="D748" i="16"/>
  <c r="C17" i="16"/>
  <c r="C39" i="16"/>
  <c r="C64" i="16"/>
  <c r="C89" i="16"/>
  <c r="C116" i="16"/>
  <c r="C142" i="16"/>
  <c r="C166" i="16"/>
  <c r="C183" i="16"/>
  <c r="C206" i="16"/>
  <c r="C228" i="16"/>
  <c r="C246" i="16"/>
  <c r="C268" i="16"/>
  <c r="C286" i="16"/>
  <c r="C308" i="16"/>
  <c r="C328" i="16"/>
  <c r="C344" i="16"/>
  <c r="C360" i="16"/>
  <c r="C380" i="16"/>
  <c r="C396" i="16"/>
  <c r="C412" i="16"/>
  <c r="C431" i="16"/>
  <c r="C446" i="16"/>
  <c r="C460" i="16"/>
  <c r="C473" i="16"/>
  <c r="C488" i="16"/>
  <c r="C503" i="16"/>
  <c r="C576" i="16"/>
  <c r="C660" i="16"/>
  <c r="C675" i="16"/>
  <c r="C690" i="16"/>
  <c r="C704" i="16"/>
  <c r="C720" i="16"/>
  <c r="C733" i="16"/>
  <c r="C748" i="16"/>
  <c r="C724" i="16"/>
  <c r="S18" i="16"/>
  <c r="T18" i="16" s="1"/>
  <c r="D9" i="16"/>
  <c r="D81" i="16"/>
  <c r="D184" i="16"/>
  <c r="D287" i="16"/>
  <c r="D417" i="16"/>
  <c r="D454" i="16"/>
  <c r="D716" i="16"/>
  <c r="C55" i="16"/>
  <c r="C132" i="16"/>
  <c r="C196" i="16"/>
  <c r="C257" i="16"/>
  <c r="C297" i="16"/>
  <c r="C372" i="16"/>
  <c r="C407" i="16"/>
  <c r="C470" i="16"/>
  <c r="C656" i="16"/>
  <c r="C699" i="16"/>
  <c r="C757" i="16"/>
  <c r="D430" i="16"/>
  <c r="C305" i="16"/>
  <c r="C375" i="16"/>
  <c r="C409" i="16"/>
  <c r="C472" i="16"/>
  <c r="C688" i="16"/>
  <c r="C732" i="16"/>
  <c r="S26" i="16"/>
  <c r="T26" i="16" s="1"/>
  <c r="S461" i="16"/>
  <c r="T461" i="16" s="1"/>
  <c r="S485" i="16"/>
  <c r="T485" i="16" s="1"/>
  <c r="S722" i="16"/>
  <c r="T722" i="16" s="1"/>
  <c r="S737" i="16"/>
  <c r="T737" i="16" s="1"/>
  <c r="D31" i="16"/>
  <c r="D60" i="16"/>
  <c r="D96" i="16"/>
  <c r="D134" i="16"/>
  <c r="D161" i="16"/>
  <c r="D199" i="16"/>
  <c r="D236" i="16"/>
  <c r="D264" i="16"/>
  <c r="D302" i="16"/>
  <c r="D337" i="16"/>
  <c r="D367" i="16"/>
  <c r="D404" i="16"/>
  <c r="D440" i="16"/>
  <c r="D465" i="16"/>
  <c r="D492" i="16"/>
  <c r="D585" i="16"/>
  <c r="D677" i="16"/>
  <c r="D704" i="16"/>
  <c r="D730" i="16"/>
  <c r="D755" i="16"/>
  <c r="C41" i="16"/>
  <c r="C68" i="16"/>
  <c r="C94" i="16"/>
  <c r="C119" i="16"/>
  <c r="C144" i="16"/>
  <c r="C167" i="16"/>
  <c r="C190" i="16"/>
  <c r="C207" i="16"/>
  <c r="C230" i="16"/>
  <c r="C247" i="16"/>
  <c r="C270" i="16"/>
  <c r="C292" i="16"/>
  <c r="C310" i="16"/>
  <c r="C329" i="16"/>
  <c r="C345" i="16"/>
  <c r="C361" i="16"/>
  <c r="C382" i="16"/>
  <c r="C398" i="16"/>
  <c r="C414" i="16"/>
  <c r="C432" i="16"/>
  <c r="C447" i="16"/>
  <c r="C462" i="16"/>
  <c r="C476" i="16"/>
  <c r="C489" i="16"/>
  <c r="C504" i="16"/>
  <c r="C577" i="16"/>
  <c r="C661" i="16"/>
  <c r="C676" i="16"/>
  <c r="C691" i="16"/>
  <c r="C707" i="16"/>
  <c r="C722" i="16"/>
  <c r="C736" i="16"/>
  <c r="C749" i="16"/>
  <c r="D249" i="16"/>
  <c r="D504" i="16"/>
  <c r="D741" i="16"/>
  <c r="C80" i="16"/>
  <c r="C217" i="16"/>
  <c r="C336" i="16"/>
  <c r="C454" i="16"/>
  <c r="C584" i="16"/>
  <c r="C728" i="16"/>
  <c r="C204" i="16"/>
  <c r="S34" i="16"/>
  <c r="T34" i="16" s="1"/>
  <c r="S579" i="16"/>
  <c r="T579" i="16" s="1"/>
  <c r="S690" i="16"/>
  <c r="T690" i="16" s="1"/>
  <c r="S705" i="16"/>
  <c r="T705" i="16" s="1"/>
  <c r="D32" i="16"/>
  <c r="D70" i="16"/>
  <c r="D97" i="16"/>
  <c r="D135" i="16"/>
  <c r="D172" i="16"/>
  <c r="D200" i="16"/>
  <c r="D238" i="16"/>
  <c r="D273" i="16"/>
  <c r="D303" i="16"/>
  <c r="D340" i="16"/>
  <c r="D376" i="16"/>
  <c r="D406" i="16"/>
  <c r="D441" i="16"/>
  <c r="D468" i="16"/>
  <c r="D494" i="16"/>
  <c r="D586" i="16"/>
  <c r="D680" i="16"/>
  <c r="D706" i="16"/>
  <c r="D731" i="16"/>
  <c r="D756" i="16"/>
  <c r="C23" i="16"/>
  <c r="C48" i="16"/>
  <c r="C73" i="16"/>
  <c r="C100" i="16"/>
  <c r="C126" i="16"/>
  <c r="C151" i="16"/>
  <c r="C168" i="16"/>
  <c r="C191" i="16"/>
  <c r="C208" i="16"/>
  <c r="C231" i="16"/>
  <c r="C254" i="16"/>
  <c r="C271" i="16"/>
  <c r="C294" i="16"/>
  <c r="C311" i="16"/>
  <c r="C332" i="16"/>
  <c r="C348" i="16"/>
  <c r="C367" i="16"/>
  <c r="C383" i="16"/>
  <c r="C399" i="16"/>
  <c r="C417" i="16"/>
  <c r="C433" i="16"/>
  <c r="C448" i="16"/>
  <c r="C463" i="16"/>
  <c r="C478" i="16"/>
  <c r="C492" i="16"/>
  <c r="C578" i="16"/>
  <c r="C664" i="16"/>
  <c r="C677" i="16"/>
  <c r="C693" i="16"/>
  <c r="C708" i="16"/>
  <c r="C723" i="16"/>
  <c r="C738" i="16"/>
  <c r="C752" i="16"/>
  <c r="C192" i="16"/>
  <c r="C215" i="16"/>
  <c r="C232" i="16"/>
  <c r="C255" i="16"/>
  <c r="C272" i="16"/>
  <c r="C295" i="16"/>
  <c r="C318" i="16"/>
  <c r="C334" i="16"/>
  <c r="C350" i="16"/>
  <c r="C368" i="16"/>
  <c r="C384" i="16"/>
  <c r="C400" i="16"/>
  <c r="C420" i="16"/>
  <c r="C436" i="16"/>
  <c r="C449" i="16"/>
  <c r="C464" i="16"/>
  <c r="C479" i="16"/>
  <c r="C495" i="16"/>
  <c r="C579" i="16"/>
  <c r="C666" i="16"/>
  <c r="C682" i="16"/>
  <c r="C696" i="16"/>
  <c r="C709" i="16"/>
  <c r="C739" i="16"/>
  <c r="C754" i="16"/>
  <c r="S697" i="16"/>
  <c r="T697" i="16" s="1"/>
  <c r="D148" i="16"/>
  <c r="D352" i="16"/>
  <c r="D571" i="16"/>
  <c r="C12" i="16"/>
  <c r="C156" i="16"/>
  <c r="C280" i="16"/>
  <c r="C356" i="16"/>
  <c r="C439" i="16"/>
  <c r="C497" i="16"/>
  <c r="C684" i="16"/>
  <c r="C741" i="16"/>
  <c r="C659" i="16"/>
  <c r="S486" i="16"/>
  <c r="T486" i="16" s="1"/>
  <c r="S505" i="16"/>
  <c r="T505" i="16" s="1"/>
  <c r="S658" i="16"/>
  <c r="T658" i="16" s="1"/>
  <c r="S673" i="16"/>
  <c r="T673" i="16" s="1"/>
  <c r="S742" i="16"/>
  <c r="T742" i="16" s="1"/>
  <c r="D7" i="16"/>
  <c r="D33" i="16"/>
  <c r="D71" i="16"/>
  <c r="D108" i="16"/>
  <c r="D136" i="16"/>
  <c r="D174" i="16"/>
  <c r="D209" i="16"/>
  <c r="D239" i="16"/>
  <c r="D276" i="16"/>
  <c r="D312" i="16"/>
  <c r="D342" i="16"/>
  <c r="D377" i="16"/>
  <c r="D415" i="16"/>
  <c r="D444" i="16"/>
  <c r="D470" i="16"/>
  <c r="D495" i="16"/>
  <c r="D587" i="16"/>
  <c r="D656" i="16"/>
  <c r="D682" i="16"/>
  <c r="D707" i="16"/>
  <c r="D732" i="16"/>
  <c r="D757" i="16"/>
  <c r="C24" i="16"/>
  <c r="C49" i="16"/>
  <c r="C76" i="16"/>
  <c r="C102" i="16"/>
  <c r="C127" i="16"/>
  <c r="C152" i="16"/>
  <c r="C169" i="16"/>
  <c r="S584" i="16"/>
  <c r="T584" i="16" s="1"/>
  <c r="S710" i="16"/>
  <c r="T710" i="16" s="1"/>
  <c r="S729" i="16"/>
  <c r="T729" i="16" s="1"/>
  <c r="D8" i="16"/>
  <c r="D44" i="16"/>
  <c r="D72" i="16"/>
  <c r="D110" i="16"/>
  <c r="D145" i="16"/>
  <c r="D175" i="16"/>
  <c r="D212" i="16"/>
  <c r="D248" i="16"/>
  <c r="D278" i="16"/>
  <c r="D313" i="16"/>
  <c r="D351" i="16"/>
  <c r="D380" i="16"/>
  <c r="D416" i="16"/>
  <c r="D447" i="16"/>
  <c r="D472" i="16"/>
  <c r="D497" i="16"/>
  <c r="D659" i="16"/>
  <c r="D684" i="16"/>
  <c r="D709" i="16"/>
  <c r="D736" i="16"/>
  <c r="C6" i="16"/>
  <c r="C25" i="16"/>
  <c r="C52" i="16"/>
  <c r="C78" i="16"/>
  <c r="C103" i="16"/>
  <c r="C128" i="16"/>
  <c r="C153" i="16"/>
  <c r="C176" i="16"/>
  <c r="C193" i="16"/>
  <c r="C216" i="16"/>
  <c r="C233" i="16"/>
  <c r="C256" i="16"/>
  <c r="C279" i="16"/>
  <c r="C296" i="16"/>
  <c r="C319" i="16"/>
  <c r="C335" i="16"/>
  <c r="C353" i="16"/>
  <c r="C369" i="16"/>
  <c r="C385" i="16"/>
  <c r="C406" i="16"/>
  <c r="C422" i="16"/>
  <c r="C438" i="16"/>
  <c r="C452" i="16"/>
  <c r="C465" i="16"/>
  <c r="C481" i="16"/>
  <c r="C496" i="16"/>
  <c r="C547" i="16"/>
  <c r="C582" i="16"/>
  <c r="C668" i="16"/>
  <c r="C683" i="16"/>
  <c r="C698" i="16"/>
  <c r="C712" i="16"/>
  <c r="C725" i="16"/>
  <c r="C740" i="16"/>
  <c r="C755" i="16"/>
  <c r="S90" i="16"/>
  <c r="T90" i="16" s="1"/>
  <c r="S678" i="16"/>
  <c r="T678" i="16" s="1"/>
  <c r="D46" i="16"/>
  <c r="D111" i="16"/>
  <c r="D214" i="16"/>
  <c r="D316" i="16"/>
  <c r="D390" i="16"/>
  <c r="D479" i="16"/>
  <c r="D666" i="16"/>
  <c r="D691" i="16"/>
  <c r="C30" i="16"/>
  <c r="C105" i="16"/>
  <c r="C177" i="16"/>
  <c r="C240" i="16"/>
  <c r="C320" i="16"/>
  <c r="C388" i="16"/>
  <c r="C423" i="16"/>
  <c r="C484" i="16"/>
  <c r="C669" i="16"/>
  <c r="C714" i="16"/>
  <c r="D481" i="16"/>
  <c r="C284" i="16"/>
  <c r="C359" i="16"/>
  <c r="C425" i="16"/>
  <c r="C457" i="16"/>
  <c r="C502" i="16"/>
  <c r="C587" i="16"/>
  <c r="C701" i="16"/>
  <c r="C747" i="16"/>
  <c r="S98" i="16"/>
  <c r="T98" i="16" s="1"/>
  <c r="S478" i="16"/>
  <c r="T478" i="16" s="1"/>
  <c r="S493" i="16"/>
  <c r="T493" i="16" s="1"/>
  <c r="S665" i="16"/>
  <c r="T665" i="16" s="1"/>
  <c r="S730" i="16"/>
  <c r="T730" i="16" s="1"/>
  <c r="S749" i="16"/>
  <c r="T749" i="16" s="1"/>
  <c r="D47" i="16"/>
  <c r="D84" i="16"/>
  <c r="D120" i="16"/>
  <c r="D150" i="16"/>
  <c r="D185" i="16"/>
  <c r="D223" i="16"/>
  <c r="D252" i="16"/>
  <c r="D288" i="16"/>
  <c r="D326" i="16"/>
  <c r="D353" i="16"/>
  <c r="D391" i="16"/>
  <c r="D428" i="16"/>
  <c r="D455" i="16"/>
  <c r="D480" i="16"/>
  <c r="D505" i="16"/>
  <c r="D574" i="16"/>
  <c r="D667" i="16"/>
  <c r="D692" i="16"/>
  <c r="D717" i="16"/>
  <c r="D744" i="16"/>
  <c r="C14" i="16"/>
  <c r="C36" i="16"/>
  <c r="C62" i="16"/>
  <c r="C87" i="16"/>
  <c r="C112" i="16"/>
  <c r="C137" i="16"/>
  <c r="C158" i="16"/>
  <c r="C180" i="16"/>
  <c r="C201" i="16"/>
  <c r="C220" i="16"/>
  <c r="C241" i="16"/>
  <c r="C260" i="16"/>
  <c r="C281" i="16"/>
  <c r="C304" i="16"/>
  <c r="C321" i="16"/>
  <c r="C342" i="16"/>
  <c r="C358" i="16"/>
  <c r="C374" i="16"/>
  <c r="C392" i="16"/>
  <c r="C408" i="16"/>
  <c r="C424" i="16"/>
  <c r="C440" i="16"/>
  <c r="C456" i="16"/>
  <c r="C471" i="16"/>
  <c r="C486" i="16"/>
  <c r="C500" i="16"/>
  <c r="C570" i="16"/>
  <c r="C585" i="16"/>
  <c r="C658" i="16"/>
  <c r="C672" i="16"/>
  <c r="C685" i="16"/>
  <c r="C700" i="16"/>
  <c r="C715" i="16"/>
  <c r="C730" i="16"/>
  <c r="C746" i="16"/>
  <c r="S58" i="16"/>
  <c r="T58" i="16" s="1"/>
  <c r="S572" i="16"/>
  <c r="T572" i="16" s="1"/>
  <c r="S698" i="16"/>
  <c r="T698" i="16" s="1"/>
  <c r="S717" i="16"/>
  <c r="T717" i="16" s="1"/>
  <c r="D20" i="16"/>
  <c r="D56" i="16"/>
  <c r="D86" i="16"/>
  <c r="D121" i="16"/>
  <c r="D159" i="16"/>
  <c r="D188" i="16"/>
  <c r="D224" i="16"/>
  <c r="D262" i="16"/>
  <c r="D289" i="16"/>
  <c r="D327" i="16"/>
  <c r="D364" i="16"/>
  <c r="D392" i="16"/>
  <c r="D456" i="16"/>
  <c r="D576" i="16"/>
  <c r="D668" i="16"/>
  <c r="D693" i="16"/>
  <c r="D720" i="16"/>
  <c r="D746" i="16"/>
  <c r="C15" i="16"/>
  <c r="C38" i="16"/>
  <c r="C63" i="16"/>
  <c r="C88" i="16"/>
  <c r="C113" i="16"/>
  <c r="C140" i="16"/>
  <c r="C164" i="16"/>
  <c r="C182" i="16"/>
  <c r="C222" i="16"/>
  <c r="C244" i="16"/>
  <c r="C265" i="16"/>
  <c r="C324" i="16"/>
  <c r="C343" i="16"/>
  <c r="C393" i="16"/>
  <c r="C444" i="16"/>
  <c r="C487" i="16"/>
  <c r="C571" i="16"/>
  <c r="C674" i="16"/>
  <c r="C71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8FFD3-E94F-401E-91AE-C292483A9CD3}" odcFile="C:\Users\furtersa\Downloads\query (1).iqy" keepAlive="1" name="query (1)" type="5" refreshedVersion="6" minRefreshableVersion="3" background="1" refreshOnLoad="1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2" xr16:uid="{23F917AE-ED37-4CBE-8ACF-15AB7CD26615}" odcFile="C:\Users\furtersa\Downloads\query (2).iqy" keepAlive="1" name="query (2)" type="5" refreshedVersion="6" minRefreshableVersion="3" saveData="1">
    <dbPr connection="Provider=Microsoft.Office.List.OLEDB.2.0;Data Source=&quot;&quot;;ApplicationName=Excel;Version=12.0.0.0" command="&lt;LIST&gt;&lt;VIEWGUID&gt;259DF45A-B65C-47FE-8548-990033ED3E9A&lt;/VIEWGUID&gt;&lt;LISTNAME&gt;{E4924C51-B3F4-422A-B340-4BA2CF13C9BF}&lt;/LISTNAME&gt;&lt;LISTWEB&gt;https://srgssr.sharepoint.com/sites/MetechnoIPOrchestrator/_vti_bin&lt;/LISTWEB&gt;&lt;LISTSUBWEB&gt;&lt;/LISTSUBWEB&gt;&lt;ROOTFOLDER&gt;&lt;/ROOTFOLDER&gt;&lt;/LIST&gt;" commandType="5"/>
  </connection>
  <connection id="3" xr16:uid="{B96018B8-EDF0-4CEC-A610-59D0A1BB1605}" odcFile="C:\Users\furtersa\Downloads\query (3).iqy" keepAlive="1" name="query (3)" type="5" refreshedVersion="6" minRefreshableVersion="3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4" xr16:uid="{0D59BC20-9811-4BCF-A564-2141C69ECC4A}" odcFile="C:\Users\furtersa\Downloads\query (4).iqy" keepAlive="1" name="query (4)" type="5" refreshedVersion="6" minRefreshableVersion="3" saveData="1">
    <dbPr connection="Provider=Microsoft.Office.List.OLEDB.2.0;Data Source=&quot;&quot;;ApplicationName=Excel;Version=12.0.0.0" command="&lt;LIST&gt;&lt;VIEWGUID&gt;6FBF62EF-05A1-459F-ACD0-E98497ADFBC5&lt;/VIEWGUID&gt;&lt;LISTNAME&gt;{99353682-2FE8-46E8-B882-B86AE135E2CC}&lt;/LISTNAME&gt;&lt;LISTWEB&gt;https://srgssr.sharepoint.com/sites/MetechnoIPOrchestrator/_vti_bin&lt;/LISTWEB&gt;&lt;LISTSUBWEB&gt;&lt;/LISTSUBWEB&gt;&lt;ROOTFOLDER&gt;&lt;/ROOTFOLDER&gt;&lt;/LIST&gt;" commandType="5"/>
  </connection>
  <connection id="5" xr16:uid="{0F741D8F-0A99-4C3C-A489-4AC95A5DD989}" odcFile="C:\Users\furtersa\Downloads\query (6).iqy" keepAlive="1" name="query (6)" type="5" refreshedVersion="6" minRefreshableVersion="3" saveData="1">
    <dbPr connection="Provider=Microsoft.Office.List.OLEDB.2.0;Data Source=&quot;&quot;;ApplicationName=Excel;Version=12.0.0.0" command="&lt;LIST&gt;&lt;VIEWGUID&gt;7EA3C99C-21EC-44AE-ACF1-3030FCFA7D2C&lt;/VIEWGUID&gt;&lt;LISTNAME&gt;{F6A14A4D-6E77-4AC9-A957-B7665E34612A}&lt;/LISTNAME&gt;&lt;LISTWEB&gt;https://srgssr.sharepoint.com/sites/MetechnoIPOrchestrator/_vti_bin&lt;/LISTWEB&gt;&lt;LISTSUBWEB&gt;&lt;/LISTSUBWEB&gt;&lt;ROOTFOLDER&gt;&lt;/ROOTFOLDER&gt;&lt;/LIST&gt;" commandType="5"/>
  </connection>
  <connection id="6" xr16:uid="{EF6C7C3E-65F4-4380-85FD-FC265AB3A93A}" odcFile="C:\Users\furtersa\Downloads\query (7).iqy" keepAlive="1" name="query (7)" type="5" refreshedVersion="6" minRefreshableVersion="3" saveData="1">
    <dbPr connection="Provider=Microsoft.Office.List.OLEDB.2.0;Data Source=&quot;&quot;;ApplicationName=Excel;Version=12.0.0.0" command="&lt;LIST&gt;&lt;VIEWGUID&gt;3D1A95FB-2763-4A8E-836D-E16019B19128&lt;/VIEWGUID&gt;&lt;LISTNAME&gt;{74BE3C27-51EE-4DE6-B678-1E6398C1D190}&lt;/LISTNAME&gt;&lt;LISTWEB&gt;https://srgssr.sharepoint.com/sites/MetechnoIPOrchestrator/_vti_bin&lt;/LISTWEB&gt;&lt;LISTSUBWEB&gt;&lt;/LISTSUBWEB&gt;&lt;ROOTFOLDER&gt;&lt;/ROOTFOLDER&gt;&lt;/LIST&gt;" commandType="5"/>
  </connection>
  <connection id="7" xr16:uid="{FAE49345-61DB-4DAE-8826-B85A421CE579}" odcFile="C:\Users\furtersa\Downloads\query (8).iqy" keepAlive="1" name="query (8)" type="5" refreshedVersion="6" minRefreshableVersion="3" saveData="1">
    <dbPr connection="Provider=Microsoft.Office.List.OLEDB.2.0;Data Source=&quot;&quot;;ApplicationName=Excel;Version=12.0.0.0" command="&lt;LIST&gt;&lt;VIEWGUID&gt;3BC26D36-9DEC-4D2C-AEA1-9E473DB6A8A3&lt;/VIEWGUID&gt;&lt;LISTNAME&gt;{546D4B9F-8DBA-4EFB-AE62-511C15CEA36C}&lt;/LISTNAME&gt;&lt;LISTWEB&gt;https://srgssr.sharepoint.com/sites/MetechnoIPOrchestrator/_vti_bin&lt;/LISTWEB&gt;&lt;LISTSUBWEB&gt;&lt;/LISTSUBWEB&gt;&lt;ROOTFOLDER&gt;&lt;/ROOTFOLDER&gt;&lt;/LIST&gt;" commandType="5"/>
  </connection>
  <connection id="8" xr16:uid="{6A2BA97E-BE17-42EB-A8B5-C37552B1EE0F}" odcFile="C:\Users\furtersa\Downloads\query (9).iqy" keepAlive="1" name="query (9)" type="5" refreshedVersion="6" minRefreshableVersion="3" saveData="1">
    <dbPr connection="Provider=Microsoft.Office.List.OLEDB.2.0;Data Source=&quot;&quot;;ApplicationName=Excel;Version=12.0.0.0" command="&lt;LIST&gt;&lt;VIEWGUID&gt;7431EF7E-6842-49C1-87AA-B15DAAB7B958&lt;/VIEWGUID&gt;&lt;LISTNAME&gt;{89A3FC2A-B94F-48F4-B9B1-31167DCF6110}&lt;/LISTNAME&gt;&lt;LISTWEB&gt;https://srgssr.sharepoint.com/sites/MetechnoIPOrchestrator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<sst xmlns="http://schemas.openxmlformats.org/spreadsheetml/2006/main" count="8658" uniqueCount="2906">
  <si>
    <t>Changelog</t>
  </si>
  <si>
    <t>&gt; CTRL + .</t>
  </si>
  <si>
    <t>Name</t>
  </si>
  <si>
    <t>Date</t>
  </si>
  <si>
    <t>Creator:</t>
  </si>
  <si>
    <t>Sandro Furter</t>
  </si>
  <si>
    <t xml:space="preserve">Tagger: </t>
  </si>
  <si>
    <t>Labeler:</t>
  </si>
  <si>
    <t>Importer Nevion</t>
  </si>
  <si>
    <t>Importer BFE</t>
  </si>
  <si>
    <t>Terminator:</t>
  </si>
  <si>
    <t>Debugger</t>
  </si>
  <si>
    <t>IO List Metechno</t>
  </si>
  <si>
    <t>gelb markierte Spalten müssen manuell eingetragen werden</t>
  </si>
  <si>
    <t>SDI Port</t>
  </si>
  <si>
    <t>Device ID</t>
  </si>
  <si>
    <t>Device Label 
(according to rack layout)</t>
  </si>
  <si>
    <t>Creation
Date</t>
  </si>
  <si>
    <t>Data Change 
Date BOM</t>
  </si>
  <si>
    <t>Port direction</t>
  </si>
  <si>
    <t>#VIDrec</t>
  </si>
  <si>
    <t>#VIDsend</t>
  </si>
  <si>
    <t>#AUDrec</t>
  </si>
  <si>
    <t>#AUDsend</t>
  </si>
  <si>
    <t>#ANCrec</t>
  </si>
  <si>
    <t>#ANCsend</t>
  </si>
  <si>
    <t>Functional Group</t>
  </si>
  <si>
    <t>Device Location</t>
  </si>
  <si>
    <t>Manufacturer</t>
  </si>
  <si>
    <t>Device Type  Gateway</t>
  </si>
  <si>
    <t>Attached Device if Gateway</t>
  </si>
  <si>
    <t>Workplace (Usage)</t>
  </si>
  <si>
    <t>Workplace (Room)</t>
  </si>
  <si>
    <t>BS0</t>
  </si>
  <si>
    <t>KSC Acq</t>
  </si>
  <si>
    <t>KSC Pro</t>
  </si>
  <si>
    <t>KSC Agg</t>
  </si>
  <si>
    <t>Management BFE</t>
  </si>
  <si>
    <t>Showdesign</t>
  </si>
  <si>
    <t>Responsibility</t>
  </si>
  <si>
    <t>FQDN Realtime A</t>
  </si>
  <si>
    <t>IP-Address Realtime A</t>
  </si>
  <si>
    <t>Switch Realtime A</t>
  </si>
  <si>
    <t>Port Realtime A</t>
  </si>
  <si>
    <t>FQDN Realtime B</t>
  </si>
  <si>
    <t>IP-Address Realtime B</t>
  </si>
  <si>
    <t>Switch Realtime B</t>
  </si>
  <si>
    <t>Port Realtime B</t>
  </si>
  <si>
    <t>FQDN Control A</t>
  </si>
  <si>
    <t>IP-Address Control A</t>
  </si>
  <si>
    <t>FQDN Control B</t>
  </si>
  <si>
    <t>IP-Address Control B</t>
  </si>
  <si>
    <t>Netzwerk Protokoll
 (TCP/UDP)</t>
  </si>
  <si>
    <t>Kommunikations Richtung 
(-&gt; BFE, BFE -&gt;)</t>
  </si>
  <si>
    <t>Protokoll 
(BFE)</t>
  </si>
  <si>
    <t>Portnummer
(BFE)</t>
  </si>
  <si>
    <t xml:space="preserve">Driver </t>
  </si>
  <si>
    <t xml:space="preserve">Static Multicasts </t>
  </si>
  <si>
    <t>2022-7</t>
  </si>
  <si>
    <t>MBB</t>
  </si>
  <si>
    <t>VIP-Description</t>
  </si>
  <si>
    <t>Date Configured in VIP</t>
  </si>
  <si>
    <t>Type:Vid_1080i50</t>
  </si>
  <si>
    <t>Type:Vid_1080p25</t>
  </si>
  <si>
    <t>Type:Vid_1080p50</t>
  </si>
  <si>
    <t>Type:Vid_2160p50</t>
  </si>
  <si>
    <t>Type:Vid_1080p60</t>
  </si>
  <si>
    <t>Type:Aud_1CH_M</t>
  </si>
  <si>
    <t>Type:Aud_1CH_M_LD</t>
  </si>
  <si>
    <t>Type:Aud_2CH_DBE</t>
  </si>
  <si>
    <t>Type:Aud_2CH_LR</t>
  </si>
  <si>
    <t>Type:Aud_2CH_LR_LD</t>
  </si>
  <si>
    <t>Type:Aud_3CH_LRC</t>
  </si>
  <si>
    <t>Type:Aud_6CH_5.1</t>
  </si>
  <si>
    <t>Type:Aud_8CH_RAW</t>
  </si>
  <si>
    <t>Type:Aud_8CH_RAW_LD</t>
  </si>
  <si>
    <t>Type:Aud_32CH_RAW_LD</t>
  </si>
  <si>
    <t>Type:Anc_Prot</t>
  </si>
  <si>
    <t>Converter Function enabled</t>
  </si>
  <si>
    <t>Use As Endpoint</t>
  </si>
  <si>
    <t>Tags</t>
  </si>
  <si>
    <t>VideoIPath unique ID</t>
  </si>
  <si>
    <t>Import Status</t>
  </si>
  <si>
    <t>Family 
(max. 16 Characters)</t>
  </si>
  <si>
    <t>Label 1 
(max. 16 Characters)</t>
  </si>
  <si>
    <t>Label 2
(max. 16 Characters)</t>
  </si>
  <si>
    <t>Label 3
(max. 8 Characters)</t>
  </si>
  <si>
    <t>Label 4
(no Limit)</t>
  </si>
  <si>
    <t>Label 5
(no Limit)</t>
  </si>
  <si>
    <t>VGW1099-01</t>
  </si>
  <si>
    <t>Testing</t>
  </si>
  <si>
    <t>TC.01.124-MCR-U2</t>
  </si>
  <si>
    <t>Embrionix</t>
  </si>
  <si>
    <t>Embrionix 2xSDI&gt;IP (HD)</t>
  </si>
  <si>
    <t>Mon 1.1</t>
  </si>
  <si>
    <t>Produzent</t>
  </si>
  <si>
    <t>TC.01.124-MCR-U5</t>
  </si>
  <si>
    <t>x</t>
  </si>
  <si>
    <t>Peter Hochueli</t>
  </si>
  <si>
    <t>tpco-megw-vgw109901.rta.st-net.media.int</t>
  </si>
  <si>
    <t>10.120.42.42</t>
  </si>
  <si>
    <t>V-LeafA01</t>
  </si>
  <si>
    <t>eth1</t>
  </si>
  <si>
    <t>tpco-megw-vgw109901.rtb.st-net.media.int</t>
  </si>
  <si>
    <t>10.120.43.42</t>
  </si>
  <si>
    <t>V-LeafB01</t>
  </si>
  <si>
    <t>tpco-megw-vgw109901.cta.st-net.media.int</t>
  </si>
  <si>
    <t>10.120.24.42</t>
  </si>
  <si>
    <t>tpco-megw-vgw109901.ctb.st-net.media.int</t>
  </si>
  <si>
    <t>10.120.25.42</t>
  </si>
  <si>
    <t>Embrionix emBox</t>
  </si>
  <si>
    <t>No</t>
  </si>
  <si>
    <t>VGW-103</t>
  </si>
  <si>
    <t>SDI&gt;IP</t>
  </si>
  <si>
    <t>Videoserver</t>
  </si>
  <si>
    <t>TC.U1.223 | MDC</t>
  </si>
  <si>
    <t>Imagine Comunications</t>
  </si>
  <si>
    <t>SNP Gateway</t>
  </si>
  <si>
    <t>R401 HD1 Backup</t>
  </si>
  <si>
    <t>R401</t>
  </si>
  <si>
    <t>TC.00.104 | R401</t>
  </si>
  <si>
    <t>Luis/Ivo</t>
  </si>
  <si>
    <t>tpco-megw-vgw103.rta.st-net.media.int</t>
  </si>
  <si>
    <t>10.120.236.50</t>
  </si>
  <si>
    <t>AVCoreA</t>
  </si>
  <si>
    <t>5_36_1</t>
  </si>
  <si>
    <t>tpco-megw-vgw103.rtb.st-net.media.int</t>
  </si>
  <si>
    <t>10.120.236.54</t>
  </si>
  <si>
    <t>AVCoreB</t>
  </si>
  <si>
    <t>tpco-megw-vgw103.st-net.media.int</t>
  </si>
  <si>
    <t>10.120.67.141</t>
  </si>
  <si>
    <t>Imagine Communications SNP</t>
  </si>
  <si>
    <t>no</t>
  </si>
  <si>
    <t>yes</t>
  </si>
  <si>
    <t>R401 HD2 Backup</t>
  </si>
  <si>
    <t>MPA 421 HD1</t>
  </si>
  <si>
    <t>MPA 421</t>
  </si>
  <si>
    <t>TC.02.296 | MPA421</t>
  </si>
  <si>
    <t>MPA 421 HD2</t>
  </si>
  <si>
    <t>R421 HD1 Backup</t>
  </si>
  <si>
    <t>R421</t>
  </si>
  <si>
    <t>R421 HD2 Backup</t>
  </si>
  <si>
    <t>MPA 431 HD1</t>
  </si>
  <si>
    <t>MPA 431</t>
  </si>
  <si>
    <t>TC.03.021 | MPA431</t>
  </si>
  <si>
    <t>MPA 431 HD2</t>
  </si>
  <si>
    <t>IP&gt;SDI</t>
  </si>
  <si>
    <t>IngSRV-06</t>
  </si>
  <si>
    <t>M3H</t>
  </si>
  <si>
    <t>TC.03.225 | M3H</t>
  </si>
  <si>
    <t>MEDEM</t>
  </si>
  <si>
    <t>IngSRV-07</t>
  </si>
  <si>
    <t>Edit Suite</t>
  </si>
  <si>
    <t>EditPC-07 OUT</t>
  </si>
  <si>
    <t>EDIT SUITE 07</t>
  </si>
  <si>
    <t>TC.03.087 | Edit 07</t>
  </si>
  <si>
    <t>EditPC-08 OUT</t>
  </si>
  <si>
    <t>EDIT SUITE 08</t>
  </si>
  <si>
    <t>TC.03.068 | Edit 08</t>
  </si>
  <si>
    <t>EditPC-09 OUT</t>
  </si>
  <si>
    <t>EDIT SUITE 09</t>
  </si>
  <si>
    <t>TC.03.030 | Edit 09</t>
  </si>
  <si>
    <t>EditPC-10 OUT</t>
  </si>
  <si>
    <t>EDIT SUITE 10</t>
  </si>
  <si>
    <t>TC.03.017 | Edit 10</t>
  </si>
  <si>
    <t>EditPC-07 IN</t>
  </si>
  <si>
    <t>EditPC-08 IN</t>
  </si>
  <si>
    <t>EditPC-09 IN</t>
  </si>
  <si>
    <t>EditPC-10 IN</t>
  </si>
  <si>
    <t>EditPC-21</t>
  </si>
  <si>
    <t>EDIT SUITE 21</t>
  </si>
  <si>
    <t>NEBEZ.V3.17 | Edit 21</t>
  </si>
  <si>
    <t>EditPC-22</t>
  </si>
  <si>
    <t>EDIT SUITE 22</t>
  </si>
  <si>
    <t>NEBEZ.V3.16 | Edit 22</t>
  </si>
  <si>
    <t>EditPC-23</t>
  </si>
  <si>
    <t>EDIT SUITE 23</t>
  </si>
  <si>
    <t>NEBEZ.V3.15 | Edit 23</t>
  </si>
  <si>
    <t>EditPC-24</t>
  </si>
  <si>
    <t>EDIT SUITE 24</t>
  </si>
  <si>
    <t>NEBEZ.V3.14 | Edit 24</t>
  </si>
  <si>
    <t>Stream ID</t>
  </si>
  <si>
    <t>Sender-Receivername</t>
  </si>
  <si>
    <t>Change Date
Stream Name</t>
  </si>
  <si>
    <t>Change Date
Stream Data</t>
  </si>
  <si>
    <t>Device Label (according to rack layout)</t>
  </si>
  <si>
    <t>Import Action</t>
  </si>
  <si>
    <t>Gerätegruppe 
Circuit Manager</t>
  </si>
  <si>
    <t>Gerät
Circuit Manager</t>
  </si>
  <si>
    <t>Family
GFX-Unit</t>
  </si>
  <si>
    <t>Label 1
GFX-Unit</t>
  </si>
  <si>
    <t>Anzahl Zeichen</t>
  </si>
  <si>
    <t>Label 3
(no Limit)</t>
  </si>
  <si>
    <t>Signaltyp</t>
  </si>
  <si>
    <t>Send/Rec</t>
  </si>
  <si>
    <t>Streamname IP&gt;SDI</t>
  </si>
  <si>
    <t>Streamname SDI&gt;IP</t>
  </si>
  <si>
    <t>Streamcounter</t>
  </si>
  <si>
    <t>SDI Interface</t>
  </si>
  <si>
    <t/>
  </si>
  <si>
    <t>PLAYOUT R401</t>
  </si>
  <si>
    <t>HD1 Backup-001</t>
  </si>
  <si>
    <t>ANCrec_0001</t>
  </si>
  <si>
    <t>ANCsend_0001</t>
  </si>
  <si>
    <t>01301</t>
  </si>
  <si>
    <t>ANCrec_0002</t>
  </si>
  <si>
    <t>ANCsend_0002</t>
  </si>
  <si>
    <t>01302</t>
  </si>
  <si>
    <t>ANCrec_0003</t>
  </si>
  <si>
    <t>ANCsend_0003</t>
  </si>
  <si>
    <t>01303</t>
  </si>
  <si>
    <t>ANCrec_0004</t>
  </si>
  <si>
    <t>ANCsend_0004</t>
  </si>
  <si>
    <t>01304</t>
  </si>
  <si>
    <t>AUDrec_0001</t>
  </si>
  <si>
    <t>AUDsend_0001</t>
  </si>
  <si>
    <t>01201</t>
  </si>
  <si>
    <t>HD1 Backup-002</t>
  </si>
  <si>
    <t>AUDrec_0002</t>
  </si>
  <si>
    <t>AUDsend_0002</t>
  </si>
  <si>
    <t>01202</t>
  </si>
  <si>
    <t>HD1 Backup-003</t>
  </si>
  <si>
    <t>AUDrec_0003</t>
  </si>
  <si>
    <t>AUDsend_0003</t>
  </si>
  <si>
    <t>01203</t>
  </si>
  <si>
    <t>HD1 Backup-004</t>
  </si>
  <si>
    <t>AUDrec_0004</t>
  </si>
  <si>
    <t>AUDsend_0004</t>
  </si>
  <si>
    <t>01204</t>
  </si>
  <si>
    <t>HD1 Backup-005</t>
  </si>
  <si>
    <t>AUDrec_0005</t>
  </si>
  <si>
    <t>AUDsend_0005</t>
  </si>
  <si>
    <t>01205</t>
  </si>
  <si>
    <t>HD1 Backup-006</t>
  </si>
  <si>
    <t>AUDrec_0006</t>
  </si>
  <si>
    <t>AUDsend_0006</t>
  </si>
  <si>
    <t>01206</t>
  </si>
  <si>
    <t>HD1 Backup-007</t>
  </si>
  <si>
    <t>AUDrec_0007</t>
  </si>
  <si>
    <t>AUDsend_0007</t>
  </si>
  <si>
    <t>01207</t>
  </si>
  <si>
    <t>HD1 Backup-008</t>
  </si>
  <si>
    <t>AUDrec_0008</t>
  </si>
  <si>
    <t>AUDsend_0008</t>
  </si>
  <si>
    <t>01208</t>
  </si>
  <si>
    <t>AUDrec_0009</t>
  </si>
  <si>
    <t>AUDsend_0009</t>
  </si>
  <si>
    <t>01209</t>
  </si>
  <si>
    <t>AUDrec_0010</t>
  </si>
  <si>
    <t>AUDsend_0010</t>
  </si>
  <si>
    <t>01210</t>
  </si>
  <si>
    <t>AUDrec_0011</t>
  </si>
  <si>
    <t>AUDsend_0011</t>
  </si>
  <si>
    <t>01211</t>
  </si>
  <si>
    <t>AUDrec_0012</t>
  </si>
  <si>
    <t>AUDsend_0012</t>
  </si>
  <si>
    <t>01212</t>
  </si>
  <si>
    <t>AUDrec_0013</t>
  </si>
  <si>
    <t>AUDsend_0013</t>
  </si>
  <si>
    <t>01213</t>
  </si>
  <si>
    <t>AUDrec_0014</t>
  </si>
  <si>
    <t>AUDsend_0014</t>
  </si>
  <si>
    <t>01214</t>
  </si>
  <si>
    <t>HD1 Backup-015</t>
  </si>
  <si>
    <t>AUDrec_0015</t>
  </si>
  <si>
    <t>AUDsend_0015</t>
  </si>
  <si>
    <t>01215</t>
  </si>
  <si>
    <t>HD1 Backup-016</t>
  </si>
  <si>
    <t>AUDrec_0016</t>
  </si>
  <si>
    <t>AUDsend_0016</t>
  </si>
  <si>
    <t>01216</t>
  </si>
  <si>
    <t>HD1 Backup</t>
  </si>
  <si>
    <t>VIDrec_0001</t>
  </si>
  <si>
    <t>VIDsend_0001</t>
  </si>
  <si>
    <t>01101</t>
  </si>
  <si>
    <t>HD2 Backup-001</t>
  </si>
  <si>
    <t>02301</t>
  </si>
  <si>
    <t>02302</t>
  </si>
  <si>
    <t>02303</t>
  </si>
  <si>
    <t>02304</t>
  </si>
  <si>
    <t>02201</t>
  </si>
  <si>
    <t>HD2 Backup-002</t>
  </si>
  <si>
    <t>02202</t>
  </si>
  <si>
    <t>HD2 Backup-003</t>
  </si>
  <si>
    <t>02203</t>
  </si>
  <si>
    <t>HD2 Backup-004</t>
  </si>
  <si>
    <t>02204</t>
  </si>
  <si>
    <t>HD2 Backup-005</t>
  </si>
  <si>
    <t>02205</t>
  </si>
  <si>
    <t>HD2 Backup-006</t>
  </si>
  <si>
    <t>02206</t>
  </si>
  <si>
    <t>HD2 Backup-007</t>
  </si>
  <si>
    <t>02207</t>
  </si>
  <si>
    <t>HD2 Backup-008</t>
  </si>
  <si>
    <t>02208</t>
  </si>
  <si>
    <t>02209</t>
  </si>
  <si>
    <t>02210</t>
  </si>
  <si>
    <t>02211</t>
  </si>
  <si>
    <t>02212</t>
  </si>
  <si>
    <t>02213</t>
  </si>
  <si>
    <t>02214</t>
  </si>
  <si>
    <t>HD2 Backup-015</t>
  </si>
  <si>
    <t>02215</t>
  </si>
  <si>
    <t>HD2 Backup-016</t>
  </si>
  <si>
    <t>02216</t>
  </si>
  <si>
    <t>HD2 Backup</t>
  </si>
  <si>
    <t>02101</t>
  </si>
  <si>
    <t>PLAYOUT MPA421</t>
  </si>
  <si>
    <t>HD1-001</t>
  </si>
  <si>
    <t>03301</t>
  </si>
  <si>
    <t>03302</t>
  </si>
  <si>
    <t>03303</t>
  </si>
  <si>
    <t>03304</t>
  </si>
  <si>
    <t>03201</t>
  </si>
  <si>
    <t>HD1-002</t>
  </si>
  <si>
    <t>03202</t>
  </si>
  <si>
    <t>HD1-003</t>
  </si>
  <si>
    <t>03203</t>
  </si>
  <si>
    <t>HD1-004</t>
  </si>
  <si>
    <t>03204</t>
  </si>
  <si>
    <t>HD1-005</t>
  </si>
  <si>
    <t>03205</t>
  </si>
  <si>
    <t>HD1-006</t>
  </si>
  <si>
    <t>03206</t>
  </si>
  <si>
    <t>HD1-007</t>
  </si>
  <si>
    <t>03207</t>
  </si>
  <si>
    <t>HD1-008</t>
  </si>
  <si>
    <t>03208</t>
  </si>
  <si>
    <t>03209</t>
  </si>
  <si>
    <t>03210</t>
  </si>
  <si>
    <t>03211</t>
  </si>
  <si>
    <t>03212</t>
  </si>
  <si>
    <t>03213</t>
  </si>
  <si>
    <t>03214</t>
  </si>
  <si>
    <t>HD1-015</t>
  </si>
  <si>
    <t>03215</t>
  </si>
  <si>
    <t>HD1-016</t>
  </si>
  <si>
    <t>03216</t>
  </si>
  <si>
    <t>HD1</t>
  </si>
  <si>
    <t>03101</t>
  </si>
  <si>
    <t>HD2-001</t>
  </si>
  <si>
    <t>04301</t>
  </si>
  <si>
    <t>04302</t>
  </si>
  <si>
    <t>04303</t>
  </si>
  <si>
    <t>04304</t>
  </si>
  <si>
    <t>04201</t>
  </si>
  <si>
    <t>HD2-002</t>
  </si>
  <si>
    <t>04202</t>
  </si>
  <si>
    <t>HD2-003</t>
  </si>
  <si>
    <t>04203</t>
  </si>
  <si>
    <t>HD2-004</t>
  </si>
  <si>
    <t>04204</t>
  </si>
  <si>
    <t>HD2-005</t>
  </si>
  <si>
    <t>04205</t>
  </si>
  <si>
    <t>HD2-006</t>
  </si>
  <si>
    <t>04206</t>
  </si>
  <si>
    <t>HD2-007</t>
  </si>
  <si>
    <t>04207</t>
  </si>
  <si>
    <t>HD2-008</t>
  </si>
  <si>
    <t>04208</t>
  </si>
  <si>
    <t>04209</t>
  </si>
  <si>
    <t>04210</t>
  </si>
  <si>
    <t>04211</t>
  </si>
  <si>
    <t>04212</t>
  </si>
  <si>
    <t>04213</t>
  </si>
  <si>
    <t>04214</t>
  </si>
  <si>
    <t>HD2-015</t>
  </si>
  <si>
    <t>04215</t>
  </si>
  <si>
    <t>HD2-016</t>
  </si>
  <si>
    <t>04216</t>
  </si>
  <si>
    <t>HD2</t>
  </si>
  <si>
    <t>04101</t>
  </si>
  <si>
    <t>PLAYOUT R421</t>
  </si>
  <si>
    <t>05301</t>
  </si>
  <si>
    <t>05302</t>
  </si>
  <si>
    <t>05303</t>
  </si>
  <si>
    <t>05304</t>
  </si>
  <si>
    <t>05201</t>
  </si>
  <si>
    <t>05202</t>
  </si>
  <si>
    <t>05203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</si>
  <si>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</si>
  <si>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</si>
  <si>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</si>
  <si>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</si>
  <si>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</si>
  <si>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</si>
  <si>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</si>
  <si>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</si>
  <si>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</si>
  <si>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</si>
  <si>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</si>
  <si>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</si>
  <si>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</si>
  <si>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05101</t>
  </si>
  <si>
    <t>06301</t>
  </si>
  <si>
    <t>06302</t>
  </si>
  <si>
    <t>06303</t>
  </si>
  <si>
    <t>06304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</si>
  <si>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</si>
  <si>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</si>
  <si>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</si>
  <si>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</si>
  <si>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</si>
  <si>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</si>
  <si>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</si>
  <si>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</si>
  <si>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</si>
  <si>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</si>
  <si>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</si>
  <si>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</si>
  <si>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</si>
  <si>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</si>
  <si>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</si>
  <si>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</si>
  <si>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06101</t>
  </si>
  <si>
    <t>PLAYOUT MPA431</t>
  </si>
  <si>
    <t>07301</t>
  </si>
  <si>
    <t>07302</t>
  </si>
  <si>
    <t>07303</t>
  </si>
  <si>
    <t>07304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</si>
  <si>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</si>
  <si>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</si>
  <si>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</si>
  <si>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</si>
  <si>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</si>
  <si>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</si>
  <si>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</si>
  <si>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</si>
  <si>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</si>
  <si>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</si>
  <si>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</si>
  <si>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</si>
  <si>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</si>
  <si>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</si>
  <si>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07215</t>
  </si>
  <si>
    <t>07216</t>
  </si>
  <si>
    <t>07101</t>
  </si>
  <si>
    <t>08301</t>
  </si>
  <si>
    <t>08302</t>
  </si>
  <si>
    <t>08303</t>
  </si>
  <si>
    <t>08304</t>
  </si>
  <si>
    <t>08201</t>
  </si>
  <si>
    <t>08202</t>
  </si>
  <si>
    <t>08203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</si>
  <si>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</si>
  <si>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</si>
  <si>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</si>
  <si>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</si>
  <si>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</si>
  <si>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</si>
  <si>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</si>
  <si>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</si>
  <si>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</si>
  <si>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</si>
  <si>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</si>
  <si>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</si>
  <si>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</si>
  <si>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08101</t>
  </si>
  <si>
    <t>M3H InCh REM</t>
  </si>
  <si>
    <t>Ingest Ch21-ANC1</t>
  </si>
  <si>
    <t>09301</t>
  </si>
  <si>
    <t>09302</t>
  </si>
  <si>
    <t>09303</t>
  </si>
  <si>
    <t>09304</t>
  </si>
  <si>
    <t>Ingest Ch21-01</t>
  </si>
  <si>
    <t>09201</t>
  </si>
  <si>
    <t>Ingest Ch21-02</t>
  </si>
  <si>
    <t>09202</t>
  </si>
  <si>
    <t>Ingest Ch21-03</t>
  </si>
  <si>
    <t>09203</t>
  </si>
  <si>
    <t>Ingest Ch21-04</t>
  </si>
  <si>
    <t>09204</t>
  </si>
  <si>
    <t>Ingest Ch21-05</t>
  </si>
  <si>
    <t>09205</t>
  </si>
  <si>
    <t>Ingest Ch21-06</t>
  </si>
  <si>
    <t>09206</t>
  </si>
  <si>
    <t>Ingest Ch21-07</t>
  </si>
  <si>
    <t>09207</t>
  </si>
  <si>
    <t>Ingest Ch21-08</t>
  </si>
  <si>
    <t>09208</t>
  </si>
  <si>
    <t>Ingest Ch21-09</t>
  </si>
  <si>
    <t>09209</t>
  </si>
  <si>
    <t>09210</t>
  </si>
  <si>
    <t>09211</t>
  </si>
  <si>
    <t>09212</t>
  </si>
  <si>
    <t>09213</t>
  </si>
  <si>
    <t>09214</t>
  </si>
  <si>
    <t>Ingest Ch21-15</t>
  </si>
  <si>
    <t>09215</t>
  </si>
  <si>
    <t>Ingest Ch21-16</t>
  </si>
  <si>
    <t>09216</t>
  </si>
  <si>
    <t>Ingest Ch21</t>
  </si>
  <si>
    <t>09101</t>
  </si>
  <si>
    <t>Ingest Ch22-ANC1</t>
  </si>
  <si>
    <t>10301</t>
  </si>
  <si>
    <t>10302</t>
  </si>
  <si>
    <t>10303</t>
  </si>
  <si>
    <t>10304</t>
  </si>
  <si>
    <t>Ingest Ch22-01</t>
  </si>
  <si>
    <t>10201</t>
  </si>
  <si>
    <t>Ingest Ch22-02</t>
  </si>
  <si>
    <t>10202</t>
  </si>
  <si>
    <t>Ingest Ch22-03</t>
  </si>
  <si>
    <t>10203</t>
  </si>
  <si>
    <t>Ingest Ch22-04</t>
  </si>
  <si>
    <t>10204</t>
  </si>
  <si>
    <t>Ingest Ch22-05</t>
  </si>
  <si>
    <t>10205</t>
  </si>
  <si>
    <t>Ingest Ch22-06</t>
  </si>
  <si>
    <t>10206</t>
  </si>
  <si>
    <t>Ingest Ch22-07</t>
  </si>
  <si>
    <t>10207</t>
  </si>
  <si>
    <t>Ingest Ch22-08</t>
  </si>
  <si>
    <t>10208</t>
  </si>
  <si>
    <t>Ingest Ch22-09</t>
  </si>
  <si>
    <t>10209</t>
  </si>
  <si>
    <t>10210</t>
  </si>
  <si>
    <t>10211</t>
  </si>
  <si>
    <t>10212</t>
  </si>
  <si>
    <t>10213</t>
  </si>
  <si>
    <t>10214</t>
  </si>
  <si>
    <t>Ingest Ch22-15</t>
  </si>
  <si>
    <t>10215</t>
  </si>
  <si>
    <t>Ingest Ch22-16</t>
  </si>
  <si>
    <t>10216</t>
  </si>
  <si>
    <t>Ingest Ch22</t>
  </si>
  <si>
    <t>10101</t>
  </si>
  <si>
    <t>Ingest Ch23-ANC1</t>
  </si>
  <si>
    <t>11301</t>
  </si>
  <si>
    <t>11302</t>
  </si>
  <si>
    <t>11303</t>
  </si>
  <si>
    <t>11304</t>
  </si>
  <si>
    <t>Ingest Ch23-01</t>
  </si>
  <si>
    <t>11201</t>
  </si>
  <si>
    <t>Ingest Ch23-02</t>
  </si>
  <si>
    <t>11202</t>
  </si>
  <si>
    <t>Ingest Ch23-03</t>
  </si>
  <si>
    <t>11203</t>
  </si>
  <si>
    <t>Ingest Ch23-04</t>
  </si>
  <si>
    <t>11204</t>
  </si>
  <si>
    <t>Ingest Ch23-05</t>
  </si>
  <si>
    <t>11205</t>
  </si>
  <si>
    <t>Ingest Ch23-06</t>
  </si>
  <si>
    <t>11206</t>
  </si>
  <si>
    <t>Ingest Ch23-07</t>
  </si>
  <si>
    <t>11207</t>
  </si>
  <si>
    <t>Ingest Ch23-08</t>
  </si>
  <si>
    <t>11208</t>
  </si>
  <si>
    <t>Ingest Ch23-09</t>
  </si>
  <si>
    <t>11209</t>
  </si>
  <si>
    <t>11210</t>
  </si>
  <si>
    <t>11211</t>
  </si>
  <si>
    <t>11212</t>
  </si>
  <si>
    <t>11213</t>
  </si>
  <si>
    <t>11214</t>
  </si>
  <si>
    <t>Ingest Ch23-15</t>
  </si>
  <si>
    <t>11215</t>
  </si>
  <si>
    <t>Ingest Ch23-16</t>
  </si>
  <si>
    <t>11216</t>
  </si>
  <si>
    <t>Ingest Ch23</t>
  </si>
  <si>
    <t>11101</t>
  </si>
  <si>
    <t>Ingest Ch24-ANC1</t>
  </si>
  <si>
    <t>12301</t>
  </si>
  <si>
    <t>12302</t>
  </si>
  <si>
    <t>12303</t>
  </si>
  <si>
    <t>12304</t>
  </si>
  <si>
    <t>Ingest Ch24-01</t>
  </si>
  <si>
    <t>12201</t>
  </si>
  <si>
    <t>Ingest Ch24-02</t>
  </si>
  <si>
    <t>12202</t>
  </si>
  <si>
    <t>Ingest Ch24-03</t>
  </si>
  <si>
    <t>12203</t>
  </si>
  <si>
    <t>Ingest Ch24-04</t>
  </si>
  <si>
    <t>12204</t>
  </si>
  <si>
    <t>Ingest Ch24-05</t>
  </si>
  <si>
    <t>12205</t>
  </si>
  <si>
    <t>Ingest Ch24-06</t>
  </si>
  <si>
    <t>12206</t>
  </si>
  <si>
    <t>Ingest Ch24-07</t>
  </si>
  <si>
    <t>12207</t>
  </si>
  <si>
    <t>Ingest Ch24-08</t>
  </si>
  <si>
    <t>12208</t>
  </si>
  <si>
    <t>Ingest Ch24-09</t>
  </si>
  <si>
    <t>12209</t>
  </si>
  <si>
    <t>12210</t>
  </si>
  <si>
    <t>12211</t>
  </si>
  <si>
    <t>12212</t>
  </si>
  <si>
    <t>12213</t>
  </si>
  <si>
    <t>12214</t>
  </si>
  <si>
    <t>Ingest Ch24-15</t>
  </si>
  <si>
    <t>12215</t>
  </si>
  <si>
    <t>Ingest Ch24-16</t>
  </si>
  <si>
    <t>12216</t>
  </si>
  <si>
    <t>Ingest Ch24</t>
  </si>
  <si>
    <t>12101</t>
  </si>
  <si>
    <t>Ingest Ch25-ANC1</t>
  </si>
  <si>
    <t>13301</t>
  </si>
  <si>
    <t>13302</t>
  </si>
  <si>
    <t>13303</t>
  </si>
  <si>
    <t>13304</t>
  </si>
  <si>
    <t>Ingest Ch25-01</t>
  </si>
  <si>
    <t>13201</t>
  </si>
  <si>
    <t>Ingest Ch25-02</t>
  </si>
  <si>
    <t>13202</t>
  </si>
  <si>
    <t>Ingest Ch25-03</t>
  </si>
  <si>
    <t>13203</t>
  </si>
  <si>
    <t>Ingest Ch25-04</t>
  </si>
  <si>
    <t>13204</t>
  </si>
  <si>
    <t>Ingest Ch25-05</t>
  </si>
  <si>
    <t>13205</t>
  </si>
  <si>
    <t>Ingest Ch25-06</t>
  </si>
  <si>
    <t>13206</t>
  </si>
  <si>
    <t>Ingest Ch25-07</t>
  </si>
  <si>
    <t>13207</t>
  </si>
  <si>
    <t>Ingest Ch25-08</t>
  </si>
  <si>
    <t>13208</t>
  </si>
  <si>
    <t>Ingest Ch25-09</t>
  </si>
  <si>
    <t>13209</t>
  </si>
  <si>
    <t>13210</t>
  </si>
  <si>
    <t>13211</t>
  </si>
  <si>
    <t>13212</t>
  </si>
  <si>
    <t>13213</t>
  </si>
  <si>
    <t>13214</t>
  </si>
  <si>
    <t>Ingest Ch25-15</t>
  </si>
  <si>
    <t>13215</t>
  </si>
  <si>
    <t>Ingest Ch25-16</t>
  </si>
  <si>
    <t>13216</t>
  </si>
  <si>
    <t>Ingest Ch25</t>
  </si>
  <si>
    <t>13101</t>
  </si>
  <si>
    <t>Ingest Ch26-ANC1</t>
  </si>
  <si>
    <t>14301</t>
  </si>
  <si>
    <t>14302</t>
  </si>
  <si>
    <t>14303</t>
  </si>
  <si>
    <t>14304</t>
  </si>
  <si>
    <t>Ingest Ch26-01</t>
  </si>
  <si>
    <t>14201</t>
  </si>
  <si>
    <t>Ingest Ch26-02</t>
  </si>
  <si>
    <t>14202</t>
  </si>
  <si>
    <t>Ingest Ch26-03</t>
  </si>
  <si>
    <t>14203</t>
  </si>
  <si>
    <t>Ingest Ch26-04</t>
  </si>
  <si>
    <t>14204</t>
  </si>
  <si>
    <t>Ingest Ch26-05</t>
  </si>
  <si>
    <t>14205</t>
  </si>
  <si>
    <t>Ingest Ch26-06</t>
  </si>
  <si>
    <t>14206</t>
  </si>
  <si>
    <t>Ingest Ch26-07</t>
  </si>
  <si>
    <t>14207</t>
  </si>
  <si>
    <t>Ingest Ch26-08</t>
  </si>
  <si>
    <t>14208</t>
  </si>
  <si>
    <t>Ingest Ch26-09</t>
  </si>
  <si>
    <t>14209</t>
  </si>
  <si>
    <t>14210</t>
  </si>
  <si>
    <t>14211</t>
  </si>
  <si>
    <t>14212</t>
  </si>
  <si>
    <t>14213</t>
  </si>
  <si>
    <t>14214</t>
  </si>
  <si>
    <t>Ingest Ch26-15</t>
  </si>
  <si>
    <t>14215</t>
  </si>
  <si>
    <t>Ingest Ch26-16</t>
  </si>
  <si>
    <t>14216</t>
  </si>
  <si>
    <t>Ingest Ch26</t>
  </si>
  <si>
    <t>14101</t>
  </si>
  <si>
    <t>M3H InCh 1zu1</t>
  </si>
  <si>
    <t>Ingest Ch27-ANC1</t>
  </si>
  <si>
    <t>15301</t>
  </si>
  <si>
    <t>15302</t>
  </si>
  <si>
    <t>15303</t>
  </si>
  <si>
    <t>15304</t>
  </si>
  <si>
    <t>Ingest Ch27-01</t>
  </si>
  <si>
    <t>15201</t>
  </si>
  <si>
    <t>Ingest Ch27-02</t>
  </si>
  <si>
    <t>15202</t>
  </si>
  <si>
    <t>Ingest Ch27-03</t>
  </si>
  <si>
    <t>15203</t>
  </si>
  <si>
    <t>Ingest Ch27-04</t>
  </si>
  <si>
    <t>15204</t>
  </si>
  <si>
    <t>Ingest Ch27-05</t>
  </si>
  <si>
    <t>15205</t>
  </si>
  <si>
    <t>Ingest Ch27-06</t>
  </si>
  <si>
    <t>15206</t>
  </si>
  <si>
    <t>Ingest Ch27-07</t>
  </si>
  <si>
    <t>15207</t>
  </si>
  <si>
    <t>Ingest Ch27-08</t>
  </si>
  <si>
    <t>15208</t>
  </si>
  <si>
    <t>Ingest Ch27-09</t>
  </si>
  <si>
    <t>15209</t>
  </si>
  <si>
    <t>15210</t>
  </si>
  <si>
    <t>15211</t>
  </si>
  <si>
    <t>15212</t>
  </si>
  <si>
    <t>15213</t>
  </si>
  <si>
    <t>15214</t>
  </si>
  <si>
    <t>Ingest Ch27-15</t>
  </si>
  <si>
    <t>15215</t>
  </si>
  <si>
    <t>Ingest Ch27-16</t>
  </si>
  <si>
    <t>15216</t>
  </si>
  <si>
    <t>Ingest Ch27</t>
  </si>
  <si>
    <t>15101</t>
  </si>
  <si>
    <t>Ingest Ch28-ANC1</t>
  </si>
  <si>
    <t>16301</t>
  </si>
  <si>
    <t>16302</t>
  </si>
  <si>
    <t>16303</t>
  </si>
  <si>
    <t>16304</t>
  </si>
  <si>
    <t>Ingest Ch28-01</t>
  </si>
  <si>
    <t>16201</t>
  </si>
  <si>
    <t>Ingest Ch28-02</t>
  </si>
  <si>
    <t>16202</t>
  </si>
  <si>
    <t>Ingest Ch28-03</t>
  </si>
  <si>
    <t>16203</t>
  </si>
  <si>
    <t>Ingest Ch28-04</t>
  </si>
  <si>
    <t>16204</t>
  </si>
  <si>
    <t>Ingest Ch28-05</t>
  </si>
  <si>
    <t>16205</t>
  </si>
  <si>
    <t>Ingest Ch28-06</t>
  </si>
  <si>
    <t>16206</t>
  </si>
  <si>
    <t>Ingest Ch28-07</t>
  </si>
  <si>
    <t>16207</t>
  </si>
  <si>
    <t>Ingest Ch28-08</t>
  </si>
  <si>
    <t>16208</t>
  </si>
  <si>
    <t>Ingest Ch28-09</t>
  </si>
  <si>
    <t>16209</t>
  </si>
  <si>
    <t>16210</t>
  </si>
  <si>
    <t>16211</t>
  </si>
  <si>
    <t>16212</t>
  </si>
  <si>
    <t>16213</t>
  </si>
  <si>
    <t>16214</t>
  </si>
  <si>
    <t>Ingest Ch28-15</t>
  </si>
  <si>
    <t>16215</t>
  </si>
  <si>
    <t>Ingest Ch28-16</t>
  </si>
  <si>
    <t>16216</t>
  </si>
  <si>
    <t>Ingest Ch28</t>
  </si>
  <si>
    <t>16101</t>
  </si>
  <si>
    <t>MEDEM Edits Out</t>
  </si>
  <si>
    <t>Out Edit07-ANC1</t>
  </si>
  <si>
    <t>17301</t>
  </si>
  <si>
    <t>17302</t>
  </si>
  <si>
    <t>17303</t>
  </si>
  <si>
    <t>17304</t>
  </si>
  <si>
    <t>Out Edit07-01</t>
  </si>
  <si>
    <t>17201</t>
  </si>
  <si>
    <t>Out Edit07-02</t>
  </si>
  <si>
    <t>17202</t>
  </si>
  <si>
    <t>Out Edit07-03</t>
  </si>
  <si>
    <t>17203</t>
  </si>
  <si>
    <t>Out Edit07-04</t>
  </si>
  <si>
    <t>17204</t>
  </si>
  <si>
    <t>Out Edit07-05</t>
  </si>
  <si>
    <t>17205</t>
  </si>
  <si>
    <t>Out Edit07-06</t>
  </si>
  <si>
    <t>17206</t>
  </si>
  <si>
    <t>Out Edit07-07</t>
  </si>
  <si>
    <t>17207</t>
  </si>
  <si>
    <t>Out Edit07-08</t>
  </si>
  <si>
    <t>17208</t>
  </si>
  <si>
    <t>17209</t>
  </si>
  <si>
    <t>17210</t>
  </si>
  <si>
    <t>17211</t>
  </si>
  <si>
    <t>17212</t>
  </si>
  <si>
    <t>17213</t>
  </si>
  <si>
    <t>17214</t>
  </si>
  <si>
    <t>Out Edit07-15</t>
  </si>
  <si>
    <t>17215</t>
  </si>
  <si>
    <t>Out Edit07-16</t>
  </si>
  <si>
    <t>17216</t>
  </si>
  <si>
    <t>Out Edit07</t>
  </si>
  <si>
    <t>17101</t>
  </si>
  <si>
    <t>Out Edit08-ANC1</t>
  </si>
  <si>
    <t>18301</t>
  </si>
  <si>
    <t>18302</t>
  </si>
  <si>
    <t>18303</t>
  </si>
  <si>
    <t>18304</t>
  </si>
  <si>
    <t>Out Edit08-01</t>
  </si>
  <si>
    <t>18201</t>
  </si>
  <si>
    <t>Out Edit08-02</t>
  </si>
  <si>
    <t>18202</t>
  </si>
  <si>
    <t>Out Edit08-03</t>
  </si>
  <si>
    <t>18203</t>
  </si>
  <si>
    <t>Out Edit08-04</t>
  </si>
  <si>
    <t>18204</t>
  </si>
  <si>
    <t>Out Edit08-05</t>
  </si>
  <si>
    <t>18205</t>
  </si>
  <si>
    <t>Out Edit08-06</t>
  </si>
  <si>
    <t>18206</t>
  </si>
  <si>
    <t>Out Edit08-07</t>
  </si>
  <si>
    <t>18207</t>
  </si>
  <si>
    <t>Out Edit08-08</t>
  </si>
  <si>
    <t>18208</t>
  </si>
  <si>
    <t>18209</t>
  </si>
  <si>
    <t>18210</t>
  </si>
  <si>
    <t>18211</t>
  </si>
  <si>
    <t>18212</t>
  </si>
  <si>
    <t>18213</t>
  </si>
  <si>
    <t>18214</t>
  </si>
  <si>
    <t>Out Edit08-15</t>
  </si>
  <si>
    <t>18215</t>
  </si>
  <si>
    <t>Out Edit08-16</t>
  </si>
  <si>
    <t>18216</t>
  </si>
  <si>
    <t>Out Edit08</t>
  </si>
  <si>
    <t>18101</t>
  </si>
  <si>
    <t>Out Edit09-ANC1</t>
  </si>
  <si>
    <t>19301</t>
  </si>
  <si>
    <t>19302</t>
  </si>
  <si>
    <t>19303</t>
  </si>
  <si>
    <t>19304</t>
  </si>
  <si>
    <t>Out Edit09-01</t>
  </si>
  <si>
    <t>19201</t>
  </si>
  <si>
    <t>Out Edit09-02</t>
  </si>
  <si>
    <t>19202</t>
  </si>
  <si>
    <t>Out Edit09-03</t>
  </si>
  <si>
    <t>19203</t>
  </si>
  <si>
    <t>Out Edit09-04</t>
  </si>
  <si>
    <t>19204</t>
  </si>
  <si>
    <t>Out Edit09-05</t>
  </si>
  <si>
    <t>19205</t>
  </si>
  <si>
    <t>Out Edit09-06</t>
  </si>
  <si>
    <t>19206</t>
  </si>
  <si>
    <t>Out Edit09-07</t>
  </si>
  <si>
    <t>19207</t>
  </si>
  <si>
    <t>Out Edit09-08</t>
  </si>
  <si>
    <t>19208</t>
  </si>
  <si>
    <t>19209</t>
  </si>
  <si>
    <t>19210</t>
  </si>
  <si>
    <t>19211</t>
  </si>
  <si>
    <t>19212</t>
  </si>
  <si>
    <t>19213</t>
  </si>
  <si>
    <t>19214</t>
  </si>
  <si>
    <t>Out Edit09-15</t>
  </si>
  <si>
    <t>19215</t>
  </si>
  <si>
    <t>Out Edit09-16</t>
  </si>
  <si>
    <t>19216</t>
  </si>
  <si>
    <t>Out Edit09</t>
  </si>
  <si>
    <t>19101</t>
  </si>
  <si>
    <t>Out Edit10-ANC1</t>
  </si>
  <si>
    <t>20301</t>
  </si>
  <si>
    <t>20302</t>
  </si>
  <si>
    <t>20303</t>
  </si>
  <si>
    <t>20304</t>
  </si>
  <si>
    <t>Out Edit10-01</t>
  </si>
  <si>
    <t>20201</t>
  </si>
  <si>
    <t>Out Edit10-02</t>
  </si>
  <si>
    <t>20202</t>
  </si>
  <si>
    <t>Out Edit10-03</t>
  </si>
  <si>
    <t>20203</t>
  </si>
  <si>
    <t>Out Edit10-04</t>
  </si>
  <si>
    <t>20204</t>
  </si>
  <si>
    <t>Out Edit10-05</t>
  </si>
  <si>
    <t>20205</t>
  </si>
  <si>
    <t>Out Edit10-06</t>
  </si>
  <si>
    <t>20206</t>
  </si>
  <si>
    <t>Out Edit10-07</t>
  </si>
  <si>
    <t>20207</t>
  </si>
  <si>
    <t>Out Edit10-08</t>
  </si>
  <si>
    <t>20208</t>
  </si>
  <si>
    <t>20209</t>
  </si>
  <si>
    <t>20210</t>
  </si>
  <si>
    <t>20211</t>
  </si>
  <si>
    <t>20212</t>
  </si>
  <si>
    <t>20213</t>
  </si>
  <si>
    <t>20214</t>
  </si>
  <si>
    <t>Out Edit10-15</t>
  </si>
  <si>
    <t>20215</t>
  </si>
  <si>
    <t>Out Edit10-16</t>
  </si>
  <si>
    <t>20216</t>
  </si>
  <si>
    <t>Out Edit10</t>
  </si>
  <si>
    <t>20101</t>
  </si>
  <si>
    <t>MEDEM Edit07</t>
  </si>
  <si>
    <t>In Edit07-ANC1</t>
  </si>
  <si>
    <t>21301</t>
  </si>
  <si>
    <t>21302</t>
  </si>
  <si>
    <t>21303</t>
  </si>
  <si>
    <t>21304</t>
  </si>
  <si>
    <t>In Edit07-01</t>
  </si>
  <si>
    <t>21201</t>
  </si>
  <si>
    <t>In Edit07-02</t>
  </si>
  <si>
    <t>21202</t>
  </si>
  <si>
    <t>In Edit07-03</t>
  </si>
  <si>
    <t>21203</t>
  </si>
  <si>
    <t>In Edit07-04</t>
  </si>
  <si>
    <t>21204</t>
  </si>
  <si>
    <t>In Edit07-05</t>
  </si>
  <si>
    <t>21205</t>
  </si>
  <si>
    <t>In Edit07-06</t>
  </si>
  <si>
    <t>21206</t>
  </si>
  <si>
    <t>In Edit07-07</t>
  </si>
  <si>
    <t>21207</t>
  </si>
  <si>
    <t>In Edit07-08</t>
  </si>
  <si>
    <t>21208</t>
  </si>
  <si>
    <t>In Edit07-09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</si>
  <si>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</si>
  <si>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</si>
  <si>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</si>
  <si>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</si>
  <si>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</si>
  <si>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</si>
  <si>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</si>
  <si>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</si>
  <si>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In Edit07</t>
  </si>
  <si>
    <t>21101</t>
  </si>
  <si>
    <t>MEDEM Edit08</t>
  </si>
  <si>
    <t>In Edit08-ANC1</t>
  </si>
  <si>
    <t>22301</t>
  </si>
  <si>
    <t>22302</t>
  </si>
  <si>
    <t>22303</t>
  </si>
  <si>
    <t>22304</t>
  </si>
  <si>
    <t>In Edit08-01</t>
  </si>
  <si>
    <t>22201</t>
  </si>
  <si>
    <t>In Edit08-02</t>
  </si>
  <si>
    <t>22202</t>
  </si>
  <si>
    <t>In Edit08-03</t>
  </si>
  <si>
    <t>22203</t>
  </si>
  <si>
    <t>In Edit08-04</t>
  </si>
  <si>
    <t>22204</t>
  </si>
  <si>
    <t>In Edit08-05</t>
  </si>
  <si>
    <t>22205</t>
  </si>
  <si>
    <t>In Edit08-06</t>
  </si>
  <si>
    <t>22206</t>
  </si>
  <si>
    <t>In Edit08-07</t>
  </si>
  <si>
    <t>22207</t>
  </si>
  <si>
    <t>In Edit08-08</t>
  </si>
  <si>
    <t>22208</t>
  </si>
  <si>
    <t>In Edit08-09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</si>
  <si>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</si>
  <si>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</si>
  <si>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</si>
  <si>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</si>
  <si>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</si>
  <si>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</si>
  <si>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</si>
  <si>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</si>
  <si>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In Edit08</t>
  </si>
  <si>
    <t>22101</t>
  </si>
  <si>
    <t>MEDEM Edit09</t>
  </si>
  <si>
    <t>In Edit09-ANC1</t>
  </si>
  <si>
    <t>23301</t>
  </si>
  <si>
    <t>23302</t>
  </si>
  <si>
    <t>23303</t>
  </si>
  <si>
    <t>23304</t>
  </si>
  <si>
    <t>In Edit09-01</t>
  </si>
  <si>
    <t>23201</t>
  </si>
  <si>
    <t>In Edit09-02</t>
  </si>
  <si>
    <t>23202</t>
  </si>
  <si>
    <t>In Edit09-03</t>
  </si>
  <si>
    <t>23203</t>
  </si>
  <si>
    <t>In Edit09-04</t>
  </si>
  <si>
    <t>23204</t>
  </si>
  <si>
    <t>In Edit09-05</t>
  </si>
  <si>
    <t>23205</t>
  </si>
  <si>
    <t>In Edit09-06</t>
  </si>
  <si>
    <t>23206</t>
  </si>
  <si>
    <t>In Edit09-07</t>
  </si>
  <si>
    <t>23207</t>
  </si>
  <si>
    <t>In Edit09-08</t>
  </si>
  <si>
    <t>23208</t>
  </si>
  <si>
    <t>In Edit09-09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</si>
  <si>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</si>
  <si>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</si>
  <si>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</si>
  <si>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</si>
  <si>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</si>
  <si>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</si>
  <si>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</si>
  <si>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</si>
  <si>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In Edit09</t>
  </si>
  <si>
    <t>23101</t>
  </si>
  <si>
    <t>MEDEM Edit10</t>
  </si>
  <si>
    <t>In Edit10-ANC1</t>
  </si>
  <si>
    <t>24301</t>
  </si>
  <si>
    <t>24302</t>
  </si>
  <si>
    <t>24303</t>
  </si>
  <si>
    <t>24304</t>
  </si>
  <si>
    <t>In Edit10-01</t>
  </si>
  <si>
    <t>24201</t>
  </si>
  <si>
    <t>In Edit10-02</t>
  </si>
  <si>
    <t>24202</t>
  </si>
  <si>
    <t>In Edit10-03</t>
  </si>
  <si>
    <t>24203</t>
  </si>
  <si>
    <t>In Edit10-04</t>
  </si>
  <si>
    <t>24204</t>
  </si>
  <si>
    <t>In Edit10-05</t>
  </si>
  <si>
    <t>24205</t>
  </si>
  <si>
    <t>In Edit10-06</t>
  </si>
  <si>
    <t>24206</t>
  </si>
  <si>
    <t>In Edit10-07</t>
  </si>
  <si>
    <t>24207</t>
  </si>
  <si>
    <t>In Edit10-08</t>
  </si>
  <si>
    <t>24208</t>
  </si>
  <si>
    <t>In Edit10-09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</si>
  <si>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</si>
  <si>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</si>
  <si>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</si>
  <si>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</si>
  <si>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</si>
  <si>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</si>
  <si>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</si>
  <si>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</si>
  <si>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In Edit10</t>
  </si>
  <si>
    <t>24101</t>
  </si>
  <si>
    <t>25301</t>
  </si>
  <si>
    <t>25302</t>
  </si>
  <si>
    <t>25303</t>
  </si>
  <si>
    <t>25304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</si>
  <si>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</si>
  <si>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</si>
  <si>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</si>
  <si>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</si>
  <si>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</si>
  <si>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</si>
  <si>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</si>
  <si>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</si>
  <si>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</si>
  <si>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</si>
  <si>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25211</t>
  </si>
  <si>
    <t>25212</t>
  </si>
  <si>
    <t>25213</t>
  </si>
  <si>
    <t>25214</t>
  </si>
  <si>
    <t>25215</t>
  </si>
  <si>
    <t>25216</t>
  </si>
  <si>
    <t>25101</t>
  </si>
  <si>
    <t>26301</t>
  </si>
  <si>
    <t>26302</t>
  </si>
  <si>
    <t>26303</t>
  </si>
  <si>
    <t>26304</t>
  </si>
  <si>
    <t>26201</t>
  </si>
  <si>
    <t>26202</t>
  </si>
  <si>
    <t>26203</t>
  </si>
  <si>
    <t>26204</t>
  </si>
  <si>
    <t>26205</t>
  </si>
  <si>
    <t>26206</t>
  </si>
  <si>
    <t>26207</t>
  </si>
  <si>
    <t>26208</t>
  </si>
  <si>
    <t>26209</t>
  </si>
  <si>
    <t>26210</t>
  </si>
  <si>
    <t>26211</t>
  </si>
  <si>
    <t>26212</t>
  </si>
  <si>
    <t>26213</t>
  </si>
  <si>
    <t>26214</t>
  </si>
  <si>
    <t>26215</t>
  </si>
  <si>
    <t>26216</t>
  </si>
  <si>
    <t>26101</t>
  </si>
  <si>
    <t>27301</t>
  </si>
  <si>
    <t>27302</t>
  </si>
  <si>
    <t>27303</t>
  </si>
  <si>
    <t>27304</t>
  </si>
  <si>
    <t>27201</t>
  </si>
  <si>
    <t>27202</t>
  </si>
  <si>
    <t>27203</t>
  </si>
  <si>
    <t>27204</t>
  </si>
  <si>
    <t>27205</t>
  </si>
  <si>
    <t>27206</t>
  </si>
  <si>
    <t>27207</t>
  </si>
  <si>
    <t>27208</t>
  </si>
  <si>
    <t>27209</t>
  </si>
  <si>
    <t>27210</t>
  </si>
  <si>
    <t>27211</t>
  </si>
  <si>
    <t>27212</t>
  </si>
  <si>
    <t>27213</t>
  </si>
  <si>
    <t>27214</t>
  </si>
  <si>
    <t>27215</t>
  </si>
  <si>
    <t>27216</t>
  </si>
  <si>
    <t>27101</t>
  </si>
  <si>
    <t>28301</t>
  </si>
  <si>
    <t>28302</t>
  </si>
  <si>
    <t>28303</t>
  </si>
  <si>
    <t>28304</t>
  </si>
  <si>
    <t>28201</t>
  </si>
  <si>
    <t>28202</t>
  </si>
  <si>
    <t>28203</t>
  </si>
  <si>
    <t>28204</t>
  </si>
  <si>
    <t>28205</t>
  </si>
  <si>
    <t>28206</t>
  </si>
  <si>
    <t>28207</t>
  </si>
  <si>
    <t>28208</t>
  </si>
  <si>
    <t>28209</t>
  </si>
  <si>
    <t>28210</t>
  </si>
  <si>
    <t>28211</t>
  </si>
  <si>
    <t>28212</t>
  </si>
  <si>
    <t>28213</t>
  </si>
  <si>
    <t>28214</t>
  </si>
  <si>
    <t>28215</t>
  </si>
  <si>
    <t>28216</t>
  </si>
  <si>
    <t>28101</t>
  </si>
  <si>
    <t>Out Edit21-ANC1</t>
  </si>
  <si>
    <t>29301</t>
  </si>
  <si>
    <t>29302</t>
  </si>
  <si>
    <t>29303</t>
  </si>
  <si>
    <t>29304</t>
  </si>
  <si>
    <t>Out Edit21-01</t>
  </si>
  <si>
    <t>29201</t>
  </si>
  <si>
    <t>Out Edit21-02</t>
  </si>
  <si>
    <t>29202</t>
  </si>
  <si>
    <t>Out Edit21-03</t>
  </si>
  <si>
    <t>29203</t>
  </si>
  <si>
    <t>Out Edit21-04</t>
  </si>
  <si>
    <t>29204</t>
  </si>
  <si>
    <t>Out Edit21-05</t>
  </si>
  <si>
    <t>29205</t>
  </si>
  <si>
    <t>Out Edit21-06</t>
  </si>
  <si>
    <t>29206</t>
  </si>
  <si>
    <t>Out Edit21-07</t>
  </si>
  <si>
    <t>29207</t>
  </si>
  <si>
    <t>Out Edit21-08</t>
  </si>
  <si>
    <t>29208</t>
  </si>
  <si>
    <t>29209</t>
  </si>
  <si>
    <t>29210</t>
  </si>
  <si>
    <t>29211</t>
  </si>
  <si>
    <t>29212</t>
  </si>
  <si>
    <t>29213</t>
  </si>
  <si>
    <t>29214</t>
  </si>
  <si>
    <t>Out Edit21-15</t>
  </si>
  <si>
    <t>29215</t>
  </si>
  <si>
    <t>Out Edit21-16</t>
  </si>
  <si>
    <t>29216</t>
  </si>
  <si>
    <t>Out Edit21</t>
  </si>
  <si>
    <t>29101</t>
  </si>
  <si>
    <t>Out Edit22-ANC1</t>
  </si>
  <si>
    <t>30301</t>
  </si>
  <si>
    <t>30302</t>
  </si>
  <si>
    <t>30303</t>
  </si>
  <si>
    <t>30304</t>
  </si>
  <si>
    <t>Out Edit22-01</t>
  </si>
  <si>
    <t>30201</t>
  </si>
  <si>
    <t>Out Edit22-02</t>
  </si>
  <si>
    <t>30202</t>
  </si>
  <si>
    <t>Out Edit22-03</t>
  </si>
  <si>
    <t>30203</t>
  </si>
  <si>
    <t>Out Edit22-04</t>
  </si>
  <si>
    <t>30204</t>
  </si>
  <si>
    <t>Out Edit22-05</t>
  </si>
  <si>
    <t>30205</t>
  </si>
  <si>
    <t>Out Edit22-06</t>
  </si>
  <si>
    <t>30206</t>
  </si>
  <si>
    <t>Out Edit22-07</t>
  </si>
  <si>
    <t>30207</t>
  </si>
  <si>
    <t>Out Edit22-08</t>
  </si>
  <si>
    <t>30208</t>
  </si>
  <si>
    <t>30209</t>
  </si>
  <si>
    <t>30210</t>
  </si>
  <si>
    <t>30211</t>
  </si>
  <si>
    <t>30212</t>
  </si>
  <si>
    <t>30213</t>
  </si>
  <si>
    <t>30214</t>
  </si>
  <si>
    <t>Out Edit22-15</t>
  </si>
  <si>
    <t>30215</t>
  </si>
  <si>
    <t>Out Edit22-16</t>
  </si>
  <si>
    <t>30216</t>
  </si>
  <si>
    <t>Out Edit22</t>
  </si>
  <si>
    <t>30101</t>
  </si>
  <si>
    <t>Out Edit23-ANC1</t>
  </si>
  <si>
    <t>31301</t>
  </si>
  <si>
    <t>31302</t>
  </si>
  <si>
    <t>31303</t>
  </si>
  <si>
    <t>31304</t>
  </si>
  <si>
    <t>Out Edit23-01</t>
  </si>
  <si>
    <t>31201</t>
  </si>
  <si>
    <t>Out Edit23-02</t>
  </si>
  <si>
    <t>31202</t>
  </si>
  <si>
    <t>Out Edit23-03</t>
  </si>
  <si>
    <t>31203</t>
  </si>
  <si>
    <t>Out Edit23-04</t>
  </si>
  <si>
    <t>31204</t>
  </si>
  <si>
    <t>Out Edit23-05</t>
  </si>
  <si>
    <t>31205</t>
  </si>
  <si>
    <t>Out Edit23-06</t>
  </si>
  <si>
    <t>31206</t>
  </si>
  <si>
    <t>Out Edit23-07</t>
  </si>
  <si>
    <t>31207</t>
  </si>
  <si>
    <t>Out Edit23-08</t>
  </si>
  <si>
    <t>31208</t>
  </si>
  <si>
    <t>31209</t>
  </si>
  <si>
    <t>31210</t>
  </si>
  <si>
    <t>31211</t>
  </si>
  <si>
    <t>31212</t>
  </si>
  <si>
    <t>31213</t>
  </si>
  <si>
    <t>31214</t>
  </si>
  <si>
    <t>Out Edit23-15</t>
  </si>
  <si>
    <t>31215</t>
  </si>
  <si>
    <t>Out Edit23-16</t>
  </si>
  <si>
    <t>31216</t>
  </si>
  <si>
    <t>Out Edit23</t>
  </si>
  <si>
    <t>31101</t>
  </si>
  <si>
    <t>Out Edit24-ANC1</t>
  </si>
  <si>
    <t>32301</t>
  </si>
  <si>
    <t>32302</t>
  </si>
  <si>
    <t>32303</t>
  </si>
  <si>
    <t>32304</t>
  </si>
  <si>
    <t>Out Edit24-01</t>
  </si>
  <si>
    <t>32201</t>
  </si>
  <si>
    <t>Out Edit24-02</t>
  </si>
  <si>
    <t>32202</t>
  </si>
  <si>
    <t>Out Edit24-03</t>
  </si>
  <si>
    <t>32203</t>
  </si>
  <si>
    <t>Out Edit24-04</t>
  </si>
  <si>
    <t>32204</t>
  </si>
  <si>
    <t>Out Edit24-05</t>
  </si>
  <si>
    <t>32205</t>
  </si>
  <si>
    <t>Out Edit24-06</t>
  </si>
  <si>
    <t>32206</t>
  </si>
  <si>
    <t>Out Edit24-07</t>
  </si>
  <si>
    <t>32207</t>
  </si>
  <si>
    <t>Out Edit24-08</t>
  </si>
  <si>
    <t>32208</t>
  </si>
  <si>
    <t>32209</t>
  </si>
  <si>
    <t>32210</t>
  </si>
  <si>
    <t>32211</t>
  </si>
  <si>
    <t>32212</t>
  </si>
  <si>
    <t>32213</t>
  </si>
  <si>
    <t>32214</t>
  </si>
  <si>
    <t>Out Edit24-15</t>
  </si>
  <si>
    <t>32215</t>
  </si>
  <si>
    <t>Out Edit24-16</t>
  </si>
  <si>
    <t>32216</t>
  </si>
  <si>
    <t>Out Edit24</t>
  </si>
  <si>
    <t>32101</t>
  </si>
  <si>
    <t>#EndpointType(0)</t>
  </si>
  <si>
    <t>EndpointName(1)</t>
  </si>
  <si>
    <t>Tags(2)</t>
  </si>
  <si>
    <t>Description(3)</t>
  </si>
  <si>
    <t>DeviceName(4)</t>
  </si>
  <si>
    <t>Slot(5)</t>
  </si>
  <si>
    <t>Channel(6)</t>
  </si>
  <si>
    <t>PriSwitch(7)</t>
  </si>
  <si>
    <t>PriSwitchIf(8)</t>
  </si>
  <si>
    <t>SecSwitch(9)</t>
  </si>
  <si>
    <t>SecSwitchIf(10)</t>
  </si>
  <si>
    <t>SourceIp(11)</t>
  </si>
  <si>
    <t>DestinationIp(12)</t>
  </si>
  <si>
    <t>DestinationUdp(13)</t>
  </si>
  <si>
    <t>VlanId(14)</t>
  </si>
  <si>
    <t>PortIp(15)</t>
  </si>
  <si>
    <t>PortGateway(16)</t>
  </si>
  <si>
    <t>PortNetmask(17)</t>
  </si>
  <si>
    <t>Active(18)</t>
  </si>
  <si>
    <t>Present(19)</t>
  </si>
  <si>
    <t>Not Used(20)</t>
  </si>
  <si>
    <t>Not Used(21)</t>
  </si>
  <si>
    <t>Not Used(22)</t>
  </si>
  <si>
    <t>Custom(23)</t>
  </si>
  <si>
    <t>SIPS Mode(24)</t>
  </si>
  <si>
    <t>EXT</t>
  </si>
  <si>
    <t>VGW-103_SDI01_VIDsend_0001</t>
  </si>
  <si>
    <t>VGW-103|device276</t>
  </si>
  <si>
    <t>101S|ProcA S1 P1 IP Output Video</t>
  </si>
  <si>
    <t>VGW-103_SDI01_AUDsend_0001</t>
  </si>
  <si>
    <t>201S|ProcA S1 P1 IP Output Audio 1</t>
  </si>
  <si>
    <t>VGW-103_SDI01_AUDsend_0002</t>
  </si>
  <si>
    <t>202S|ProcA S1 P1 IP Output Audio 2</t>
  </si>
  <si>
    <t>VGW-103_SDI01_AUDsend_0003</t>
  </si>
  <si>
    <t>203S|ProcA S1 P1 IP Output Audio 3</t>
  </si>
  <si>
    <t>VGW-103_SDI01_AUDsend_0004</t>
  </si>
  <si>
    <t>204S|ProcA S1 P1 IP Output Audio 4</t>
  </si>
  <si>
    <t>VGW-103_SDI01_AUDsend_0005</t>
  </si>
  <si>
    <t>205S|ProcA S1 P1 IP Output Audio 5</t>
  </si>
  <si>
    <t>VGW-103_SDI01_AUDsend_0006</t>
  </si>
  <si>
    <t>206S|ProcA S1 P1 IP Output Audio 6</t>
  </si>
  <si>
    <t>VGW-103_SDI01_AUDsend_0007</t>
  </si>
  <si>
    <t>207S|ProcA S1 P1 IP Output Audio 7</t>
  </si>
  <si>
    <t>VGW-103_SDI01_AUDsend_0008</t>
  </si>
  <si>
    <t>208S|ProcA S1 P1 IP Output Audio 8</t>
  </si>
  <si>
    <t>VGW-103_SDI01_AUDsend_0009</t>
  </si>
  <si>
    <t>209S|ProcA S1 P1 IP Output Audio 9</t>
  </si>
  <si>
    <t>VGW-103_SDI01_AUDsend_0010</t>
  </si>
  <si>
    <t>210S|ProcA S1 P1 IP Output Audio 10</t>
  </si>
  <si>
    <t>VGW-103_SDI01_AUDsend_0011</t>
  </si>
  <si>
    <t>211S|ProcA S1 P1 IP Output Audio 11</t>
  </si>
  <si>
    <t>VGW-103_SDI01_AUDsend_0012</t>
  </si>
  <si>
    <t>212S|ProcA S1 P1 IP Output Audio 12</t>
  </si>
  <si>
    <t>VGW-103_SDI01_AUDsend_0013</t>
  </si>
  <si>
    <t>213S|ProcA S1 P1 IP Output Audio 13</t>
  </si>
  <si>
    <t>VGW-103_SDI01_AUDsend_0014</t>
  </si>
  <si>
    <t>214S|ProcA S1 P1 IP Output Audio 14</t>
  </si>
  <si>
    <t>VGW-103_SDI01_AUDsend_0015</t>
  </si>
  <si>
    <t>215S|ProcA S1 P1 IP Output Audio 15</t>
  </si>
  <si>
    <t>VGW-103_SDI01_AUDsend_0016</t>
  </si>
  <si>
    <t>216S|ProcA S1 P1 IP Output Audio 16</t>
  </si>
  <si>
    <t>VGW-103_SDI01_ANCsend_0001</t>
  </si>
  <si>
    <t>301S|ProcA S1 P1 IP Output Ancillary Data 1</t>
  </si>
  <si>
    <t>VGW-103_SDI01_ANCsend_0002</t>
  </si>
  <si>
    <t>302S|ProcA S1 P1 IP Output Ancillary Data 2</t>
  </si>
  <si>
    <t>VGW-103_SDI01_ANCsend_0003</t>
  </si>
  <si>
    <t>303S|ProcA S1 P1 IP Output Ancillary Data 3</t>
  </si>
  <si>
    <t>VGW-103_SDI01_ANCsend_0004</t>
  </si>
  <si>
    <t>304S|ProcA S1 P1 IP Output Ancillary Data 4</t>
  </si>
  <si>
    <t>VGW-103_SDI02_VIDsend_0001</t>
  </si>
  <si>
    <t>101S|ProcA S1 P2 IP Output Video</t>
  </si>
  <si>
    <t>VGW-103_SDI02_AUDsend_0001</t>
  </si>
  <si>
    <t>201S|ProcA S1 P2 IP Output Audio 1</t>
  </si>
  <si>
    <t>VGW-103_SDI02_AUDsend_0002</t>
  </si>
  <si>
    <t>202S|ProcA S1 P2 IP Output Audio 2</t>
  </si>
  <si>
    <t>VGW-103_SDI02_AUDsend_0003</t>
  </si>
  <si>
    <t>203S|ProcA S1 P2 IP Output Audio 3</t>
  </si>
  <si>
    <t>VGW-103_SDI02_AUDsend_0004</t>
  </si>
  <si>
    <t>204S|ProcA S1 P2 IP Output Audio 4</t>
  </si>
  <si>
    <t>VGW-103_SDI02_AUDsend_0005</t>
  </si>
  <si>
    <t>205S|ProcA S1 P2 IP Output Audio 5</t>
  </si>
  <si>
    <t>VGW-103_SDI02_AUDsend_0006</t>
  </si>
  <si>
    <t>206S|ProcA S1 P2 IP Output Audio 6</t>
  </si>
  <si>
    <t>VGW-103_SDI02_AUDsend_0007</t>
  </si>
  <si>
    <t>207S|ProcA S1 P2 IP Output Audio 7</t>
  </si>
  <si>
    <t>VGW-103_SDI02_AUDsend_0008</t>
  </si>
  <si>
    <t>208S|ProcA S1 P2 IP Output Audio 8</t>
  </si>
  <si>
    <t>VGW-103_SDI02_AUDsend_0009</t>
  </si>
  <si>
    <t>209S|ProcA S1 P2 IP Output Audio 9</t>
  </si>
  <si>
    <t>VGW-103_SDI02_AUDsend_0010</t>
  </si>
  <si>
    <t>210S|ProcA S1 P2 IP Output Audio 10</t>
  </si>
  <si>
    <t>VGW-103_SDI02_AUDsend_0011</t>
  </si>
  <si>
    <t>211S|ProcA S1 P2 IP Output Audio 11</t>
  </si>
  <si>
    <t>VGW-103_SDI02_AUDsend_0012</t>
  </si>
  <si>
    <t>212S|ProcA S1 P2 IP Output Audio 12</t>
  </si>
  <si>
    <t>VGW-103_SDI02_AUDsend_0013</t>
  </si>
  <si>
    <t>213S|ProcA S1 P2 IP Output Audio 13</t>
  </si>
  <si>
    <t>VGW-103_SDI02_AUDsend_0014</t>
  </si>
  <si>
    <t>214S|ProcA S1 P2 IP Output Audio 14</t>
  </si>
  <si>
    <t>VGW-103_SDI02_AUDsend_0015</t>
  </si>
  <si>
    <t>215S|ProcA S1 P2 IP Output Audio 15</t>
  </si>
  <si>
    <t>VGW-103_SDI02_AUDsend_0016</t>
  </si>
  <si>
    <t>216S|ProcA S1 P2 IP Output Audio 16</t>
  </si>
  <si>
    <t>VGW-103_SDI02_ANCsend_0001</t>
  </si>
  <si>
    <t>301S|ProcA S1 P2 IP Output Ancillary Data 1</t>
  </si>
  <si>
    <t>VGW-103_SDI02_ANCsend_0002</t>
  </si>
  <si>
    <t>302S|ProcA S1 P2 IP Output Ancillary Data 2</t>
  </si>
  <si>
    <t>VGW-103_SDI02_ANCsend_0003</t>
  </si>
  <si>
    <t>303S|ProcA S1 P2 IP Output Ancillary Data 3</t>
  </si>
  <si>
    <t>VGW-103_SDI02_ANCsend_0004</t>
  </si>
  <si>
    <t>304S|ProcA S1 P2 IP Output Ancillary Data 4</t>
  </si>
  <si>
    <t>VGW-103_SDI03_VIDsend_0001</t>
  </si>
  <si>
    <t>101S|ProcA S1 P3 IP Output Video</t>
  </si>
  <si>
    <t>VGW-103_SDI03_AUDsend_0001</t>
  </si>
  <si>
    <t>201S|ProcA S1 P3 IP Output Audio 1</t>
  </si>
  <si>
    <t>VGW-103_SDI03_AUDsend_0002</t>
  </si>
  <si>
    <t>202S|ProcA S1 P3 IP Output Audio 2</t>
  </si>
  <si>
    <t>VGW-103_SDI03_AUDsend_0003</t>
  </si>
  <si>
    <t>203S|ProcA S1 P3 IP Output Audio 3</t>
  </si>
  <si>
    <t>VGW-103_SDI03_AUDsend_0004</t>
  </si>
  <si>
    <t>204S|ProcA S1 P3 IP Output Audio 4</t>
  </si>
  <si>
    <t>VGW-103_SDI03_AUDsend_0005</t>
  </si>
  <si>
    <t>205S|ProcA S1 P3 IP Output Audio 5</t>
  </si>
  <si>
    <t>VGW-103_SDI03_AUDsend_0006</t>
  </si>
  <si>
    <t>206S|ProcA S1 P3 IP Output Audio 6</t>
  </si>
  <si>
    <t>VGW-103_SDI03_AUDsend_0007</t>
  </si>
  <si>
    <t>207S|ProcA S1 P3 IP Output Audio 7</t>
  </si>
  <si>
    <t>VGW-103_SDI03_AUDsend_0008</t>
  </si>
  <si>
    <t>208S|ProcA S1 P3 IP Output Audio 8</t>
  </si>
  <si>
    <t>VGW-103_SDI03_AUDsend_0009</t>
  </si>
  <si>
    <t>209S|ProcA S1 P3 IP Output Audio 9</t>
  </si>
  <si>
    <t>VGW-103_SDI03_AUDsend_0010</t>
  </si>
  <si>
    <t>210S|ProcA S1 P3 IP Output Audio 10</t>
  </si>
  <si>
    <t>VGW-103_SDI03_AUDsend_0011</t>
  </si>
  <si>
    <t>211S|ProcA S1 P3 IP Output Audio 11</t>
  </si>
  <si>
    <t>VGW-103_SDI03_AUDsend_0012</t>
  </si>
  <si>
    <t>212S|ProcA S1 P3 IP Output Audio 12</t>
  </si>
  <si>
    <t>VGW-103_SDI03_AUDsend_0013</t>
  </si>
  <si>
    <t>213S|ProcA S1 P3 IP Output Audio 13</t>
  </si>
  <si>
    <t>VGW-103_SDI03_AUDsend_0014</t>
  </si>
  <si>
    <t>214S|ProcA S1 P3 IP Output Audio 14</t>
  </si>
  <si>
    <t>VGW-103_SDI03_AUDsend_0015</t>
  </si>
  <si>
    <t>215S|ProcA S1 P3 IP Output Audio 15</t>
  </si>
  <si>
    <t>VGW-103_SDI03_AUDsend_0016</t>
  </si>
  <si>
    <t>216S|ProcA S1 P3 IP Output Audio 16</t>
  </si>
  <si>
    <t>VGW-103_SDI03_ANCsend_0001</t>
  </si>
  <si>
    <t>301S|ProcA S1 P3 IP Output Ancillary Data 1</t>
  </si>
  <si>
    <t>VGW-103_SDI03_ANCsend_0002</t>
  </si>
  <si>
    <t>302S|ProcA S1 P3 IP Output Ancillary Data 2</t>
  </si>
  <si>
    <t>VGW-103_SDI03_ANCsend_0003</t>
  </si>
  <si>
    <t>303S|ProcA S1 P3 IP Output Ancillary Data 3</t>
  </si>
  <si>
    <t>VGW-103_SDI03_ANCsend_0004</t>
  </si>
  <si>
    <t>304S|ProcA S1 P3 IP Output Ancillary Data 4</t>
  </si>
  <si>
    <t>VGW-103_SDI04_VIDsend_0001</t>
  </si>
  <si>
    <t>101S|ProcA S1 P4 IP Output Video</t>
  </si>
  <si>
    <t>VGW-103_SDI04_AUDsend_0001</t>
  </si>
  <si>
    <t>201S|ProcA S1 P4 IP Output Audio 1</t>
  </si>
  <si>
    <t>VGW-103_SDI04_AUDsend_0002</t>
  </si>
  <si>
    <t>202S|ProcA S1 P4 IP Output Audio 2</t>
  </si>
  <si>
    <t>VGW-103_SDI04_AUDsend_0003</t>
  </si>
  <si>
    <t>203S|ProcA S1 P4 IP Output Audio 3</t>
  </si>
  <si>
    <t>VGW-103_SDI04_AUDsend_0004</t>
  </si>
  <si>
    <t>204S|ProcA S1 P4 IP Output Audio 4</t>
  </si>
  <si>
    <t>VGW-103_SDI04_AUDsend_0005</t>
  </si>
  <si>
    <t>205S|ProcA S1 P4 IP Output Audio 5</t>
  </si>
  <si>
    <t>VGW-103_SDI04_AUDsend_0006</t>
  </si>
  <si>
    <t>206S|ProcA S1 P4 IP Output Audio 6</t>
  </si>
  <si>
    <t>VGW-103_SDI04_AUDsend_0007</t>
  </si>
  <si>
    <t>207S|ProcA S1 P4 IP Output Audio 7</t>
  </si>
  <si>
    <t>VGW-103_SDI04_AUDsend_0008</t>
  </si>
  <si>
    <t>208S|ProcA S1 P4 IP Output Audio 8</t>
  </si>
  <si>
    <t>VGW-103_SDI04_AUDsend_0009</t>
  </si>
  <si>
    <t>209S|ProcA S1 P4 IP Output Audio 9</t>
  </si>
  <si>
    <t>VGW-103_SDI04_AUDsend_0010</t>
  </si>
  <si>
    <t>210S|ProcA S1 P4 IP Output Audio 10</t>
  </si>
  <si>
    <t>VGW-103_SDI04_AUDsend_0011</t>
  </si>
  <si>
    <t>211S|ProcA S1 P4 IP Output Audio 11</t>
  </si>
  <si>
    <t>VGW-103_SDI04_AUDsend_0012</t>
  </si>
  <si>
    <t>212S|ProcA S1 P4 IP Output Audio 12</t>
  </si>
  <si>
    <t>VGW-103_SDI04_AUDsend_0013</t>
  </si>
  <si>
    <t>213S|ProcA S1 P4 IP Output Audio 13</t>
  </si>
  <si>
    <t>VGW-103_SDI04_AUDsend_0014</t>
  </si>
  <si>
    <t>214S|ProcA S1 P4 IP Output Audio 14</t>
  </si>
  <si>
    <t>VGW-103_SDI04_AUDsend_0015</t>
  </si>
  <si>
    <t>215S|ProcA S1 P4 IP Output Audio 15</t>
  </si>
  <si>
    <t>VGW-103_SDI04_AUDsend_0016</t>
  </si>
  <si>
    <t>216S|ProcA S1 P4 IP Output Audio 16</t>
  </si>
  <si>
    <t>VGW-103_SDI04_ANCsend_0001</t>
  </si>
  <si>
    <t>301S|ProcA S1 P4 IP Output Ancillary Data 1</t>
  </si>
  <si>
    <t>VGW-103_SDI04_ANCsend_0002</t>
  </si>
  <si>
    <t>302S|ProcA S1 P4 IP Output Ancillary Data 2</t>
  </si>
  <si>
    <t>VGW-103_SDI04_ANCsend_0003</t>
  </si>
  <si>
    <t>303S|ProcA S1 P4 IP Output Ancillary Data 3</t>
  </si>
  <si>
    <t>VGW-103_SDI04_ANCsend_0004</t>
  </si>
  <si>
    <t>304S|ProcA S1 P4 IP Output Ancillary Data 4</t>
  </si>
  <si>
    <t>VGW-103_SDI05_VIDsend_0001</t>
  </si>
  <si>
    <t>101S|ProcA S2 P1 IP Output Video</t>
  </si>
  <si>
    <t>VGW-103_SDI05_AUDsend_0001</t>
  </si>
  <si>
    <t>201S|ProcA S2 P1 IP Output Audio 1</t>
  </si>
  <si>
    <t>VGW-103_SDI05_AUDsend_0002</t>
  </si>
  <si>
    <t>202S|ProcA S2 P1 IP Output Audio 2</t>
  </si>
  <si>
    <t>VGW-103_SDI05_AUDsend_0003</t>
  </si>
  <si>
    <t>203S|ProcA S2 P1 IP Output Audio 3</t>
  </si>
  <si>
    <t>VGW-103_SDI05_AUDsend_0004</t>
  </si>
  <si>
    <t>204S|ProcA S2 P1 IP Output Audio 4</t>
  </si>
  <si>
    <t>VGW-103_SDI05_AUDsend_0005</t>
  </si>
  <si>
    <t>205S|ProcA S2 P1 IP Output Audio 5</t>
  </si>
  <si>
    <t>VGW-103_SDI05_AUDsend_0006</t>
  </si>
  <si>
    <t>206S|ProcA S2 P1 IP Output Audio 6</t>
  </si>
  <si>
    <t>VGW-103_SDI05_AUDsend_0007</t>
  </si>
  <si>
    <t>207S|ProcA S2 P1 IP Output Audio 7</t>
  </si>
  <si>
    <t>VGW-103_SDI05_AUDsend_0008</t>
  </si>
  <si>
    <t>208S|ProcA S2 P1 IP Output Audio 8</t>
  </si>
  <si>
    <t>VGW-103_SDI05_AUDsend_0009</t>
  </si>
  <si>
    <t>209S|ProcA S2 P1 IP Output Audio 9</t>
  </si>
  <si>
    <t>VGW-103_SDI05_AUDsend_0010</t>
  </si>
  <si>
    <t>210S|ProcA S2 P1 IP Output Audio 10</t>
  </si>
  <si>
    <t>VGW-103_SDI05_AUDsend_0011</t>
  </si>
  <si>
    <t>211S|ProcA S2 P1 IP Output Audio 11</t>
  </si>
  <si>
    <t>VGW-103_SDI05_AUDsend_0012</t>
  </si>
  <si>
    <t>212S|ProcA S2 P1 IP Output Audio 12</t>
  </si>
  <si>
    <t>VGW-103_SDI05_AUDsend_0013</t>
  </si>
  <si>
    <t>213S|ProcA S2 P1 IP Output Audio 13</t>
  </si>
  <si>
    <t>VGW-103_SDI05_AUDsend_0014</t>
  </si>
  <si>
    <t>214S|ProcA S2 P1 IP Output Audio 14</t>
  </si>
  <si>
    <t>VGW-103_SDI05_AUDsend_0015</t>
  </si>
  <si>
    <t>215S|ProcA S2 P1 IP Output Audio 15</t>
  </si>
  <si>
    <t>VGW-103_SDI05_AUDsend_0016</t>
  </si>
  <si>
    <t>216S|ProcA S2 P1 IP Output Audio 16</t>
  </si>
  <si>
    <t>VGW-103_SDI05_ANCsend_0001</t>
  </si>
  <si>
    <t>301S|ProcA S2 P1 IP Output Ancillary Data 1</t>
  </si>
  <si>
    <t>VGW-103_SDI05_ANCsend_0002</t>
  </si>
  <si>
    <t>302S|ProcA S2 P1 IP Output Ancillary Data 2</t>
  </si>
  <si>
    <t>VGW-103_SDI05_ANCsend_0003</t>
  </si>
  <si>
    <t>303S|ProcA S2 P1 IP Output Ancillary Data 3</t>
  </si>
  <si>
    <t>VGW-103_SDI05_ANCsend_0004</t>
  </si>
  <si>
    <t>304S|ProcA S2 P1 IP Output Ancillary Data 4</t>
  </si>
  <si>
    <t>VGW-103_SDI06_VIDsend_0001</t>
  </si>
  <si>
    <t>101S|ProcA S2 P2 IP Output Video</t>
  </si>
  <si>
    <t>VGW-103_SDI06_AUDsend_0001</t>
  </si>
  <si>
    <t>201S|ProcA S2 P2 IP Output Audio 1</t>
  </si>
  <si>
    <t>VGW-103_SDI06_AUDsend_0002</t>
  </si>
  <si>
    <t>202S|ProcA S2 P2 IP Output Audio 2</t>
  </si>
  <si>
    <t>VGW-103_SDI06_AUDsend_0003</t>
  </si>
  <si>
    <t>203S|ProcA S2 P2 IP Output Audio 3</t>
  </si>
  <si>
    <t>VGW-103_SDI06_AUDsend_0004</t>
  </si>
  <si>
    <t>204S|ProcA S2 P2 IP Output Audio 4</t>
  </si>
  <si>
    <t>VGW-103_SDI06_AUDsend_0005</t>
  </si>
  <si>
    <t>205S|ProcA S2 P2 IP Output Audio 5</t>
  </si>
  <si>
    <t>VGW-103_SDI06_AUDsend_0006</t>
  </si>
  <si>
    <t>206S|ProcA S2 P2 IP Output Audio 6</t>
  </si>
  <si>
    <t>VGW-103_SDI06_AUDsend_0007</t>
  </si>
  <si>
    <t>207S|ProcA S2 P2 IP Output Audio 7</t>
  </si>
  <si>
    <t>VGW-103_SDI06_AUDsend_0008</t>
  </si>
  <si>
    <t>208S|ProcA S2 P2 IP Output Audio 8</t>
  </si>
  <si>
    <t>VGW-103_SDI06_AUDsend_0009</t>
  </si>
  <si>
    <t>209S|ProcA S2 P2 IP Output Audio 9</t>
  </si>
  <si>
    <t>VGW-103_SDI06_AUDsend_0010</t>
  </si>
  <si>
    <t>210S|ProcA S2 P2 IP Output Audio 10</t>
  </si>
  <si>
    <t>VGW-103_SDI06_AUDsend_0011</t>
  </si>
  <si>
    <t>211S|ProcA S2 P2 IP Output Audio 11</t>
  </si>
  <si>
    <t>VGW-103_SDI06_AUDsend_0012</t>
  </si>
  <si>
    <t>212S|ProcA S2 P2 IP Output Audio 12</t>
  </si>
  <si>
    <t>VGW-103_SDI06_AUDsend_0013</t>
  </si>
  <si>
    <t>213S|ProcA S2 P2 IP Output Audio 13</t>
  </si>
  <si>
    <t>VGW-103_SDI06_AUDsend_0014</t>
  </si>
  <si>
    <t>214S|ProcA S2 P2 IP Output Audio 14</t>
  </si>
  <si>
    <t>VGW-103_SDI06_AUDsend_0015</t>
  </si>
  <si>
    <t>215S|ProcA S2 P2 IP Output Audio 15</t>
  </si>
  <si>
    <t>VGW-103_SDI06_AUDsend_0016</t>
  </si>
  <si>
    <t>216S|ProcA S2 P2 IP Output Audio 16</t>
  </si>
  <si>
    <t>VGW-103_SDI06_ANCsend_0001</t>
  </si>
  <si>
    <t>301S|ProcA S2 P2 IP Output Ancillary Data 1</t>
  </si>
  <si>
    <t>VGW-103_SDI06_ANCsend_0002</t>
  </si>
  <si>
    <t>302S|ProcA S2 P2 IP Output Ancillary Data 2</t>
  </si>
  <si>
    <t>VGW-103_SDI06_ANCsend_0003</t>
  </si>
  <si>
    <t>303S|ProcA S2 P2 IP Output Ancillary Data 3</t>
  </si>
  <si>
    <t>VGW-103_SDI06_ANCsend_0004</t>
  </si>
  <si>
    <t>304S|ProcA S2 P2 IP Output Ancillary Data 4</t>
  </si>
  <si>
    <t>VGW-103_SDI07_VIDsend_0001</t>
  </si>
  <si>
    <t>101S|ProcA S2 P3 IP Output Video</t>
  </si>
  <si>
    <t>VGW-103_SDI07_AUDsend_0001</t>
  </si>
  <si>
    <t>201S|ProcA S2 P3 IP Output Audio 1</t>
  </si>
  <si>
    <t>VGW-103_SDI07_AUDsend_0002</t>
  </si>
  <si>
    <t>202S|ProcA S2 P3 IP Output Audio 2</t>
  </si>
  <si>
    <t>VGW-103_SDI07_AUDsend_0003</t>
  </si>
  <si>
    <t>203S|ProcA S2 P3 IP Output Audio 3</t>
  </si>
  <si>
    <t>VGW-103_SDI07_AUDsend_0004</t>
  </si>
  <si>
    <t>204S|ProcA S2 P3 IP Output Audio 4</t>
  </si>
  <si>
    <t>VGW-103_SDI07_AUDsend_0005</t>
  </si>
  <si>
    <t>205S|ProcA S2 P3 IP Output Audio 5</t>
  </si>
  <si>
    <t>VGW-103_SDI07_AUDsend_0006</t>
  </si>
  <si>
    <t>206S|ProcA S2 P3 IP Output Audio 6</t>
  </si>
  <si>
    <t>VGW-103_SDI07_AUDsend_0007</t>
  </si>
  <si>
    <t>207S|ProcA S2 P3 IP Output Audio 7</t>
  </si>
  <si>
    <t>VGW-103_SDI07_AUDsend_0008</t>
  </si>
  <si>
    <t>208S|ProcA S2 P3 IP Output Audio 8</t>
  </si>
  <si>
    <t>VGW-103_SDI07_AUDsend_0009</t>
  </si>
  <si>
    <t>209S|ProcA S2 P3 IP Output Audio 9</t>
  </si>
  <si>
    <t>VGW-103_SDI07_AUDsend_0010</t>
  </si>
  <si>
    <t>210S|ProcA S2 P3 IP Output Audio 10</t>
  </si>
  <si>
    <t>VGW-103_SDI07_AUDsend_0011</t>
  </si>
  <si>
    <t>211S|ProcA S2 P3 IP Output Audio 11</t>
  </si>
  <si>
    <t>VGW-103_SDI07_AUDsend_0012</t>
  </si>
  <si>
    <t>212S|ProcA S2 P3 IP Output Audio 12</t>
  </si>
  <si>
    <t>VGW-103_SDI07_AUDsend_0013</t>
  </si>
  <si>
    <t>213S|ProcA S2 P3 IP Output Audio 13</t>
  </si>
  <si>
    <t>VGW-103_SDI07_AUDsend_0014</t>
  </si>
  <si>
    <t>214S|ProcA S2 P3 IP Output Audio 14</t>
  </si>
  <si>
    <t>VGW-103_SDI07_AUDsend_0015</t>
  </si>
  <si>
    <t>215S|ProcA S2 P3 IP Output Audio 15</t>
  </si>
  <si>
    <t>VGW-103_SDI07_AUDsend_0016</t>
  </si>
  <si>
    <t>216S|ProcA S2 P3 IP Output Audio 16</t>
  </si>
  <si>
    <t>VGW-103_SDI07_ANCsend_0001</t>
  </si>
  <si>
    <t>301S|ProcA S2 P3 IP Output Ancillary Data 1</t>
  </si>
  <si>
    <t>VGW-103_SDI07_ANCsend_0002</t>
  </si>
  <si>
    <t>302S|ProcA S2 P3 IP Output Ancillary Data 2</t>
  </si>
  <si>
    <t>VGW-103_SDI07_ANCsend_0003</t>
  </si>
  <si>
    <t>303S|ProcA S2 P3 IP Output Ancillary Data 3</t>
  </si>
  <si>
    <t>VGW-103_SDI07_ANCsend_0004</t>
  </si>
  <si>
    <t>304S|ProcA S2 P3 IP Output Ancillary Data 4</t>
  </si>
  <si>
    <t>VGW-103_SDI08_VIDsend_0001</t>
  </si>
  <si>
    <t>101S|ProcA S2 P4 IP Output Video</t>
  </si>
  <si>
    <t>VGW-103_SDI08_AUDsend_0001</t>
  </si>
  <si>
    <t>201S|ProcA S2 P4 IP Output Audio 1</t>
  </si>
  <si>
    <t>VGW-103_SDI08_AUDsend_0002</t>
  </si>
  <si>
    <t>202S|ProcA S2 P4 IP Output Audio 2</t>
  </si>
  <si>
    <t>VGW-103_SDI08_AUDsend_0003</t>
  </si>
  <si>
    <t>203S|ProcA S2 P4 IP Output Audio 3</t>
  </si>
  <si>
    <t>VGW-103_SDI08_AUDsend_0004</t>
  </si>
  <si>
    <t>204S|ProcA S2 P4 IP Output Audio 4</t>
  </si>
  <si>
    <t>VGW-103_SDI08_AUDsend_0005</t>
  </si>
  <si>
    <t>205S|ProcA S2 P4 IP Output Audio 5</t>
  </si>
  <si>
    <t>VGW-103_SDI08_AUDsend_0006</t>
  </si>
  <si>
    <t>206S|ProcA S2 P4 IP Output Audio 6</t>
  </si>
  <si>
    <t>VGW-103_SDI08_AUDsend_0007</t>
  </si>
  <si>
    <t>207S|ProcA S2 P4 IP Output Audio 7</t>
  </si>
  <si>
    <t>VGW-103_SDI08_AUDsend_0008</t>
  </si>
  <si>
    <t>208S|ProcA S2 P4 IP Output Audio 8</t>
  </si>
  <si>
    <t>VGW-103_SDI08_AUDsend_0009</t>
  </si>
  <si>
    <t>209S|ProcA S2 P4 IP Output Audio 9</t>
  </si>
  <si>
    <t>VGW-103_SDI08_AUDsend_0010</t>
  </si>
  <si>
    <t>210S|ProcA S2 P4 IP Output Audio 10</t>
  </si>
  <si>
    <t>VGW-103_SDI08_AUDsend_0011</t>
  </si>
  <si>
    <t>211S|ProcA S2 P4 IP Output Audio 11</t>
  </si>
  <si>
    <t>VGW-103_SDI08_AUDsend_0012</t>
  </si>
  <si>
    <t>212S|ProcA S2 P4 IP Output Audio 12</t>
  </si>
  <si>
    <t>VGW-103_SDI08_AUDsend_0013</t>
  </si>
  <si>
    <t>213S|ProcA S2 P4 IP Output Audio 13</t>
  </si>
  <si>
    <t>VGW-103_SDI08_AUDsend_0014</t>
  </si>
  <si>
    <t>214S|ProcA S2 P4 IP Output Audio 14</t>
  </si>
  <si>
    <t>VGW-103_SDI08_AUDsend_0015</t>
  </si>
  <si>
    <t>215S|ProcA S2 P4 IP Output Audio 15</t>
  </si>
  <si>
    <t>VGW-103_SDI08_AUDsend_0016</t>
  </si>
  <si>
    <t>216S|ProcA S2 P4 IP Output Audio 16</t>
  </si>
  <si>
    <t>VGW-103_SDI08_ANCsend_0001</t>
  </si>
  <si>
    <t>301S|ProcA S2 P4 IP Output Ancillary Data 1</t>
  </si>
  <si>
    <t>VGW-103_SDI08_ANCsend_0002</t>
  </si>
  <si>
    <t>302S|ProcA S2 P4 IP Output Ancillary Data 2</t>
  </si>
  <si>
    <t>VGW-103_SDI08_ANCsend_0003</t>
  </si>
  <si>
    <t>303S|ProcA S2 P4 IP Output Ancillary Data 3</t>
  </si>
  <si>
    <t>VGW-103_SDI08_ANCsend_0004</t>
  </si>
  <si>
    <t>304S|ProcA S2 P4 IP Output Ancillary Data 4</t>
  </si>
  <si>
    <t>VGW-103_SDI09_VIDrec_0001</t>
  </si>
  <si>
    <t>101R|ProcB S1 P1 IP Input Video</t>
  </si>
  <si>
    <t>VGW-103_SDI09_AUDrec_0001</t>
  </si>
  <si>
    <t>201R|ProcB S1 P1 IP Input Audio 1</t>
  </si>
  <si>
    <t>VGW-103_SDI09_AUDrec_0002</t>
  </si>
  <si>
    <t>202R|ProcB S1 P1 IP Input Audio 2</t>
  </si>
  <si>
    <t>VGW-103_SDI09_AUDrec_0003</t>
  </si>
  <si>
    <t>203R|ProcB S1 P1 IP Input Audio 3</t>
  </si>
  <si>
    <t>VGW-103_SDI09_AUDrec_0004</t>
  </si>
  <si>
    <t>204R|ProcB S1 P1 IP Input Audio 4</t>
  </si>
  <si>
    <t>VGW-103_SDI09_AUDrec_0005</t>
  </si>
  <si>
    <t>205R|ProcB S1 P1 IP Input Audio 5</t>
  </si>
  <si>
    <t>VGW-103_SDI09_AUDrec_0006</t>
  </si>
  <si>
    <t>206R|ProcB S1 P1 IP Input Audio 6</t>
  </si>
  <si>
    <t>VGW-103_SDI09_AUDrec_0007</t>
  </si>
  <si>
    <t>207R|ProcB S1 P1 IP Input Audio 7</t>
  </si>
  <si>
    <t>VGW-103_SDI09_AUDrec_0008</t>
  </si>
  <si>
    <t>208R|ProcB S1 P1 IP Input Audio 8</t>
  </si>
  <si>
    <t>VGW-103_SDI09_AUDrec_0009</t>
  </si>
  <si>
    <t>209R|ProcB S1 P1 IP Input Audio 9</t>
  </si>
  <si>
    <t>VGW-103_SDI09_AUDrec_0010</t>
  </si>
  <si>
    <t>210R|ProcB S1 P1 IP Input Audio 10</t>
  </si>
  <si>
    <t>VGW-103_SDI09_AUDrec_0011</t>
  </si>
  <si>
    <t>211R|ProcB S1 P1 IP Input Audio 11</t>
  </si>
  <si>
    <t>VGW-103_SDI09_AUDrec_0012</t>
  </si>
  <si>
    <t>212R|ProcB S1 P1 IP Input Audio 12</t>
  </si>
  <si>
    <t>VGW-103_SDI09_AUDrec_0013</t>
  </si>
  <si>
    <t>213R|ProcB S1 P1 IP Input Audio 13</t>
  </si>
  <si>
    <t>VGW-103_SDI09_AUDrec_0014</t>
  </si>
  <si>
    <t>214R|ProcB S1 P1 IP Input Audio 14</t>
  </si>
  <si>
    <t>VGW-103_SDI09_AUDrec_0015</t>
  </si>
  <si>
    <t>215R|ProcB S1 P1 IP Input Audio 15</t>
  </si>
  <si>
    <t>VGW-103_SDI09_AUDrec_0016</t>
  </si>
  <si>
    <t>216R|ProcB S1 P1 IP Input Audio 16</t>
  </si>
  <si>
    <t>VGW-103_SDI09_ANCrec_0001</t>
  </si>
  <si>
    <t>301R|ProcB S1 P1 IP Input Ancillary Data 1</t>
  </si>
  <si>
    <t>VGW-103_SDI09_ANCrec_0002</t>
  </si>
  <si>
    <t>302R|ProcB S1 P1 IP Input Ancillary Data 2</t>
  </si>
  <si>
    <t>VGW-103_SDI09_ANCrec_0003</t>
  </si>
  <si>
    <t>303R|ProcB S1 P1 IP Input Ancillary Data 3</t>
  </si>
  <si>
    <t>VGW-103_SDI09_ANCrec_0004</t>
  </si>
  <si>
    <t>304R|ProcB S1 P1 IP Input Ancillary Data 4</t>
  </si>
  <si>
    <t>VGW-103_SDI10_VIDrec_0001</t>
  </si>
  <si>
    <t>101R|ProcB S1 P2 IP Input Video</t>
  </si>
  <si>
    <t>VGW-103_SDI10_AUDrec_0001</t>
  </si>
  <si>
    <t>201R|ProcB S1 P2 IP Input Audio 1</t>
  </si>
  <si>
    <t>VGW-103_SDI10_AUDrec_0002</t>
  </si>
  <si>
    <t>202R|ProcB S1 P2 IP Input Audio 2</t>
  </si>
  <si>
    <t>VGW-103_SDI10_AUDrec_0003</t>
  </si>
  <si>
    <t>203R|ProcB S1 P2 IP Input Audio 3</t>
  </si>
  <si>
    <t>VGW-103_SDI10_AUDrec_0004</t>
  </si>
  <si>
    <t>204R|ProcB S1 P2 IP Input Audio 4</t>
  </si>
  <si>
    <t>VGW-103_SDI10_AUDrec_0005</t>
  </si>
  <si>
    <t>205R|ProcB S1 P2 IP Input Audio 5</t>
  </si>
  <si>
    <t>VGW-103_SDI10_AUDrec_0006</t>
  </si>
  <si>
    <t>206R|ProcB S1 P2 IP Input Audio 6</t>
  </si>
  <si>
    <t>VGW-103_SDI10_AUDrec_0007</t>
  </si>
  <si>
    <t>207R|ProcB S1 P2 IP Input Audio 7</t>
  </si>
  <si>
    <t>VGW-103_SDI10_AUDrec_0008</t>
  </si>
  <si>
    <t>208R|ProcB S1 P2 IP Input Audio 8</t>
  </si>
  <si>
    <t>VGW-103_SDI10_AUDrec_0009</t>
  </si>
  <si>
    <t>209R|ProcB S1 P2 IP Input Audio 9</t>
  </si>
  <si>
    <t>VGW-103_SDI10_AUDrec_0010</t>
  </si>
  <si>
    <t>210R|ProcB S1 P2 IP Input Audio 10</t>
  </si>
  <si>
    <t>VGW-103_SDI10_AUDrec_0011</t>
  </si>
  <si>
    <t>211R|ProcB S1 P2 IP Input Audio 11</t>
  </si>
  <si>
    <t>VGW-103_SDI10_AUDrec_0012</t>
  </si>
  <si>
    <t>212R|ProcB S1 P2 IP Input Audio 12</t>
  </si>
  <si>
    <t>VGW-103_SDI10_AUDrec_0013</t>
  </si>
  <si>
    <t>213R|ProcB S1 P2 IP Input Audio 13</t>
  </si>
  <si>
    <t>VGW-103_SDI10_AUDrec_0014</t>
  </si>
  <si>
    <t>214R|ProcB S1 P2 IP Input Audio 14</t>
  </si>
  <si>
    <t>VGW-103_SDI10_AUDrec_0015</t>
  </si>
  <si>
    <t>215R|ProcB S1 P2 IP Input Audio 15</t>
  </si>
  <si>
    <t>VGW-103_SDI10_AUDrec_0016</t>
  </si>
  <si>
    <t>216R|ProcB S1 P2 IP Input Audio 16</t>
  </si>
  <si>
    <t>VGW-103_SDI10_ANCrec_0001</t>
  </si>
  <si>
    <t>301R|ProcB S1 P2 IP Input Ancillary Data 1</t>
  </si>
  <si>
    <t>VGW-103_SDI10_ANCrec_0002</t>
  </si>
  <si>
    <t>302R|ProcB S1 P2 IP Input Ancillary Data 2</t>
  </si>
  <si>
    <t>VGW-103_SDI10_ANCrec_0003</t>
  </si>
  <si>
    <t>303R|ProcB S1 P2 IP Input Ancillary Data 3</t>
  </si>
  <si>
    <t>VGW-103_SDI10_ANCrec_0004</t>
  </si>
  <si>
    <t>304R|ProcB S1 P2 IP Input Ancillary Data 4</t>
  </si>
  <si>
    <t>VGW-103_SDI11_VIDrec_0001</t>
  </si>
  <si>
    <t>101R|ProcB S1 P3 IP Input Video</t>
  </si>
  <si>
    <t>VGW-103_SDI11_AUDrec_0001</t>
  </si>
  <si>
    <t>201R|ProcB S1 P3 IP Input Audio 1</t>
  </si>
  <si>
    <t>VGW-103_SDI11_AUDrec_0002</t>
  </si>
  <si>
    <t>202R|ProcB S1 P3 IP Input Audio 2</t>
  </si>
  <si>
    <t>VGW-103_SDI11_AUDrec_0003</t>
  </si>
  <si>
    <t>203R|ProcB S1 P3 IP Input Audio 3</t>
  </si>
  <si>
    <t>VGW-103_SDI11_AUDrec_0004</t>
  </si>
  <si>
    <t>204R|ProcB S1 P3 IP Input Audio 4</t>
  </si>
  <si>
    <t>VGW-103_SDI11_AUDrec_0005</t>
  </si>
  <si>
    <t>205R|ProcB S1 P3 IP Input Audio 5</t>
  </si>
  <si>
    <t>VGW-103_SDI11_AUDrec_0006</t>
  </si>
  <si>
    <t>206R|ProcB S1 P3 IP Input Audio 6</t>
  </si>
  <si>
    <t>VGW-103_SDI11_AUDrec_0007</t>
  </si>
  <si>
    <t>207R|ProcB S1 P3 IP Input Audio 7</t>
  </si>
  <si>
    <t>VGW-103_SDI11_AUDrec_0008</t>
  </si>
  <si>
    <t>208R|ProcB S1 P3 IP Input Audio 8</t>
  </si>
  <si>
    <t>VGW-103_SDI11_AUDrec_0009</t>
  </si>
  <si>
    <t>209R|ProcB S1 P3 IP Input Audio 9</t>
  </si>
  <si>
    <t>VGW-103_SDI11_AUDrec_0010</t>
  </si>
  <si>
    <t>210R|ProcB S1 P3 IP Input Audio 10</t>
  </si>
  <si>
    <t>VGW-103_SDI11_AUDrec_0011</t>
  </si>
  <si>
    <t>211R|ProcB S1 P3 IP Input Audio 11</t>
  </si>
  <si>
    <t>VGW-103_SDI11_AUDrec_0012</t>
  </si>
  <si>
    <t>212R|ProcB S1 P3 IP Input Audio 12</t>
  </si>
  <si>
    <t>VGW-103_SDI11_AUDrec_0013</t>
  </si>
  <si>
    <t>213R|ProcB S1 P3 IP Input Audio 13</t>
  </si>
  <si>
    <t>VGW-103_SDI11_AUDrec_0014</t>
  </si>
  <si>
    <t>214R|ProcB S1 P3 IP Input Audio 14</t>
  </si>
  <si>
    <t>VGW-103_SDI11_AUDrec_0015</t>
  </si>
  <si>
    <t>215R|ProcB S1 P3 IP Input Audio 15</t>
  </si>
  <si>
    <t>VGW-103_SDI11_AUDrec_0016</t>
  </si>
  <si>
    <t>216R|ProcB S1 P3 IP Input Audio 16</t>
  </si>
  <si>
    <t>VGW-103_SDI11_ANCrec_0001</t>
  </si>
  <si>
    <t>301R|ProcB S1 P3 IP Input Ancillary Data 1</t>
  </si>
  <si>
    <t>VGW-103_SDI11_ANCrec_0002</t>
  </si>
  <si>
    <t>302R|ProcB S1 P3 IP Input Ancillary Data 2</t>
  </si>
  <si>
    <t>VGW-103_SDI11_ANCrec_0003</t>
  </si>
  <si>
    <t>303R|ProcB S1 P3 IP Input Ancillary Data 3</t>
  </si>
  <si>
    <t>VGW-103_SDI11_ANCrec_0004</t>
  </si>
  <si>
    <t>304R|ProcB S1 P3 IP Input Ancillary Data 4</t>
  </si>
  <si>
    <t>VGW-103_SDI12_VIDrec_0001</t>
  </si>
  <si>
    <t>101R|ProcB S1 P4 IP Input Video</t>
  </si>
  <si>
    <t>VGW-103_SDI12_AUDrec_0001</t>
  </si>
  <si>
    <t>201R|ProcB S1 P4 IP Input Audio 1</t>
  </si>
  <si>
    <t>VGW-103_SDI12_AUDrec_0002</t>
  </si>
  <si>
    <t>202R|ProcB S1 P4 IP Input Audio 2</t>
  </si>
  <si>
    <t>VGW-103_SDI12_AUDrec_0003</t>
  </si>
  <si>
    <t>203R|ProcB S1 P4 IP Input Audio 3</t>
  </si>
  <si>
    <t>VGW-103_SDI12_AUDrec_0004</t>
  </si>
  <si>
    <t>204R|ProcB S1 P4 IP Input Audio 4</t>
  </si>
  <si>
    <t>VGW-103_SDI12_AUDrec_0005</t>
  </si>
  <si>
    <t>205R|ProcB S1 P4 IP Input Audio 5</t>
  </si>
  <si>
    <t>VGW-103_SDI12_AUDrec_0006</t>
  </si>
  <si>
    <t>206R|ProcB S1 P4 IP Input Audio 6</t>
  </si>
  <si>
    <t>VGW-103_SDI12_AUDrec_0007</t>
  </si>
  <si>
    <t>207R|ProcB S1 P4 IP Input Audio 7</t>
  </si>
  <si>
    <t>VGW-103_SDI12_AUDrec_0008</t>
  </si>
  <si>
    <t>208R|ProcB S1 P4 IP Input Audio 8</t>
  </si>
  <si>
    <t>VGW-103_SDI12_AUDrec_0009</t>
  </si>
  <si>
    <t>209R|ProcB S1 P4 IP Input Audio 9</t>
  </si>
  <si>
    <t>VGW-103_SDI12_AUDrec_0010</t>
  </si>
  <si>
    <t>210R|ProcB S1 P4 IP Input Audio 10</t>
  </si>
  <si>
    <t>VGW-103_SDI12_AUDrec_0011</t>
  </si>
  <si>
    <t>211R|ProcB S1 P4 IP Input Audio 11</t>
  </si>
  <si>
    <t>VGW-103_SDI12_AUDrec_0012</t>
  </si>
  <si>
    <t>212R|ProcB S1 P4 IP Input Audio 12</t>
  </si>
  <si>
    <t>VGW-103_SDI12_AUDrec_0013</t>
  </si>
  <si>
    <t>213R|ProcB S1 P4 IP Input Audio 13</t>
  </si>
  <si>
    <t>VGW-103_SDI12_AUDrec_0014</t>
  </si>
  <si>
    <t>214R|ProcB S1 P4 IP Input Audio 14</t>
  </si>
  <si>
    <t>VGW-103_SDI12_AUDrec_0015</t>
  </si>
  <si>
    <t>215R|ProcB S1 P4 IP Input Audio 15</t>
  </si>
  <si>
    <t>VGW-103_SDI12_AUDrec_0016</t>
  </si>
  <si>
    <t>216R|ProcB S1 P4 IP Input Audio 16</t>
  </si>
  <si>
    <t>VGW-103_SDI12_ANCrec_0001</t>
  </si>
  <si>
    <t>301R|ProcB S1 P4 IP Input Ancillary Data 1</t>
  </si>
  <si>
    <t>VGW-103_SDI12_ANCrec_0002</t>
  </si>
  <si>
    <t>302R|ProcB S1 P4 IP Input Ancillary Data 2</t>
  </si>
  <si>
    <t>VGW-103_SDI12_ANCrec_0003</t>
  </si>
  <si>
    <t>303R|ProcB S1 P4 IP Input Ancillary Data 3</t>
  </si>
  <si>
    <t>VGW-103_SDI12_ANCrec_0004</t>
  </si>
  <si>
    <t>304R|ProcB S1 P4 IP Input Ancillary Data 4</t>
  </si>
  <si>
    <t>VGW-103_SDI13_VIDrec_0001</t>
  </si>
  <si>
    <t>101R|ProcB S2 P1 IP Input Video</t>
  </si>
  <si>
    <t>VGW-103_SDI13_AUDrec_0001</t>
  </si>
  <si>
    <t>201R|ProcB S2 P1 IP Input Audio 1</t>
  </si>
  <si>
    <t>VGW-103_SDI13_AUDrec_0002</t>
  </si>
  <si>
    <t>202R|ProcB S2 P1 IP Input Audio 2</t>
  </si>
  <si>
    <t>VGW-103_SDI13_AUDrec_0003</t>
  </si>
  <si>
    <t>203R|ProcB S2 P1 IP Input Audio 3</t>
  </si>
  <si>
    <t>VGW-103_SDI13_AUDrec_0004</t>
  </si>
  <si>
    <t>204R|ProcB S2 P1 IP Input Audio 4</t>
  </si>
  <si>
    <t>VGW-103_SDI13_AUDrec_0005</t>
  </si>
  <si>
    <t>205R|ProcB S2 P1 IP Input Audio 5</t>
  </si>
  <si>
    <t>VGW-103_SDI13_AUDrec_0006</t>
  </si>
  <si>
    <t>206R|ProcB S2 P1 IP Input Audio 6</t>
  </si>
  <si>
    <t>VGW-103_SDI13_AUDrec_0007</t>
  </si>
  <si>
    <t>207R|ProcB S2 P1 IP Input Audio 7</t>
  </si>
  <si>
    <t>VGW-103_SDI13_AUDrec_0008</t>
  </si>
  <si>
    <t>208R|ProcB S2 P1 IP Input Audio 8</t>
  </si>
  <si>
    <t>VGW-103_SDI13_AUDrec_0009</t>
  </si>
  <si>
    <t>209R|ProcB S2 P1 IP Input Audio 9</t>
  </si>
  <si>
    <t>VGW-103_SDI13_AUDrec_0010</t>
  </si>
  <si>
    <t>210R|ProcB S2 P1 IP Input Audio 10</t>
  </si>
  <si>
    <t>VGW-103_SDI13_AUDrec_0011</t>
  </si>
  <si>
    <t>211R|ProcB S2 P1 IP Input Audio 11</t>
  </si>
  <si>
    <t>VGW-103_SDI13_AUDrec_0012</t>
  </si>
  <si>
    <t>212R|ProcB S2 P1 IP Input Audio 12</t>
  </si>
  <si>
    <t>VGW-103_SDI13_AUDrec_0013</t>
  </si>
  <si>
    <t>213R|ProcB S2 P1 IP Input Audio 13</t>
  </si>
  <si>
    <t>VGW-103_SDI13_AUDrec_0014</t>
  </si>
  <si>
    <t>214R|ProcB S2 P1 IP Input Audio 14</t>
  </si>
  <si>
    <t>VGW-103_SDI13_AUDrec_0015</t>
  </si>
  <si>
    <t>215R|ProcB S2 P1 IP Input Audio 15</t>
  </si>
  <si>
    <t>VGW-103_SDI13_AUDrec_0016</t>
  </si>
  <si>
    <t>216R|ProcB S2 P1 IP Input Audio 16</t>
  </si>
  <si>
    <t>VGW-103_SDI13_ANCrec_0001</t>
  </si>
  <si>
    <t>301R|ProcB S2 P1 IP Input Ancillary Data 1</t>
  </si>
  <si>
    <t>VGW-103_SDI13_ANCrec_0002</t>
  </si>
  <si>
    <t>302R|ProcB S2 P1 IP Input Ancillary Data 2</t>
  </si>
  <si>
    <t>VGW-103_SDI13_ANCrec_0003</t>
  </si>
  <si>
    <t>303R|ProcB S2 P1 IP Input Ancillary Data 3</t>
  </si>
  <si>
    <t>VGW-103_SDI13_ANCrec_0004</t>
  </si>
  <si>
    <t>304R|ProcB S2 P1 IP Input Ancillary Data 4</t>
  </si>
  <si>
    <t>VGW-103_SDI14_VIDrec_0001</t>
  </si>
  <si>
    <t>101R|ProcB S2 P2 IP Input Video</t>
  </si>
  <si>
    <t>VGW-103_SDI14_AUDrec_0001</t>
  </si>
  <si>
    <t>201R|ProcB S2 P2 IP Input Audio 1</t>
  </si>
  <si>
    <t>VGW-103_SDI14_AUDrec_0002</t>
  </si>
  <si>
    <t>202R|ProcB S2 P2 IP Input Audio 2</t>
  </si>
  <si>
    <t>VGW-103_SDI14_AUDrec_0003</t>
  </si>
  <si>
    <t>203R|ProcB S2 P2 IP Input Audio 3</t>
  </si>
  <si>
    <t>VGW-103_SDI14_AUDrec_0004</t>
  </si>
  <si>
    <t>204R|ProcB S2 P2 IP Input Audio 4</t>
  </si>
  <si>
    <t>VGW-103_SDI14_AUDrec_0005</t>
  </si>
  <si>
    <t>205R|ProcB S2 P2 IP Input Audio 5</t>
  </si>
  <si>
    <t>VGW-103_SDI14_AUDrec_0006</t>
  </si>
  <si>
    <t>206R|ProcB S2 P2 IP Input Audio 6</t>
  </si>
  <si>
    <t>VGW-103_SDI14_AUDrec_0007</t>
  </si>
  <si>
    <t>207R|ProcB S2 P2 IP Input Audio 7</t>
  </si>
  <si>
    <t>VGW-103_SDI14_AUDrec_0008</t>
  </si>
  <si>
    <t>208R|ProcB S2 P2 IP Input Audio 8</t>
  </si>
  <si>
    <t>VGW-103_SDI14_AUDrec_0009</t>
  </si>
  <si>
    <t>209R|ProcB S2 P2 IP Input Audio 9</t>
  </si>
  <si>
    <t>VGW-103_SDI14_AUDrec_0010</t>
  </si>
  <si>
    <t>210R|ProcB S2 P2 IP Input Audio 10</t>
  </si>
  <si>
    <t>VGW-103_SDI14_AUDrec_0011</t>
  </si>
  <si>
    <t>211R|ProcB S2 P2 IP Input Audio 11</t>
  </si>
  <si>
    <t>VGW-103_SDI14_AUDrec_0012</t>
  </si>
  <si>
    <t>212R|ProcB S2 P2 IP Input Audio 12</t>
  </si>
  <si>
    <t>VGW-103_SDI14_AUDrec_0013</t>
  </si>
  <si>
    <t>213R|ProcB S2 P2 IP Input Audio 13</t>
  </si>
  <si>
    <t>VGW-103_SDI14_AUDrec_0014</t>
  </si>
  <si>
    <t>214R|ProcB S2 P2 IP Input Audio 14</t>
  </si>
  <si>
    <t>VGW-103_SDI14_AUDrec_0015</t>
  </si>
  <si>
    <t>215R|ProcB S2 P2 IP Input Audio 15</t>
  </si>
  <si>
    <t>VGW-103_SDI14_AUDrec_0016</t>
  </si>
  <si>
    <t>216R|ProcB S2 P2 IP Input Audio 16</t>
  </si>
  <si>
    <t>VGW-103_SDI14_ANCrec_0001</t>
  </si>
  <si>
    <t>301R|ProcB S2 P2 IP Input Ancillary Data 1</t>
  </si>
  <si>
    <t>VGW-103_SDI14_ANCrec_0002</t>
  </si>
  <si>
    <t>302R|ProcB S2 P2 IP Input Ancillary Data 2</t>
  </si>
  <si>
    <t>VGW-103_SDI14_ANCrec_0003</t>
  </si>
  <si>
    <t>303R|ProcB S2 P2 IP Input Ancillary Data 3</t>
  </si>
  <si>
    <t>VGW-103_SDI14_ANCrec_0004</t>
  </si>
  <si>
    <t>304R|ProcB S2 P2 IP Input Ancillary Data 4</t>
  </si>
  <si>
    <t>VGW-103_SDI15_VIDrec_0001</t>
  </si>
  <si>
    <t>101R|ProcB S2 P3 IP Input Video</t>
  </si>
  <si>
    <t>VGW-103_SDI15_AUDrec_0001</t>
  </si>
  <si>
    <t>201R|ProcB S2 P3 IP Input Audio 1</t>
  </si>
  <si>
    <t>VGW-103_SDI15_AUDrec_0002</t>
  </si>
  <si>
    <t>202R|ProcB S2 P3 IP Input Audio 2</t>
  </si>
  <si>
    <t>VGW-103_SDI15_AUDrec_0003</t>
  </si>
  <si>
    <t>203R|ProcB S2 P3 IP Input Audio 3</t>
  </si>
  <si>
    <t>VGW-103_SDI15_AUDrec_0004</t>
  </si>
  <si>
    <t>204R|ProcB S2 P3 IP Input Audio 4</t>
  </si>
  <si>
    <t>VGW-103_SDI15_AUDrec_0005</t>
  </si>
  <si>
    <t>205R|ProcB S2 P3 IP Input Audio 5</t>
  </si>
  <si>
    <t>VGW-103_SDI15_AUDrec_0006</t>
  </si>
  <si>
    <t>206R|ProcB S2 P3 IP Input Audio 6</t>
  </si>
  <si>
    <t>VGW-103_SDI15_AUDrec_0007</t>
  </si>
  <si>
    <t>207R|ProcB S2 P3 IP Input Audio 7</t>
  </si>
  <si>
    <t>VGW-103_SDI15_AUDrec_0008</t>
  </si>
  <si>
    <t>208R|ProcB S2 P3 IP Input Audio 8</t>
  </si>
  <si>
    <t>VGW-103_SDI15_AUDrec_0009</t>
  </si>
  <si>
    <t>209R|ProcB S2 P3 IP Input Audio 9</t>
  </si>
  <si>
    <t>VGW-103_SDI15_AUDrec_0010</t>
  </si>
  <si>
    <t>210R|ProcB S2 P3 IP Input Audio 10</t>
  </si>
  <si>
    <t>VGW-103_SDI15_AUDrec_0011</t>
  </si>
  <si>
    <t>211R|ProcB S2 P3 IP Input Audio 11</t>
  </si>
  <si>
    <t>VGW-103_SDI15_AUDrec_0012</t>
  </si>
  <si>
    <t>212R|ProcB S2 P3 IP Input Audio 12</t>
  </si>
  <si>
    <t>VGW-103_SDI15_AUDrec_0013</t>
  </si>
  <si>
    <t>213R|ProcB S2 P3 IP Input Audio 13</t>
  </si>
  <si>
    <t>VGW-103_SDI15_AUDrec_0014</t>
  </si>
  <si>
    <t>214R|ProcB S2 P3 IP Input Audio 14</t>
  </si>
  <si>
    <t>VGW-103_SDI15_AUDrec_0015</t>
  </si>
  <si>
    <t>215R|ProcB S2 P3 IP Input Audio 15</t>
  </si>
  <si>
    <t>VGW-103_SDI15_AUDrec_0016</t>
  </si>
  <si>
    <t>216R|ProcB S2 P3 IP Input Audio 16</t>
  </si>
  <si>
    <t>VGW-103_SDI15_ANCrec_0001</t>
  </si>
  <si>
    <t>301R|ProcB S2 P3 IP Input Ancillary Data 1</t>
  </si>
  <si>
    <t>VGW-103_SDI15_ANCrec_0002</t>
  </si>
  <si>
    <t>302R|ProcB S2 P3 IP Input Ancillary Data 2</t>
  </si>
  <si>
    <t>VGW-103_SDI15_ANCrec_0003</t>
  </si>
  <si>
    <t>303R|ProcB S2 P3 IP Input Ancillary Data 3</t>
  </si>
  <si>
    <t>VGW-103_SDI15_ANCrec_0004</t>
  </si>
  <si>
    <t>304R|ProcB S2 P3 IP Input Ancillary Data 4</t>
  </si>
  <si>
    <t>VGW-103_SDI16_VIDrec_0001</t>
  </si>
  <si>
    <t>101R|ProcB S2 P4 IP Input Video</t>
  </si>
  <si>
    <t>VGW-103_SDI16_AUDrec_0001</t>
  </si>
  <si>
    <t>201R|ProcB S2 P4 IP Input Audio 1</t>
  </si>
  <si>
    <t>VGW-103_SDI16_AUDrec_0002</t>
  </si>
  <si>
    <t>202R|ProcB S2 P4 IP Input Audio 2</t>
  </si>
  <si>
    <t>VGW-103_SDI16_AUDrec_0003</t>
  </si>
  <si>
    <t>203R|ProcB S2 P4 IP Input Audio 3</t>
  </si>
  <si>
    <t>VGW-103_SDI16_AUDrec_0004</t>
  </si>
  <si>
    <t>204R|ProcB S2 P4 IP Input Audio 4</t>
  </si>
  <si>
    <t>VGW-103_SDI16_AUDrec_0005</t>
  </si>
  <si>
    <t>205R|ProcB S2 P4 IP Input Audio 5</t>
  </si>
  <si>
    <t>VGW-103_SDI16_AUDrec_0006</t>
  </si>
  <si>
    <t>206R|ProcB S2 P4 IP Input Audio 6</t>
  </si>
  <si>
    <t>VGW-103_SDI16_AUDrec_0007</t>
  </si>
  <si>
    <t>207R|ProcB S2 P4 IP Input Audio 7</t>
  </si>
  <si>
    <t>VGW-103_SDI16_AUDrec_0008</t>
  </si>
  <si>
    <t>208R|ProcB S2 P4 IP Input Audio 8</t>
  </si>
  <si>
    <t>VGW-103_SDI16_AUDrec_0009</t>
  </si>
  <si>
    <t>209R|ProcB S2 P4 IP Input Audio 9</t>
  </si>
  <si>
    <t>VGW-103_SDI16_AUDrec_0010</t>
  </si>
  <si>
    <t>210R|ProcB S2 P4 IP Input Audio 10</t>
  </si>
  <si>
    <t>VGW-103_SDI16_AUDrec_0011</t>
  </si>
  <si>
    <t>211R|ProcB S2 P4 IP Input Audio 11</t>
  </si>
  <si>
    <t>VGW-103_SDI16_AUDrec_0012</t>
  </si>
  <si>
    <t>212R|ProcB S2 P4 IP Input Audio 12</t>
  </si>
  <si>
    <t>VGW-103_SDI16_AUDrec_0013</t>
  </si>
  <si>
    <t>213R|ProcB S2 P4 IP Input Audio 13</t>
  </si>
  <si>
    <t>VGW-103_SDI16_AUDrec_0014</t>
  </si>
  <si>
    <t>214R|ProcB S2 P4 IP Input Audio 14</t>
  </si>
  <si>
    <t>VGW-103_SDI16_AUDrec_0015</t>
  </si>
  <si>
    <t>215R|ProcB S2 P4 IP Input Audio 15</t>
  </si>
  <si>
    <t>VGW-103_SDI16_AUDrec_0016</t>
  </si>
  <si>
    <t>216R|ProcB S2 P4 IP Input Audio 16</t>
  </si>
  <si>
    <t>VGW-103_SDI16_ANCrec_0001</t>
  </si>
  <si>
    <t>301R|ProcB S2 P4 IP Input Ancillary Data 1</t>
  </si>
  <si>
    <t>VGW-103_SDI16_ANCrec_0002</t>
  </si>
  <si>
    <t>302R|ProcB S2 P4 IP Input Ancillary Data 2</t>
  </si>
  <si>
    <t>VGW-103_SDI16_ANCrec_0003</t>
  </si>
  <si>
    <t>303R|ProcB S2 P4 IP Input Ancillary Data 3</t>
  </si>
  <si>
    <t>VGW-103_SDI16_ANCrec_0004</t>
  </si>
  <si>
    <t>304R|ProcB S2 P4 IP Input Ancillary Data 4</t>
  </si>
  <si>
    <t>VGW-103_SDI17_VIDsend_0001</t>
  </si>
  <si>
    <t>101S|ProcC S1 P1 IP Output Video</t>
  </si>
  <si>
    <t>VGW-103_SDI17_AUDsend_0001</t>
  </si>
  <si>
    <t>201S|ProcC S1 P1 IP Output Audio 1</t>
  </si>
  <si>
    <t>VGW-103_SDI17_AUDsend_0002</t>
  </si>
  <si>
    <t>202S|ProcC S1 P1 IP Output Audio 2</t>
  </si>
  <si>
    <t>VGW-103_SDI17_AUDsend_0003</t>
  </si>
  <si>
    <t>203S|ProcC S1 P1 IP Output Audio 3</t>
  </si>
  <si>
    <t>VGW-103_SDI17_AUDsend_0004</t>
  </si>
  <si>
    <t>204S|ProcC S1 P1 IP Output Audio 4</t>
  </si>
  <si>
    <t>VGW-103_SDI17_AUDsend_0005</t>
  </si>
  <si>
    <t>205S|ProcC S1 P1 IP Output Audio 5</t>
  </si>
  <si>
    <t>VGW-103_SDI17_AUDsend_0006</t>
  </si>
  <si>
    <t>206S|ProcC S1 P1 IP Output Audio 6</t>
  </si>
  <si>
    <t>VGW-103_SDI17_AUDsend_0007</t>
  </si>
  <si>
    <t>207S|ProcC S1 P1 IP Output Audio 7</t>
  </si>
  <si>
    <t>VGW-103_SDI17_AUDsend_0008</t>
  </si>
  <si>
    <t>208S|ProcC S1 P1 IP Output Audio 8</t>
  </si>
  <si>
    <t>VGW-103_SDI17_AUDsend_0009</t>
  </si>
  <si>
    <t>209S|ProcC S1 P1 IP Output Audio 9</t>
  </si>
  <si>
    <t>VGW-103_SDI17_AUDsend_0010</t>
  </si>
  <si>
    <t>210S|ProcC S1 P1 IP Output Audio 10</t>
  </si>
  <si>
    <t>VGW-103_SDI17_AUDsend_0011</t>
  </si>
  <si>
    <t>211S|ProcC S1 P1 IP Output Audio 11</t>
  </si>
  <si>
    <t>VGW-103_SDI17_AUDsend_0012</t>
  </si>
  <si>
    <t>212S|ProcC S1 P1 IP Output Audio 12</t>
  </si>
  <si>
    <t>VGW-103_SDI17_AUDsend_0013</t>
  </si>
  <si>
    <t>213S|ProcC S1 P1 IP Output Audio 13</t>
  </si>
  <si>
    <t>VGW-103_SDI17_AUDsend_0014</t>
  </si>
  <si>
    <t>214S|ProcC S1 P1 IP Output Audio 14</t>
  </si>
  <si>
    <t>VGW-103_SDI17_AUDsend_0015</t>
  </si>
  <si>
    <t>215S|ProcC S1 P1 IP Output Audio 15</t>
  </si>
  <si>
    <t>VGW-103_SDI17_AUDsend_0016</t>
  </si>
  <si>
    <t>216S|ProcC S1 P1 IP Output Audio 16</t>
  </si>
  <si>
    <t>VGW-103_SDI17_ANCsend_0001</t>
  </si>
  <si>
    <t>301S|ProcC S1 P1 IP Output Ancillary Data 1</t>
  </si>
  <si>
    <t>VGW-103_SDI17_ANCsend_0002</t>
  </si>
  <si>
    <t>302S|ProcC S1 P1 IP Output Ancillary Data 2</t>
  </si>
  <si>
    <t>VGW-103_SDI17_ANCsend_0003</t>
  </si>
  <si>
    <t>303S|ProcC S1 P1 IP Output Ancillary Data 3</t>
  </si>
  <si>
    <t>VGW-103_SDI17_ANCsend_0004</t>
  </si>
  <si>
    <t>304S|ProcC S1 P1 IP Output Ancillary Data 4</t>
  </si>
  <si>
    <t>VGW-103_SDI18_VIDsend_0001</t>
  </si>
  <si>
    <t>101S|ProcC S1 P2 IP Output Video</t>
  </si>
  <si>
    <t>VGW-103_SDI18_AUDsend_0001</t>
  </si>
  <si>
    <t>201S|ProcC S1 P2 IP Output Audio 1</t>
  </si>
  <si>
    <t>VGW-103_SDI18_AUDsend_0002</t>
  </si>
  <si>
    <t>202S|ProcC S1 P2 IP Output Audio 2</t>
  </si>
  <si>
    <t>VGW-103_SDI18_AUDsend_0003</t>
  </si>
  <si>
    <t>203S|ProcC S1 P2 IP Output Audio 3</t>
  </si>
  <si>
    <t>VGW-103_SDI18_AUDsend_0004</t>
  </si>
  <si>
    <t>204S|ProcC S1 P2 IP Output Audio 4</t>
  </si>
  <si>
    <t>VGW-103_SDI18_AUDsend_0005</t>
  </si>
  <si>
    <t>205S|ProcC S1 P2 IP Output Audio 5</t>
  </si>
  <si>
    <t>VGW-103_SDI18_AUDsend_0006</t>
  </si>
  <si>
    <t>206S|ProcC S1 P2 IP Output Audio 6</t>
  </si>
  <si>
    <t>VGW-103_SDI18_AUDsend_0007</t>
  </si>
  <si>
    <t>207S|ProcC S1 P2 IP Output Audio 7</t>
  </si>
  <si>
    <t>VGW-103_SDI18_AUDsend_0008</t>
  </si>
  <si>
    <t>208S|ProcC S1 P2 IP Output Audio 8</t>
  </si>
  <si>
    <t>VGW-103_SDI18_AUDsend_0009</t>
  </si>
  <si>
    <t>209S|ProcC S1 P2 IP Output Audio 9</t>
  </si>
  <si>
    <t>VGW-103_SDI18_AUDsend_0010</t>
  </si>
  <si>
    <t>210S|ProcC S1 P2 IP Output Audio 10</t>
  </si>
  <si>
    <t>VGW-103_SDI18_AUDsend_0011</t>
  </si>
  <si>
    <t>211S|ProcC S1 P2 IP Output Audio 11</t>
  </si>
  <si>
    <t>VGW-103_SDI18_AUDsend_0012</t>
  </si>
  <si>
    <t>212S|ProcC S1 P2 IP Output Audio 12</t>
  </si>
  <si>
    <t>VGW-103_SDI18_AUDsend_0013</t>
  </si>
  <si>
    <t>213S|ProcC S1 P2 IP Output Audio 13</t>
  </si>
  <si>
    <t>VGW-103_SDI18_AUDsend_0014</t>
  </si>
  <si>
    <t>214S|ProcC S1 P2 IP Output Audio 14</t>
  </si>
  <si>
    <t>VGW-103_SDI18_AUDsend_0015</t>
  </si>
  <si>
    <t>215S|ProcC S1 P2 IP Output Audio 15</t>
  </si>
  <si>
    <t>VGW-103_SDI18_AUDsend_0016</t>
  </si>
  <si>
    <t>216S|ProcC S1 P2 IP Output Audio 16</t>
  </si>
  <si>
    <t>VGW-103_SDI18_ANCsend_0001</t>
  </si>
  <si>
    <t>301S|ProcC S1 P2 IP Output Ancillary Data 1</t>
  </si>
  <si>
    <t>VGW-103_SDI18_ANCsend_0002</t>
  </si>
  <si>
    <t>302S|ProcC S1 P2 IP Output Ancillary Data 2</t>
  </si>
  <si>
    <t>VGW-103_SDI18_ANCsend_0003</t>
  </si>
  <si>
    <t>303S|ProcC S1 P2 IP Output Ancillary Data 3</t>
  </si>
  <si>
    <t>VGW-103_SDI18_ANCsend_0004</t>
  </si>
  <si>
    <t>304S|ProcC S1 P2 IP Output Ancillary Data 4</t>
  </si>
  <si>
    <t>VGW-103_SDI19_VIDsend_0001</t>
  </si>
  <si>
    <t>101S|ProcC S1 P3 IP Output Video</t>
  </si>
  <si>
    <t>VGW-103_SDI19_AUDsend_0001</t>
  </si>
  <si>
    <t>201S|ProcC S1 P3 IP Output Audio 1</t>
  </si>
  <si>
    <t>VGW-103_SDI19_AUDsend_0002</t>
  </si>
  <si>
    <t>202S|ProcC S1 P3 IP Output Audio 2</t>
  </si>
  <si>
    <t>VGW-103_SDI19_AUDsend_0003</t>
  </si>
  <si>
    <t>203S|ProcC S1 P3 IP Output Audio 3</t>
  </si>
  <si>
    <t>VGW-103_SDI19_AUDsend_0004</t>
  </si>
  <si>
    <t>204S|ProcC S1 P3 IP Output Audio 4</t>
  </si>
  <si>
    <t>VGW-103_SDI19_AUDsend_0005</t>
  </si>
  <si>
    <t>205S|ProcC S1 P3 IP Output Audio 5</t>
  </si>
  <si>
    <t>VGW-103_SDI19_AUDsend_0006</t>
  </si>
  <si>
    <t>206S|ProcC S1 P3 IP Output Audio 6</t>
  </si>
  <si>
    <t>VGW-103_SDI19_AUDsend_0007</t>
  </si>
  <si>
    <t>207S|ProcC S1 P3 IP Output Audio 7</t>
  </si>
  <si>
    <t>VGW-103_SDI19_AUDsend_0008</t>
  </si>
  <si>
    <t>208S|ProcC S1 P3 IP Output Audio 8</t>
  </si>
  <si>
    <t>VGW-103_SDI19_AUDsend_0009</t>
  </si>
  <si>
    <t>209S|ProcC S1 P3 IP Output Audio 9</t>
  </si>
  <si>
    <t>VGW-103_SDI19_AUDsend_0010</t>
  </si>
  <si>
    <t>210S|ProcC S1 P3 IP Output Audio 10</t>
  </si>
  <si>
    <t>VGW-103_SDI19_AUDsend_0011</t>
  </si>
  <si>
    <t>211S|ProcC S1 P3 IP Output Audio 11</t>
  </si>
  <si>
    <t>VGW-103_SDI19_AUDsend_0012</t>
  </si>
  <si>
    <t>212S|ProcC S1 P3 IP Output Audio 12</t>
  </si>
  <si>
    <t>VGW-103_SDI19_AUDsend_0013</t>
  </si>
  <si>
    <t>213S|ProcC S1 P3 IP Output Audio 13</t>
  </si>
  <si>
    <t>VGW-103_SDI19_AUDsend_0014</t>
  </si>
  <si>
    <t>214S|ProcC S1 P3 IP Output Audio 14</t>
  </si>
  <si>
    <t>VGW-103_SDI19_AUDsend_0015</t>
  </si>
  <si>
    <t>215S|ProcC S1 P3 IP Output Audio 15</t>
  </si>
  <si>
    <t>VGW-103_SDI19_AUDsend_0016</t>
  </si>
  <si>
    <t>216S|ProcC S1 P3 IP Output Audio 16</t>
  </si>
  <si>
    <t>VGW-103_SDI19_ANCsend_0001</t>
  </si>
  <si>
    <t>301S|ProcC S1 P3 IP Output Ancillary Data 1</t>
  </si>
  <si>
    <t>VGW-103_SDI19_ANCsend_0002</t>
  </si>
  <si>
    <t>302S|ProcC S1 P3 IP Output Ancillary Data 2</t>
  </si>
  <si>
    <t>VGW-103_SDI19_ANCsend_0003</t>
  </si>
  <si>
    <t>303S|ProcC S1 P3 IP Output Ancillary Data 3</t>
  </si>
  <si>
    <t>VGW-103_SDI19_ANCsend_0004</t>
  </si>
  <si>
    <t>304S|ProcC S1 P3 IP Output Ancillary Data 4</t>
  </si>
  <si>
    <t>VGW-103_SDI20_VIDsend_0001</t>
  </si>
  <si>
    <t>101S|ProcC S1 P4 IP Output Video</t>
  </si>
  <si>
    <t>VGW-103_SDI20_AUDsend_0001</t>
  </si>
  <si>
    <t>201S|ProcC S1 P4 IP Output Audio 1</t>
  </si>
  <si>
    <t>VGW-103_SDI20_AUDsend_0002</t>
  </si>
  <si>
    <t>202S|ProcC S1 P4 IP Output Audio 2</t>
  </si>
  <si>
    <t>VGW-103_SDI20_AUDsend_0003</t>
  </si>
  <si>
    <t>203S|ProcC S1 P4 IP Output Audio 3</t>
  </si>
  <si>
    <t>VGW-103_SDI20_AUDsend_0004</t>
  </si>
  <si>
    <t>204S|ProcC S1 P4 IP Output Audio 4</t>
  </si>
  <si>
    <t>VGW-103_SDI20_AUDsend_0005</t>
  </si>
  <si>
    <t>205S|ProcC S1 P4 IP Output Audio 5</t>
  </si>
  <si>
    <t>VGW-103_SDI20_AUDsend_0006</t>
  </si>
  <si>
    <t>206S|ProcC S1 P4 IP Output Audio 6</t>
  </si>
  <si>
    <t>VGW-103_SDI20_AUDsend_0007</t>
  </si>
  <si>
    <t>207S|ProcC S1 P4 IP Output Audio 7</t>
  </si>
  <si>
    <t>VGW-103_SDI20_AUDsend_0008</t>
  </si>
  <si>
    <t>208S|ProcC S1 P4 IP Output Audio 8</t>
  </si>
  <si>
    <t>VGW-103_SDI20_AUDsend_0009</t>
  </si>
  <si>
    <t>209S|ProcC S1 P4 IP Output Audio 9</t>
  </si>
  <si>
    <t>VGW-103_SDI20_AUDsend_0010</t>
  </si>
  <si>
    <t>210S|ProcC S1 P4 IP Output Audio 10</t>
  </si>
  <si>
    <t>VGW-103_SDI20_AUDsend_0011</t>
  </si>
  <si>
    <t>211S|ProcC S1 P4 IP Output Audio 11</t>
  </si>
  <si>
    <t>VGW-103_SDI20_AUDsend_0012</t>
  </si>
  <si>
    <t>212S|ProcC S1 P4 IP Output Audio 12</t>
  </si>
  <si>
    <t>VGW-103_SDI20_AUDsend_0013</t>
  </si>
  <si>
    <t>213S|ProcC S1 P4 IP Output Audio 13</t>
  </si>
  <si>
    <t>VGW-103_SDI20_AUDsend_0014</t>
  </si>
  <si>
    <t>214S|ProcC S1 P4 IP Output Audio 14</t>
  </si>
  <si>
    <t>VGW-103_SDI20_AUDsend_0015</t>
  </si>
  <si>
    <t>215S|ProcC S1 P4 IP Output Audio 15</t>
  </si>
  <si>
    <t>VGW-103_SDI20_AUDsend_0016</t>
  </si>
  <si>
    <t>216S|ProcC S1 P4 IP Output Audio 16</t>
  </si>
  <si>
    <t>VGW-103_SDI20_ANCsend_0001</t>
  </si>
  <si>
    <t>301S|ProcC S1 P4 IP Output Ancillary Data 1</t>
  </si>
  <si>
    <t>VGW-103_SDI20_ANCsend_0002</t>
  </si>
  <si>
    <t>302S|ProcC S1 P4 IP Output Ancillary Data 2</t>
  </si>
  <si>
    <t>VGW-103_SDI20_ANCsend_0003</t>
  </si>
  <si>
    <t>303S|ProcC S1 P4 IP Output Ancillary Data 3</t>
  </si>
  <si>
    <t>VGW-103_SDI20_ANCsend_0004</t>
  </si>
  <si>
    <t>304S|ProcC S1 P4 IP Output Ancillary Data 4</t>
  </si>
  <si>
    <t>VGW-103_SDI21_VIDrec_0001</t>
  </si>
  <si>
    <t>101R|ProcC S2 P1 IP Input Video</t>
  </si>
  <si>
    <t>VGW-103_SDI21_AUDrec_0001</t>
  </si>
  <si>
    <t>201R|ProcC S2 P1 IP Input Audio 1</t>
  </si>
  <si>
    <t>VGW-103_SDI21_AUDrec_0002</t>
  </si>
  <si>
    <t>202R|ProcC S2 P1 IP Input Audio 2</t>
  </si>
  <si>
    <t>VGW-103_SDI21_AUDrec_0003</t>
  </si>
  <si>
    <t>203R|ProcC S2 P1 IP Input Audio 3</t>
  </si>
  <si>
    <t>VGW-103_SDI21_AUDrec_0004</t>
  </si>
  <si>
    <t>204R|ProcC S2 P1 IP Input Audio 4</t>
  </si>
  <si>
    <t>VGW-103_SDI21_AUDrec_0005</t>
  </si>
  <si>
    <t>205R|ProcC S2 P1 IP Input Audio 5</t>
  </si>
  <si>
    <t>VGW-103_SDI21_AUDrec_0006</t>
  </si>
  <si>
    <t>206R|ProcC S2 P1 IP Input Audio 6</t>
  </si>
  <si>
    <t>VGW-103_SDI21_AUDrec_0007</t>
  </si>
  <si>
    <t>207R|ProcC S2 P1 IP Input Audio 7</t>
  </si>
  <si>
    <t>VGW-103_SDI21_AUDrec_0008</t>
  </si>
  <si>
    <t>208R|ProcC S2 P1 IP Input Audio 8</t>
  </si>
  <si>
    <t>VGW-103_SDI21_AUDrec_0009</t>
  </si>
  <si>
    <t>209R|ProcC S2 P1 IP Input Audio 9</t>
  </si>
  <si>
    <t>VGW-103_SDI21_AUDrec_0010</t>
  </si>
  <si>
    <t>210R|ProcC S2 P1 IP Input Audio 10</t>
  </si>
  <si>
    <t>VGW-103_SDI21_AUDrec_0011</t>
  </si>
  <si>
    <t>211R|ProcC S2 P1 IP Input Audio 11</t>
  </si>
  <si>
    <t>VGW-103_SDI21_AUDrec_0012</t>
  </si>
  <si>
    <t>212R|ProcC S2 P1 IP Input Audio 12</t>
  </si>
  <si>
    <t>VGW-103_SDI21_AUDrec_0013</t>
  </si>
  <si>
    <t>213R|ProcC S2 P1 IP Input Audio 13</t>
  </si>
  <si>
    <t>VGW-103_SDI21_AUDrec_0014</t>
  </si>
  <si>
    <t>214R|ProcC S2 P1 IP Input Audio 14</t>
  </si>
  <si>
    <t>VGW-103_SDI21_AUDrec_0015</t>
  </si>
  <si>
    <t>215R|ProcC S2 P1 IP Input Audio 15</t>
  </si>
  <si>
    <t>VGW-103_SDI21_AUDrec_0016</t>
  </si>
  <si>
    <t>216R|ProcC S2 P1 IP Input Audio 16</t>
  </si>
  <si>
    <t>VGW-103_SDI21_ANCrec_0001</t>
  </si>
  <si>
    <t>301R|ProcC S2 P1 IP Input Ancillary Data 1</t>
  </si>
  <si>
    <t>VGW-103_SDI21_ANCrec_0002</t>
  </si>
  <si>
    <t>302R|ProcC S2 P1 IP Input Ancillary Data 2</t>
  </si>
  <si>
    <t>VGW-103_SDI21_ANCrec_0003</t>
  </si>
  <si>
    <t>303R|ProcC S2 P1 IP Input Ancillary Data 3</t>
  </si>
  <si>
    <t>VGW-103_SDI21_ANCrec_0004</t>
  </si>
  <si>
    <t>304R|ProcC S2 P1 IP Input Ancillary Data 4</t>
  </si>
  <si>
    <t>VGW-103_SDI22_VIDrec_0001</t>
  </si>
  <si>
    <t>101R|ProcC S2 P2 IP Input Video</t>
  </si>
  <si>
    <t>VGW-103_SDI22_AUDrec_0001</t>
  </si>
  <si>
    <t>201R|ProcC S2 P2 IP Input Audio 1</t>
  </si>
  <si>
    <t>VGW-103_SDI22_AUDrec_0002</t>
  </si>
  <si>
    <t>202R|ProcC S2 P2 IP Input Audio 2</t>
  </si>
  <si>
    <t>VGW-103_SDI22_AUDrec_0003</t>
  </si>
  <si>
    <t>203R|ProcC S2 P2 IP Input Audio 3</t>
  </si>
  <si>
    <t>VGW-103_SDI22_AUDrec_0004</t>
  </si>
  <si>
    <t>204R|ProcC S2 P2 IP Input Audio 4</t>
  </si>
  <si>
    <t>VGW-103_SDI22_AUDrec_0005</t>
  </si>
  <si>
    <t>205R|ProcC S2 P2 IP Input Audio 5</t>
  </si>
  <si>
    <t>VGW-103_SDI22_AUDrec_0006</t>
  </si>
  <si>
    <t>206R|ProcC S2 P2 IP Input Audio 6</t>
  </si>
  <si>
    <t>VGW-103_SDI22_AUDrec_0007</t>
  </si>
  <si>
    <t>207R|ProcC S2 P2 IP Input Audio 7</t>
  </si>
  <si>
    <t>VGW-103_SDI22_AUDrec_0008</t>
  </si>
  <si>
    <t>208R|ProcC S2 P2 IP Input Audio 8</t>
  </si>
  <si>
    <t>VGW-103_SDI22_AUDrec_0009</t>
  </si>
  <si>
    <t>209R|ProcC S2 P2 IP Input Audio 9</t>
  </si>
  <si>
    <t>VGW-103_SDI22_AUDrec_0010</t>
  </si>
  <si>
    <t>210R|ProcC S2 P2 IP Input Audio 10</t>
  </si>
  <si>
    <t>VGW-103_SDI22_AUDrec_0011</t>
  </si>
  <si>
    <t>211R|ProcC S2 P2 IP Input Audio 11</t>
  </si>
  <si>
    <t>VGW-103_SDI22_AUDrec_0012</t>
  </si>
  <si>
    <t>212R|ProcC S2 P2 IP Input Audio 12</t>
  </si>
  <si>
    <t>VGW-103_SDI22_AUDrec_0013</t>
  </si>
  <si>
    <t>213R|ProcC S2 P2 IP Input Audio 13</t>
  </si>
  <si>
    <t>VGW-103_SDI22_AUDrec_0014</t>
  </si>
  <si>
    <t>214R|ProcC S2 P2 IP Input Audio 14</t>
  </si>
  <si>
    <t>VGW-103_SDI22_AUDrec_0015</t>
  </si>
  <si>
    <t>215R|ProcC S2 P2 IP Input Audio 15</t>
  </si>
  <si>
    <t>VGW-103_SDI22_AUDrec_0016</t>
  </si>
  <si>
    <t>216R|ProcC S2 P2 IP Input Audio 16</t>
  </si>
  <si>
    <t>VGW-103_SDI22_ANCrec_0001</t>
  </si>
  <si>
    <t>301R|ProcC S2 P2 IP Input Ancillary Data 1</t>
  </si>
  <si>
    <t>VGW-103_SDI22_ANCrec_0002</t>
  </si>
  <si>
    <t>302R|ProcC S2 P2 IP Input Ancillary Data 2</t>
  </si>
  <si>
    <t>VGW-103_SDI22_ANCrec_0003</t>
  </si>
  <si>
    <t>303R|ProcC S2 P2 IP Input Ancillary Data 3</t>
  </si>
  <si>
    <t>VGW-103_SDI22_ANCrec_0004</t>
  </si>
  <si>
    <t>304R|ProcC S2 P2 IP Input Ancillary Data 4</t>
  </si>
  <si>
    <t>VGW-103_SDI23_VIDrec_0001</t>
  </si>
  <si>
    <t>101R|ProcC S2 P3 IP Input Video</t>
  </si>
  <si>
    <t>VGW-103_SDI23_AUDrec_0001</t>
  </si>
  <si>
    <t>201R|ProcC S2 P3 IP Input Audio 1</t>
  </si>
  <si>
    <t>VGW-103_SDI23_AUDrec_0002</t>
  </si>
  <si>
    <t>202R|ProcC S2 P3 IP Input Audio 2</t>
  </si>
  <si>
    <t>VGW-103_SDI23_AUDrec_0003</t>
  </si>
  <si>
    <t>203R|ProcC S2 P3 IP Input Audio 3</t>
  </si>
  <si>
    <t>VGW-103_SDI23_AUDrec_0004</t>
  </si>
  <si>
    <t>204R|ProcC S2 P3 IP Input Audio 4</t>
  </si>
  <si>
    <t>VGW-103_SDI23_AUDrec_0005</t>
  </si>
  <si>
    <t>205R|ProcC S2 P3 IP Input Audio 5</t>
  </si>
  <si>
    <t>VGW-103_SDI23_AUDrec_0006</t>
  </si>
  <si>
    <t>206R|ProcC S2 P3 IP Input Audio 6</t>
  </si>
  <si>
    <t>VGW-103_SDI23_AUDrec_0007</t>
  </si>
  <si>
    <t>207R|ProcC S2 P3 IP Input Audio 7</t>
  </si>
  <si>
    <t>VGW-103_SDI23_AUDrec_0008</t>
  </si>
  <si>
    <t>208R|ProcC S2 P3 IP Input Audio 8</t>
  </si>
  <si>
    <t>VGW-103_SDI23_AUDrec_0009</t>
  </si>
  <si>
    <t>209R|ProcC S2 P3 IP Input Audio 9</t>
  </si>
  <si>
    <t>VGW-103_SDI23_AUDrec_0010</t>
  </si>
  <si>
    <t>210R|ProcC S2 P3 IP Input Audio 10</t>
  </si>
  <si>
    <t>VGW-103_SDI23_AUDrec_0011</t>
  </si>
  <si>
    <t>211R|ProcC S2 P3 IP Input Audio 11</t>
  </si>
  <si>
    <t>VGW-103_SDI23_AUDrec_0012</t>
  </si>
  <si>
    <t>212R|ProcC S2 P3 IP Input Audio 12</t>
  </si>
  <si>
    <t>VGW-103_SDI23_AUDrec_0013</t>
  </si>
  <si>
    <t>213R|ProcC S2 P3 IP Input Audio 13</t>
  </si>
  <si>
    <t>VGW-103_SDI23_AUDrec_0014</t>
  </si>
  <si>
    <t>214R|ProcC S2 P3 IP Input Audio 14</t>
  </si>
  <si>
    <t>VGW-103_SDI23_AUDrec_0015</t>
  </si>
  <si>
    <t>215R|ProcC S2 P3 IP Input Audio 15</t>
  </si>
  <si>
    <t>VGW-103_SDI23_AUDrec_0016</t>
  </si>
  <si>
    <t>216R|ProcC S2 P3 IP Input Audio 16</t>
  </si>
  <si>
    <t>VGW-103_SDI23_ANCrec_0001</t>
  </si>
  <si>
    <t>301R|ProcC S2 P3 IP Input Ancillary Data 1</t>
  </si>
  <si>
    <t>VGW-103_SDI23_ANCrec_0002</t>
  </si>
  <si>
    <t>302R|ProcC S2 P3 IP Input Ancillary Data 2</t>
  </si>
  <si>
    <t>VGW-103_SDI23_ANCrec_0003</t>
  </si>
  <si>
    <t>303R|ProcC S2 P3 IP Input Ancillary Data 3</t>
  </si>
  <si>
    <t>VGW-103_SDI23_ANCrec_0004</t>
  </si>
  <si>
    <t>304R|ProcC S2 P3 IP Input Ancillary Data 4</t>
  </si>
  <si>
    <t>VGW-103_SDI24_VIDrec_0001</t>
  </si>
  <si>
    <t>101R|ProcC S2 P4 IP Input Video</t>
  </si>
  <si>
    <t>VGW-103_SDI24_AUDrec_0001</t>
  </si>
  <si>
    <t>201R|ProcC S2 P4 IP Input Audio 1</t>
  </si>
  <si>
    <t>VGW-103_SDI24_AUDrec_0002</t>
  </si>
  <si>
    <t>202R|ProcC S2 P4 IP Input Audio 2</t>
  </si>
  <si>
    <t>VGW-103_SDI24_AUDrec_0003</t>
  </si>
  <si>
    <t>203R|ProcC S2 P4 IP Input Audio 3</t>
  </si>
  <si>
    <t>VGW-103_SDI24_AUDrec_0004</t>
  </si>
  <si>
    <t>204R|ProcC S2 P4 IP Input Audio 4</t>
  </si>
  <si>
    <t>VGW-103_SDI24_AUDrec_0005</t>
  </si>
  <si>
    <t>205R|ProcC S2 P4 IP Input Audio 5</t>
  </si>
  <si>
    <t>VGW-103_SDI24_AUDrec_0006</t>
  </si>
  <si>
    <t>206R|ProcC S2 P4 IP Input Audio 6</t>
  </si>
  <si>
    <t>VGW-103_SDI24_AUDrec_0007</t>
  </si>
  <si>
    <t>207R|ProcC S2 P4 IP Input Audio 7</t>
  </si>
  <si>
    <t>VGW-103_SDI24_AUDrec_0008</t>
  </si>
  <si>
    <t>208R|ProcC S2 P4 IP Input Audio 8</t>
  </si>
  <si>
    <t>VGW-103_SDI24_AUDrec_0009</t>
  </si>
  <si>
    <t>209R|ProcC S2 P4 IP Input Audio 9</t>
  </si>
  <si>
    <t>VGW-103_SDI24_AUDrec_0010</t>
  </si>
  <si>
    <t>210R|ProcC S2 P4 IP Input Audio 10</t>
  </si>
  <si>
    <t>VGW-103_SDI24_AUDrec_0011</t>
  </si>
  <si>
    <t>211R|ProcC S2 P4 IP Input Audio 11</t>
  </si>
  <si>
    <t>VGW-103_SDI24_AUDrec_0012</t>
  </si>
  <si>
    <t>212R|ProcC S2 P4 IP Input Audio 12</t>
  </si>
  <si>
    <t>VGW-103_SDI24_AUDrec_0013</t>
  </si>
  <si>
    <t>213R|ProcC S2 P4 IP Input Audio 13</t>
  </si>
  <si>
    <t>VGW-103_SDI24_AUDrec_0014</t>
  </si>
  <si>
    <t>214R|ProcC S2 P4 IP Input Audio 14</t>
  </si>
  <si>
    <t>VGW-103_SDI24_AUDrec_0015</t>
  </si>
  <si>
    <t>215R|ProcC S2 P4 IP Input Audio 15</t>
  </si>
  <si>
    <t>VGW-103_SDI24_AUDrec_0016</t>
  </si>
  <si>
    <t>216R|ProcC S2 P4 IP Input Audio 16</t>
  </si>
  <si>
    <t>VGW-103_SDI24_ANCrec_0001</t>
  </si>
  <si>
    <t>301R|ProcC S2 P4 IP Input Ancillary Data 1</t>
  </si>
  <si>
    <t>VGW-103_SDI24_ANCrec_0002</t>
  </si>
  <si>
    <t>302R|ProcC S2 P4 IP Input Ancillary Data 2</t>
  </si>
  <si>
    <t>VGW-103_SDI24_ANCrec_0003</t>
  </si>
  <si>
    <t>303R|ProcC S2 P4 IP Input Ancillary Data 3</t>
  </si>
  <si>
    <t>VGW-103_SDI24_ANCrec_0004</t>
  </si>
  <si>
    <t>304R|ProcC S2 P4 IP Input Ancillary Data 4</t>
  </si>
  <si>
    <t>VGW-103_SDI25_VIDsend_0001</t>
  </si>
  <si>
    <t>101S|ProcD S1 P1 IP Output Video</t>
  </si>
  <si>
    <t>VGW-103_SDI25_AUDsend_0001</t>
  </si>
  <si>
    <t>201S|ProcD S1 P1 IP Output Audio 1</t>
  </si>
  <si>
    <t>VGW-103_SDI25_AUDsend_0002</t>
  </si>
  <si>
    <t>202S|ProcD S1 P1 IP Output Audio 2</t>
  </si>
  <si>
    <t>VGW-103_SDI25_AUDsend_0003</t>
  </si>
  <si>
    <t>203S|ProcD S1 P1 IP Output Audio 3</t>
  </si>
  <si>
    <t>VGW-103_SDI25_AUDsend_0004</t>
  </si>
  <si>
    <t>204S|ProcD S1 P1 IP Output Audio 4</t>
  </si>
  <si>
    <t>VGW-103_SDI25_AUDsend_0005</t>
  </si>
  <si>
    <t>205S|ProcD S1 P1 IP Output Audio 5</t>
  </si>
  <si>
    <t>VGW-103_SDI25_AUDsend_0006</t>
  </si>
  <si>
    <t>206S|ProcD S1 P1 IP Output Audio 6</t>
  </si>
  <si>
    <t>VGW-103_SDI25_AUDsend_0007</t>
  </si>
  <si>
    <t>207S|ProcD S1 P1 IP Output Audio 7</t>
  </si>
  <si>
    <t>VGW-103_SDI25_AUDsend_0008</t>
  </si>
  <si>
    <t>208S|ProcD S1 P1 IP Output Audio 8</t>
  </si>
  <si>
    <t>VGW-103_SDI25_AUDsend_0009</t>
  </si>
  <si>
    <t>209S|ProcD S1 P1 IP Output Audio 9</t>
  </si>
  <si>
    <t>VGW-103_SDI25_AUDsend_0010</t>
  </si>
  <si>
    <t>210S|ProcD S1 P1 IP Output Audio 10</t>
  </si>
  <si>
    <t>VGW-103_SDI25_AUDsend_0011</t>
  </si>
  <si>
    <t>211S|ProcD S1 P1 IP Output Audio 11</t>
  </si>
  <si>
    <t>VGW-103_SDI25_AUDsend_0012</t>
  </si>
  <si>
    <t>212S|ProcD S1 P1 IP Output Audio 12</t>
  </si>
  <si>
    <t>VGW-103_SDI25_AUDsend_0013</t>
  </si>
  <si>
    <t>213S|ProcD S1 P1 IP Output Audio 13</t>
  </si>
  <si>
    <t>VGW-103_SDI25_AUDsend_0014</t>
  </si>
  <si>
    <t>214S|ProcD S1 P1 IP Output Audio 14</t>
  </si>
  <si>
    <t>VGW-103_SDI25_AUDsend_0015</t>
  </si>
  <si>
    <t>215S|ProcD S1 P1 IP Output Audio 15</t>
  </si>
  <si>
    <t>VGW-103_SDI25_AUDsend_0016</t>
  </si>
  <si>
    <t>216S|ProcD S1 P1 IP Output Audio 16</t>
  </si>
  <si>
    <t>VGW-103_SDI25_ANCsend_0001</t>
  </si>
  <si>
    <t>301S|ProcD S1 P1 IP Output Ancillary Data 1</t>
  </si>
  <si>
    <t>VGW-103_SDI25_ANCsend_0002</t>
  </si>
  <si>
    <t>302S|ProcD S1 P1 IP Output Ancillary Data 2</t>
  </si>
  <si>
    <t>VGW-103_SDI25_ANCsend_0003</t>
  </si>
  <si>
    <t>303S|ProcD S1 P1 IP Output Ancillary Data 3</t>
  </si>
  <si>
    <t>VGW-103_SDI25_ANCsend_0004</t>
  </si>
  <si>
    <t>304S|ProcD S1 P1 IP Output Ancillary Data 4</t>
  </si>
  <si>
    <t>VGW-103_SDI26_VIDsend_0001</t>
  </si>
  <si>
    <t>101S|ProcD S1 P2 IP Output Video</t>
  </si>
  <si>
    <t>VGW-103_SDI26_AUDsend_0001</t>
  </si>
  <si>
    <t>201S|ProcD S1 P2 IP Output Audio 1</t>
  </si>
  <si>
    <t>VGW-103_SDI26_AUDsend_0002</t>
  </si>
  <si>
    <t>202S|ProcD S1 P2 IP Output Audio 2</t>
  </si>
  <si>
    <t>VGW-103_SDI26_AUDsend_0003</t>
  </si>
  <si>
    <t>203S|ProcD S1 P2 IP Output Audio 3</t>
  </si>
  <si>
    <t>VGW-103_SDI26_AUDsend_0004</t>
  </si>
  <si>
    <t>204S|ProcD S1 P2 IP Output Audio 4</t>
  </si>
  <si>
    <t>VGW-103_SDI26_AUDsend_0005</t>
  </si>
  <si>
    <t>205S|ProcD S1 P2 IP Output Audio 5</t>
  </si>
  <si>
    <t>VGW-103_SDI26_AUDsend_0006</t>
  </si>
  <si>
    <t>206S|ProcD S1 P2 IP Output Audio 6</t>
  </si>
  <si>
    <t>VGW-103_SDI26_AUDsend_0007</t>
  </si>
  <si>
    <t>207S|ProcD S1 P2 IP Output Audio 7</t>
  </si>
  <si>
    <t>VGW-103_SDI26_AUDsend_0008</t>
  </si>
  <si>
    <t>208S|ProcD S1 P2 IP Output Audio 8</t>
  </si>
  <si>
    <t>VGW-103_SDI26_AUDsend_0009</t>
  </si>
  <si>
    <t>209S|ProcD S1 P2 IP Output Audio 9</t>
  </si>
  <si>
    <t>VGW-103_SDI26_AUDsend_0010</t>
  </si>
  <si>
    <t>210S|ProcD S1 P2 IP Output Audio 10</t>
  </si>
  <si>
    <t>VGW-103_SDI26_AUDsend_0011</t>
  </si>
  <si>
    <t>211S|ProcD S1 P2 IP Output Audio 11</t>
  </si>
  <si>
    <t>VGW-103_SDI26_AUDsend_0012</t>
  </si>
  <si>
    <t>212S|ProcD S1 P2 IP Output Audio 12</t>
  </si>
  <si>
    <t>VGW-103_SDI26_AUDsend_0013</t>
  </si>
  <si>
    <t>213S|ProcD S1 P2 IP Output Audio 13</t>
  </si>
  <si>
    <t>VGW-103_SDI26_AUDsend_0014</t>
  </si>
  <si>
    <t>214S|ProcD S1 P2 IP Output Audio 14</t>
  </si>
  <si>
    <t>VGW-103_SDI26_AUDsend_0015</t>
  </si>
  <si>
    <t>215S|ProcD S1 P2 IP Output Audio 15</t>
  </si>
  <si>
    <t>VGW-103_SDI26_AUDsend_0016</t>
  </si>
  <si>
    <t>216S|ProcD S1 P2 IP Output Audio 16</t>
  </si>
  <si>
    <t>VGW-103_SDI26_ANCsend_0001</t>
  </si>
  <si>
    <t>301S|ProcD S1 P2 IP Output Ancillary Data 1</t>
  </si>
  <si>
    <t>VGW-103_SDI26_ANCsend_0002</t>
  </si>
  <si>
    <t>302S|ProcD S1 P2 IP Output Ancillary Data 2</t>
  </si>
  <si>
    <t>VGW-103_SDI26_ANCsend_0003</t>
  </si>
  <si>
    <t>303S|ProcD S1 P2 IP Output Ancillary Data 3</t>
  </si>
  <si>
    <t>VGW-103_SDI26_ANCsend_0004</t>
  </si>
  <si>
    <t>304S|ProcD S1 P2 IP Output Ancillary Data 4</t>
  </si>
  <si>
    <t>VGW-103_SDI27_VIDsend_0001</t>
  </si>
  <si>
    <t>101S|ProcD S1 P3 IP Output Video</t>
  </si>
  <si>
    <t>VGW-103_SDI27_AUDsend_0001</t>
  </si>
  <si>
    <t>201S|ProcD S1 P3 IP Output Audio 1</t>
  </si>
  <si>
    <t>VGW-103_SDI27_AUDsend_0002</t>
  </si>
  <si>
    <t>202S|ProcD S1 P3 IP Output Audio 2</t>
  </si>
  <si>
    <t>VGW-103_SDI27_AUDsend_0003</t>
  </si>
  <si>
    <t>203S|ProcD S1 P3 IP Output Audio 3</t>
  </si>
  <si>
    <t>VGW-103_SDI27_AUDsend_0004</t>
  </si>
  <si>
    <t>204S|ProcD S1 P3 IP Output Audio 4</t>
  </si>
  <si>
    <t>VGW-103_SDI27_AUDsend_0005</t>
  </si>
  <si>
    <t>205S|ProcD S1 P3 IP Output Audio 5</t>
  </si>
  <si>
    <t>VGW-103_SDI27_AUDsend_0006</t>
  </si>
  <si>
    <t>206S|ProcD S1 P3 IP Output Audio 6</t>
  </si>
  <si>
    <t>VGW-103_SDI27_AUDsend_0007</t>
  </si>
  <si>
    <t>207S|ProcD S1 P3 IP Output Audio 7</t>
  </si>
  <si>
    <t>VGW-103_SDI27_AUDsend_0008</t>
  </si>
  <si>
    <t>208S|ProcD S1 P3 IP Output Audio 8</t>
  </si>
  <si>
    <t>VGW-103_SDI27_AUDsend_0009</t>
  </si>
  <si>
    <t>209S|ProcD S1 P3 IP Output Audio 9</t>
  </si>
  <si>
    <t>VGW-103_SDI27_AUDsend_0010</t>
  </si>
  <si>
    <t>210S|ProcD S1 P3 IP Output Audio 10</t>
  </si>
  <si>
    <t>VGW-103_SDI27_AUDsend_0011</t>
  </si>
  <si>
    <t>211S|ProcD S1 P3 IP Output Audio 11</t>
  </si>
  <si>
    <t>VGW-103_SDI27_AUDsend_0012</t>
  </si>
  <si>
    <t>212S|ProcD S1 P3 IP Output Audio 12</t>
  </si>
  <si>
    <t>VGW-103_SDI27_AUDsend_0013</t>
  </si>
  <si>
    <t>213S|ProcD S1 P3 IP Output Audio 13</t>
  </si>
  <si>
    <t>VGW-103_SDI27_AUDsend_0014</t>
  </si>
  <si>
    <t>214S|ProcD S1 P3 IP Output Audio 14</t>
  </si>
  <si>
    <t>VGW-103_SDI27_AUDsend_0015</t>
  </si>
  <si>
    <t>215S|ProcD S1 P3 IP Output Audio 15</t>
  </si>
  <si>
    <t>VGW-103_SDI27_AUDsend_0016</t>
  </si>
  <si>
    <t>216S|ProcD S1 P3 IP Output Audio 16</t>
  </si>
  <si>
    <t>VGW-103_SDI27_ANCsend_0001</t>
  </si>
  <si>
    <t>301S|ProcD S1 P3 IP Output Ancillary Data 1</t>
  </si>
  <si>
    <t>VGW-103_SDI27_ANCsend_0002</t>
  </si>
  <si>
    <t>302S|ProcD S1 P3 IP Output Ancillary Data 2</t>
  </si>
  <si>
    <t>VGW-103_SDI27_ANCsend_0003</t>
  </si>
  <si>
    <t>303S|ProcD S1 P3 IP Output Ancillary Data 3</t>
  </si>
  <si>
    <t>VGW-103_SDI27_ANCsend_0004</t>
  </si>
  <si>
    <t>304S|ProcD S1 P3 IP Output Ancillary Data 4</t>
  </si>
  <si>
    <t>VGW-103_SDI28_VIDsend_0001</t>
  </si>
  <si>
    <t>101S|ProcD S1 P4 IP Output Video</t>
  </si>
  <si>
    <t>VGW-103_SDI28_AUDsend_0001</t>
  </si>
  <si>
    <t>201S|ProcD S1 P4 IP Output Audio 1</t>
  </si>
  <si>
    <t>VGW-103_SDI28_AUDsend_0002</t>
  </si>
  <si>
    <t>202S|ProcD S1 P4 IP Output Audio 2</t>
  </si>
  <si>
    <t>VGW-103_SDI28_AUDsend_0003</t>
  </si>
  <si>
    <t>203S|ProcD S1 P4 IP Output Audio 3</t>
  </si>
  <si>
    <t>VGW-103_SDI28_AUDsend_0004</t>
  </si>
  <si>
    <t>204S|ProcD S1 P4 IP Output Audio 4</t>
  </si>
  <si>
    <t>VGW-103_SDI28_AUDsend_0005</t>
  </si>
  <si>
    <t>205S|ProcD S1 P4 IP Output Audio 5</t>
  </si>
  <si>
    <t>VGW-103_SDI28_AUDsend_0006</t>
  </si>
  <si>
    <t>206S|ProcD S1 P4 IP Output Audio 6</t>
  </si>
  <si>
    <t>VGW-103_SDI28_AUDsend_0007</t>
  </si>
  <si>
    <t>207S|ProcD S1 P4 IP Output Audio 7</t>
  </si>
  <si>
    <t>VGW-103_SDI28_AUDsend_0008</t>
  </si>
  <si>
    <t>208S|ProcD S1 P4 IP Output Audio 8</t>
  </si>
  <si>
    <t>VGW-103_SDI28_AUDsend_0009</t>
  </si>
  <si>
    <t>209S|ProcD S1 P4 IP Output Audio 9</t>
  </si>
  <si>
    <t>VGW-103_SDI28_AUDsend_0010</t>
  </si>
  <si>
    <t>210S|ProcD S1 P4 IP Output Audio 10</t>
  </si>
  <si>
    <t>VGW-103_SDI28_AUDsend_0011</t>
  </si>
  <si>
    <t>211S|ProcD S1 P4 IP Output Audio 11</t>
  </si>
  <si>
    <t>VGW-103_SDI28_AUDsend_0012</t>
  </si>
  <si>
    <t>212S|ProcD S1 P4 IP Output Audio 12</t>
  </si>
  <si>
    <t>VGW-103_SDI28_AUDsend_0013</t>
  </si>
  <si>
    <t>213S|ProcD S1 P4 IP Output Audio 13</t>
  </si>
  <si>
    <t>VGW-103_SDI28_AUDsend_0014</t>
  </si>
  <si>
    <t>214S|ProcD S1 P4 IP Output Audio 14</t>
  </si>
  <si>
    <t>VGW-103_SDI28_AUDsend_0015</t>
  </si>
  <si>
    <t>215S|ProcD S1 P4 IP Output Audio 15</t>
  </si>
  <si>
    <t>VGW-103_SDI28_AUDsend_0016</t>
  </si>
  <si>
    <t>216S|ProcD S1 P4 IP Output Audio 16</t>
  </si>
  <si>
    <t>VGW-103_SDI28_ANCsend_0001</t>
  </si>
  <si>
    <t>301S|ProcD S1 P4 IP Output Ancillary Data 1</t>
  </si>
  <si>
    <t>VGW-103_SDI28_ANCsend_0002</t>
  </si>
  <si>
    <t>302S|ProcD S1 P4 IP Output Ancillary Data 2</t>
  </si>
  <si>
    <t>VGW-103_SDI28_ANCsend_0003</t>
  </si>
  <si>
    <t>303S|ProcD S1 P4 IP Output Ancillary Data 3</t>
  </si>
  <si>
    <t>VGW-103_SDI28_ANCsend_0004</t>
  </si>
  <si>
    <t>304S|ProcD S1 P4 IP Output Ancillary Data 4</t>
  </si>
  <si>
    <t>VGW-103_SDI29_VIDsend_0001</t>
  </si>
  <si>
    <t>101S|ProcD S2 P1 IP Output Video</t>
  </si>
  <si>
    <t>VGW-103_SDI29_AUDsend_0001</t>
  </si>
  <si>
    <t>201S|ProcD S2 P1 IP Output Audio 1</t>
  </si>
  <si>
    <t>VGW-103_SDI29_AUDsend_0002</t>
  </si>
  <si>
    <t>202S|ProcD S2 P1 IP Output Audio 2</t>
  </si>
  <si>
    <t>VGW-103_SDI29_AUDsend_0003</t>
  </si>
  <si>
    <t>203S|ProcD S2 P1 IP Output Audio 3</t>
  </si>
  <si>
    <t>VGW-103_SDI29_AUDsend_0004</t>
  </si>
  <si>
    <t>204S|ProcD S2 P1 IP Output Audio 4</t>
  </si>
  <si>
    <t>VGW-103_SDI29_AUDsend_0005</t>
  </si>
  <si>
    <t>205S|ProcD S2 P1 IP Output Audio 5</t>
  </si>
  <si>
    <t>VGW-103_SDI29_AUDsend_0006</t>
  </si>
  <si>
    <t>206S|ProcD S2 P1 IP Output Audio 6</t>
  </si>
  <si>
    <t>VGW-103_SDI29_AUDsend_0007</t>
  </si>
  <si>
    <t>207S|ProcD S2 P1 IP Output Audio 7</t>
  </si>
  <si>
    <t>VGW-103_SDI29_AUDsend_0008</t>
  </si>
  <si>
    <t>208S|ProcD S2 P1 IP Output Audio 8</t>
  </si>
  <si>
    <t>VGW-103_SDI29_AUDsend_0009</t>
  </si>
  <si>
    <t>209S|ProcD S2 P1 IP Output Audio 9</t>
  </si>
  <si>
    <t>VGW-103_SDI29_AUDsend_0010</t>
  </si>
  <si>
    <t>210S|ProcD S2 P1 IP Output Audio 10</t>
  </si>
  <si>
    <t>VGW-103_SDI29_AUDsend_0011</t>
  </si>
  <si>
    <t>211S|ProcD S2 P1 IP Output Audio 11</t>
  </si>
  <si>
    <t>VGW-103_SDI29_AUDsend_0012</t>
  </si>
  <si>
    <t>212S|ProcD S2 P1 IP Output Audio 12</t>
  </si>
  <si>
    <t>VGW-103_SDI29_AUDsend_0013</t>
  </si>
  <si>
    <t>213S|ProcD S2 P1 IP Output Audio 13</t>
  </si>
  <si>
    <t>VGW-103_SDI29_AUDsend_0014</t>
  </si>
  <si>
    <t>214S|ProcD S2 P1 IP Output Audio 14</t>
  </si>
  <si>
    <t>VGW-103_SDI29_AUDsend_0015</t>
  </si>
  <si>
    <t>215S|ProcD S2 P1 IP Output Audio 15</t>
  </si>
  <si>
    <t>VGW-103_SDI29_AUDsend_0016</t>
  </si>
  <si>
    <t>216S|ProcD S2 P1 IP Output Audio 16</t>
  </si>
  <si>
    <t>VGW-103_SDI29_ANCsend_0001</t>
  </si>
  <si>
    <t>301S|ProcD S2 P1 IP Output Ancillary Data 1</t>
  </si>
  <si>
    <t>VGW-103_SDI29_ANCsend_0002</t>
  </si>
  <si>
    <t>302S|ProcD S2 P1 IP Output Ancillary Data 2</t>
  </si>
  <si>
    <t>VGW-103_SDI29_ANCsend_0003</t>
  </si>
  <si>
    <t>303S|ProcD S2 P1 IP Output Ancillary Data 3</t>
  </si>
  <si>
    <t>VGW-103_SDI29_ANCsend_0004</t>
  </si>
  <si>
    <t>304S|ProcD S2 P1 IP Output Ancillary Data 4</t>
  </si>
  <si>
    <t>VGW-103_SDI30_VIDsend_0001</t>
  </si>
  <si>
    <t>101S|ProcD S2 P2 IP Output Video</t>
  </si>
  <si>
    <t>VGW-103_SDI30_AUDsend_0001</t>
  </si>
  <si>
    <t>201S|ProcD S2 P2 IP Output Audio 1</t>
  </si>
  <si>
    <t>VGW-103_SDI30_AUDsend_0002</t>
  </si>
  <si>
    <t>202S|ProcD S2 P2 IP Output Audio 2</t>
  </si>
  <si>
    <t>VGW-103_SDI30_AUDsend_0003</t>
  </si>
  <si>
    <t>203S|ProcD S2 P2 IP Output Audio 3</t>
  </si>
  <si>
    <t>VGW-103_SDI30_AUDsend_0004</t>
  </si>
  <si>
    <t>204S|ProcD S2 P2 IP Output Audio 4</t>
  </si>
  <si>
    <t>VGW-103_SDI30_AUDsend_0005</t>
  </si>
  <si>
    <t>205S|ProcD S2 P2 IP Output Audio 5</t>
  </si>
  <si>
    <t>VGW-103_SDI30_AUDsend_0006</t>
  </si>
  <si>
    <t>206S|ProcD S2 P2 IP Output Audio 6</t>
  </si>
  <si>
    <t>VGW-103_SDI30_AUDsend_0007</t>
  </si>
  <si>
    <t>207S|ProcD S2 P2 IP Output Audio 7</t>
  </si>
  <si>
    <t>VGW-103_SDI30_AUDsend_0008</t>
  </si>
  <si>
    <t>208S|ProcD S2 P2 IP Output Audio 8</t>
  </si>
  <si>
    <t>VGW-103_SDI30_AUDsend_0009</t>
  </si>
  <si>
    <t>209S|ProcD S2 P2 IP Output Audio 9</t>
  </si>
  <si>
    <t>VGW-103_SDI30_AUDsend_0010</t>
  </si>
  <si>
    <t>210S|ProcD S2 P2 IP Output Audio 10</t>
  </si>
  <si>
    <t>VGW-103_SDI30_AUDsend_0011</t>
  </si>
  <si>
    <t>211S|ProcD S2 P2 IP Output Audio 11</t>
  </si>
  <si>
    <t>VGW-103_SDI30_AUDsend_0012</t>
  </si>
  <si>
    <t>212S|ProcD S2 P2 IP Output Audio 12</t>
  </si>
  <si>
    <t>VGW-103_SDI30_AUDsend_0013</t>
  </si>
  <si>
    <t>213S|ProcD S2 P2 IP Output Audio 13</t>
  </si>
  <si>
    <t>VGW-103_SDI30_AUDsend_0014</t>
  </si>
  <si>
    <t>214S|ProcD S2 P2 IP Output Audio 14</t>
  </si>
  <si>
    <t>VGW-103_SDI30_AUDsend_0015</t>
  </si>
  <si>
    <t>215S|ProcD S2 P2 IP Output Audio 15</t>
  </si>
  <si>
    <t>VGW-103_SDI30_AUDsend_0016</t>
  </si>
  <si>
    <t>216S|ProcD S2 P2 IP Output Audio 16</t>
  </si>
  <si>
    <t>VGW-103_SDI30_ANCsend_0001</t>
  </si>
  <si>
    <t>301S|ProcD S2 P2 IP Output Ancillary Data 1</t>
  </si>
  <si>
    <t>VGW-103_SDI30_ANCsend_0002</t>
  </si>
  <si>
    <t>302S|ProcD S2 P2 IP Output Ancillary Data 2</t>
  </si>
  <si>
    <t>VGW-103_SDI30_ANCsend_0003</t>
  </si>
  <si>
    <t>303S|ProcD S2 P2 IP Output Ancillary Data 3</t>
  </si>
  <si>
    <t>VGW-103_SDI30_ANCsend_0004</t>
  </si>
  <si>
    <t>304S|ProcD S2 P2 IP Output Ancillary Data 4</t>
  </si>
  <si>
    <t>VGW-103_SDI31_VIDsend_0001</t>
  </si>
  <si>
    <t>101S|ProcD S2 P3 IP Output Video</t>
  </si>
  <si>
    <t>VGW-103_SDI31_AUDsend_0001</t>
  </si>
  <si>
    <t>201S|ProcD S2 P3 IP Output Audio 1</t>
  </si>
  <si>
    <t>VGW-103_SDI31_AUDsend_0002</t>
  </si>
  <si>
    <t>202S|ProcD S2 P3 IP Output Audio 2</t>
  </si>
  <si>
    <t>VGW-103_SDI31_AUDsend_0003</t>
  </si>
  <si>
    <t>203S|ProcD S2 P3 IP Output Audio 3</t>
  </si>
  <si>
    <t>VGW-103_SDI31_AUDsend_0004</t>
  </si>
  <si>
    <t>204S|ProcD S2 P3 IP Output Audio 4</t>
  </si>
  <si>
    <t>VGW-103_SDI31_AUDsend_0005</t>
  </si>
  <si>
    <t>205S|ProcD S2 P3 IP Output Audio 5</t>
  </si>
  <si>
    <t>VGW-103_SDI31_AUDsend_0006</t>
  </si>
  <si>
    <t>206S|ProcD S2 P3 IP Output Audio 6</t>
  </si>
  <si>
    <t>VGW-103_SDI31_AUDsend_0007</t>
  </si>
  <si>
    <t>207S|ProcD S2 P3 IP Output Audio 7</t>
  </si>
  <si>
    <t>VGW-103_SDI31_AUDsend_0008</t>
  </si>
  <si>
    <t>208S|ProcD S2 P3 IP Output Audio 8</t>
  </si>
  <si>
    <t>VGW-103_SDI31_AUDsend_0009</t>
  </si>
  <si>
    <t>209S|ProcD S2 P3 IP Output Audio 9</t>
  </si>
  <si>
    <t>VGW-103_SDI31_AUDsend_0010</t>
  </si>
  <si>
    <t>210S|ProcD S2 P3 IP Output Audio 10</t>
  </si>
  <si>
    <t>VGW-103_SDI31_AUDsend_0011</t>
  </si>
  <si>
    <t>211S|ProcD S2 P3 IP Output Audio 11</t>
  </si>
  <si>
    <t>VGW-103_SDI31_AUDsend_0012</t>
  </si>
  <si>
    <t>212S|ProcD S2 P3 IP Output Audio 12</t>
  </si>
  <si>
    <t>VGW-103_SDI31_AUDsend_0013</t>
  </si>
  <si>
    <t>213S|ProcD S2 P3 IP Output Audio 13</t>
  </si>
  <si>
    <t>VGW-103_SDI31_AUDsend_0014</t>
  </si>
  <si>
    <t>214S|ProcD S2 P3 IP Output Audio 14</t>
  </si>
  <si>
    <t>VGW-103_SDI31_AUDsend_0015</t>
  </si>
  <si>
    <t>215S|ProcD S2 P3 IP Output Audio 15</t>
  </si>
  <si>
    <t>VGW-103_SDI31_AUDsend_0016</t>
  </si>
  <si>
    <t>216S|ProcD S2 P3 IP Output Audio 16</t>
  </si>
  <si>
    <t>VGW-103_SDI31_ANCsend_0001</t>
  </si>
  <si>
    <t>301S|ProcD S2 P3 IP Output Ancillary Data 1</t>
  </si>
  <si>
    <t>VGW-103_SDI31_ANCsend_0002</t>
  </si>
  <si>
    <t>302S|ProcD S2 P3 IP Output Ancillary Data 2</t>
  </si>
  <si>
    <t>VGW-103_SDI31_ANCsend_0003</t>
  </si>
  <si>
    <t>303S|ProcD S2 P3 IP Output Ancillary Data 3</t>
  </si>
  <si>
    <t>VGW-103_SDI31_ANCsend_0004</t>
  </si>
  <si>
    <t>304S|ProcD S2 P3 IP Output Ancillary Data 4</t>
  </si>
  <si>
    <t>VGW-103_SDI32_VIDsend_0001</t>
  </si>
  <si>
    <t>101S|ProcD S2 P4 IP Output Video</t>
  </si>
  <si>
    <t>VGW-103_SDI32_AUDsend_0001</t>
  </si>
  <si>
    <t>201S|ProcD S2 P4 IP Output Audio 1</t>
  </si>
  <si>
    <t>VGW-103_SDI32_AUDsend_0002</t>
  </si>
  <si>
    <t>202S|ProcD S2 P4 IP Output Audio 2</t>
  </si>
  <si>
    <t>VGW-103_SDI32_AUDsend_0003</t>
  </si>
  <si>
    <t>203S|ProcD S2 P4 IP Output Audio 3</t>
  </si>
  <si>
    <t>VGW-103_SDI32_AUDsend_0004</t>
  </si>
  <si>
    <t>204S|ProcD S2 P4 IP Output Audio 4</t>
  </si>
  <si>
    <t>VGW-103_SDI32_AUDsend_0005</t>
  </si>
  <si>
    <t>205S|ProcD S2 P4 IP Output Audio 5</t>
  </si>
  <si>
    <t>VGW-103_SDI32_AUDsend_0006</t>
  </si>
  <si>
    <t>206S|ProcD S2 P4 IP Output Audio 6</t>
  </si>
  <si>
    <t>VGW-103_SDI32_AUDsend_0007</t>
  </si>
  <si>
    <t>207S|ProcD S2 P4 IP Output Audio 7</t>
  </si>
  <si>
    <t>VGW-103_SDI32_AUDsend_0008</t>
  </si>
  <si>
    <t>208S|ProcD S2 P4 IP Output Audio 8</t>
  </si>
  <si>
    <t>VGW-103_SDI32_AUDsend_0009</t>
  </si>
  <si>
    <t>209S|ProcD S2 P4 IP Output Audio 9</t>
  </si>
  <si>
    <t>VGW-103_SDI32_AUDsend_0010</t>
  </si>
  <si>
    <t>210S|ProcD S2 P4 IP Output Audio 10</t>
  </si>
  <si>
    <t>VGW-103_SDI32_AUDsend_0011</t>
  </si>
  <si>
    <t>211S|ProcD S2 P4 IP Output Audio 11</t>
  </si>
  <si>
    <t>VGW-103_SDI32_AUDsend_0012</t>
  </si>
  <si>
    <t>212S|ProcD S2 P4 IP Output Audio 12</t>
  </si>
  <si>
    <t>VGW-103_SDI32_AUDsend_0013</t>
  </si>
  <si>
    <t>213S|ProcD S2 P4 IP Output Audio 13</t>
  </si>
  <si>
    <t>VGW-103_SDI32_AUDsend_0014</t>
  </si>
  <si>
    <t>214S|ProcD S2 P4 IP Output Audio 14</t>
  </si>
  <si>
    <t>VGW-103_SDI32_AUDsend_0015</t>
  </si>
  <si>
    <t>215S|ProcD S2 P4 IP Output Audio 15</t>
  </si>
  <si>
    <t>VGW-103_SDI32_AUDsend_0016</t>
  </si>
  <si>
    <t>216S|ProcD S2 P4 IP Output Audio 16</t>
  </si>
  <si>
    <t>VGW-103_SDI32_ANCsend_0001</t>
  </si>
  <si>
    <t>301S|ProcD S2 P4 IP Output Ancillary Data 1</t>
  </si>
  <si>
    <t>VGW-103_SDI32_ANCsend_0002</t>
  </si>
  <si>
    <t>302S|ProcD S2 P4 IP Output Ancillary Data 2</t>
  </si>
  <si>
    <t>VGW-103_SDI32_ANCsend_0003</t>
  </si>
  <si>
    <t>303S|ProcD S2 P4 IP Output Ancillary Data 3</t>
  </si>
  <si>
    <t>VGW-103_SDI32_ANCsend_0004</t>
  </si>
  <si>
    <t>304S|ProcD S2 P4 IP Output Ancillary Data 4</t>
  </si>
  <si>
    <t>Direction</t>
  </si>
  <si>
    <t>please select</t>
  </si>
  <si>
    <t>Device Type Gateway</t>
  </si>
  <si>
    <t>Elementtyp</t>
  </si>
  <si>
    <t>Pfad</t>
  </si>
  <si>
    <t>Element</t>
  </si>
  <si>
    <t>sites/MetechnoIPOrchestrator/Lists/IOListe  Device Type  Gateway</t>
  </si>
  <si>
    <t>Embrionix IP&lt;BiDi&gt;SDI (UHD)</t>
  </si>
  <si>
    <t>Embrionix IP&gt;1xHDMI (HD)</t>
  </si>
  <si>
    <t>Embrionix IP&gt;1xHDMI (UHD)</t>
  </si>
  <si>
    <t>Embrionix IP&gt;2xSDI (HD)</t>
  </si>
  <si>
    <t>Embrionix Quadsplit</t>
  </si>
  <si>
    <t>Montone.42</t>
  </si>
  <si>
    <t>SNP Processing Unit</t>
  </si>
  <si>
    <t>Directout</t>
  </si>
  <si>
    <t>sites/MetechnoIPOrchestrator/Lists/IOListe  Manufacturer</t>
  </si>
  <si>
    <t>TC.01.124 | MCR</t>
  </si>
  <si>
    <t>sites/MetechnoIPOrchestrator/Lists/IOListe  Device Location</t>
  </si>
  <si>
    <t>TC.01.238 | SeDe</t>
  </si>
  <si>
    <t>TC.01.134 | SDN 1</t>
  </si>
  <si>
    <t>TC.01.153 | SDN 2</t>
  </si>
  <si>
    <t>TC.01.172 | SDS</t>
  </si>
  <si>
    <t>TC.01.242 | ZI 1</t>
  </si>
  <si>
    <t>TC.01.245 | ZI 2</t>
  </si>
  <si>
    <t>TC.01.229 | ZI Desk</t>
  </si>
  <si>
    <t>TC.01.191 | VIS 1</t>
  </si>
  <si>
    <t>TC.03.219 | Edit-Sup</t>
  </si>
  <si>
    <t>TC.02.277 | Edit 01</t>
  </si>
  <si>
    <t>TC.02.258 | Edit 02</t>
  </si>
  <si>
    <t>TC.03.296 | Edit 03</t>
  </si>
  <si>
    <t>TC.03.277 | Edit 04</t>
  </si>
  <si>
    <t>TC.03.258 | Edit 05</t>
  </si>
  <si>
    <t>TC.03.106 | Edit 06</t>
  </si>
  <si>
    <t>TC.03.018 | Edit 11</t>
  </si>
  <si>
    <t>TC.03.020 | Edit 12</t>
  </si>
  <si>
    <t>TC.04.296 | Edit 13</t>
  </si>
  <si>
    <t>TC.00.196 | OFF401</t>
  </si>
  <si>
    <t>TC.00.197 | OFF402</t>
  </si>
  <si>
    <t>TC.02.260 | OFF421</t>
  </si>
  <si>
    <t>TC.03.260 | OFF431</t>
  </si>
  <si>
    <t>TC.03.261 | OFF432</t>
  </si>
  <si>
    <t>TC.04.261 | OFF441</t>
  </si>
  <si>
    <t>TC.04.277 | MPA441</t>
  </si>
  <si>
    <t>TC.00.177 | R402</t>
  </si>
  <si>
    <t>TC.02.225 | R421</t>
  </si>
  <si>
    <t>TC.04.226 | R441</t>
  </si>
  <si>
    <t>TC.04.258 | RADIO 1</t>
  </si>
  <si>
    <t>TC.04.260 | RADIO 2</t>
  </si>
  <si>
    <t>TC.01.180 | SAW M</t>
  </si>
  <si>
    <t>TC.01.142 | SAW S1</t>
  </si>
  <si>
    <t>TC.01.199 | SAW S2</t>
  </si>
  <si>
    <t>TC.02 | Newsroom News</t>
  </si>
  <si>
    <t>TC.04 | Newsroom Sport</t>
  </si>
  <si>
    <t>NEBEZ.V3.08 | Edit 25</t>
  </si>
  <si>
    <t>NEBEZ.V3.06 | Edit 26</t>
  </si>
  <si>
    <t>NEBEZ.V3.07 | Edit 27</t>
  </si>
  <si>
    <t>TC.02.001 | CP421</t>
  </si>
  <si>
    <t>TC.02.135 | CP422</t>
  </si>
  <si>
    <t>TC.04.205 | CP441</t>
  </si>
  <si>
    <t>TC.02.021 | Edit 14 (Proxy)</t>
  </si>
  <si>
    <t>TC.03.001 | Edit 15 (Proxy)</t>
  </si>
  <si>
    <t>TC.02.107 | Videodesk</t>
  </si>
  <si>
    <t>Meteodach</t>
  </si>
  <si>
    <t>Meteobüro</t>
  </si>
  <si>
    <t>Titel</t>
  </si>
  <si>
    <t>AP2 (LSM/Grafik/Kam)</t>
  </si>
  <si>
    <t>sites/MetechnoIPOrchestrator/Lists/IOListe  Workplace Usage</t>
  </si>
  <si>
    <t>AP1 (Produzent)</t>
  </si>
  <si>
    <t>AP1 / AP2</t>
  </si>
  <si>
    <t>Regisseur</t>
  </si>
  <si>
    <t>Multitechniker</t>
  </si>
  <si>
    <t>Ton</t>
  </si>
  <si>
    <t>Studio</t>
  </si>
  <si>
    <t>Tisch</t>
  </si>
  <si>
    <t>AP4 / AP5</t>
  </si>
  <si>
    <t>Kamera</t>
  </si>
  <si>
    <t>Moderator</t>
  </si>
  <si>
    <t>AP1</t>
  </si>
  <si>
    <t>AP2</t>
  </si>
  <si>
    <t>AP3</t>
  </si>
  <si>
    <t>AP4</t>
  </si>
  <si>
    <t>AP5</t>
  </si>
  <si>
    <t>AP6</t>
  </si>
  <si>
    <t>MPA</t>
  </si>
  <si>
    <t>Officeplatz</t>
  </si>
  <si>
    <t>Editor</t>
  </si>
  <si>
    <t>Journalist</t>
  </si>
  <si>
    <t>Multiple</t>
  </si>
  <si>
    <t>TC.00.104 | R401e</t>
  </si>
  <si>
    <t>sites/MetechnoIPOrchestrator/Lists/IOListe  Workplace Room</t>
  </si>
  <si>
    <t>Yes</t>
  </si>
  <si>
    <t>sites/MetechnoIPOrchestrator/Lists/IOListe  ST20227</t>
  </si>
  <si>
    <t>Driver Tag</t>
  </si>
  <si>
    <t>sites/MetechnoIPOrchestrator/Lists/IOListe  Driver</t>
  </si>
  <si>
    <t>#Embrionix emBox</t>
  </si>
  <si>
    <t>#Embrionix uadsplit</t>
  </si>
  <si>
    <t>#SNP</t>
  </si>
  <si>
    <t>Directout Montone.42</t>
  </si>
  <si>
    <t>#Montone</t>
  </si>
  <si>
    <t>IngSRV-10</t>
  </si>
  <si>
    <t>M3H InCh PGM</t>
  </si>
  <si>
    <t>Ingest Ch37-01</t>
  </si>
  <si>
    <t>Ingest Ch37-02</t>
  </si>
  <si>
    <t>Ingest Ch37-03</t>
  </si>
  <si>
    <t>Ingest Ch37-04</t>
  </si>
  <si>
    <t>Ingest Ch37-05</t>
  </si>
  <si>
    <t>Ingest Ch37-06</t>
  </si>
  <si>
    <t>Ingest Ch37-07</t>
  </si>
  <si>
    <t>Ingest Ch37-08</t>
  </si>
  <si>
    <t>Ingest Ch37-09</t>
  </si>
  <si>
    <t>Ingest Ch37-15</t>
  </si>
  <si>
    <t>Ingest Ch37-16</t>
  </si>
  <si>
    <t>Ingest Ch37-ANC1</t>
  </si>
  <si>
    <t>Ingest Ch37</t>
  </si>
  <si>
    <t>Ingest Ch38-ANC1</t>
  </si>
  <si>
    <t>Ingest Ch38-01</t>
  </si>
  <si>
    <t>Ingest Ch38-02</t>
  </si>
  <si>
    <t>Ingest Ch38-03</t>
  </si>
  <si>
    <t>Ingest Ch38-04</t>
  </si>
  <si>
    <t>Ingest Ch38-05</t>
  </si>
  <si>
    <t>Ingest Ch38-06</t>
  </si>
  <si>
    <t>Ingest Ch38-07</t>
  </si>
  <si>
    <t>Ingest Ch38-08</t>
  </si>
  <si>
    <t>Ingest Ch38-09</t>
  </si>
  <si>
    <t>Ingest Ch38-15</t>
  </si>
  <si>
    <t>Ingest Ch38-16</t>
  </si>
  <si>
    <t>Ingest Ch38</t>
  </si>
  <si>
    <t>Ingest Ch39-ANC1</t>
  </si>
  <si>
    <t>Ingest Ch39-01</t>
  </si>
  <si>
    <t>Ingest Ch39-02</t>
  </si>
  <si>
    <t>Ingest Ch39-03</t>
  </si>
  <si>
    <t>Ingest Ch39-04</t>
  </si>
  <si>
    <t>Ingest Ch39-05</t>
  </si>
  <si>
    <t>Ingest Ch39-06</t>
  </si>
  <si>
    <t>Ingest Ch39-07</t>
  </si>
  <si>
    <t>Ingest Ch39-08</t>
  </si>
  <si>
    <t>Ingest Ch39-09</t>
  </si>
  <si>
    <t>Ingest Ch39-15</t>
  </si>
  <si>
    <t>Ingest Ch39-16</t>
  </si>
  <si>
    <t>Ingest Ch39</t>
  </si>
  <si>
    <t>Ingest Ch40-ANC1</t>
  </si>
  <si>
    <t>Ingest Ch40-01</t>
  </si>
  <si>
    <t>Ingest Ch40-02</t>
  </si>
  <si>
    <t>Ingest Ch40-03</t>
  </si>
  <si>
    <t>Ingest Ch40-04</t>
  </si>
  <si>
    <t>Ingest Ch40-05</t>
  </si>
  <si>
    <t>Ingest Ch40-06</t>
  </si>
  <si>
    <t>Ingest Ch40-07</t>
  </si>
  <si>
    <t>Ingest Ch40-08</t>
  </si>
  <si>
    <t>Ingest Ch40-09</t>
  </si>
  <si>
    <t>Ingest Ch40-15</t>
  </si>
  <si>
    <t>Ingest Ch40-16</t>
  </si>
  <si>
    <t>Ingest Ch40</t>
  </si>
  <si>
    <t>101R|ProcD S1 P1 IP Input Video</t>
  </si>
  <si>
    <t>201R|ProcD S1 P1 IP Input Audio 1</t>
  </si>
  <si>
    <t>202R|ProcD S1 P1 IP Input Audio 2</t>
  </si>
  <si>
    <t>203R|ProcD S1 P1 IP Input Audio 3</t>
  </si>
  <si>
    <t>204R|ProcD S1 P1 IP Input Audio 4</t>
  </si>
  <si>
    <t>205R|ProcD S1 P1 IP Input Audio 5</t>
  </si>
  <si>
    <t>206R|ProcD S1 P1 IP Input Audio 6</t>
  </si>
  <si>
    <t>207R|ProcD S1 P1 IP Input Audio 7</t>
  </si>
  <si>
    <t>208R|ProcD S1 P1 IP Input Audio 8</t>
  </si>
  <si>
    <t>209R|ProcD S1 P1 IP Input Audio 9</t>
  </si>
  <si>
    <t>210R|ProcD S1 P1 IP Input Audio 10</t>
  </si>
  <si>
    <t>211R|ProcD S1 P1 IP Input Audio 11</t>
  </si>
  <si>
    <t>212R|ProcD S1 P1 IP Input Audio 12</t>
  </si>
  <si>
    <t>213R|ProcD S1 P1 IP Input Audio 13</t>
  </si>
  <si>
    <t>214R|ProcD S1 P1 IP Input Audio 14</t>
  </si>
  <si>
    <t>215R|ProcD S1 P1 IP Input Audio 15</t>
  </si>
  <si>
    <t>216R|ProcD S1 P1 IP Input Audio 16</t>
  </si>
  <si>
    <t>301R|ProcD S1 P1 IP Input Ancillary Data 1</t>
  </si>
  <si>
    <t>302R|ProcD S1 P1 IP Input Ancillary Data 2</t>
  </si>
  <si>
    <t>303R|ProcD S1 P1 IP Input Ancillary Data 3</t>
  </si>
  <si>
    <t>304R|ProcD S1 P1 IP Input Ancillary Data 4</t>
  </si>
  <si>
    <t>VGW-103_SDI25_VIDrec_0001</t>
  </si>
  <si>
    <t>VGW-103_SDI25_AUDrec_0001</t>
  </si>
  <si>
    <t>VGW-103_SDI25_AUDrec_0002</t>
  </si>
  <si>
    <t>VGW-103_SDI25_AUDrec_0003</t>
  </si>
  <si>
    <t>VGW-103_SDI25_AUDrec_0004</t>
  </si>
  <si>
    <t>VGW-103_SDI25_AUDrec_0005</t>
  </si>
  <si>
    <t>VGW-103_SDI25_AUDrec_0006</t>
  </si>
  <si>
    <t>VGW-103_SDI25_AUDrec_0007</t>
  </si>
  <si>
    <t>VGW-103_SDI25_AUDrec_0008</t>
  </si>
  <si>
    <t>VGW-103_SDI25_AUDrec_0009</t>
  </si>
  <si>
    <t>VGW-103_SDI25_AUDrec_0010</t>
  </si>
  <si>
    <t>VGW-103_SDI25_AUDrec_0011</t>
  </si>
  <si>
    <t>VGW-103_SDI25_AUDrec_0012</t>
  </si>
  <si>
    <t>VGW-103_SDI25_AUDrec_0013</t>
  </si>
  <si>
    <t>VGW-103_SDI25_AUDrec_0014</t>
  </si>
  <si>
    <t>VGW-103_SDI25_AUDrec_0015</t>
  </si>
  <si>
    <t>VGW-103_SDI25_AUDrec_0016</t>
  </si>
  <si>
    <t>VGW-103_SDI25_ANCrec_0001</t>
  </si>
  <si>
    <t>VGW-103_SDI25_ANCrec_0002</t>
  </si>
  <si>
    <t>VGW-103_SDI25_ANCrec_0003</t>
  </si>
  <si>
    <t>VGW-103_SDI25_ANCrec_0004</t>
  </si>
  <si>
    <t>101R|ProcD S1 P2 IP Input Video</t>
  </si>
  <si>
    <t>201R|ProcD S1 P2 IP Input Audio 1</t>
  </si>
  <si>
    <t>202R|ProcD S1 P2 IP Input Audio 2</t>
  </si>
  <si>
    <t>203R|ProcD S1 P2 IP Input Audio 3</t>
  </si>
  <si>
    <t>204R|ProcD S1 P2 IP Input Audio 4</t>
  </si>
  <si>
    <t>205R|ProcD S1 P2 IP Input Audio 5</t>
  </si>
  <si>
    <t>206R|ProcD S1 P2 IP Input Audio 6</t>
  </si>
  <si>
    <t>207R|ProcD S1 P2 IP Input Audio 7</t>
  </si>
  <si>
    <t>208R|ProcD S1 P2 IP Input Audio 8</t>
  </si>
  <si>
    <t>209R|ProcD S1 P2 IP Input Audio 9</t>
  </si>
  <si>
    <t>210R|ProcD S1 P2 IP Input Audio 10</t>
  </si>
  <si>
    <t>211R|ProcD S1 P2 IP Input Audio 11</t>
  </si>
  <si>
    <t>212R|ProcD S1 P2 IP Input Audio 12</t>
  </si>
  <si>
    <t>213R|ProcD S1 P2 IP Input Audio 13</t>
  </si>
  <si>
    <t>214R|ProcD S1 P2 IP Input Audio 14</t>
  </si>
  <si>
    <t>215R|ProcD S1 P2 IP Input Audio 15</t>
  </si>
  <si>
    <t>216R|ProcD S1 P2 IP Input Audio 16</t>
  </si>
  <si>
    <t>301R|ProcD S1 P2 IP Input Ancillary Data 1</t>
  </si>
  <si>
    <t>302R|ProcD S1 P2 IP Input Ancillary Data 2</t>
  </si>
  <si>
    <t>303R|ProcD S1 P2 IP Input Ancillary Data 3</t>
  </si>
  <si>
    <t>304R|ProcD S1 P2 IP Input Ancillary Data 4</t>
  </si>
  <si>
    <t>101R|ProcD S1 P3 IP Input Video</t>
  </si>
  <si>
    <t>201R|ProcD S1 P3 IP Input Audio 1</t>
  </si>
  <si>
    <t>202R|ProcD S1 P3 IP Input Audio 2</t>
  </si>
  <si>
    <t>203R|ProcD S1 P3 IP Input Audio 3</t>
  </si>
  <si>
    <t>204R|ProcD S1 P3 IP Input Audio 4</t>
  </si>
  <si>
    <t>205R|ProcD S1 P3 IP Input Audio 5</t>
  </si>
  <si>
    <t>206R|ProcD S1 P3 IP Input Audio 6</t>
  </si>
  <si>
    <t>207R|ProcD S1 P3 IP Input Audio 7</t>
  </si>
  <si>
    <t>208R|ProcD S1 P3 IP Input Audio 8</t>
  </si>
  <si>
    <t>209R|ProcD S1 P3 IP Input Audio 9</t>
  </si>
  <si>
    <t>210R|ProcD S1 P3 IP Input Audio 10</t>
  </si>
  <si>
    <t>211R|ProcD S1 P3 IP Input Audio 11</t>
  </si>
  <si>
    <t>212R|ProcD S1 P3 IP Input Audio 12</t>
  </si>
  <si>
    <t>213R|ProcD S1 P3 IP Input Audio 13</t>
  </si>
  <si>
    <t>214R|ProcD S1 P3 IP Input Audio 14</t>
  </si>
  <si>
    <t>215R|ProcD S1 P3 IP Input Audio 15</t>
  </si>
  <si>
    <t>216R|ProcD S1 P3 IP Input Audio 16</t>
  </si>
  <si>
    <t>301R|ProcD S1 P3 IP Input Ancillary Data 1</t>
  </si>
  <si>
    <t>302R|ProcD S1 P3 IP Input Ancillary Data 2</t>
  </si>
  <si>
    <t>303R|ProcD S1 P3 IP Input Ancillary Data 3</t>
  </si>
  <si>
    <t>304R|ProcD S1 P3 IP Input Ancillary Data 4</t>
  </si>
  <si>
    <t>101R|ProcD S1 P4 IP Input Video</t>
  </si>
  <si>
    <t>201R|ProcD S1 P4 IP Input Audio 1</t>
  </si>
  <si>
    <t>202R|ProcD S1 P4 IP Input Audio 2</t>
  </si>
  <si>
    <t>203R|ProcD S1 P4 IP Input Audio 3</t>
  </si>
  <si>
    <t>204R|ProcD S1 P4 IP Input Audio 4</t>
  </si>
  <si>
    <t>205R|ProcD S1 P4 IP Input Audio 5</t>
  </si>
  <si>
    <t>206R|ProcD S1 P4 IP Input Audio 6</t>
  </si>
  <si>
    <t>207R|ProcD S1 P4 IP Input Audio 7</t>
  </si>
  <si>
    <t>208R|ProcD S1 P4 IP Input Audio 8</t>
  </si>
  <si>
    <t>209R|ProcD S1 P4 IP Input Audio 9</t>
  </si>
  <si>
    <t>210R|ProcD S1 P4 IP Input Audio 10</t>
  </si>
  <si>
    <t>211R|ProcD S1 P4 IP Input Audio 11</t>
  </si>
  <si>
    <t>212R|ProcD S1 P4 IP Input Audio 12</t>
  </si>
  <si>
    <t>213R|ProcD S1 P4 IP Input Audio 13</t>
  </si>
  <si>
    <t>214R|ProcD S1 P4 IP Input Audio 14</t>
  </si>
  <si>
    <t>215R|ProcD S1 P4 IP Input Audio 15</t>
  </si>
  <si>
    <t>216R|ProcD S1 P4 IP Input Audio 16</t>
  </si>
  <si>
    <t>301R|ProcD S1 P4 IP Input Ancillary Data 1</t>
  </si>
  <si>
    <t>302R|ProcD S1 P4 IP Input Ancillary Data 2</t>
  </si>
  <si>
    <t>303R|ProcD S1 P4 IP Input Ancillary Data 3</t>
  </si>
  <si>
    <t>304R|ProcD S1 P4 IP Input Ancillary Data 4</t>
  </si>
  <si>
    <t>VGW-103_SDI26_VIDrec_0001</t>
  </si>
  <si>
    <t>VGW-103_SDI26_AUDrec_0001</t>
  </si>
  <si>
    <t>VGW-103_SDI26_AUDrec_0002</t>
  </si>
  <si>
    <t>VGW-103_SDI26_AUDrec_0003</t>
  </si>
  <si>
    <t>VGW-103_SDI26_AUDrec_0004</t>
  </si>
  <si>
    <t>VGW-103_SDI26_AUDrec_0005</t>
  </si>
  <si>
    <t>VGW-103_SDI26_AUDrec_0006</t>
  </si>
  <si>
    <t>VGW-103_SDI26_AUDrec_0007</t>
  </si>
  <si>
    <t>VGW-103_SDI26_AUDrec_0008</t>
  </si>
  <si>
    <t>VGW-103_SDI26_AUDrec_0009</t>
  </si>
  <si>
    <t>VGW-103_SDI26_AUDrec_0010</t>
  </si>
  <si>
    <t>VGW-103_SDI26_AUDrec_0011</t>
  </si>
  <si>
    <t>VGW-103_SDI26_AUDrec_0012</t>
  </si>
  <si>
    <t>VGW-103_SDI26_AUDrec_0013</t>
  </si>
  <si>
    <t>VGW-103_SDI26_AUDrec_0014</t>
  </si>
  <si>
    <t>VGW-103_SDI26_AUDrec_0015</t>
  </si>
  <si>
    <t>VGW-103_SDI26_AUDrec_0016</t>
  </si>
  <si>
    <t>VGW-103_SDI26_ANCrec_0001</t>
  </si>
  <si>
    <t>VGW-103_SDI26_ANCrec_0002</t>
  </si>
  <si>
    <t>VGW-103_SDI26_ANCrec_0003</t>
  </si>
  <si>
    <t>VGW-103_SDI26_ANCrec_0004</t>
  </si>
  <si>
    <t>VGW-103_SDI27_VIDrec_0001</t>
  </si>
  <si>
    <t>VGW-103_SDI27_AUDrec_0001</t>
  </si>
  <si>
    <t>VGW-103_SDI27_AUDrec_0002</t>
  </si>
  <si>
    <t>VGW-103_SDI27_AUDrec_0003</t>
  </si>
  <si>
    <t>VGW-103_SDI27_AUDrec_0004</t>
  </si>
  <si>
    <t>VGW-103_SDI27_AUDrec_0005</t>
  </si>
  <si>
    <t>VGW-103_SDI27_AUDrec_0006</t>
  </si>
  <si>
    <t>VGW-103_SDI27_AUDrec_0007</t>
  </si>
  <si>
    <t>VGW-103_SDI27_AUDrec_0008</t>
  </si>
  <si>
    <t>VGW-103_SDI27_AUDrec_0009</t>
  </si>
  <si>
    <t>VGW-103_SDI27_AUDrec_0010</t>
  </si>
  <si>
    <t>VGW-103_SDI27_AUDrec_0011</t>
  </si>
  <si>
    <t>VGW-103_SDI27_AUDrec_0012</t>
  </si>
  <si>
    <t>VGW-103_SDI27_AUDrec_0013</t>
  </si>
  <si>
    <t>VGW-103_SDI27_AUDrec_0014</t>
  </si>
  <si>
    <t>VGW-103_SDI27_AUDrec_0015</t>
  </si>
  <si>
    <t>VGW-103_SDI27_AUDrec_0016</t>
  </si>
  <si>
    <t>VGW-103_SDI27_ANCrec_0001</t>
  </si>
  <si>
    <t>VGW-103_SDI27_ANCrec_0002</t>
  </si>
  <si>
    <t>VGW-103_SDI27_ANCrec_0003</t>
  </si>
  <si>
    <t>VGW-103_SDI27_ANCrec_0004</t>
  </si>
  <si>
    <t>VGW-103_SDI28_VIDrec_0001</t>
  </si>
  <si>
    <t>VGW-103_SDI28_AUDrec_0001</t>
  </si>
  <si>
    <t>VGW-103_SDI28_AUDrec_0002</t>
  </si>
  <si>
    <t>VGW-103_SDI28_AUDrec_0003</t>
  </si>
  <si>
    <t>VGW-103_SDI28_AUDrec_0004</t>
  </si>
  <si>
    <t>VGW-103_SDI28_AUDrec_0005</t>
  </si>
  <si>
    <t>VGW-103_SDI28_AUDrec_0006</t>
  </si>
  <si>
    <t>VGW-103_SDI28_AUDrec_0007</t>
  </si>
  <si>
    <t>VGW-103_SDI28_AUDrec_0008</t>
  </si>
  <si>
    <t>VGW-103_SDI28_AUDrec_0009</t>
  </si>
  <si>
    <t>VGW-103_SDI28_AUDrec_0010</t>
  </si>
  <si>
    <t>VGW-103_SDI28_AUDrec_0011</t>
  </si>
  <si>
    <t>VGW-103_SDI28_AUDrec_0012</t>
  </si>
  <si>
    <t>VGW-103_SDI28_AUDrec_0013</t>
  </si>
  <si>
    <t>VGW-103_SDI28_AUDrec_0014</t>
  </si>
  <si>
    <t>VGW-103_SDI28_AUDrec_0015</t>
  </si>
  <si>
    <t>VGW-103_SDI28_AUDrec_0016</t>
  </si>
  <si>
    <t>VGW-103_SDI28_ANCrec_0001</t>
  </si>
  <si>
    <t>VGW-103_SDI28_ANCrec_0002</t>
  </si>
  <si>
    <t>VGW-103_SDI28_ANCrec_0003</t>
  </si>
  <si>
    <t>VGW-103_SDI28_ANCrec_0004</t>
  </si>
  <si>
    <t>M3H InCh ARCHIV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</si>
</sst>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yyyy;@"/>
  </numFmts>
  <fonts count="11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13" borderId="0" applyNumberFormat="0" applyBorder="0" applyAlignment="0" applyProtection="0"/>
  </cellStyleXfs>
  <cellXfs count="10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1" xfId="0" applyFill="1" applyBorder="1" applyAlignment="1">
      <alignment horizontal="center" vertical="top" wrapText="1"/>
    </xf>
    <xf numFmtId="14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textRotation="90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textRotation="90" wrapText="1"/>
    </xf>
    <xf numFmtId="0" fontId="0" fillId="8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 textRotation="90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vertical="top" wrapText="1"/>
    </xf>
    <xf numFmtId="14" fontId="0" fillId="11" borderId="0" xfId="0" applyNumberFormat="1" applyFill="1"/>
    <xf numFmtId="0" fontId="0" fillId="11" borderId="0" xfId="0" applyFill="1"/>
    <xf numFmtId="14" fontId="5" fillId="11" borderId="0" xfId="0" applyNumberFormat="1" applyFont="1" applyFill="1"/>
    <xf numFmtId="49" fontId="0" fillId="0" borderId="0" xfId="0" applyNumberFormat="1" applyAlignment="1"/>
    <xf numFmtId="0" fontId="8" fillId="0" borderId="0" xfId="0" applyFont="1"/>
    <xf numFmtId="0" fontId="6" fillId="13" borderId="2" xfId="1" applyBorder="1"/>
    <xf numFmtId="0" fontId="7" fillId="13" borderId="2" xfId="1" applyFont="1" applyBorder="1"/>
    <xf numFmtId="0" fontId="7" fillId="13" borderId="2" xfId="1" applyFont="1" applyBorder="1" applyAlignment="1">
      <alignment vertical="center"/>
    </xf>
    <xf numFmtId="14" fontId="6" fillId="13" borderId="2" xfId="1" applyNumberFormat="1" applyBorder="1"/>
    <xf numFmtId="0" fontId="0" fillId="0" borderId="0" xfId="0" applyProtection="1"/>
    <xf numFmtId="0" fontId="0" fillId="11" borderId="2" xfId="0" applyFont="1" applyFill="1" applyBorder="1" applyProtection="1">
      <protection locked="0"/>
    </xf>
    <xf numFmtId="0" fontId="0" fillId="0" borderId="0" xfId="0" applyFont="1"/>
    <xf numFmtId="0" fontId="0" fillId="0" borderId="2" xfId="0" applyFont="1" applyFill="1" applyBorder="1" applyProtection="1"/>
    <xf numFmtId="0" fontId="0" fillId="11" borderId="0" xfId="0" applyFont="1" applyFill="1"/>
    <xf numFmtId="0" fontId="0" fillId="7" borderId="1" xfId="0" applyFont="1" applyFill="1" applyBorder="1" applyAlignment="1">
      <alignment vertical="top" wrapText="1"/>
    </xf>
    <xf numFmtId="0" fontId="0" fillId="0" borderId="0" xfId="0" applyFont="1" applyFill="1" applyProtection="1">
      <protection locked="0"/>
    </xf>
    <xf numFmtId="0" fontId="0" fillId="11" borderId="0" xfId="0" applyFont="1" applyFill="1" applyProtection="1">
      <protection locked="0"/>
    </xf>
    <xf numFmtId="0" fontId="0" fillId="13" borderId="2" xfId="1" applyFont="1" applyBorder="1"/>
    <xf numFmtId="0" fontId="0" fillId="0" borderId="0" xfId="0" applyFont="1" applyFill="1" applyAlignment="1" applyProtection="1">
      <protection locked="0"/>
    </xf>
    <xf numFmtId="14" fontId="0" fillId="11" borderId="0" xfId="0" applyNumberFormat="1" applyFont="1" applyFill="1" applyProtection="1">
      <protection locked="0"/>
    </xf>
    <xf numFmtId="0" fontId="4" fillId="15" borderId="3" xfId="0" applyFont="1" applyFill="1" applyBorder="1" applyAlignment="1">
      <alignment horizontal="center" vertical="top" wrapText="1"/>
    </xf>
    <xf numFmtId="0" fontId="0" fillId="11" borderId="0" xfId="0" applyFont="1" applyFill="1" applyAlignment="1" applyProtection="1">
      <alignment horizontal="left"/>
      <protection locked="0"/>
    </xf>
    <xf numFmtId="0" fontId="0" fillId="11" borderId="0" xfId="0" applyFont="1" applyFill="1" applyAlignment="1" applyProtection="1">
      <protection locked="0"/>
    </xf>
    <xf numFmtId="0" fontId="0" fillId="0" borderId="4" xfId="0" applyBorder="1"/>
    <xf numFmtId="0" fontId="0" fillId="0" borderId="1" xfId="0" applyBorder="1" applyAlignment="1">
      <alignment vertical="top" wrapText="1"/>
    </xf>
    <xf numFmtId="14" fontId="9" fillId="11" borderId="0" xfId="0" applyNumberFormat="1" applyFont="1" applyFill="1" applyAlignment="1">
      <alignment vertical="center" wrapText="1"/>
    </xf>
    <xf numFmtId="0" fontId="0" fillId="2" borderId="5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14" fontId="0" fillId="2" borderId="5" xfId="0" applyNumberFormat="1" applyFill="1" applyBorder="1" applyAlignment="1">
      <alignment horizontal="center" vertical="top" wrapText="1"/>
    </xf>
    <xf numFmtId="0" fontId="0" fillId="7" borderId="5" xfId="0" applyFill="1" applyBorder="1" applyAlignment="1">
      <alignment vertical="top" wrapText="1"/>
    </xf>
    <xf numFmtId="0" fontId="0" fillId="8" borderId="5" xfId="0" applyFill="1" applyBorder="1" applyAlignment="1">
      <alignment vertical="top" textRotation="90" wrapText="1"/>
    </xf>
    <xf numFmtId="0" fontId="0" fillId="8" borderId="5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3" borderId="5" xfId="0" applyFill="1" applyBorder="1" applyAlignment="1">
      <alignment vertical="top" textRotation="90" wrapText="1"/>
    </xf>
    <xf numFmtId="0" fontId="0" fillId="6" borderId="5" xfId="0" applyFill="1" applyBorder="1" applyAlignment="1" applyProtection="1">
      <alignment horizontal="center" vertical="top" textRotation="90" wrapText="1"/>
    </xf>
    <xf numFmtId="0" fontId="0" fillId="10" borderId="5" xfId="0" applyFill="1" applyBorder="1" applyAlignment="1">
      <alignment vertical="top" wrapText="1"/>
    </xf>
    <xf numFmtId="0" fontId="0" fillId="0" borderId="2" xfId="0" applyFont="1" applyBorder="1" applyProtection="1"/>
    <xf numFmtId="0" fontId="0" fillId="0" borderId="2" xfId="0" applyNumberFormat="1" applyFont="1" applyBorder="1" applyAlignment="1" applyProtection="1">
      <alignment horizontal="right"/>
    </xf>
    <xf numFmtId="0" fontId="0" fillId="0" borderId="2" xfId="0" applyBorder="1" applyProtection="1"/>
    <xf numFmtId="14" fontId="0" fillId="0" borderId="2" xfId="0" applyNumberFormat="1" applyBorder="1" applyAlignment="1" applyProtection="1">
      <alignment horizontal="right"/>
    </xf>
    <xf numFmtId="164" fontId="0" fillId="0" borderId="2" xfId="0" applyNumberFormat="1" applyBorder="1" applyAlignment="1" applyProtection="1">
      <alignment horizontal="right"/>
    </xf>
    <xf numFmtId="165" fontId="0" fillId="0" borderId="2" xfId="0" applyNumberFormat="1" applyBorder="1" applyAlignment="1" applyProtection="1">
      <alignment horizontal="right"/>
    </xf>
    <xf numFmtId="0" fontId="0" fillId="0" borderId="2" xfId="0" applyFill="1" applyBorder="1" applyProtection="1"/>
    <xf numFmtId="0" fontId="0" fillId="0" borderId="2" xfId="0" applyBorder="1" applyAlignment="1" applyProtection="1"/>
    <xf numFmtId="0" fontId="0" fillId="11" borderId="2" xfId="0" applyFont="1" applyFill="1" applyBorder="1" applyProtection="1"/>
    <xf numFmtId="0" fontId="0" fillId="11" borderId="2" xfId="0" applyFill="1" applyBorder="1" applyProtection="1"/>
    <xf numFmtId="0" fontId="0" fillId="0" borderId="2" xfId="0" applyBorder="1" applyAlignment="1" applyProtection="1">
      <alignment horizontal="right"/>
    </xf>
    <xf numFmtId="0" fontId="3" fillId="0" borderId="2" xfId="0" applyFont="1" applyBorder="1" applyProtection="1"/>
    <xf numFmtId="14" fontId="0" fillId="0" borderId="2" xfId="0" applyNumberFormat="1" applyFont="1" applyBorder="1" applyAlignment="1" applyProtection="1">
      <alignment horizontal="right"/>
    </xf>
    <xf numFmtId="164" fontId="0" fillId="0" borderId="2" xfId="0" applyNumberFormat="1" applyFont="1" applyBorder="1" applyAlignment="1" applyProtection="1">
      <alignment horizontal="right"/>
    </xf>
    <xf numFmtId="165" fontId="0" fillId="0" borderId="2" xfId="0" applyNumberFormat="1" applyFont="1" applyBorder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7" fillId="11" borderId="2" xfId="0" applyFont="1" applyFill="1" applyBorder="1" applyProtection="1"/>
    <xf numFmtId="0" fontId="0" fillId="0" borderId="2" xfId="0" applyNumberFormat="1" applyBorder="1" applyAlignment="1" applyProtection="1">
      <alignment horizontal="right"/>
    </xf>
    <xf numFmtId="0" fontId="0" fillId="0" borderId="2" xfId="0" applyNumberFormat="1" applyFill="1" applyBorder="1" applyProtection="1"/>
    <xf numFmtId="0" fontId="4" fillId="15" borderId="0" xfId="0" applyFont="1" applyFill="1" applyBorder="1" applyAlignment="1" applyProtection="1">
      <alignment horizontal="center" vertical="top" wrapText="1"/>
    </xf>
    <xf numFmtId="14" fontId="4" fillId="15" borderId="0" xfId="0" applyNumberFormat="1" applyFont="1" applyFill="1" applyBorder="1" applyAlignment="1" applyProtection="1">
      <alignment horizontal="center" vertical="top" wrapText="1"/>
    </xf>
    <xf numFmtId="0" fontId="4" fillId="14" borderId="0" xfId="0" applyFont="1" applyFill="1" applyBorder="1" applyAlignment="1" applyProtection="1">
      <alignment horizontal="center" vertical="top" wrapText="1"/>
    </xf>
    <xf numFmtId="0" fontId="4" fillId="15" borderId="0" xfId="0" applyFont="1" applyFill="1" applyProtection="1"/>
    <xf numFmtId="0" fontId="4" fillId="12" borderId="0" xfId="0" applyFont="1" applyFill="1" applyBorder="1" applyAlignment="1" applyProtection="1">
      <alignment horizontal="center" vertical="top" wrapText="1"/>
    </xf>
    <xf numFmtId="0" fontId="4" fillId="9" borderId="0" xfId="0" applyFont="1" applyFill="1" applyBorder="1" applyAlignment="1" applyProtection="1">
      <alignment vertical="top" wrapText="1"/>
    </xf>
    <xf numFmtId="0" fontId="4" fillId="9" borderId="0" xfId="0" applyFont="1" applyFill="1" applyBorder="1" applyAlignment="1" applyProtection="1">
      <alignment vertical="top" textRotation="90" wrapText="1"/>
    </xf>
    <xf numFmtId="0" fontId="4" fillId="9" borderId="0" xfId="0" applyFont="1" applyFill="1" applyBorder="1" applyAlignment="1" applyProtection="1">
      <alignment horizontal="center" vertical="top" textRotation="90" wrapText="1"/>
    </xf>
    <xf numFmtId="0" fontId="0" fillId="11" borderId="0" xfId="0" applyFont="1" applyFill="1" applyProtection="1"/>
    <xf numFmtId="0" fontId="0" fillId="0" borderId="0" xfId="0" applyFont="1" applyFill="1" applyAlignment="1" applyProtection="1"/>
    <xf numFmtId="0" fontId="0" fillId="0" borderId="0" xfId="0" applyFont="1" applyFill="1" applyProtection="1"/>
    <xf numFmtId="0" fontId="0" fillId="0" borderId="0" xfId="0" applyFont="1" applyProtection="1"/>
    <xf numFmtId="14" fontId="0" fillId="0" borderId="0" xfId="0" applyNumberFormat="1" applyFont="1" applyFill="1" applyProtection="1"/>
    <xf numFmtId="14" fontId="0" fillId="0" borderId="0" xfId="0" applyNumberFormat="1" applyFont="1" applyFill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16" borderId="0" xfId="0" applyFill="1" applyProtection="1">
      <protection locked="0"/>
    </xf>
    <xf numFmtId="0" fontId="0" fillId="16" borderId="6" xfId="0" applyFill="1" applyBorder="1" applyProtection="1">
      <protection locked="0"/>
    </xf>
    <xf numFmtId="0" fontId="0" fillId="0" borderId="2" xfId="0" applyNumberFormat="1" applyFill="1" applyBorder="1" applyAlignment="1" applyProtection="1">
      <alignment horizontal="right"/>
    </xf>
    <xf numFmtId="0" fontId="0" fillId="0" borderId="2" xfId="0" applyFill="1" applyBorder="1" applyProtection="1">
      <protection locked="0"/>
    </xf>
    <xf numFmtId="0" fontId="0" fillId="16" borderId="2" xfId="0" applyFill="1" applyBorder="1" applyProtection="1">
      <protection locked="0"/>
    </xf>
    <xf numFmtId="0" fontId="0" fillId="0" borderId="2" xfId="0" applyFill="1" applyBorder="1" applyAlignment="1" applyProtection="1">
      <alignment horizontal="right"/>
    </xf>
    <xf numFmtId="0" fontId="0" fillId="0" borderId="0" xfId="0" applyFill="1" applyBorder="1" applyProtection="1">
      <protection locked="0"/>
    </xf>
    <xf numFmtId="0" fontId="0" fillId="16" borderId="0" xfId="0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16" borderId="6" xfId="0" applyFont="1" applyFill="1" applyBorder="1" applyProtection="1"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Protection="1">
      <protection locked="0"/>
    </xf>
    <xf numFmtId="0" fontId="0" fillId="0" borderId="6" xfId="0" applyFill="1" applyBorder="1" applyProtection="1">
      <protection locked="0"/>
    </xf>
    <xf numFmtId="14" fontId="9" fillId="11" borderId="0" xfId="0" applyNumberFormat="1" applyFont="1" applyFill="1" applyAlignment="1">
      <alignment horizontal="center" vertical="center" wrapText="1"/>
    </xf>
  </cellXfs>
  <cellStyles count="2">
    <cellStyle name="40 % - Akzent1" xfId="1" builtinId="31"/>
    <cellStyle name="Standard" xfId="0" builtinId="0"/>
  </cellStyles>
  <dxfs count="187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9" formatCode="dd/mm/yyyy"/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9" formatCode="dd/mm/yyyy"/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9" formatCode="dd/mm/yyyy"/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outline="0">
        <top style="thin">
          <color rgb="FF000000"/>
        </top>
      </border>
    </dxf>
    <dxf>
      <protection locked="1" hidden="0"/>
    </dxf>
    <dxf>
      <border outline="0">
        <bottom style="thin">
          <color rgb="FF000000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33A6-3338-42DC-8E49-7EEF8580B00B}" name="Tabelle3" displayName="Tabelle3" ref="B2:BW35" totalsRowShown="0" headerRowDxfId="185" dataDxfId="183" headerRowBorderDxfId="184" tableBorderDxfId="182">
  <autoFilter ref="B2:BW35" xr:uid="{3F41246D-DE1B-475C-BEAC-663B5B021DBE}"/>
  <tableColumns count="74">
    <tableColumn id="1" xr3:uid="{A3DE7761-195D-41ED-829A-94FE8E5ABB31}" name="Device ID" dataDxfId="181"/>
    <tableColumn id="2" xr3:uid="{755B25E0-0DE5-43F4-8021-25FC3D43ED47}" name="Device Label _x000a_(according to rack layout)" dataDxfId="180"/>
    <tableColumn id="3" xr3:uid="{4F265D3F-A198-4331-817B-5B892106BE2E}" name="Creation_x000a_Date" dataDxfId="179"/>
    <tableColumn id="4" xr3:uid="{9D777AD0-C060-4308-BE0F-7094D55C61A3}" name="Data Change _x000a_Date BOM" dataDxfId="178"/>
    <tableColumn id="74" xr3:uid="{50AF371B-0E03-4CFD-8408-0E6776A42F2C}" name="Port direction" dataDxfId="177"/>
    <tableColumn id="5" xr3:uid="{8AB0427E-EA76-4A20-8573-E146619856A0}" name="#VIDrec" dataDxfId="176"/>
    <tableColumn id="6" xr3:uid="{E024B0B6-735D-4817-B512-CF5F276ED0A8}" name="#VIDsend" dataDxfId="175"/>
    <tableColumn id="7" xr3:uid="{7B1936FA-9BA8-4055-8882-A1DACABF5E17}" name="#AUDrec" dataDxfId="174"/>
    <tableColumn id="8" xr3:uid="{7E9C38EB-EFAA-4A02-AA22-9A39569A3680}" name="#AUDsend" dataDxfId="173"/>
    <tableColumn id="9" xr3:uid="{98DCD477-6253-4BDC-ADF0-E034A217CFE6}" name="#ANCrec" dataDxfId="172"/>
    <tableColumn id="10" xr3:uid="{702ADCE7-E160-43A8-A052-7BB1A2BAA459}" name="#ANCsend" dataDxfId="171"/>
    <tableColumn id="11" xr3:uid="{C95C5301-C71E-41AD-96AB-4481DA06B6D8}" name="Functional Group" dataDxfId="170"/>
    <tableColumn id="12" xr3:uid="{AE57B0FF-E42C-498D-AC87-DF62CAEE447E}" name="Device Location" dataDxfId="169"/>
    <tableColumn id="13" xr3:uid="{9306E3CB-ECA9-4D3B-8ED8-5342D4C809CC}" name="Manufacturer" dataDxfId="168"/>
    <tableColumn id="14" xr3:uid="{29F213DE-08D4-419F-BD08-7BC1EA37613B}" name="Device Type  Gateway" dataDxfId="167"/>
    <tableColumn id="15" xr3:uid="{CA24D3A4-C8A6-4909-AC70-2AFA89B8A801}" name="Attached Device if Gateway" dataDxfId="166"/>
    <tableColumn id="16" xr3:uid="{3B0FADE1-D270-4F1C-A942-17F2B23F48C3}" name="Workplace (Usage)" dataDxfId="165"/>
    <tableColumn id="17" xr3:uid="{E03E7EDB-50F6-4ACE-BD37-F1EE91119823}" name="Workplace (Room)" dataDxfId="164"/>
    <tableColumn id="18" xr3:uid="{DC900093-1A92-4BCD-8097-4F181EE855B4}" name="BS0" dataDxfId="163"/>
    <tableColumn id="19" xr3:uid="{E6F8964B-A18A-4983-9DFB-E5419549FDC2}" name="KSC Acq" dataDxfId="162"/>
    <tableColumn id="20" xr3:uid="{BF5429A5-365E-48E9-AC9E-4B9B6FAE51DF}" name="KSC Pro" dataDxfId="161"/>
    <tableColumn id="21" xr3:uid="{912604CA-DE95-479F-BE3F-E91723F151B1}" name="KSC Agg" dataDxfId="160"/>
    <tableColumn id="22" xr3:uid="{BD037AFC-7C06-4E01-BFE3-ABC0D3A97888}" name="Management BFE" dataDxfId="159"/>
    <tableColumn id="23" xr3:uid="{EC3EFD5C-5FAF-41E6-9B8C-8343A898E339}" name="Showdesign" dataDxfId="158"/>
    <tableColumn id="24" xr3:uid="{99654D5F-A80C-410C-AD70-5FF780DC4EB1}" name="Responsibility" dataDxfId="157"/>
    <tableColumn id="25" xr3:uid="{DC0D75A4-764A-4432-BEBE-D6D8BB6E08A8}" name="FQDN Realtime A" dataDxfId="156"/>
    <tableColumn id="26" xr3:uid="{61489D39-2C84-4B09-919D-A13257E8407F}" name="IP-Address Realtime A" dataDxfId="155"/>
    <tableColumn id="27" xr3:uid="{A01D313F-DE64-4C6C-8AA0-D1CCAEEBBA4B}" name="Switch Realtime A" dataDxfId="154"/>
    <tableColumn id="28" xr3:uid="{8693674A-76E6-4A70-9D12-44CFDABEFA87}" name="Port Realtime A" dataDxfId="153"/>
    <tableColumn id="29" xr3:uid="{B1368AAA-72F5-4BEE-9DEF-67E2479AFE8F}" name="FQDN Realtime B" dataDxfId="152"/>
    <tableColumn id="30" xr3:uid="{89960101-9646-4461-B7A6-4064E22F7D8D}" name="IP-Address Realtime B" dataDxfId="151"/>
    <tableColumn id="31" xr3:uid="{EE2E893F-10A8-4415-8314-6769F33ACC91}" name="Switch Realtime B" dataDxfId="150"/>
    <tableColumn id="32" xr3:uid="{DE18783A-2534-4DDA-AB43-6F807A29541B}" name="Port Realtime B" dataDxfId="149"/>
    <tableColumn id="33" xr3:uid="{3D5A7AEF-95CB-4D47-AC1D-B7ED86006BA5}" name="FQDN Control A" dataDxfId="148"/>
    <tableColumn id="34" xr3:uid="{36299FA4-2149-491A-99D9-9037D14112B7}" name="IP-Address Control A" dataDxfId="147"/>
    <tableColumn id="35" xr3:uid="{D05D21D9-D6CD-483D-8DA8-5DA6B6E8FAC5}" name="FQDN Control B" dataDxfId="146"/>
    <tableColumn id="36" xr3:uid="{C5E7384F-3F76-4F2E-B180-3DD74A995E6C}" name="IP-Address Control B" dataDxfId="145"/>
    <tableColumn id="37" xr3:uid="{8A74CB36-D552-483F-A4EB-4527FF0C9739}" name="Netzwerk Protokoll_x000a_ (TCP/UDP)" dataDxfId="144"/>
    <tableColumn id="38" xr3:uid="{D93448E3-AD2C-40EA-A758-4951CE7AF24C}" name="Kommunikations Richtung _x000a_(-&gt; BFE, BFE -&gt;)" dataDxfId="143"/>
    <tableColumn id="39" xr3:uid="{BA3B2377-AD9D-46E2-BF16-F857FBD77163}" name="Protokoll _x000a_(BFE)" dataDxfId="142"/>
    <tableColumn id="40" xr3:uid="{E997140A-E02C-4EC9-80BE-36A118B30FB2}" name="Portnummer_x000a_(BFE)" dataDxfId="141"/>
    <tableColumn id="41" xr3:uid="{A1570255-42DC-4E9D-BFD0-C9E11CBFFF58}" name="Driver " dataDxfId="140"/>
    <tableColumn id="42" xr3:uid="{980755D9-E7FE-4536-9119-8288D84E8FA2}" name="Static Multicasts " dataDxfId="139"/>
    <tableColumn id="43" xr3:uid="{BCC2B870-76EF-4BC0-8BBF-82B386DF6635}" name="2022-7" dataDxfId="138"/>
    <tableColumn id="44" xr3:uid="{114FE1C9-46B6-48AC-B528-18BDC2E131C9}" name="MBB" dataDxfId="137"/>
    <tableColumn id="45" xr3:uid="{2843CF70-867F-4D3D-B67C-2E6EC158880F}" name="VIP-Description" dataDxfId="136">
      <calculatedColumnFormula>CONCATENATE(
Tabelle3[[#This Row],[Workplace (Room)]],
" | ",
Tabelle3[[#This Row],[Attached Device if Gateway]],
" | ",
Tabelle3[[#This Row],[Workplace (Usage)]]
)</calculatedColumnFormula>
    </tableColumn>
    <tableColumn id="46" xr3:uid="{ADED0BE9-7AAC-4C08-B233-420ACF77EEE6}" name="Date Configured in VIP" dataDxfId="135"/>
    <tableColumn id="47" xr3:uid="{B53E5B70-539E-4A9B-B187-BBE54B178B70}" name="Type:Vid_1080i50" dataDxfId="134"/>
    <tableColumn id="48" xr3:uid="{EF43F9F8-4A56-42E6-B85F-A45D60AC4CA1}" name="Type:Vid_1080p25" dataDxfId="133"/>
    <tableColumn id="49" xr3:uid="{BBFAF18F-415E-4A9C-B1A2-478F57F9D00B}" name="Type:Vid_1080p50" dataDxfId="132"/>
    <tableColumn id="50" xr3:uid="{E290373C-4E49-47C1-A71E-18BB94E86C1A}" name="Type:Vid_2160p50" dataDxfId="131"/>
    <tableColumn id="51" xr3:uid="{04934DB6-DE8E-4EFB-BF5B-9AF60BA9E4B4}" name="Type:Vid_1080p60" dataDxfId="130"/>
    <tableColumn id="52" xr3:uid="{4C3BF3B4-4131-459D-AA54-C297A481BC71}" name="Type:Aud_1CH_M" dataDxfId="129"/>
    <tableColumn id="53" xr3:uid="{73526136-D9FC-4F85-9F9D-4A889549D5DF}" name="Type:Aud_1CH_M_LD" dataDxfId="128"/>
    <tableColumn id="54" xr3:uid="{6B995C3E-9560-436E-A5A1-A73FB07AA17F}" name="Type:Aud_2CH_DBE" dataDxfId="127"/>
    <tableColumn id="55" xr3:uid="{21EC6FB3-3402-4488-BBF1-C790C05EE3A4}" name="Type:Aud_2CH_LR" dataDxfId="126"/>
    <tableColumn id="56" xr3:uid="{3B2E5E14-2298-4974-A74B-6874FA650BD3}" name="Type:Aud_2CH_LR_LD" dataDxfId="125"/>
    <tableColumn id="57" xr3:uid="{66E95AAE-592A-440B-BBC2-D1CE603E7051}" name="Type:Aud_3CH_LRC" dataDxfId="124"/>
    <tableColumn id="58" xr3:uid="{1835167D-4D69-4763-BC65-BEC7B4B2501C}" name="Type:Aud_6CH_5.1" dataDxfId="123"/>
    <tableColumn id="59" xr3:uid="{27021CB0-3CCD-4131-B16C-0B2832E40CB6}" name="Type:Aud_8CH_RAW" dataDxfId="122"/>
    <tableColumn id="60" xr3:uid="{60E4922C-4BE0-4BA0-894A-7B013519C6CD}" name="Type:Aud_8CH_RAW_LD" dataDxfId="121"/>
    <tableColumn id="61" xr3:uid="{53D14F05-38A5-4121-9C63-F30D535063CD}" name="Type:Aud_32CH_RAW_LD" dataDxfId="120"/>
    <tableColumn id="62" xr3:uid="{FC2D3001-FE9C-4C1D-9E04-5C38BF84B3CC}" name="Type:Anc_Prot" dataDxfId="119"/>
    <tableColumn id="63" xr3:uid="{BE538462-980E-4F3A-8812-7B698BEA3601}" name="Converter Function enabled" dataDxfId="118"/>
    <tableColumn id="64" xr3:uid="{44D272A5-B931-4A1D-8D98-BBA11519CE48}" name="Use As Endpoint" dataDxfId="117"/>
    <tableColumn id="65" xr3:uid="{4ED10EDE-5389-4A5D-B362-A15CB8CDB704}" name="Tags" dataDxfId="116"/>
    <tableColumn id="66" xr3:uid="{F3D40F5D-A5EE-4A1C-8284-A41C5ED737C5}" name="VideoIPath unique ID" dataDxfId="115"/>
    <tableColumn id="67" xr3:uid="{CC0D5738-06F2-4DE0-8A9D-3658B8B7AC7D}" name="Import Status" dataDxfId="114"/>
    <tableColumn id="68" xr3:uid="{32E25D3D-CACD-4F52-AFFA-B5D649D6B924}" name="Family _x000a_(max. 16 Characters)" dataDxfId="113"/>
    <tableColumn id="69" xr3:uid="{6CA16A6A-902B-4DB8-8C47-E2B0D6E2EBB7}" name="Label 1 _x000a_(max. 16 Characters)" dataDxfId="112"/>
    <tableColumn id="70" xr3:uid="{756B1DF9-0776-42A9-8851-4B1880106D91}" name="Label 2_x000a_(max. 16 Characters)" dataDxfId="111"/>
    <tableColumn id="71" xr3:uid="{BE198E98-1450-4E79-931E-557F8B2F7E94}" name="Label 3_x000a_(max. 8 Characters)" dataDxfId="110"/>
    <tableColumn id="72" xr3:uid="{5C42CEDD-03F1-4731-BFC4-8BC5600B5C15}" name="Label 4_x000a_(no Limit)" dataDxfId="109"/>
    <tableColumn id="73" xr3:uid="{FA4366C4-A5BB-44A6-8BE1-457C6F73C3CE}" name="Label 5_x000a_(no Limit)" dataDxfId="108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A6609-63C9-4DF6-B10D-E6DD433BE438}" name="Tabelle_query__4" displayName="Tabelle_query__4" ref="A1:D5" totalsRowShown="0">
  <autoFilter ref="A1:D5" xr:uid="{6D7599E4-BE27-4AD4-B8A7-17EB56936A1D}"/>
  <tableColumns count="4">
    <tableColumn id="1" xr3:uid="{898A4FD8-8AD6-4E8B-B238-C29B7F897C22}" name="Titel" dataDxfId="3"/>
    <tableColumn id="2" xr3:uid="{DA6854C0-ABCF-4642-9373-B6934B73B1FF}" name="Elementtyp" dataDxfId="2"/>
    <tableColumn id="3" xr3:uid="{B299768D-0037-4055-8B04-05ADD7F2DEF6}" name="Pfad" dataDxfId="1"/>
    <tableColumn id="4" xr3:uid="{2F8FF2BD-608B-405E-BE05-C0A257FA3ECF}" name="Driver Tag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3B8C4-A8F4-4447-8665-831F478D3C79}" name="Tabelle32" displayName="Tabelle32" ref="A2:BY674" totalsRowShown="0" headerRowDxfId="105" dataDxfId="103" headerRowBorderDxfId="104" tableBorderDxfId="102">
  <autoFilter ref="A2:BY674" xr:uid="{3F41246D-DE1B-475C-BEAC-663B5B021DBE}">
    <filterColumn colId="66">
      <customFilters>
        <customFilter operator="notEqual" val=" "/>
      </customFilters>
    </filterColumn>
  </autoFilter>
  <tableColumns count="77">
    <tableColumn id="1" xr3:uid="{66F04483-4C49-4E25-BB68-1E9AEBD63AD1}" name="Stream ID" dataDxfId="101"/>
    <tableColumn id="2" xr3:uid="{0C372DE8-06FF-476E-9673-A4DBB084B48F}" name="Sender-Receivername" dataDxfId="100">
      <calculatedColumnFormula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calculatedColumnFormula>
    </tableColumn>
    <tableColumn id="3" xr3:uid="{28175CB5-6228-48DD-9F5B-A17F0A0859BB}" name="Creation_x000a_Date" dataDxfId="99"/>
    <tableColumn id="5" xr3:uid="{ACD14E72-3F41-44AC-9093-A80656312231}" name="Change Date_x000a_Stream Name" dataDxfId="98"/>
    <tableColumn id="4" xr3:uid="{91CDA37B-8532-4F6A-A23A-EC444A3CE59B}" name="Change Date_x000a_Stream Data" dataDxfId="97"/>
    <tableColumn id="11" xr3:uid="{65602C90-DBBE-41D6-AF73-6E7E19D2DE83}" name="Attached Device if Gateway" dataDxfId="96">
      <calculatedColumnFormula>IFERROR(VLOOKUP(Tabelle32[[#This Row],[Device ID]],BOM!$B$3:$BQ$35,16,FALSE),"")</calculatedColumnFormula>
    </tableColumn>
    <tableColumn id="6" xr3:uid="{73A685FC-A341-47BD-A197-A22DA9BC6D37}" name="Device ID" dataDxfId="95">
      <calculatedColumnFormula>VLOOKUP(Tabelle32[[#This Row],[SDI Interface]],BOM!$A$4:$B$35,2,FALSE)</calculatedColumnFormula>
    </tableColumn>
    <tableColumn id="7" xr3:uid="{F057114B-D361-4435-99EC-56771FE4DF31}" name="Device Label (according to rack layout)" dataDxfId="94">
      <calculatedColumnFormula>BOM!$C$4</calculatedColumnFormula>
    </tableColumn>
    <tableColumn id="12" xr3:uid="{7A450DA3-47E3-4329-B824-C6B8627598B0}" name="Functional Group" dataDxfId="93">
      <calculatedColumnFormula>IFERROR(VLOOKUP(Tabelle32[[#This Row],[Device ID]],BOM!$B$3:$BQ$35,12,FALSE),"")</calculatedColumnFormula>
    </tableColumn>
    <tableColumn id="13" xr3:uid="{58CF30AC-896C-446F-943B-D6F2EE381977}" name="Device Location" dataDxfId="92">
      <calculatedColumnFormula>IFERROR(VLOOKUP(Tabelle32[[#This Row],[Device ID]],BOM!$B$3:$BQ$35,13,FALSE),"")</calculatedColumnFormula>
    </tableColumn>
    <tableColumn id="8" xr3:uid="{AF540DC9-9425-48E8-B1EE-68CCE9563406}" name="Manufacturer" dataDxfId="91">
      <calculatedColumnFormula>IFERROR(VLOOKUP(Tabelle32[[#This Row],[Device ID]],BOM!$B$3:$BQ$35,14,FALSE),"")</calculatedColumnFormula>
    </tableColumn>
    <tableColumn id="14" xr3:uid="{A5EA848D-A63A-4B28-84BB-BD010E793FD8}" name="Device Type  Gateway" dataDxfId="90">
      <calculatedColumnFormula>IFERROR(VLOOKUP(Tabelle32[[#This Row],[Device ID]],BOM!$B$3:$BQ$35,16,FALSE),"")</calculatedColumnFormula>
    </tableColumn>
    <tableColumn id="16" xr3:uid="{5030155C-C999-4E53-A5C6-CBAE30BDF370}" name="Workplace (Usage)" dataDxfId="89">
      <calculatedColumnFormula>IFERROR(VLOOKUP(Tabelle32[[#This Row],[Device ID]],BOM!$B$3:$BQ$35,17,FALSE),"")</calculatedColumnFormula>
    </tableColumn>
    <tableColumn id="17" xr3:uid="{7D79353D-BC66-498B-A9DA-0E66C5A0A708}" name="Workplace (Room)" dataDxfId="88">
      <calculatedColumnFormula>IFERROR(VLOOKUP(Tabelle32[[#This Row],[Device ID]],BOM!$B$3:$BQ$35,18,FALSE),"")</calculatedColumnFormula>
    </tableColumn>
    <tableColumn id="18" xr3:uid="{9B57785A-DDA8-4D43-B21B-E090530F689F}" name="BS0" dataDxfId="87"/>
    <tableColumn id="19" xr3:uid="{93F6C5F8-8022-4BD6-9960-AA362953B035}" name="KSC Acq" dataDxfId="86">
      <calculatedColumnFormula>IFERROR(VLOOKUP(Tabelle32[[#This Row],[Device ID]],BOM!$B$3:$BO$50,20,FALSE),"")</calculatedColumnFormula>
    </tableColumn>
    <tableColumn id="20" xr3:uid="{9898FF3D-D530-42FF-B6DE-A04929893B79}" name="KSC Pro" dataDxfId="85">
      <calculatedColumnFormula>IFERROR(VLOOKUP(Tabelle32[[#This Row],[Device ID]],BOM!$B$3:$BO$50,21,FALSE),"")</calculatedColumnFormula>
    </tableColumn>
    <tableColumn id="21" xr3:uid="{FC7BA0D1-8BAE-4BC1-B588-C5F87E1424CC}" name="KSC Agg" dataDxfId="84">
      <calculatedColumnFormula>IFERROR(VLOOKUP(Tabelle32[[#This Row],[Device ID]],BOM!$B$3:$BO$50,22,FALSE),"")</calculatedColumnFormula>
    </tableColumn>
    <tableColumn id="22" xr3:uid="{036681B8-A10C-4C06-986C-256008FB40A8}" name="Management BFE" dataDxfId="83"/>
    <tableColumn id="23" xr3:uid="{37F9702E-B29E-4D0A-BF31-F6FA4F65C561}" name="Showdesign" dataDxfId="82"/>
    <tableColumn id="24" xr3:uid="{62D4D336-B115-4FDA-9935-D27ABAB8E18E}" name="Responsibility" dataDxfId="81">
      <calculatedColumnFormula>IFERROR(VLOOKUP(Tabelle32[[#This Row],[Device ID]],BOM!$B$3:$BQ$35,25,FALSE),"")</calculatedColumnFormula>
    </tableColumn>
    <tableColumn id="25" xr3:uid="{7E63E374-5828-476C-9BE9-240F8746B06E}" name="FQDN Realtime A" dataDxfId="80">
      <calculatedColumnFormula>IFERROR(VLOOKUP(Tabelle32[[#This Row],[Device ID]],BOM!$B$3:$BQ$35,26,FALSE),"")</calculatedColumnFormula>
    </tableColumn>
    <tableColumn id="26" xr3:uid="{C666659A-BFD5-4797-824F-6E7FB0D478EC}" name="IP-Address Realtime A" dataDxfId="79">
      <calculatedColumnFormula>IFERROR(VLOOKUP(Tabelle32[[#This Row],[Device ID]],BOM!$B$3:$BQ$35,27,FALSE),"")</calculatedColumnFormula>
    </tableColumn>
    <tableColumn id="27" xr3:uid="{DE4CEAFC-71AE-4D27-9536-94AD6F348419}" name="Switch Realtime A" dataDxfId="78">
      <calculatedColumnFormula>IFERROR(VLOOKUP(Tabelle32[[#This Row],[Device ID]],BOM!$B$3:$BQ$35,28,FALSE),"")</calculatedColumnFormula>
    </tableColumn>
    <tableColumn id="28" xr3:uid="{BB0C1796-B48C-4C02-AA51-187611C1C76C}" name="Port Realtime A" dataDxfId="77">
      <calculatedColumnFormula>IFERROR(VLOOKUP(Tabelle32[[#This Row],[Device ID]],BOM!$B$3:$BQ$35,29,FALSE),"")</calculatedColumnFormula>
    </tableColumn>
    <tableColumn id="29" xr3:uid="{53E13349-B598-4FCB-9468-E604F1BEF5E1}" name="FQDN Realtime B" dataDxfId="76">
      <calculatedColumnFormula>IFERROR(VLOOKUP(Tabelle32[[#This Row],[Device ID]],BOM!$B$3:$BQ$35,30,FALSE),"")</calculatedColumnFormula>
    </tableColumn>
    <tableColumn id="30" xr3:uid="{4ED1C839-4F1B-419B-B534-88D5F8B577C7}" name="IP-Address Realtime B" dataDxfId="75">
      <calculatedColumnFormula>IFERROR(VLOOKUP(Tabelle32[[#This Row],[Device ID]],BOM!$B$3:$BQ$35,31,FALSE),"")</calculatedColumnFormula>
    </tableColumn>
    <tableColumn id="31" xr3:uid="{25B22A65-C62C-41ED-8A0B-C77A982CBCC5}" name="Switch Realtime B" dataDxfId="74">
      <calculatedColumnFormula>IFERROR(VLOOKUP(Tabelle32[[#This Row],[Device ID]],BOM!$B$3:$BQ$35,32,FALSE),"")</calculatedColumnFormula>
    </tableColumn>
    <tableColumn id="32" xr3:uid="{D8464CAC-95AC-4B0C-9FCE-4D7C22F70326}" name="Port Realtime B" dataDxfId="73">
      <calculatedColumnFormula>IFERROR(VLOOKUP(Tabelle32[[#This Row],[Device ID]],BOM!$B$3:$BQ$35,33,FALSE),"")</calculatedColumnFormula>
    </tableColumn>
    <tableColumn id="33" xr3:uid="{8083D8EC-1E60-4237-B4E0-6BFC4C83EDA8}" name="FQDN Control A" dataDxfId="72">
      <calculatedColumnFormula>IFERROR(VLOOKUP(Tabelle32[[#This Row],[Device ID]],BOM!$B$3:$BQ$35,34,FALSE),"")</calculatedColumnFormula>
    </tableColumn>
    <tableColumn id="34" xr3:uid="{F7D2F794-C2F7-4270-AAB2-D66E9872C72B}" name="IP-Address Control A" dataDxfId="71">
      <calculatedColumnFormula>IFERROR(VLOOKUP(Tabelle32[[#This Row],[Device ID]],BOM!$B$3:$BQ$35,35,FALSE),"")</calculatedColumnFormula>
    </tableColumn>
    <tableColumn id="35" xr3:uid="{53BC2172-ADBD-4D7E-9F5F-2AB322C53085}" name="FQDN Control B" dataDxfId="70">
      <calculatedColumnFormula>IFERROR(VLOOKUP(Tabelle32[[#This Row],[Device ID]],BOM!$B$3:$BQ$35,36,FALSE),"")</calculatedColumnFormula>
    </tableColumn>
    <tableColumn id="36" xr3:uid="{7D3906BA-3FB7-44C3-B0B8-AB6EA797CED9}" name="IP-Address Control B" dataDxfId="69">
      <calculatedColumnFormula>IFERROR(VLOOKUP(Tabelle32[[#This Row],[Device ID]],BOM!$B$3:$BQ$35,37,FALSE),"")</calculatedColumnFormula>
    </tableColumn>
    <tableColumn id="37" xr3:uid="{12DDEC58-4302-4059-996E-CCA62481F30F}" name="Netzwerk Protokoll_x000a_ (TCP/UDP)" dataDxfId="68"/>
    <tableColumn id="38" xr3:uid="{CF14B1CA-C294-4923-9F4F-AE76D8C812A1}" name="Kommunikations Richtung _x000a_(-&gt; BFE, BFE -&gt;)" dataDxfId="67"/>
    <tableColumn id="39" xr3:uid="{AA957C5B-E7C4-463E-A222-62C2CAEDCC36}" name="Protokoll _x000a_(BFE)" dataDxfId="66"/>
    <tableColumn id="40" xr3:uid="{87583E35-3027-4F33-A9D8-18FB584213E1}" name="Portnummer_x000a_(BFE)" dataDxfId="65"/>
    <tableColumn id="41" xr3:uid="{AA5A8A5D-E17F-4ACA-AC8A-1B321261BBFF}" name="Driver " dataDxfId="64">
      <calculatedColumnFormula>IFERROR(VLOOKUP(Tabelle32[[#This Row],[Device ID]],BOM!$B$3:$BQ$35,42,FALSE),"")</calculatedColumnFormula>
    </tableColumn>
    <tableColumn id="42" xr3:uid="{C889C014-1D5B-464C-924B-A167C4C0C837}" name="Static Multicasts " dataDxfId="63">
      <calculatedColumnFormula>IFERROR(VLOOKUP(Tabelle32[[#This Row],[Device ID]],BOM!$B$3:$BQ$35,43,FALSE),"")</calculatedColumnFormula>
    </tableColumn>
    <tableColumn id="43" xr3:uid="{702B9C89-3658-4F3D-94CC-E1A094414FCC}" name="2022-7" dataDxfId="62">
      <calculatedColumnFormula>IFERROR(VLOOKUP(Tabelle32[[#This Row],[Device ID]],BOM!$B$3:$BQ$35,44,FALSE),"")</calculatedColumnFormula>
    </tableColumn>
    <tableColumn id="44" xr3:uid="{3A5ED3F2-F722-4652-94AC-98B5A9BD6136}" name="MBB" dataDxfId="61">
      <calculatedColumnFormula>IFERROR(VLOOKUP(Tabelle32[[#This Row],[Device ID]],BOM!$B$3:$BQ$35,45,FALSE),"")</calculatedColumnFormula>
    </tableColumn>
    <tableColumn id="45" xr3:uid="{3999BCB7-4A68-4113-85E2-455AA62A9A1E}" name="VIP-Description" dataDxfId="60">
      <calculatedColumnFormula>IFERROR(CONCATENATE(Tabelle32[[#This Row],[Family
GFX-Unit]]," | ",Tabelle32[[#This Row],[Label 1
GFX-Unit]]," | ",Tabelle32[[#This Row],[Attached Device if Gateway]]),"")</calculatedColumnFormula>
    </tableColumn>
    <tableColumn id="46" xr3:uid="{5F641456-9C1F-41BF-B975-53C7B9547821}" name="Date Configured in VIP" dataDxfId="59"/>
    <tableColumn id="47" xr3:uid="{F3688EC7-F761-4107-8D94-7B2325D87466}" name="Type:Vid_1080i50" dataDxfId="58"/>
    <tableColumn id="48" xr3:uid="{9FA517B7-5370-4C2F-B7DB-2B0E701C87F6}" name="Type:Vid_1080p25" dataDxfId="57"/>
    <tableColumn id="49" xr3:uid="{31413FF0-A65B-4A03-B4BE-C551D913DA44}" name="Type:Vid_1080p50" dataDxfId="56"/>
    <tableColumn id="50" xr3:uid="{C2985940-2725-4998-AD6E-3242BB5741AC}" name="Type:Vid_2160p50" dataDxfId="55"/>
    <tableColumn id="51" xr3:uid="{72B55598-55A3-415A-87C8-0C2441B8D7D3}" name="Type:Vid_1080p60" dataDxfId="54"/>
    <tableColumn id="52" xr3:uid="{B895445C-F139-4CA5-8FED-F1B4EC28E42C}" name="Type:Aud_1CH_M" dataDxfId="53"/>
    <tableColumn id="53" xr3:uid="{CF162F72-FA3C-470B-B3BE-A7EB75FEFE97}" name="Type:Aud_1CH_M_LD" dataDxfId="52"/>
    <tableColumn id="54" xr3:uid="{8C643AC9-8504-41E3-BDFB-A59FEFB8C21F}" name="Type:Aud_2CH_DBE" dataDxfId="51"/>
    <tableColumn id="55" xr3:uid="{404BD9C3-6283-41FB-B97B-51BB6C244678}" name="Type:Aud_2CH_LR" dataDxfId="50"/>
    <tableColumn id="56" xr3:uid="{E26F0C71-C988-4312-890B-138C07C9AE89}" name="Type:Aud_2CH_LR_LD" dataDxfId="49"/>
    <tableColumn id="57" xr3:uid="{1E7CE6FE-2320-4A79-9DBE-EA4DB9E5F282}" name="Type:Aud_3CH_LRC" dataDxfId="48"/>
    <tableColumn id="58" xr3:uid="{B0D92E9E-9206-4C80-BCE9-FB28243BE761}" name="Type:Aud_6CH_5.1" dataDxfId="47"/>
    <tableColumn id="59" xr3:uid="{997C8822-9FC6-4693-AF2F-0F369DAF094C}" name="Type:Aud_8CH_RAW" dataDxfId="46"/>
    <tableColumn id="60" xr3:uid="{DF4215AF-BB26-41D1-BC88-919F1CBFD7A4}" name="Type:Aud_8CH_RAW_LD" dataDxfId="45"/>
    <tableColumn id="61" xr3:uid="{5DBD3544-B805-4A0A-BB46-CBFBB0686ABE}" name="Type:Aud_32CH_RAW_LD" dataDxfId="44"/>
    <tableColumn id="62" xr3:uid="{51C33FEE-4EB6-4853-AD62-EA0F2FB7ECE9}" name="Type:Anc_Prot" dataDxfId="43"/>
    <tableColumn id="63" xr3:uid="{72353F6B-ED9D-44C1-9D58-269CE2129940}" name="Converter Function enabled" dataDxfId="42"/>
    <tableColumn id="64" xr3:uid="{65218915-D2BE-48AE-A8C4-01B2641062B8}" name="Use As Endpoint" dataDxfId="41"/>
    <tableColumn id="65" xr3:uid="{AB04B361-25B5-47B7-924D-FB1BC274F907}" name="Tags" dataDxfId="40">
      <calculatedColumnFormula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calculatedColumnFormula>
    </tableColumn>
    <tableColumn id="68" xr3:uid="{70086478-6A10-4AEF-BA1E-BE270C3ED55E}" name="VideoIPath unique ID" dataDxfId="39"/>
    <tableColumn id="69" xr3:uid="{E45BFB5E-E245-42EE-902D-D7C879B3B209}" name="Import Action" dataDxfId="38"/>
    <tableColumn id="74" xr3:uid="{2F8F648C-8D06-49D8-A317-4C0D67234AFA}" name="Gerätegruppe _x000a__x000a_Circuit Manager" dataDxfId="37"/>
    <tableColumn id="73" xr3:uid="{7BF946FD-DAF7-4D02-91BD-E1F75E5D97CB}" name="Gerät_x000a__x000a_Circuit Manager" dataDxfId="36"/>
    <tableColumn id="72" xr3:uid="{A5B2093A-3CD1-440E-B411-33A636BF878A}" name="Family_x000a__x000a_GFX-Unit" dataDxfId="35"/>
    <tableColumn id="71" xr3:uid="{BE7FAAD3-C8A6-4D5B-9B10-F4B65E16B18B}" name="Label 1_x000a__x000a_GFX-Unit" dataDxfId="34"/>
    <tableColumn id="76" xr3:uid="{9F40E607-07DD-4935-946B-827CF6B01FEC}" name="Anzahl Zeichen" dataDxfId="33">
      <calculatedColumnFormula>LEN(Tabelle32[[#This Row],[Label 1
GFX-Unit]])</calculatedColumnFormula>
    </tableColumn>
    <tableColumn id="75" xr3:uid="{F1A2EE94-6EA8-44D6-8F5B-50C2399D08D1}" name="Label 3_x000a_(no Limit)" dataDxfId="32"/>
    <tableColumn id="70" xr3:uid="{D9F5D5B4-9175-4FFC-B15A-7804AD77DCA8}" name="Label 4_x000a_(no Limit)" dataDxfId="31"/>
    <tableColumn id="66" xr3:uid="{423E2D3B-057F-4C1D-B1DA-E445C0B18C24}" name="Signaltyp" dataDxfId="30"/>
    <tableColumn id="9" xr3:uid="{F34038BD-B83B-498F-ACC8-7E0B5223F0BE}" name="Send/Rec" dataDxfId="29"/>
    <tableColumn id="67" xr3:uid="{6D16CF68-137C-4AD3-8301-6BF5DE58AD3F}" name="Streamname IP&gt;SDI" dataDxfId="28"/>
    <tableColumn id="15" xr3:uid="{04EFFA23-FBEC-47E3-89CE-900275F0481F}" name="Streamname SDI&gt;IP" dataDxfId="27"/>
    <tableColumn id="10" xr3:uid="{D0E10E01-81A4-4AD8-B7ED-25CAE66CBB91}" name="Streamcounter" dataDxfId="26"/>
    <tableColumn id="77" xr3:uid="{43826115-5AC8-4119-AA3E-F22B4D7E3A56}" name="SDI Interface" dataDxfId="2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6D1A41-540D-4CF4-AD03-56263EFCF6E2}" name="Tabelle_query__1" displayName="Tabelle_query__1" ref="A1:C10" totalsRowShown="0">
  <autoFilter ref="A1:C10" xr:uid="{7D68FF9E-85DB-4B63-8C5F-BB3FA1FF5375}"/>
  <tableColumns count="3">
    <tableColumn id="1" xr3:uid="{B09DF75A-68FB-4C39-A8C7-D1358F556E8C}" name="Device Type Gateway" dataDxfId="24"/>
    <tableColumn id="2" xr3:uid="{D1B36C91-AED5-49B9-B16C-AA1B181EBC4B}" name="Elementtyp" dataDxfId="23"/>
    <tableColumn id="3" xr3:uid="{4E924EE2-4BC2-4184-A3A6-99CC5F141E67}" name="Pfad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3494EA-8AA0-4D1C-A75E-AE98129CD549}" name="Tabelle_query__9" displayName="Tabelle_query__9" ref="A1:C4" totalsRowShown="0">
  <autoFilter ref="A1:C4" xr:uid="{930AEB1D-2755-431A-B610-D6236B517904}"/>
  <tableColumns count="3">
    <tableColumn id="1" xr3:uid="{6CA895C3-BC8F-4C9C-B341-CDD3ABCDBFDC}" name="Manufacturer" dataDxfId="21"/>
    <tableColumn id="2" xr3:uid="{8C2707E9-F3F5-4F4A-9EA5-D55271B03B82}" name="Elementtyp" dataDxfId="20"/>
    <tableColumn id="3" xr3:uid="{23974006-793C-4493-82AE-B87DAC316E86}" name="Pfad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96B389-31B7-4B18-A058-ECE45BF05CB7}" name="Tabelle_query__3" displayName="Tabelle_query__3" ref="A1:C10" totalsRowShown="0">
  <autoFilter ref="A1:C10" xr:uid="{288CC0C6-F528-411F-91C4-D8BEC80E2B62}"/>
  <tableColumns count="3">
    <tableColumn id="1" xr3:uid="{EA27DE2D-B71F-47D0-A8DE-7B975E1716D4}" name="Device Type Gateway" dataDxfId="18"/>
    <tableColumn id="2" xr3:uid="{585B64C0-F315-41E5-A650-3B07084E2A21}" name="Elementtyp" dataDxfId="17"/>
    <tableColumn id="3" xr3:uid="{E008FCD1-0CB9-4C97-AB59-41CACCDCABA7}" name="Pfad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2245D9-0041-4B42-9F1C-92DC246C74D5}" name="Tabelle_query__2" displayName="Tabelle_query__2" ref="A1:C61" totalsRowShown="0">
  <autoFilter ref="A1:C61" xr:uid="{E4B9085B-942A-45A9-9BE2-7290F394D19D}"/>
  <tableColumns count="3">
    <tableColumn id="1" xr3:uid="{4017964E-0FBF-4DEF-B7B8-9C9828147D8E}" name="Device Location" dataDxfId="15"/>
    <tableColumn id="2" xr3:uid="{6F328436-D25A-4401-A4B4-E1CFD91C7252}" name="Elementtyp" dataDxfId="14"/>
    <tableColumn id="3" xr3:uid="{30160F83-7D6F-4AD6-9030-DAF7173B2160}" name="Pfad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FA5D22-C707-49F4-8480-13B4A3EABA23}" name="Tabelle_query__8" displayName="Tabelle_query__8" ref="A1:C24" totalsRowShown="0">
  <autoFilter ref="A1:C24" xr:uid="{351F62E4-72DF-473F-A03A-0DCA82D7F46E}"/>
  <tableColumns count="3">
    <tableColumn id="1" xr3:uid="{D9CC79D8-0B05-4E8B-8593-E988CC152833}" name="Titel" dataDxfId="12"/>
    <tableColumn id="2" xr3:uid="{B46AEF63-23DD-4E9F-A459-FB7C85A1D402}" name="Elementtyp" dataDxfId="11"/>
    <tableColumn id="3" xr3:uid="{0B03D657-8EF4-4E7C-ABC0-4BD2D4FDC810}" name="Pfad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A7614-145C-4550-B8B5-48353A887160}" name="Tabelle_query__7" displayName="Tabelle_query__7" ref="A1:C62" totalsRowShown="0">
  <autoFilter ref="A1:C62" xr:uid="{EF66D351-8BC3-4255-8D39-06881559C04D}"/>
  <tableColumns count="3">
    <tableColumn id="1" xr3:uid="{5D7FA3B1-D089-4AD1-B429-247590FD2CDB}" name="Titel" dataDxfId="9"/>
    <tableColumn id="2" xr3:uid="{0DAFCDF8-B55E-41D9-98FA-73112D74B82A}" name="Elementtyp" dataDxfId="8"/>
    <tableColumn id="3" xr3:uid="{528BB905-4A89-4309-BDE6-4A5910A9C1EE}" name="Pfad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0F69DE-766D-47DD-AF16-2304E439E472}" name="Tabelle_query__6" displayName="Tabelle_query__6" ref="A1:C3" totalsRowShown="0">
  <autoFilter ref="A1:C3" xr:uid="{3FBBA562-4C17-4E50-A55F-E604287E2463}"/>
  <tableColumns count="3">
    <tableColumn id="1" xr3:uid="{602D5A65-7E6A-4468-B00F-325F079BB691}" name="Titel" dataDxfId="6"/>
    <tableColumn id="2" xr3:uid="{8E7938E8-623F-4E11-8FB1-C61E82497AA9}" name="Elementtyp" dataDxfId="5"/>
    <tableColumn id="3" xr3:uid="{31AA14E1-99C5-42E1-8989-233221AB74E4}" name="Pfad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7F49-002E-4906-AEB8-8177CB56EB97}">
  <sheetPr codeName="Tabelle1"/>
  <dimension ref="A1:C10"/>
  <sheetViews>
    <sheetView workbookViewId="0">
      <selection activeCell="C5" sqref="C5"/>
    </sheetView>
  </sheetViews>
  <sheetFormatPr baseColWidth="10" defaultColWidth="11.42578125" defaultRowHeight="12.75" x14ac:dyDescent="0.2"/>
  <cols>
    <col min="1" max="1" width="17.85546875" customWidth="1"/>
    <col min="2" max="2" width="35.7109375" customWidth="1"/>
    <col min="3" max="3" width="29.28515625" customWidth="1"/>
  </cols>
  <sheetData>
    <row r="1" spans="1:3" ht="18" x14ac:dyDescent="0.25">
      <c r="A1" s="22" t="s">
        <v>0</v>
      </c>
    </row>
    <row r="2" spans="1:3" ht="18" x14ac:dyDescent="0.25">
      <c r="A2" s="22"/>
      <c r="C2" t="s">
        <v>1</v>
      </c>
    </row>
    <row r="3" spans="1:3" x14ac:dyDescent="0.2">
      <c r="B3" s="24" t="s">
        <v>2</v>
      </c>
      <c r="C3" s="24" t="s">
        <v>3</v>
      </c>
    </row>
    <row r="4" spans="1:3" ht="23.25" customHeight="1" x14ac:dyDescent="0.2">
      <c r="A4" s="25" t="s">
        <v>4</v>
      </c>
      <c r="B4" s="35" t="s">
        <v>5</v>
      </c>
      <c r="C4" s="26">
        <v>43805</v>
      </c>
    </row>
    <row r="5" spans="1:3" ht="23.25" customHeight="1" x14ac:dyDescent="0.2">
      <c r="A5" s="25" t="s">
        <v>6</v>
      </c>
      <c r="B5" s="35"/>
      <c r="C5" s="26"/>
    </row>
    <row r="6" spans="1:3" ht="23.25" customHeight="1" x14ac:dyDescent="0.2">
      <c r="A6" s="25" t="s">
        <v>7</v>
      </c>
      <c r="B6" s="23"/>
      <c r="C6" s="23"/>
    </row>
    <row r="7" spans="1:3" ht="23.25" customHeight="1" x14ac:dyDescent="0.2">
      <c r="A7" s="25" t="s">
        <v>8</v>
      </c>
      <c r="B7" s="23"/>
      <c r="C7" s="23"/>
    </row>
    <row r="8" spans="1:3" ht="23.25" customHeight="1" x14ac:dyDescent="0.2">
      <c r="A8" s="25" t="s">
        <v>9</v>
      </c>
      <c r="B8" s="23"/>
      <c r="C8" s="23"/>
    </row>
    <row r="9" spans="1:3" ht="23.25" customHeight="1" x14ac:dyDescent="0.2">
      <c r="A9" s="25" t="s">
        <v>10</v>
      </c>
      <c r="B9" s="23"/>
      <c r="C9" s="23"/>
    </row>
    <row r="10" spans="1:3" ht="23.25" customHeight="1" x14ac:dyDescent="0.2">
      <c r="A10" s="25" t="s">
        <v>11</v>
      </c>
      <c r="B10" s="23"/>
      <c r="C10" s="23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73-70CA-4580-B480-4192EB6FDC40}">
  <sheetPr codeName="Tabelle8">
    <tabColor theme="0" tint="-4.9989318521683403E-2"/>
  </sheetPr>
  <dimension ref="A1:C24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20.140625" bestFit="1" customWidth="1"/>
    <col min="2" max="2" width="13.42578125" bestFit="1" customWidth="1"/>
    <col min="3" max="3" width="53.7109375" bestFit="1" customWidth="1"/>
  </cols>
  <sheetData>
    <row r="1" spans="1:3" x14ac:dyDescent="0.2">
      <c r="A1" t="s">
        <v>2648</v>
      </c>
      <c r="B1" t="s">
        <v>2587</v>
      </c>
      <c r="C1" t="s">
        <v>2588</v>
      </c>
    </row>
    <row r="2" spans="1:3" x14ac:dyDescent="0.2">
      <c r="A2" s="21" t="s">
        <v>2649</v>
      </c>
      <c r="B2" s="21" t="s">
        <v>2589</v>
      </c>
      <c r="C2" s="21" t="s">
        <v>2650</v>
      </c>
    </row>
    <row r="3" spans="1:3" x14ac:dyDescent="0.2">
      <c r="A3" s="21" t="s">
        <v>2651</v>
      </c>
      <c r="B3" s="21" t="s">
        <v>2589</v>
      </c>
      <c r="C3" s="21" t="s">
        <v>2650</v>
      </c>
    </row>
    <row r="4" spans="1:3" x14ac:dyDescent="0.2">
      <c r="A4" s="21" t="s">
        <v>2652</v>
      </c>
      <c r="B4" s="21" t="s">
        <v>2589</v>
      </c>
      <c r="C4" s="21" t="s">
        <v>2650</v>
      </c>
    </row>
    <row r="5" spans="1:3" x14ac:dyDescent="0.2">
      <c r="A5" s="21" t="s">
        <v>2653</v>
      </c>
      <c r="B5" s="21" t="s">
        <v>2589</v>
      </c>
      <c r="C5" s="21" t="s">
        <v>2650</v>
      </c>
    </row>
    <row r="6" spans="1:3" x14ac:dyDescent="0.2">
      <c r="A6" s="21" t="s">
        <v>2654</v>
      </c>
      <c r="B6" s="21" t="s">
        <v>2589</v>
      </c>
      <c r="C6" s="21" t="s">
        <v>2650</v>
      </c>
    </row>
    <row r="7" spans="1:3" x14ac:dyDescent="0.2">
      <c r="A7" s="21" t="s">
        <v>2655</v>
      </c>
      <c r="B7" s="21" t="s">
        <v>2589</v>
      </c>
      <c r="C7" s="21" t="s">
        <v>2650</v>
      </c>
    </row>
    <row r="8" spans="1:3" x14ac:dyDescent="0.2">
      <c r="A8" s="21" t="s">
        <v>2656</v>
      </c>
      <c r="B8" s="21" t="s">
        <v>2589</v>
      </c>
      <c r="C8" s="21" t="s">
        <v>2650</v>
      </c>
    </row>
    <row r="9" spans="1:3" x14ac:dyDescent="0.2">
      <c r="A9" s="21" t="s">
        <v>2657</v>
      </c>
      <c r="B9" s="21" t="s">
        <v>2589</v>
      </c>
      <c r="C9" s="21" t="s">
        <v>2650</v>
      </c>
    </row>
    <row r="10" spans="1:3" x14ac:dyDescent="0.2">
      <c r="A10" s="21" t="s">
        <v>2658</v>
      </c>
      <c r="B10" s="21" t="s">
        <v>2589</v>
      </c>
      <c r="C10" s="21" t="s">
        <v>2650</v>
      </c>
    </row>
    <row r="11" spans="1:3" x14ac:dyDescent="0.2">
      <c r="A11" s="21" t="s">
        <v>2659</v>
      </c>
      <c r="B11" s="21" t="s">
        <v>2589</v>
      </c>
      <c r="C11" s="21" t="s">
        <v>2650</v>
      </c>
    </row>
    <row r="12" spans="1:3" x14ac:dyDescent="0.2">
      <c r="A12" s="21" t="s">
        <v>2660</v>
      </c>
      <c r="B12" s="21" t="s">
        <v>2589</v>
      </c>
      <c r="C12" s="21" t="s">
        <v>2650</v>
      </c>
    </row>
    <row r="13" spans="1:3" x14ac:dyDescent="0.2">
      <c r="A13" s="21" t="s">
        <v>2661</v>
      </c>
      <c r="B13" s="21" t="s">
        <v>2589</v>
      </c>
      <c r="C13" s="21" t="s">
        <v>2650</v>
      </c>
    </row>
    <row r="14" spans="1:3" x14ac:dyDescent="0.2">
      <c r="A14" s="21" t="s">
        <v>2662</v>
      </c>
      <c r="B14" s="21" t="s">
        <v>2589</v>
      </c>
      <c r="C14" s="21" t="s">
        <v>2650</v>
      </c>
    </row>
    <row r="15" spans="1:3" x14ac:dyDescent="0.2">
      <c r="A15" s="21" t="s">
        <v>2663</v>
      </c>
      <c r="B15" s="21" t="s">
        <v>2589</v>
      </c>
      <c r="C15" s="21" t="s">
        <v>2650</v>
      </c>
    </row>
    <row r="16" spans="1:3" x14ac:dyDescent="0.2">
      <c r="A16" s="21" t="s">
        <v>2664</v>
      </c>
      <c r="B16" s="21" t="s">
        <v>2589</v>
      </c>
      <c r="C16" s="21" t="s">
        <v>2650</v>
      </c>
    </row>
    <row r="17" spans="1:3" x14ac:dyDescent="0.2">
      <c r="A17" s="21" t="s">
        <v>2665</v>
      </c>
      <c r="B17" s="21" t="s">
        <v>2589</v>
      </c>
      <c r="C17" s="21" t="s">
        <v>2650</v>
      </c>
    </row>
    <row r="18" spans="1:3" x14ac:dyDescent="0.2">
      <c r="A18" s="21" t="s">
        <v>2666</v>
      </c>
      <c r="B18" s="21" t="s">
        <v>2589</v>
      </c>
      <c r="C18" s="21" t="s">
        <v>2650</v>
      </c>
    </row>
    <row r="19" spans="1:3" x14ac:dyDescent="0.2">
      <c r="A19" s="21" t="s">
        <v>2667</v>
      </c>
      <c r="B19" s="21" t="s">
        <v>2589</v>
      </c>
      <c r="C19" s="21" t="s">
        <v>2650</v>
      </c>
    </row>
    <row r="20" spans="1:3" x14ac:dyDescent="0.2">
      <c r="A20" s="21" t="s">
        <v>2668</v>
      </c>
      <c r="B20" s="21" t="s">
        <v>2589</v>
      </c>
      <c r="C20" s="21" t="s">
        <v>2650</v>
      </c>
    </row>
    <row r="21" spans="1:3" x14ac:dyDescent="0.2">
      <c r="A21" s="21" t="s">
        <v>2669</v>
      </c>
      <c r="B21" s="21" t="s">
        <v>2589</v>
      </c>
      <c r="C21" s="21" t="s">
        <v>2650</v>
      </c>
    </row>
    <row r="22" spans="1:3" x14ac:dyDescent="0.2">
      <c r="A22" s="21" t="s">
        <v>2670</v>
      </c>
      <c r="B22" s="21" t="s">
        <v>2589</v>
      </c>
      <c r="C22" s="21" t="s">
        <v>2650</v>
      </c>
    </row>
    <row r="23" spans="1:3" x14ac:dyDescent="0.2">
      <c r="A23" s="21" t="s">
        <v>2671</v>
      </c>
      <c r="B23" s="21" t="s">
        <v>2589</v>
      </c>
      <c r="C23" s="21" t="s">
        <v>2650</v>
      </c>
    </row>
    <row r="24" spans="1:3" x14ac:dyDescent="0.2">
      <c r="A24" s="21" t="s">
        <v>2672</v>
      </c>
      <c r="B24" s="21" t="s">
        <v>2589</v>
      </c>
      <c r="C24" s="21" t="s">
        <v>2650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EF97-2EFA-41C5-ACB8-E21062ADDD5B}">
  <sheetPr codeName="Tabelle9">
    <tabColor theme="0" tint="-4.9989318521683403E-2"/>
  </sheetPr>
  <dimension ref="A1:C62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23.7109375" bestFit="1" customWidth="1"/>
    <col min="2" max="2" width="13.42578125" bestFit="1" customWidth="1"/>
    <col min="3" max="3" width="53.28515625" bestFit="1" customWidth="1"/>
  </cols>
  <sheetData>
    <row r="1" spans="1:3" x14ac:dyDescent="0.2">
      <c r="A1" t="s">
        <v>2648</v>
      </c>
      <c r="B1" t="s">
        <v>2587</v>
      </c>
      <c r="C1" t="s">
        <v>2588</v>
      </c>
    </row>
    <row r="2" spans="1:3" x14ac:dyDescent="0.2">
      <c r="A2" s="21" t="s">
        <v>2600</v>
      </c>
      <c r="B2" s="21" t="s">
        <v>2589</v>
      </c>
      <c r="C2" s="21" t="s">
        <v>2673</v>
      </c>
    </row>
    <row r="3" spans="1:3" x14ac:dyDescent="0.2">
      <c r="A3" s="21" t="s">
        <v>115</v>
      </c>
      <c r="B3" s="21" t="s">
        <v>2589</v>
      </c>
      <c r="C3" s="21" t="s">
        <v>2673</v>
      </c>
    </row>
    <row r="4" spans="1:3" x14ac:dyDescent="0.2">
      <c r="A4" s="21" t="s">
        <v>2602</v>
      </c>
      <c r="B4" s="21" t="s">
        <v>2589</v>
      </c>
      <c r="C4" s="21" t="s">
        <v>2673</v>
      </c>
    </row>
    <row r="5" spans="1:3" x14ac:dyDescent="0.2">
      <c r="A5" s="21" t="s">
        <v>2603</v>
      </c>
      <c r="B5" s="21" t="s">
        <v>2589</v>
      </c>
      <c r="C5" s="21" t="s">
        <v>2673</v>
      </c>
    </row>
    <row r="6" spans="1:3" x14ac:dyDescent="0.2">
      <c r="A6" s="21" t="s">
        <v>2604</v>
      </c>
      <c r="B6" s="21" t="s">
        <v>2589</v>
      </c>
      <c r="C6" s="21" t="s">
        <v>2673</v>
      </c>
    </row>
    <row r="7" spans="1:3" x14ac:dyDescent="0.2">
      <c r="A7" s="21" t="s">
        <v>2605</v>
      </c>
      <c r="B7" s="21" t="s">
        <v>2589</v>
      </c>
      <c r="C7" s="21" t="s">
        <v>2673</v>
      </c>
    </row>
    <row r="8" spans="1:3" x14ac:dyDescent="0.2">
      <c r="A8" s="21" t="s">
        <v>2606</v>
      </c>
      <c r="B8" s="21" t="s">
        <v>2589</v>
      </c>
      <c r="C8" s="21" t="s">
        <v>2673</v>
      </c>
    </row>
    <row r="9" spans="1:3" x14ac:dyDescent="0.2">
      <c r="A9" s="21" t="s">
        <v>2607</v>
      </c>
      <c r="B9" s="21" t="s">
        <v>2589</v>
      </c>
      <c r="C9" s="21" t="s">
        <v>2673</v>
      </c>
    </row>
    <row r="10" spans="1:3" x14ac:dyDescent="0.2">
      <c r="A10" s="21" t="s">
        <v>2608</v>
      </c>
      <c r="B10" s="21" t="s">
        <v>2589</v>
      </c>
      <c r="C10" s="21" t="s">
        <v>2673</v>
      </c>
    </row>
    <row r="11" spans="1:3" x14ac:dyDescent="0.2">
      <c r="A11" s="21" t="s">
        <v>149</v>
      </c>
      <c r="B11" s="21" t="s">
        <v>2589</v>
      </c>
      <c r="C11" s="21" t="s">
        <v>2673</v>
      </c>
    </row>
    <row r="12" spans="1:3" x14ac:dyDescent="0.2">
      <c r="A12" s="21" t="s">
        <v>2609</v>
      </c>
      <c r="B12" s="21" t="s">
        <v>2589</v>
      </c>
      <c r="C12" s="21" t="s">
        <v>2673</v>
      </c>
    </row>
    <row r="13" spans="1:3" x14ac:dyDescent="0.2">
      <c r="A13" s="21" t="s">
        <v>2610</v>
      </c>
      <c r="B13" s="21" t="s">
        <v>2589</v>
      </c>
      <c r="C13" s="21" t="s">
        <v>2673</v>
      </c>
    </row>
    <row r="14" spans="1:3" x14ac:dyDescent="0.2">
      <c r="A14" s="21" t="s">
        <v>2611</v>
      </c>
      <c r="B14" s="21" t="s">
        <v>2589</v>
      </c>
      <c r="C14" s="21" t="s">
        <v>2673</v>
      </c>
    </row>
    <row r="15" spans="1:3" x14ac:dyDescent="0.2">
      <c r="A15" s="21" t="s">
        <v>2612</v>
      </c>
      <c r="B15" s="21" t="s">
        <v>2589</v>
      </c>
      <c r="C15" s="21" t="s">
        <v>2673</v>
      </c>
    </row>
    <row r="16" spans="1:3" x14ac:dyDescent="0.2">
      <c r="A16" s="21" t="s">
        <v>2613</v>
      </c>
      <c r="B16" s="21" t="s">
        <v>2589</v>
      </c>
      <c r="C16" s="21" t="s">
        <v>2673</v>
      </c>
    </row>
    <row r="17" spans="1:3" x14ac:dyDescent="0.2">
      <c r="A17" s="21" t="s">
        <v>2614</v>
      </c>
      <c r="B17" s="21" t="s">
        <v>2589</v>
      </c>
      <c r="C17" s="21" t="s">
        <v>2673</v>
      </c>
    </row>
    <row r="18" spans="1:3" x14ac:dyDescent="0.2">
      <c r="A18" s="21" t="s">
        <v>2615</v>
      </c>
      <c r="B18" s="21" t="s">
        <v>2589</v>
      </c>
      <c r="C18" s="21" t="s">
        <v>2673</v>
      </c>
    </row>
    <row r="19" spans="1:3" x14ac:dyDescent="0.2">
      <c r="A19" s="21" t="s">
        <v>2616</v>
      </c>
      <c r="B19" s="21" t="s">
        <v>2589</v>
      </c>
      <c r="C19" s="21" t="s">
        <v>2673</v>
      </c>
    </row>
    <row r="20" spans="1:3" x14ac:dyDescent="0.2">
      <c r="A20" s="21" t="s">
        <v>155</v>
      </c>
      <c r="B20" s="21" t="s">
        <v>2589</v>
      </c>
      <c r="C20" s="21" t="s">
        <v>2673</v>
      </c>
    </row>
    <row r="21" spans="1:3" x14ac:dyDescent="0.2">
      <c r="A21" s="21" t="s">
        <v>158</v>
      </c>
      <c r="B21" s="21" t="s">
        <v>2589</v>
      </c>
      <c r="C21" s="21" t="s">
        <v>2673</v>
      </c>
    </row>
    <row r="22" spans="1:3" x14ac:dyDescent="0.2">
      <c r="A22" s="21" t="s">
        <v>161</v>
      </c>
      <c r="B22" s="21" t="s">
        <v>2589</v>
      </c>
      <c r="C22" s="21" t="s">
        <v>2673</v>
      </c>
    </row>
    <row r="23" spans="1:3" x14ac:dyDescent="0.2">
      <c r="A23" s="21" t="s">
        <v>164</v>
      </c>
      <c r="B23" s="21" t="s">
        <v>2589</v>
      </c>
      <c r="C23" s="21" t="s">
        <v>2673</v>
      </c>
    </row>
    <row r="24" spans="1:3" x14ac:dyDescent="0.2">
      <c r="A24" s="21" t="s">
        <v>2617</v>
      </c>
      <c r="B24" s="21" t="s">
        <v>2589</v>
      </c>
      <c r="C24" s="21" t="s">
        <v>2673</v>
      </c>
    </row>
    <row r="25" spans="1:3" x14ac:dyDescent="0.2">
      <c r="A25" s="21" t="s">
        <v>2618</v>
      </c>
      <c r="B25" s="21" t="s">
        <v>2589</v>
      </c>
      <c r="C25" s="21" t="s">
        <v>2673</v>
      </c>
    </row>
    <row r="26" spans="1:3" x14ac:dyDescent="0.2">
      <c r="A26" s="21" t="s">
        <v>2619</v>
      </c>
      <c r="B26" s="21" t="s">
        <v>2589</v>
      </c>
      <c r="C26" s="21" t="s">
        <v>2673</v>
      </c>
    </row>
    <row r="27" spans="1:3" x14ac:dyDescent="0.2">
      <c r="A27" s="21" t="s">
        <v>2620</v>
      </c>
      <c r="B27" s="21" t="s">
        <v>2589</v>
      </c>
      <c r="C27" s="21" t="s">
        <v>2673</v>
      </c>
    </row>
    <row r="28" spans="1:3" x14ac:dyDescent="0.2">
      <c r="A28" s="21" t="s">
        <v>2621</v>
      </c>
      <c r="B28" s="21" t="s">
        <v>2589</v>
      </c>
      <c r="C28" s="21" t="s">
        <v>2673</v>
      </c>
    </row>
    <row r="29" spans="1:3" x14ac:dyDescent="0.2">
      <c r="A29" s="21" t="s">
        <v>2622</v>
      </c>
      <c r="B29" s="21" t="s">
        <v>2589</v>
      </c>
      <c r="C29" s="21" t="s">
        <v>2673</v>
      </c>
    </row>
    <row r="30" spans="1:3" x14ac:dyDescent="0.2">
      <c r="A30" s="21" t="s">
        <v>2623</v>
      </c>
      <c r="B30" s="21" t="s">
        <v>2589</v>
      </c>
      <c r="C30" s="21" t="s">
        <v>2673</v>
      </c>
    </row>
    <row r="31" spans="1:3" x14ac:dyDescent="0.2">
      <c r="A31" s="21" t="s">
        <v>2624</v>
      </c>
      <c r="B31" s="21" t="s">
        <v>2589</v>
      </c>
      <c r="C31" s="21" t="s">
        <v>2673</v>
      </c>
    </row>
    <row r="32" spans="1:3" x14ac:dyDescent="0.2">
      <c r="A32" s="21" t="s">
        <v>2625</v>
      </c>
      <c r="B32" s="21" t="s">
        <v>2589</v>
      </c>
      <c r="C32" s="21" t="s">
        <v>2673</v>
      </c>
    </row>
    <row r="33" spans="1:3" x14ac:dyDescent="0.2">
      <c r="A33" s="21" t="s">
        <v>137</v>
      </c>
      <c r="B33" s="21" t="s">
        <v>2589</v>
      </c>
      <c r="C33" s="21" t="s">
        <v>2673</v>
      </c>
    </row>
    <row r="34" spans="1:3" x14ac:dyDescent="0.2">
      <c r="A34" s="21" t="s">
        <v>144</v>
      </c>
      <c r="B34" s="21" t="s">
        <v>2589</v>
      </c>
      <c r="C34" s="21" t="s">
        <v>2673</v>
      </c>
    </row>
    <row r="35" spans="1:3" x14ac:dyDescent="0.2">
      <c r="A35" s="21" t="s">
        <v>2626</v>
      </c>
      <c r="B35" s="21" t="s">
        <v>2589</v>
      </c>
      <c r="C35" s="21" t="s">
        <v>2673</v>
      </c>
    </row>
    <row r="36" spans="1:3" x14ac:dyDescent="0.2">
      <c r="A36" s="21" t="s">
        <v>2627</v>
      </c>
      <c r="B36" s="21" t="s">
        <v>2589</v>
      </c>
      <c r="C36" s="21" t="s">
        <v>2673</v>
      </c>
    </row>
    <row r="37" spans="1:3" x14ac:dyDescent="0.2">
      <c r="A37" s="21" t="s">
        <v>120</v>
      </c>
      <c r="B37" s="21" t="s">
        <v>2589</v>
      </c>
      <c r="C37" s="21" t="s">
        <v>2673</v>
      </c>
    </row>
    <row r="38" spans="1:3" x14ac:dyDescent="0.2">
      <c r="A38" s="21" t="s">
        <v>2628</v>
      </c>
      <c r="B38" s="21" t="s">
        <v>2589</v>
      </c>
      <c r="C38" s="21" t="s">
        <v>2673</v>
      </c>
    </row>
    <row r="39" spans="1:3" x14ac:dyDescent="0.2">
      <c r="A39" s="21" t="s">
        <v>2629</v>
      </c>
      <c r="B39" s="21" t="s">
        <v>2589</v>
      </c>
      <c r="C39" s="21" t="s">
        <v>2673</v>
      </c>
    </row>
    <row r="40" spans="1:3" x14ac:dyDescent="0.2">
      <c r="A40" s="21" t="s">
        <v>2630</v>
      </c>
      <c r="B40" s="21" t="s">
        <v>2589</v>
      </c>
      <c r="C40" s="21" t="s">
        <v>2673</v>
      </c>
    </row>
    <row r="41" spans="1:3" x14ac:dyDescent="0.2">
      <c r="A41" s="21" t="s">
        <v>2631</v>
      </c>
      <c r="B41" s="21" t="s">
        <v>2589</v>
      </c>
      <c r="C41" s="21" t="s">
        <v>2673</v>
      </c>
    </row>
    <row r="42" spans="1:3" x14ac:dyDescent="0.2">
      <c r="A42" s="21" t="s">
        <v>2632</v>
      </c>
      <c r="B42" s="21" t="s">
        <v>2589</v>
      </c>
      <c r="C42" s="21" t="s">
        <v>2673</v>
      </c>
    </row>
    <row r="43" spans="1:3" x14ac:dyDescent="0.2">
      <c r="A43" s="21" t="s">
        <v>2633</v>
      </c>
      <c r="B43" s="21" t="s">
        <v>2589</v>
      </c>
      <c r="C43" s="21" t="s">
        <v>2673</v>
      </c>
    </row>
    <row r="44" spans="1:3" x14ac:dyDescent="0.2">
      <c r="A44" s="21" t="s">
        <v>2634</v>
      </c>
      <c r="B44" s="21" t="s">
        <v>2589</v>
      </c>
      <c r="C44" s="21" t="s">
        <v>2673</v>
      </c>
    </row>
    <row r="45" spans="1:3" x14ac:dyDescent="0.2">
      <c r="A45" s="21" t="s">
        <v>2635</v>
      </c>
      <c r="B45" s="21" t="s">
        <v>2589</v>
      </c>
      <c r="C45" s="21" t="s">
        <v>2673</v>
      </c>
    </row>
    <row r="46" spans="1:3" x14ac:dyDescent="0.2">
      <c r="A46" s="21" t="s">
        <v>2636</v>
      </c>
      <c r="B46" s="21" t="s">
        <v>2589</v>
      </c>
      <c r="C46" s="21" t="s">
        <v>2673</v>
      </c>
    </row>
    <row r="47" spans="1:3" x14ac:dyDescent="0.2">
      <c r="A47" s="21" t="s">
        <v>171</v>
      </c>
      <c r="B47" s="21" t="s">
        <v>2589</v>
      </c>
      <c r="C47" s="21" t="s">
        <v>2673</v>
      </c>
    </row>
    <row r="48" spans="1:3" x14ac:dyDescent="0.2">
      <c r="A48" s="21" t="s">
        <v>174</v>
      </c>
      <c r="B48" s="21" t="s">
        <v>2589</v>
      </c>
      <c r="C48" s="21" t="s">
        <v>2673</v>
      </c>
    </row>
    <row r="49" spans="1:3" x14ac:dyDescent="0.2">
      <c r="A49" s="21" t="s">
        <v>177</v>
      </c>
      <c r="B49" s="21" t="s">
        <v>2589</v>
      </c>
      <c r="C49" s="21" t="s">
        <v>2673</v>
      </c>
    </row>
    <row r="50" spans="1:3" x14ac:dyDescent="0.2">
      <c r="A50" s="21" t="s">
        <v>180</v>
      </c>
      <c r="B50" s="21" t="s">
        <v>2589</v>
      </c>
      <c r="C50" s="21" t="s">
        <v>2673</v>
      </c>
    </row>
    <row r="51" spans="1:3" x14ac:dyDescent="0.2">
      <c r="A51" s="21" t="s">
        <v>2637</v>
      </c>
      <c r="B51" s="21" t="s">
        <v>2589</v>
      </c>
      <c r="C51" s="21" t="s">
        <v>2673</v>
      </c>
    </row>
    <row r="52" spans="1:3" x14ac:dyDescent="0.2">
      <c r="A52" s="21" t="s">
        <v>2638</v>
      </c>
      <c r="B52" s="21" t="s">
        <v>2589</v>
      </c>
      <c r="C52" s="21" t="s">
        <v>2673</v>
      </c>
    </row>
    <row r="53" spans="1:3" x14ac:dyDescent="0.2">
      <c r="A53" s="21" t="s">
        <v>2639</v>
      </c>
      <c r="B53" s="21" t="s">
        <v>2589</v>
      </c>
      <c r="C53" s="21" t="s">
        <v>2673</v>
      </c>
    </row>
    <row r="54" spans="1:3" x14ac:dyDescent="0.2">
      <c r="A54" s="21" t="s">
        <v>2640</v>
      </c>
      <c r="B54" s="21" t="s">
        <v>2589</v>
      </c>
      <c r="C54" s="21" t="s">
        <v>2673</v>
      </c>
    </row>
    <row r="55" spans="1:3" x14ac:dyDescent="0.2">
      <c r="A55" s="21" t="s">
        <v>2641</v>
      </c>
      <c r="B55" s="21" t="s">
        <v>2589</v>
      </c>
      <c r="C55" s="21" t="s">
        <v>2673</v>
      </c>
    </row>
    <row r="56" spans="1:3" x14ac:dyDescent="0.2">
      <c r="A56" s="21" t="s">
        <v>2642</v>
      </c>
      <c r="B56" s="21" t="s">
        <v>2589</v>
      </c>
      <c r="C56" s="21" t="s">
        <v>2673</v>
      </c>
    </row>
    <row r="57" spans="1:3" x14ac:dyDescent="0.2">
      <c r="A57" s="21" t="s">
        <v>2643</v>
      </c>
      <c r="B57" s="21" t="s">
        <v>2589</v>
      </c>
      <c r="C57" s="21" t="s">
        <v>2673</v>
      </c>
    </row>
    <row r="58" spans="1:3" x14ac:dyDescent="0.2">
      <c r="A58" s="21" t="s">
        <v>2644</v>
      </c>
      <c r="B58" s="21" t="s">
        <v>2589</v>
      </c>
      <c r="C58" s="21" t="s">
        <v>2673</v>
      </c>
    </row>
    <row r="59" spans="1:3" x14ac:dyDescent="0.2">
      <c r="A59" s="21" t="s">
        <v>2645</v>
      </c>
      <c r="B59" s="21" t="s">
        <v>2589</v>
      </c>
      <c r="C59" s="21" t="s">
        <v>2673</v>
      </c>
    </row>
    <row r="60" spans="1:3" x14ac:dyDescent="0.2">
      <c r="A60" s="21" t="s">
        <v>2646</v>
      </c>
      <c r="B60" s="21" t="s">
        <v>2589</v>
      </c>
      <c r="C60" s="21" t="s">
        <v>2673</v>
      </c>
    </row>
    <row r="61" spans="1:3" x14ac:dyDescent="0.2">
      <c r="A61" s="21" t="s">
        <v>2647</v>
      </c>
      <c r="B61" s="21" t="s">
        <v>2589</v>
      </c>
      <c r="C61" s="21" t="s">
        <v>2673</v>
      </c>
    </row>
    <row r="62" spans="1:3" x14ac:dyDescent="0.2">
      <c r="A62" s="21" t="s">
        <v>2672</v>
      </c>
      <c r="B62" s="21" t="s">
        <v>2589</v>
      </c>
      <c r="C62" s="21" t="s">
        <v>2673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AB92-CDD4-48EA-AA9B-36DEC02DC9C4}">
  <sheetPr codeName="Tabelle10">
    <tabColor theme="0" tint="-4.9989318521683403E-2"/>
  </sheetPr>
  <dimension ref="A1:C3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7.28515625" bestFit="1" customWidth="1"/>
    <col min="2" max="2" width="13.42578125" bestFit="1" customWidth="1"/>
    <col min="3" max="3" width="46" bestFit="1" customWidth="1"/>
  </cols>
  <sheetData>
    <row r="1" spans="1:3" x14ac:dyDescent="0.2">
      <c r="A1" t="s">
        <v>2648</v>
      </c>
      <c r="B1" t="s">
        <v>2587</v>
      </c>
      <c r="C1" t="s">
        <v>2588</v>
      </c>
    </row>
    <row r="2" spans="1:3" x14ac:dyDescent="0.2">
      <c r="A2" s="21" t="s">
        <v>2674</v>
      </c>
      <c r="B2" s="21" t="s">
        <v>2589</v>
      </c>
      <c r="C2" s="21" t="s">
        <v>2675</v>
      </c>
    </row>
    <row r="3" spans="1:3" x14ac:dyDescent="0.2">
      <c r="A3" s="21" t="s">
        <v>111</v>
      </c>
      <c r="B3" s="21" t="s">
        <v>2589</v>
      </c>
      <c r="C3" s="21" t="s">
        <v>2675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6633-4CAF-4413-AF21-F250D8C047C0}">
  <sheetPr codeName="Tabelle11">
    <tabColor theme="0" tint="-4.9989318521683403E-2"/>
  </sheetPr>
  <dimension ref="A1:D5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26.7109375" bestFit="1" customWidth="1"/>
    <col min="2" max="2" width="13.42578125" bestFit="1" customWidth="1"/>
    <col min="3" max="3" width="43.28515625" bestFit="1" customWidth="1"/>
    <col min="4" max="4" width="17.42578125" bestFit="1" customWidth="1"/>
  </cols>
  <sheetData>
    <row r="1" spans="1:4" x14ac:dyDescent="0.2">
      <c r="A1" t="s">
        <v>2648</v>
      </c>
      <c r="B1" t="s">
        <v>2587</v>
      </c>
      <c r="C1" t="s">
        <v>2588</v>
      </c>
      <c r="D1" t="s">
        <v>2676</v>
      </c>
    </row>
    <row r="2" spans="1:4" x14ac:dyDescent="0.2">
      <c r="A2" s="21" t="s">
        <v>110</v>
      </c>
      <c r="B2" s="21" t="s">
        <v>2589</v>
      </c>
      <c r="C2" s="21" t="s">
        <v>2677</v>
      </c>
      <c r="D2" s="21" t="s">
        <v>2678</v>
      </c>
    </row>
    <row r="3" spans="1:4" x14ac:dyDescent="0.2">
      <c r="A3" s="21" t="s">
        <v>2595</v>
      </c>
      <c r="B3" s="21" t="s">
        <v>2589</v>
      </c>
      <c r="C3" s="21" t="s">
        <v>2677</v>
      </c>
      <c r="D3" s="21" t="s">
        <v>2679</v>
      </c>
    </row>
    <row r="4" spans="1:4" x14ac:dyDescent="0.2">
      <c r="A4" s="21" t="s">
        <v>131</v>
      </c>
      <c r="B4" s="21" t="s">
        <v>2589</v>
      </c>
      <c r="C4" s="21" t="s">
        <v>2677</v>
      </c>
      <c r="D4" s="21" t="s">
        <v>2680</v>
      </c>
    </row>
    <row r="5" spans="1:4" x14ac:dyDescent="0.2">
      <c r="A5" s="21" t="s">
        <v>2681</v>
      </c>
      <c r="B5" s="21" t="s">
        <v>2589</v>
      </c>
      <c r="C5" s="21" t="s">
        <v>2677</v>
      </c>
      <c r="D5" s="21" t="s">
        <v>2682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DB9-FC02-4FF2-9DA4-9F9BC9432FB3}">
  <sheetPr codeName="Tabelle2">
    <tabColor rgb="FF92D050"/>
  </sheetPr>
  <dimension ref="A1:BW35"/>
  <sheetViews>
    <sheetView topLeftCell="B1" workbookViewId="0">
      <selection activeCell="L4" sqref="G4:L4"/>
    </sheetView>
  </sheetViews>
  <sheetFormatPr baseColWidth="10" defaultColWidth="11.42578125" defaultRowHeight="12.75" x14ac:dyDescent="0.2"/>
  <cols>
    <col min="1" max="1" width="0" hidden="1" customWidth="1"/>
    <col min="3" max="3" width="24.42578125" customWidth="1"/>
    <col min="4" max="4" width="13.42578125" style="2" customWidth="1"/>
    <col min="5" max="6" width="20.140625" style="2" customWidth="1"/>
    <col min="7" max="12" width="3.28515625" style="15" bestFit="1" customWidth="1"/>
    <col min="13" max="13" width="17.28515625" customWidth="1"/>
    <col min="14" max="14" width="20.85546875" customWidth="1"/>
    <col min="15" max="15" width="28.42578125" customWidth="1"/>
    <col min="16" max="16" width="29.85546875" style="29" customWidth="1"/>
    <col min="17" max="18" width="17.5703125" customWidth="1"/>
    <col min="19" max="19" width="20.140625" customWidth="1"/>
    <col min="20" max="20" width="3.28515625" style="15" hidden="1" customWidth="1"/>
    <col min="21" max="23" width="3.28515625" style="15" bestFit="1" customWidth="1"/>
    <col min="24" max="25" width="3.28515625" style="15" hidden="1" customWidth="1"/>
    <col min="26" max="26" width="15.85546875" bestFit="1" customWidth="1"/>
    <col min="27" max="27" width="55.42578125" customWidth="1"/>
    <col min="28" max="28" width="20.85546875" customWidth="1"/>
    <col min="29" max="29" width="16.140625" customWidth="1"/>
    <col min="30" max="30" width="16.28515625" bestFit="1" customWidth="1"/>
    <col min="31" max="31" width="55.42578125" customWidth="1"/>
    <col min="32" max="32" width="20.85546875" customWidth="1"/>
    <col min="33" max="33" width="16.140625" customWidth="1"/>
    <col min="34" max="34" width="16.42578125" bestFit="1" customWidth="1"/>
    <col min="35" max="35" width="55.42578125" customWidth="1"/>
    <col min="36" max="36" width="26.42578125" customWidth="1"/>
    <col min="37" max="37" width="55.42578125" customWidth="1"/>
    <col min="38" max="38" width="26.42578125" customWidth="1"/>
    <col min="39" max="42" width="0" hidden="1" customWidth="1"/>
    <col min="43" max="43" width="32.5703125" customWidth="1"/>
    <col min="44" max="44" width="12.85546875" hidden="1" customWidth="1"/>
    <col min="45" max="45" width="8.28515625" customWidth="1"/>
    <col min="46" max="46" width="0" hidden="1" customWidth="1"/>
    <col min="47" max="47" width="45.85546875" customWidth="1"/>
    <col min="48" max="48" width="22.140625" hidden="1" customWidth="1"/>
    <col min="49" max="62" width="3.28515625" hidden="1" customWidth="1"/>
    <col min="63" max="63" width="5.7109375" hidden="1" customWidth="1"/>
    <col min="64" max="64" width="3.28515625" hidden="1" customWidth="1"/>
    <col min="65" max="65" width="6.5703125" hidden="1" customWidth="1"/>
    <col min="66" max="66" width="6.7109375" hidden="1" customWidth="1"/>
    <col min="67" max="67" width="16" hidden="1" customWidth="1"/>
    <col min="68" max="68" width="20.5703125" hidden="1" customWidth="1"/>
    <col min="69" max="69" width="16" hidden="1" customWidth="1"/>
    <col min="70" max="75" width="0" hidden="1" customWidth="1"/>
  </cols>
  <sheetData>
    <row r="1" spans="1:75" ht="26.25" x14ac:dyDescent="0.4">
      <c r="B1" s="1" t="s">
        <v>12</v>
      </c>
      <c r="E1" s="20" t="s">
        <v>13</v>
      </c>
      <c r="F1" s="20"/>
      <c r="G1" s="18"/>
      <c r="H1" s="19"/>
      <c r="I1" s="19"/>
      <c r="J1" s="19"/>
      <c r="K1" s="19"/>
      <c r="L1" s="19"/>
      <c r="M1" s="19"/>
      <c r="N1" s="19"/>
      <c r="O1" s="19"/>
      <c r="P1" s="31"/>
    </row>
    <row r="2" spans="1:75" s="9" customFormat="1" ht="126.75" customHeight="1" x14ac:dyDescent="0.2">
      <c r="A2" s="3" t="s">
        <v>14</v>
      </c>
      <c r="B2" s="3" t="s">
        <v>15</v>
      </c>
      <c r="C2" s="4" t="s">
        <v>16</v>
      </c>
      <c r="D2" s="4" t="s">
        <v>17</v>
      </c>
      <c r="E2" s="4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11" t="s">
        <v>25</v>
      </c>
      <c r="M2" s="11" t="s">
        <v>26</v>
      </c>
      <c r="N2" s="11" t="s">
        <v>27</v>
      </c>
      <c r="O2" s="32" t="s">
        <v>28</v>
      </c>
      <c r="P2" s="11" t="s">
        <v>29</v>
      </c>
      <c r="Q2" s="11" t="s">
        <v>30</v>
      </c>
      <c r="R2" s="11" t="s">
        <v>31</v>
      </c>
      <c r="S2" s="12" t="s">
        <v>32</v>
      </c>
      <c r="T2" s="12" t="s">
        <v>33</v>
      </c>
      <c r="U2" s="12" t="s">
        <v>34</v>
      </c>
      <c r="V2" s="12" t="s">
        <v>35</v>
      </c>
      <c r="W2" s="12" t="s">
        <v>36</v>
      </c>
      <c r="X2" s="12" t="s">
        <v>37</v>
      </c>
      <c r="Y2" s="13" t="s">
        <v>38</v>
      </c>
      <c r="Z2" s="6" t="s">
        <v>39</v>
      </c>
      <c r="AA2" s="6" t="s">
        <v>40</v>
      </c>
      <c r="AB2" s="6" t="s">
        <v>41</v>
      </c>
      <c r="AC2" s="6" t="s">
        <v>42</v>
      </c>
      <c r="AD2" s="7" t="s">
        <v>43</v>
      </c>
      <c r="AE2" s="7" t="s">
        <v>44</v>
      </c>
      <c r="AF2" s="7" t="s">
        <v>45</v>
      </c>
      <c r="AG2" s="7" t="s">
        <v>46</v>
      </c>
      <c r="AH2" s="6" t="s">
        <v>47</v>
      </c>
      <c r="AI2" s="6" t="s">
        <v>48</v>
      </c>
      <c r="AJ2" s="7" t="s">
        <v>49</v>
      </c>
      <c r="AK2" s="7" t="s">
        <v>50</v>
      </c>
      <c r="AL2" s="8" t="s">
        <v>51</v>
      </c>
      <c r="AM2" s="8" t="s">
        <v>52</v>
      </c>
      <c r="AN2" s="8" t="s">
        <v>53</v>
      </c>
      <c r="AO2" s="8" t="s">
        <v>54</v>
      </c>
      <c r="AP2" s="10" t="s">
        <v>55</v>
      </c>
      <c r="AQ2" s="10" t="s">
        <v>56</v>
      </c>
      <c r="AR2" s="10" t="s">
        <v>57</v>
      </c>
      <c r="AS2" s="10" t="s">
        <v>58</v>
      </c>
      <c r="AT2" s="10" t="s">
        <v>59</v>
      </c>
      <c r="AU2" s="10" t="s">
        <v>60</v>
      </c>
      <c r="AV2" s="5" t="s">
        <v>61</v>
      </c>
      <c r="AW2" s="5" t="s">
        <v>62</v>
      </c>
      <c r="AX2" s="5" t="s">
        <v>63</v>
      </c>
      <c r="AY2" s="5" t="s">
        <v>64</v>
      </c>
      <c r="AZ2" s="5" t="s">
        <v>65</v>
      </c>
      <c r="BA2" s="5" t="s">
        <v>66</v>
      </c>
      <c r="BB2" s="5" t="s">
        <v>67</v>
      </c>
      <c r="BC2" s="5" t="s">
        <v>68</v>
      </c>
      <c r="BD2" s="5" t="s">
        <v>69</v>
      </c>
      <c r="BE2" s="5" t="s">
        <v>70</v>
      </c>
      <c r="BF2" s="5" t="s">
        <v>71</v>
      </c>
      <c r="BG2" s="5" t="s">
        <v>72</v>
      </c>
      <c r="BH2" s="5" t="s">
        <v>73</v>
      </c>
      <c r="BI2" s="5" t="s">
        <v>74</v>
      </c>
      <c r="BJ2" s="5" t="s">
        <v>75</v>
      </c>
      <c r="BK2" s="5" t="s">
        <v>76</v>
      </c>
      <c r="BL2" s="10" t="s">
        <v>77</v>
      </c>
      <c r="BM2" s="14" t="s">
        <v>78</v>
      </c>
      <c r="BN2" s="10" t="s">
        <v>79</v>
      </c>
      <c r="BO2" s="10" t="s">
        <v>80</v>
      </c>
      <c r="BP2" s="10" t="s">
        <v>81</v>
      </c>
      <c r="BQ2" s="6" t="s">
        <v>82</v>
      </c>
      <c r="BR2" s="6" t="s">
        <v>83</v>
      </c>
      <c r="BS2" s="6" t="s">
        <v>84</v>
      </c>
      <c r="BT2" s="6" t="s">
        <v>85</v>
      </c>
      <c r="BU2" s="6" t="s">
        <v>86</v>
      </c>
      <c r="BV2" s="6" t="s">
        <v>87</v>
      </c>
      <c r="BW2" s="42" t="s">
        <v>88</v>
      </c>
    </row>
    <row r="3" spans="1:75" s="17" customFormat="1" ht="16.5" customHeight="1" x14ac:dyDescent="0.2">
      <c r="A3" s="38">
        <v>99</v>
      </c>
      <c r="B3" s="76">
        <v>9999</v>
      </c>
      <c r="C3" s="76" t="s">
        <v>89</v>
      </c>
      <c r="D3" s="77">
        <v>24838</v>
      </c>
      <c r="E3" s="77">
        <v>31426</v>
      </c>
      <c r="F3" s="77"/>
      <c r="G3" s="78">
        <v>1</v>
      </c>
      <c r="H3" s="78">
        <v>0</v>
      </c>
      <c r="I3" s="78">
        <v>4</v>
      </c>
      <c r="J3" s="78">
        <v>0</v>
      </c>
      <c r="K3" s="78">
        <v>1</v>
      </c>
      <c r="L3" s="78">
        <v>0</v>
      </c>
      <c r="M3" s="76" t="s">
        <v>90</v>
      </c>
      <c r="N3" s="79" t="s">
        <v>91</v>
      </c>
      <c r="O3" s="79" t="s">
        <v>92</v>
      </c>
      <c r="P3" s="79" t="s">
        <v>93</v>
      </c>
      <c r="Q3" s="76" t="s">
        <v>94</v>
      </c>
      <c r="R3" s="79" t="s">
        <v>95</v>
      </c>
      <c r="S3" s="79" t="s">
        <v>96</v>
      </c>
      <c r="T3" s="76"/>
      <c r="U3" s="76"/>
      <c r="V3" s="76" t="s">
        <v>97</v>
      </c>
      <c r="W3" s="76"/>
      <c r="X3" s="76"/>
      <c r="Y3" s="76"/>
      <c r="Z3" s="76" t="s">
        <v>98</v>
      </c>
      <c r="AA3" s="76" t="s">
        <v>99</v>
      </c>
      <c r="AB3" s="76" t="s">
        <v>100</v>
      </c>
      <c r="AC3" s="76" t="s">
        <v>101</v>
      </c>
      <c r="AD3" s="76" t="s">
        <v>102</v>
      </c>
      <c r="AE3" s="76" t="s">
        <v>103</v>
      </c>
      <c r="AF3" s="76" t="s">
        <v>104</v>
      </c>
      <c r="AG3" s="76" t="s">
        <v>105</v>
      </c>
      <c r="AH3" s="76" t="s">
        <v>102</v>
      </c>
      <c r="AI3" s="76" t="s">
        <v>106</v>
      </c>
      <c r="AJ3" s="76" t="s">
        <v>107</v>
      </c>
      <c r="AK3" s="76" t="s">
        <v>108</v>
      </c>
      <c r="AL3" s="76" t="s">
        <v>109</v>
      </c>
      <c r="AM3" s="76"/>
      <c r="AN3" s="76"/>
      <c r="AO3" s="76"/>
      <c r="AP3" s="76"/>
      <c r="AQ3" s="79" t="s">
        <v>110</v>
      </c>
      <c r="AR3" s="76"/>
      <c r="AS3" s="79" t="s">
        <v>111</v>
      </c>
      <c r="AT3" s="80"/>
      <c r="AU3" s="80" t="str">
        <f>CONCATENATE(
Tabelle3[[#This Row],[Workplace (Room)]],
" | ",
Tabelle3[[#This Row],[Attached Device if Gateway]],
" | ",
Tabelle3[[#This Row],[Workplace (Usage)]]
)</f>
        <v>TC.01.124-MCR-U5 | Mon 1.1 | Produzent</v>
      </c>
      <c r="AV3" s="81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1"/>
      <c r="BN3" s="83"/>
      <c r="BO3" s="81"/>
      <c r="BP3" s="81"/>
      <c r="BQ3" s="81"/>
      <c r="BR3" s="81"/>
      <c r="BS3" s="81"/>
      <c r="BT3" s="81"/>
      <c r="BU3" s="81"/>
      <c r="BV3" s="81"/>
      <c r="BW3" s="81"/>
    </row>
    <row r="4" spans="1:75" x14ac:dyDescent="0.2">
      <c r="A4">
        <v>1</v>
      </c>
      <c r="B4" s="34">
        <v>378</v>
      </c>
      <c r="C4" s="34" t="s">
        <v>112</v>
      </c>
      <c r="D4" s="37">
        <v>43805</v>
      </c>
      <c r="E4" s="37">
        <v>43805</v>
      </c>
      <c r="F4" s="37" t="s">
        <v>113</v>
      </c>
      <c r="G4" s="85">
        <f>IF(Tabelle3[[#This Row],[Port direction]]="IP&gt;SDI",1,0)</f>
        <v>0</v>
      </c>
      <c r="H4" s="85">
        <f>IF(Tabelle3[[#This Row],[Port direction]]="SDI&gt;IP",1,0)</f>
        <v>1</v>
      </c>
      <c r="I4" s="85">
        <f>IF(Tabelle3[[#This Row],[Port direction]]="IP&gt;SDI",16,0)</f>
        <v>0</v>
      </c>
      <c r="J4" s="85">
        <f>IF(Tabelle3[[#This Row],[Port direction]]="SDI&gt;IP",16,0)</f>
        <v>16</v>
      </c>
      <c r="K4" s="85">
        <f>IF(Tabelle3[[#This Row],[Port direction]]="IP&gt;SDI",4,0)</f>
        <v>0</v>
      </c>
      <c r="L4" s="85">
        <f>IF(Tabelle3[[#This Row],[Port direction]]="SDI&gt;IP",4,0)</f>
        <v>4</v>
      </c>
      <c r="M4" s="39" t="s">
        <v>114</v>
      </c>
      <c r="N4" s="34" t="s">
        <v>115</v>
      </c>
      <c r="O4" s="86" t="s">
        <v>116</v>
      </c>
      <c r="P4" s="86" t="s">
        <v>117</v>
      </c>
      <c r="Q4" s="34" t="s">
        <v>118</v>
      </c>
      <c r="R4" s="34" t="s">
        <v>119</v>
      </c>
      <c r="S4" s="34" t="s">
        <v>120</v>
      </c>
      <c r="T4" s="36"/>
      <c r="U4" s="40"/>
      <c r="V4" s="40">
        <v>1</v>
      </c>
      <c r="W4" s="40"/>
      <c r="X4" s="40"/>
      <c r="Y4" s="40">
        <v>1</v>
      </c>
      <c r="Z4" s="34" t="s">
        <v>121</v>
      </c>
      <c r="AA4" s="34" t="s">
        <v>122</v>
      </c>
      <c r="AB4" s="34" t="s">
        <v>123</v>
      </c>
      <c r="AC4" s="34" t="s">
        <v>124</v>
      </c>
      <c r="AD4" s="34" t="s">
        <v>125</v>
      </c>
      <c r="AE4" s="34" t="s">
        <v>126</v>
      </c>
      <c r="AF4" s="34" t="s">
        <v>127</v>
      </c>
      <c r="AG4" s="34" t="s">
        <v>128</v>
      </c>
      <c r="AH4" s="34" t="s">
        <v>125</v>
      </c>
      <c r="AI4" s="34" t="s">
        <v>129</v>
      </c>
      <c r="AJ4" s="34" t="s">
        <v>130</v>
      </c>
      <c r="AK4" s="34"/>
      <c r="AL4" s="34"/>
      <c r="AM4" s="84"/>
      <c r="AN4" s="84"/>
      <c r="AO4" s="84"/>
      <c r="AP4" s="84"/>
      <c r="AQ4" s="86" t="s">
        <v>131</v>
      </c>
      <c r="AR4" s="84" t="s">
        <v>132</v>
      </c>
      <c r="AS4" s="86" t="s">
        <v>133</v>
      </c>
      <c r="AT4" s="87" t="s">
        <v>132</v>
      </c>
      <c r="AU4" s="87" t="str">
        <f>CONCATENATE(Tabelle3[[#This Row],[Device Location]])</f>
        <v>TC.U1.223 | MDC</v>
      </c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</row>
    <row r="5" spans="1:75" x14ac:dyDescent="0.2">
      <c r="A5">
        <v>2</v>
      </c>
      <c r="B5" s="34">
        <v>379</v>
      </c>
      <c r="C5" s="86" t="str">
        <f>CONCATENATE($C$4," (SDI",TEXT(A5,"00"),")")</f>
        <v>VGW-103 (SDI02)</v>
      </c>
      <c r="D5" s="88">
        <f>$D$4</f>
        <v>43805</v>
      </c>
      <c r="E5" s="88">
        <f>$E$4</f>
        <v>43805</v>
      </c>
      <c r="F5" s="89" t="s">
        <v>113</v>
      </c>
      <c r="G5" s="85">
        <f t="shared" ref="G5:L7" si="0">G4</f>
        <v>0</v>
      </c>
      <c r="H5" s="85">
        <f t="shared" si="0"/>
        <v>1</v>
      </c>
      <c r="I5" s="85">
        <f t="shared" si="0"/>
        <v>0</v>
      </c>
      <c r="J5" s="85">
        <f t="shared" si="0"/>
        <v>16</v>
      </c>
      <c r="K5" s="85">
        <f t="shared" si="0"/>
        <v>0</v>
      </c>
      <c r="L5" s="85">
        <f t="shared" si="0"/>
        <v>4</v>
      </c>
      <c r="M5" s="39" t="s">
        <v>114</v>
      </c>
      <c r="N5" s="86" t="str">
        <f>$N$4</f>
        <v>TC.U1.223 | MDC</v>
      </c>
      <c r="O5" s="86" t="str">
        <f>O$4</f>
        <v>Imagine Comunications</v>
      </c>
      <c r="P5" s="86" t="str">
        <f>P$4</f>
        <v>SNP Gateway</v>
      </c>
      <c r="Q5" s="34" t="s">
        <v>134</v>
      </c>
      <c r="R5" s="34" t="s">
        <v>119</v>
      </c>
      <c r="S5" s="34" t="s">
        <v>120</v>
      </c>
      <c r="T5" s="33"/>
      <c r="U5" s="40"/>
      <c r="V5" s="40">
        <v>1</v>
      </c>
      <c r="W5" s="40"/>
      <c r="X5" s="34"/>
      <c r="Y5" s="34">
        <v>1</v>
      </c>
      <c r="Z5" s="34" t="s">
        <v>121</v>
      </c>
      <c r="AA5" s="86" t="str">
        <f>AA$4</f>
        <v>tpco-megw-vgw103.rta.st-net.media.int</v>
      </c>
      <c r="AB5" s="86" t="str">
        <f t="shared" ref="AB5:AS19" si="1">AB$4</f>
        <v>10.120.236.50</v>
      </c>
      <c r="AC5" s="86" t="str">
        <f t="shared" si="1"/>
        <v>AVCoreA</v>
      </c>
      <c r="AD5" s="86" t="str">
        <f t="shared" si="1"/>
        <v>5_36_1</v>
      </c>
      <c r="AE5" s="86" t="str">
        <f t="shared" si="1"/>
        <v>tpco-megw-vgw103.rtb.st-net.media.int</v>
      </c>
      <c r="AF5" s="86" t="str">
        <f t="shared" si="1"/>
        <v>10.120.236.54</v>
      </c>
      <c r="AG5" s="86" t="str">
        <f t="shared" si="1"/>
        <v>AVCoreB</v>
      </c>
      <c r="AH5" s="86" t="str">
        <f t="shared" si="1"/>
        <v>5_36_1</v>
      </c>
      <c r="AI5" s="86" t="str">
        <f t="shared" si="1"/>
        <v>tpco-megw-vgw103.st-net.media.int</v>
      </c>
      <c r="AJ5" s="86" t="str">
        <f t="shared" si="1"/>
        <v>10.120.67.141</v>
      </c>
      <c r="AK5" s="86">
        <f t="shared" si="1"/>
        <v>0</v>
      </c>
      <c r="AL5" s="86">
        <f t="shared" si="1"/>
        <v>0</v>
      </c>
      <c r="AM5" s="86">
        <f t="shared" si="1"/>
        <v>0</v>
      </c>
      <c r="AN5" s="86">
        <f t="shared" si="1"/>
        <v>0</v>
      </c>
      <c r="AO5" s="86">
        <f t="shared" si="1"/>
        <v>0</v>
      </c>
      <c r="AP5" s="86">
        <f t="shared" si="1"/>
        <v>0</v>
      </c>
      <c r="AQ5" s="86" t="str">
        <f t="shared" si="1"/>
        <v>Imagine Communications SNP</v>
      </c>
      <c r="AR5" s="86" t="str">
        <f>AR$4</f>
        <v>no</v>
      </c>
      <c r="AS5" s="86" t="str">
        <f t="shared" si="1"/>
        <v>yes</v>
      </c>
      <c r="AT5" s="87" t="s">
        <v>132</v>
      </c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</row>
    <row r="6" spans="1:75" x14ac:dyDescent="0.2">
      <c r="A6">
        <v>3</v>
      </c>
      <c r="B6" s="34">
        <v>380</v>
      </c>
      <c r="C6" s="86" t="str">
        <f t="shared" ref="C6:C35" si="2">CONCATENATE($C$4," (SDI",TEXT(A6,"00"),")")</f>
        <v>VGW-103 (SDI03)</v>
      </c>
      <c r="D6" s="88">
        <f t="shared" ref="D6:D35" si="3">$D$4</f>
        <v>43805</v>
      </c>
      <c r="E6" s="88">
        <f t="shared" ref="E6:E35" si="4">$E$4</f>
        <v>43805</v>
      </c>
      <c r="F6" s="89" t="s">
        <v>113</v>
      </c>
      <c r="G6" s="85">
        <f t="shared" si="0"/>
        <v>0</v>
      </c>
      <c r="H6" s="85">
        <f t="shared" si="0"/>
        <v>1</v>
      </c>
      <c r="I6" s="85">
        <f t="shared" si="0"/>
        <v>0</v>
      </c>
      <c r="J6" s="85">
        <f t="shared" si="0"/>
        <v>16</v>
      </c>
      <c r="K6" s="85">
        <f t="shared" si="0"/>
        <v>0</v>
      </c>
      <c r="L6" s="85">
        <f t="shared" si="0"/>
        <v>4</v>
      </c>
      <c r="M6" s="39" t="s">
        <v>114</v>
      </c>
      <c r="N6" s="86" t="str">
        <f t="shared" ref="N6:N35" si="5">$N$4</f>
        <v>TC.U1.223 | MDC</v>
      </c>
      <c r="O6" s="86" t="str">
        <f t="shared" ref="O6:P35" si="6">O$4</f>
        <v>Imagine Comunications</v>
      </c>
      <c r="P6" s="86" t="str">
        <f t="shared" si="6"/>
        <v>SNP Gateway</v>
      </c>
      <c r="Q6" s="34" t="s">
        <v>135</v>
      </c>
      <c r="R6" s="34" t="s">
        <v>136</v>
      </c>
      <c r="S6" s="34" t="s">
        <v>137</v>
      </c>
      <c r="T6" s="33"/>
      <c r="U6" s="40"/>
      <c r="V6" s="40">
        <v>1</v>
      </c>
      <c r="W6" s="40"/>
      <c r="X6" s="34"/>
      <c r="Y6" s="34">
        <v>1</v>
      </c>
      <c r="Z6" s="34" t="s">
        <v>121</v>
      </c>
      <c r="AA6" s="86" t="str">
        <f t="shared" ref="AA6:AP35" si="7">AA$4</f>
        <v>tpco-megw-vgw103.rta.st-net.media.int</v>
      </c>
      <c r="AB6" s="86" t="str">
        <f t="shared" si="1"/>
        <v>10.120.236.50</v>
      </c>
      <c r="AC6" s="86" t="str">
        <f t="shared" si="1"/>
        <v>AVCoreA</v>
      </c>
      <c r="AD6" s="86" t="str">
        <f t="shared" si="1"/>
        <v>5_36_1</v>
      </c>
      <c r="AE6" s="86" t="str">
        <f t="shared" si="1"/>
        <v>tpco-megw-vgw103.rtb.st-net.media.int</v>
      </c>
      <c r="AF6" s="86" t="str">
        <f t="shared" si="1"/>
        <v>10.120.236.54</v>
      </c>
      <c r="AG6" s="86" t="str">
        <f t="shared" si="1"/>
        <v>AVCoreB</v>
      </c>
      <c r="AH6" s="86" t="str">
        <f t="shared" si="1"/>
        <v>5_36_1</v>
      </c>
      <c r="AI6" s="86" t="str">
        <f t="shared" si="1"/>
        <v>tpco-megw-vgw103.st-net.media.int</v>
      </c>
      <c r="AJ6" s="86" t="str">
        <f t="shared" si="1"/>
        <v>10.120.67.141</v>
      </c>
      <c r="AK6" s="86">
        <f t="shared" si="1"/>
        <v>0</v>
      </c>
      <c r="AL6" s="86">
        <f t="shared" si="1"/>
        <v>0</v>
      </c>
      <c r="AM6" s="86">
        <f t="shared" si="1"/>
        <v>0</v>
      </c>
      <c r="AN6" s="86">
        <f t="shared" si="1"/>
        <v>0</v>
      </c>
      <c r="AO6" s="86">
        <f t="shared" si="1"/>
        <v>0</v>
      </c>
      <c r="AP6" s="86">
        <f t="shared" si="1"/>
        <v>0</v>
      </c>
      <c r="AQ6" s="86" t="str">
        <f t="shared" si="1"/>
        <v>Imagine Communications SNP</v>
      </c>
      <c r="AR6" s="86" t="str">
        <f t="shared" si="1"/>
        <v>no</v>
      </c>
      <c r="AS6" s="86" t="str">
        <f t="shared" si="1"/>
        <v>yes</v>
      </c>
      <c r="AT6" s="87" t="s">
        <v>132</v>
      </c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</row>
    <row r="7" spans="1:75" x14ac:dyDescent="0.2">
      <c r="A7">
        <v>4</v>
      </c>
      <c r="B7" s="34">
        <v>381</v>
      </c>
      <c r="C7" s="86" t="str">
        <f t="shared" si="2"/>
        <v>VGW-103 (SDI04)</v>
      </c>
      <c r="D7" s="88">
        <f t="shared" si="3"/>
        <v>43805</v>
      </c>
      <c r="E7" s="88">
        <f t="shared" si="4"/>
        <v>43805</v>
      </c>
      <c r="F7" s="89" t="s">
        <v>113</v>
      </c>
      <c r="G7" s="85">
        <f t="shared" si="0"/>
        <v>0</v>
      </c>
      <c r="H7" s="85">
        <f t="shared" si="0"/>
        <v>1</v>
      </c>
      <c r="I7" s="85">
        <f t="shared" si="0"/>
        <v>0</v>
      </c>
      <c r="J7" s="85">
        <f t="shared" si="0"/>
        <v>16</v>
      </c>
      <c r="K7" s="85">
        <f t="shared" si="0"/>
        <v>0</v>
      </c>
      <c r="L7" s="85">
        <f t="shared" si="0"/>
        <v>4</v>
      </c>
      <c r="M7" s="39" t="s">
        <v>114</v>
      </c>
      <c r="N7" s="86" t="str">
        <f t="shared" si="5"/>
        <v>TC.U1.223 | MDC</v>
      </c>
      <c r="O7" s="86" t="str">
        <f t="shared" si="6"/>
        <v>Imagine Comunications</v>
      </c>
      <c r="P7" s="86" t="str">
        <f t="shared" si="6"/>
        <v>SNP Gateway</v>
      </c>
      <c r="Q7" s="34" t="s">
        <v>138</v>
      </c>
      <c r="R7" s="34" t="s">
        <v>136</v>
      </c>
      <c r="S7" s="34" t="s">
        <v>137</v>
      </c>
      <c r="T7" s="33"/>
      <c r="U7" s="40"/>
      <c r="V7" s="40">
        <v>1</v>
      </c>
      <c r="W7" s="40"/>
      <c r="X7" s="34"/>
      <c r="Y7" s="34">
        <v>1</v>
      </c>
      <c r="Z7" s="34" t="s">
        <v>121</v>
      </c>
      <c r="AA7" s="86" t="str">
        <f t="shared" si="7"/>
        <v>tpco-megw-vgw103.rta.st-net.media.int</v>
      </c>
      <c r="AB7" s="86" t="str">
        <f t="shared" si="1"/>
        <v>10.120.236.50</v>
      </c>
      <c r="AC7" s="86" t="str">
        <f t="shared" si="1"/>
        <v>AVCoreA</v>
      </c>
      <c r="AD7" s="86" t="str">
        <f t="shared" si="1"/>
        <v>5_36_1</v>
      </c>
      <c r="AE7" s="86" t="str">
        <f t="shared" si="1"/>
        <v>tpco-megw-vgw103.rtb.st-net.media.int</v>
      </c>
      <c r="AF7" s="86" t="str">
        <f t="shared" si="1"/>
        <v>10.120.236.54</v>
      </c>
      <c r="AG7" s="86" t="str">
        <f t="shared" si="1"/>
        <v>AVCoreB</v>
      </c>
      <c r="AH7" s="86" t="str">
        <f t="shared" si="1"/>
        <v>5_36_1</v>
      </c>
      <c r="AI7" s="86" t="str">
        <f t="shared" si="1"/>
        <v>tpco-megw-vgw103.st-net.media.int</v>
      </c>
      <c r="AJ7" s="86" t="str">
        <f t="shared" si="1"/>
        <v>10.120.67.141</v>
      </c>
      <c r="AK7" s="86">
        <f t="shared" si="1"/>
        <v>0</v>
      </c>
      <c r="AL7" s="86">
        <f t="shared" si="1"/>
        <v>0</v>
      </c>
      <c r="AM7" s="86">
        <f t="shared" si="1"/>
        <v>0</v>
      </c>
      <c r="AN7" s="86">
        <f t="shared" si="1"/>
        <v>0</v>
      </c>
      <c r="AO7" s="86">
        <f t="shared" si="1"/>
        <v>0</v>
      </c>
      <c r="AP7" s="86">
        <f t="shared" si="1"/>
        <v>0</v>
      </c>
      <c r="AQ7" s="86" t="str">
        <f t="shared" si="1"/>
        <v>Imagine Communications SNP</v>
      </c>
      <c r="AR7" s="86" t="str">
        <f t="shared" si="1"/>
        <v>no</v>
      </c>
      <c r="AS7" s="86" t="str">
        <f t="shared" si="1"/>
        <v>yes</v>
      </c>
      <c r="AT7" s="87" t="s">
        <v>132</v>
      </c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</row>
    <row r="8" spans="1:75" x14ac:dyDescent="0.2">
      <c r="A8">
        <v>5</v>
      </c>
      <c r="B8" s="34">
        <v>382</v>
      </c>
      <c r="C8" s="86" t="str">
        <f t="shared" si="2"/>
        <v>VGW-103 (SDI05)</v>
      </c>
      <c r="D8" s="88">
        <f t="shared" si="3"/>
        <v>43805</v>
      </c>
      <c r="E8" s="88">
        <f t="shared" si="4"/>
        <v>43805</v>
      </c>
      <c r="F8" s="37" t="s">
        <v>113</v>
      </c>
      <c r="G8" s="85">
        <f>IF(Tabelle3[[#This Row],[Port direction]]="IP&gt;SDI",1,0)</f>
        <v>0</v>
      </c>
      <c r="H8" s="85">
        <f>IF(Tabelle3[[#This Row],[Port direction]]="SDI&gt;IP",1,0)</f>
        <v>1</v>
      </c>
      <c r="I8" s="85">
        <f>IF(Tabelle3[[#This Row],[Port direction]]="IP&gt;SDI",16,0)</f>
        <v>0</v>
      </c>
      <c r="J8" s="85">
        <f>IF(Tabelle3[[#This Row],[Port direction]]="SDI&gt;IP",16,0)</f>
        <v>16</v>
      </c>
      <c r="K8" s="85">
        <f>IF(Tabelle3[[#This Row],[Port direction]]="IP&gt;SDI",4,0)</f>
        <v>0</v>
      </c>
      <c r="L8" s="85">
        <f>IF(Tabelle3[[#This Row],[Port direction]]="SDI&gt;IP",4,0)</f>
        <v>4</v>
      </c>
      <c r="M8" s="39" t="s">
        <v>114</v>
      </c>
      <c r="N8" s="86" t="str">
        <f t="shared" si="5"/>
        <v>TC.U1.223 | MDC</v>
      </c>
      <c r="O8" s="86" t="str">
        <f t="shared" si="6"/>
        <v>Imagine Comunications</v>
      </c>
      <c r="P8" s="86" t="str">
        <f t="shared" si="6"/>
        <v>SNP Gateway</v>
      </c>
      <c r="Q8" s="34" t="s">
        <v>139</v>
      </c>
      <c r="R8" s="34" t="s">
        <v>140</v>
      </c>
      <c r="S8" s="34" t="s">
        <v>120</v>
      </c>
      <c r="T8" s="33"/>
      <c r="U8" s="40"/>
      <c r="V8" s="40">
        <v>1</v>
      </c>
      <c r="W8" s="40"/>
      <c r="X8" s="34"/>
      <c r="Y8" s="34">
        <v>1</v>
      </c>
      <c r="Z8" s="34" t="s">
        <v>121</v>
      </c>
      <c r="AA8" s="86" t="str">
        <f t="shared" si="7"/>
        <v>tpco-megw-vgw103.rta.st-net.media.int</v>
      </c>
      <c r="AB8" s="86" t="str">
        <f t="shared" si="1"/>
        <v>10.120.236.50</v>
      </c>
      <c r="AC8" s="86" t="str">
        <f t="shared" si="1"/>
        <v>AVCoreA</v>
      </c>
      <c r="AD8" s="86" t="str">
        <f t="shared" si="1"/>
        <v>5_36_1</v>
      </c>
      <c r="AE8" s="86" t="str">
        <f t="shared" si="1"/>
        <v>tpco-megw-vgw103.rtb.st-net.media.int</v>
      </c>
      <c r="AF8" s="86" t="str">
        <f t="shared" si="1"/>
        <v>10.120.236.54</v>
      </c>
      <c r="AG8" s="86" t="str">
        <f t="shared" si="1"/>
        <v>AVCoreB</v>
      </c>
      <c r="AH8" s="86" t="str">
        <f t="shared" si="1"/>
        <v>5_36_1</v>
      </c>
      <c r="AI8" s="86" t="str">
        <f t="shared" si="1"/>
        <v>tpco-megw-vgw103.st-net.media.int</v>
      </c>
      <c r="AJ8" s="86" t="str">
        <f t="shared" si="1"/>
        <v>10.120.67.141</v>
      </c>
      <c r="AK8" s="86">
        <f t="shared" si="1"/>
        <v>0</v>
      </c>
      <c r="AL8" s="86">
        <f t="shared" si="1"/>
        <v>0</v>
      </c>
      <c r="AM8" s="86">
        <f t="shared" si="1"/>
        <v>0</v>
      </c>
      <c r="AN8" s="86">
        <f t="shared" si="1"/>
        <v>0</v>
      </c>
      <c r="AO8" s="86">
        <f t="shared" si="1"/>
        <v>0</v>
      </c>
      <c r="AP8" s="86">
        <f t="shared" si="1"/>
        <v>0</v>
      </c>
      <c r="AQ8" s="86" t="str">
        <f t="shared" si="1"/>
        <v>Imagine Communications SNP</v>
      </c>
      <c r="AR8" s="86" t="str">
        <f t="shared" si="1"/>
        <v>no</v>
      </c>
      <c r="AS8" s="86" t="str">
        <f t="shared" si="1"/>
        <v>yes</v>
      </c>
      <c r="AT8" s="87" t="s">
        <v>132</v>
      </c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</row>
    <row r="9" spans="1:75" x14ac:dyDescent="0.2">
      <c r="A9">
        <v>6</v>
      </c>
      <c r="B9" s="34">
        <v>383</v>
      </c>
      <c r="C9" s="86" t="str">
        <f t="shared" si="2"/>
        <v>VGW-103 (SDI06)</v>
      </c>
      <c r="D9" s="88">
        <f t="shared" si="3"/>
        <v>43805</v>
      </c>
      <c r="E9" s="88">
        <f t="shared" si="4"/>
        <v>43805</v>
      </c>
      <c r="F9" s="89" t="s">
        <v>113</v>
      </c>
      <c r="G9" s="85">
        <f t="shared" ref="G9:L11" si="8">G8</f>
        <v>0</v>
      </c>
      <c r="H9" s="85">
        <f t="shared" si="8"/>
        <v>1</v>
      </c>
      <c r="I9" s="85">
        <f t="shared" si="8"/>
        <v>0</v>
      </c>
      <c r="J9" s="85">
        <f t="shared" si="8"/>
        <v>16</v>
      </c>
      <c r="K9" s="85">
        <f t="shared" si="8"/>
        <v>0</v>
      </c>
      <c r="L9" s="85">
        <f t="shared" si="8"/>
        <v>4</v>
      </c>
      <c r="M9" s="39" t="s">
        <v>114</v>
      </c>
      <c r="N9" s="86" t="str">
        <f t="shared" si="5"/>
        <v>TC.U1.223 | MDC</v>
      </c>
      <c r="O9" s="86" t="str">
        <f t="shared" si="6"/>
        <v>Imagine Comunications</v>
      </c>
      <c r="P9" s="86" t="str">
        <f t="shared" si="6"/>
        <v>SNP Gateway</v>
      </c>
      <c r="Q9" s="34" t="s">
        <v>141</v>
      </c>
      <c r="R9" s="34" t="s">
        <v>140</v>
      </c>
      <c r="S9" s="34" t="s">
        <v>120</v>
      </c>
      <c r="T9" s="33"/>
      <c r="U9" s="40"/>
      <c r="V9" s="40">
        <v>1</v>
      </c>
      <c r="W9" s="40"/>
      <c r="X9" s="34"/>
      <c r="Y9" s="34">
        <v>1</v>
      </c>
      <c r="Z9" s="34" t="s">
        <v>121</v>
      </c>
      <c r="AA9" s="86" t="str">
        <f t="shared" si="7"/>
        <v>tpco-megw-vgw103.rta.st-net.media.int</v>
      </c>
      <c r="AB9" s="86" t="str">
        <f t="shared" si="1"/>
        <v>10.120.236.50</v>
      </c>
      <c r="AC9" s="86" t="str">
        <f t="shared" si="1"/>
        <v>AVCoreA</v>
      </c>
      <c r="AD9" s="86" t="str">
        <f t="shared" si="1"/>
        <v>5_36_1</v>
      </c>
      <c r="AE9" s="86" t="str">
        <f t="shared" si="1"/>
        <v>tpco-megw-vgw103.rtb.st-net.media.int</v>
      </c>
      <c r="AF9" s="86" t="str">
        <f t="shared" si="1"/>
        <v>10.120.236.54</v>
      </c>
      <c r="AG9" s="86" t="str">
        <f t="shared" si="1"/>
        <v>AVCoreB</v>
      </c>
      <c r="AH9" s="86" t="str">
        <f t="shared" si="1"/>
        <v>5_36_1</v>
      </c>
      <c r="AI9" s="86" t="str">
        <f t="shared" si="1"/>
        <v>tpco-megw-vgw103.st-net.media.int</v>
      </c>
      <c r="AJ9" s="86" t="str">
        <f t="shared" si="1"/>
        <v>10.120.67.141</v>
      </c>
      <c r="AK9" s="86">
        <f t="shared" si="1"/>
        <v>0</v>
      </c>
      <c r="AL9" s="86">
        <f t="shared" si="1"/>
        <v>0</v>
      </c>
      <c r="AM9" s="86">
        <f t="shared" si="1"/>
        <v>0</v>
      </c>
      <c r="AN9" s="86">
        <f t="shared" si="1"/>
        <v>0</v>
      </c>
      <c r="AO9" s="86">
        <f t="shared" si="1"/>
        <v>0</v>
      </c>
      <c r="AP9" s="86">
        <f t="shared" si="1"/>
        <v>0</v>
      </c>
      <c r="AQ9" s="86" t="str">
        <f t="shared" si="1"/>
        <v>Imagine Communications SNP</v>
      </c>
      <c r="AR9" s="86" t="str">
        <f t="shared" si="1"/>
        <v>no</v>
      </c>
      <c r="AS9" s="86" t="str">
        <f t="shared" si="1"/>
        <v>yes</v>
      </c>
      <c r="AT9" s="87" t="s">
        <v>132</v>
      </c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</row>
    <row r="10" spans="1:75" x14ac:dyDescent="0.2">
      <c r="A10">
        <v>7</v>
      </c>
      <c r="B10" s="34">
        <v>384</v>
      </c>
      <c r="C10" s="86" t="str">
        <f t="shared" si="2"/>
        <v>VGW-103 (SDI07)</v>
      </c>
      <c r="D10" s="88">
        <f t="shared" si="3"/>
        <v>43805</v>
      </c>
      <c r="E10" s="88">
        <f t="shared" si="4"/>
        <v>43805</v>
      </c>
      <c r="F10" s="89" t="s">
        <v>113</v>
      </c>
      <c r="G10" s="85">
        <f t="shared" si="8"/>
        <v>0</v>
      </c>
      <c r="H10" s="85">
        <f t="shared" si="8"/>
        <v>1</v>
      </c>
      <c r="I10" s="85">
        <f t="shared" si="8"/>
        <v>0</v>
      </c>
      <c r="J10" s="85">
        <f t="shared" si="8"/>
        <v>16</v>
      </c>
      <c r="K10" s="85">
        <f t="shared" si="8"/>
        <v>0</v>
      </c>
      <c r="L10" s="85">
        <f t="shared" si="8"/>
        <v>4</v>
      </c>
      <c r="M10" s="39" t="s">
        <v>114</v>
      </c>
      <c r="N10" s="86" t="str">
        <f t="shared" si="5"/>
        <v>TC.U1.223 | MDC</v>
      </c>
      <c r="O10" s="86" t="str">
        <f t="shared" si="6"/>
        <v>Imagine Comunications</v>
      </c>
      <c r="P10" s="86" t="str">
        <f t="shared" si="6"/>
        <v>SNP Gateway</v>
      </c>
      <c r="Q10" s="34" t="s">
        <v>142</v>
      </c>
      <c r="R10" s="34" t="s">
        <v>143</v>
      </c>
      <c r="S10" s="34" t="s">
        <v>144</v>
      </c>
      <c r="T10" s="33"/>
      <c r="U10" s="40"/>
      <c r="V10" s="40">
        <v>1</v>
      </c>
      <c r="W10" s="40"/>
      <c r="X10" s="34"/>
      <c r="Y10" s="34">
        <v>1</v>
      </c>
      <c r="Z10" s="34" t="s">
        <v>121</v>
      </c>
      <c r="AA10" s="86" t="str">
        <f t="shared" si="7"/>
        <v>tpco-megw-vgw103.rta.st-net.media.int</v>
      </c>
      <c r="AB10" s="86" t="str">
        <f t="shared" si="1"/>
        <v>10.120.236.50</v>
      </c>
      <c r="AC10" s="86" t="str">
        <f t="shared" si="1"/>
        <v>AVCoreA</v>
      </c>
      <c r="AD10" s="86" t="str">
        <f t="shared" si="1"/>
        <v>5_36_1</v>
      </c>
      <c r="AE10" s="86" t="str">
        <f t="shared" si="1"/>
        <v>tpco-megw-vgw103.rtb.st-net.media.int</v>
      </c>
      <c r="AF10" s="86" t="str">
        <f t="shared" si="1"/>
        <v>10.120.236.54</v>
      </c>
      <c r="AG10" s="86" t="str">
        <f t="shared" si="1"/>
        <v>AVCoreB</v>
      </c>
      <c r="AH10" s="86" t="str">
        <f t="shared" si="1"/>
        <v>5_36_1</v>
      </c>
      <c r="AI10" s="86" t="str">
        <f t="shared" si="1"/>
        <v>tpco-megw-vgw103.st-net.media.int</v>
      </c>
      <c r="AJ10" s="86" t="str">
        <f t="shared" si="1"/>
        <v>10.120.67.141</v>
      </c>
      <c r="AK10" s="86">
        <f t="shared" si="1"/>
        <v>0</v>
      </c>
      <c r="AL10" s="86">
        <f t="shared" si="1"/>
        <v>0</v>
      </c>
      <c r="AM10" s="86">
        <f t="shared" si="1"/>
        <v>0</v>
      </c>
      <c r="AN10" s="86">
        <f t="shared" si="1"/>
        <v>0</v>
      </c>
      <c r="AO10" s="86">
        <f t="shared" si="1"/>
        <v>0</v>
      </c>
      <c r="AP10" s="86">
        <f t="shared" si="1"/>
        <v>0</v>
      </c>
      <c r="AQ10" s="86" t="str">
        <f t="shared" si="1"/>
        <v>Imagine Communications SNP</v>
      </c>
      <c r="AR10" s="86" t="str">
        <f t="shared" si="1"/>
        <v>no</v>
      </c>
      <c r="AS10" s="86" t="str">
        <f t="shared" si="1"/>
        <v>yes</v>
      </c>
      <c r="AT10" s="87" t="s">
        <v>132</v>
      </c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</row>
    <row r="11" spans="1:75" x14ac:dyDescent="0.2">
      <c r="A11">
        <v>8</v>
      </c>
      <c r="B11" s="34">
        <v>385</v>
      </c>
      <c r="C11" s="86" t="str">
        <f t="shared" si="2"/>
        <v>VGW-103 (SDI08)</v>
      </c>
      <c r="D11" s="88">
        <f t="shared" si="3"/>
        <v>43805</v>
      </c>
      <c r="E11" s="88">
        <f t="shared" si="4"/>
        <v>43805</v>
      </c>
      <c r="F11" s="89" t="s">
        <v>113</v>
      </c>
      <c r="G11" s="85">
        <f t="shared" si="8"/>
        <v>0</v>
      </c>
      <c r="H11" s="85">
        <f t="shared" si="8"/>
        <v>1</v>
      </c>
      <c r="I11" s="85">
        <f t="shared" si="8"/>
        <v>0</v>
      </c>
      <c r="J11" s="85">
        <f t="shared" si="8"/>
        <v>16</v>
      </c>
      <c r="K11" s="85">
        <f t="shared" si="8"/>
        <v>0</v>
      </c>
      <c r="L11" s="85">
        <f t="shared" si="8"/>
        <v>4</v>
      </c>
      <c r="M11" s="39" t="s">
        <v>114</v>
      </c>
      <c r="N11" s="86" t="str">
        <f t="shared" si="5"/>
        <v>TC.U1.223 | MDC</v>
      </c>
      <c r="O11" s="86" t="str">
        <f t="shared" si="6"/>
        <v>Imagine Comunications</v>
      </c>
      <c r="P11" s="86" t="str">
        <f t="shared" si="6"/>
        <v>SNP Gateway</v>
      </c>
      <c r="Q11" s="34" t="s">
        <v>145</v>
      </c>
      <c r="R11" s="34" t="s">
        <v>143</v>
      </c>
      <c r="S11" s="34" t="s">
        <v>144</v>
      </c>
      <c r="T11" s="33"/>
      <c r="U11" s="40"/>
      <c r="V11" s="40">
        <v>1</v>
      </c>
      <c r="W11" s="40"/>
      <c r="X11" s="34"/>
      <c r="Y11" s="34">
        <v>1</v>
      </c>
      <c r="Z11" s="34" t="s">
        <v>121</v>
      </c>
      <c r="AA11" s="86" t="str">
        <f t="shared" si="7"/>
        <v>tpco-megw-vgw103.rta.st-net.media.int</v>
      </c>
      <c r="AB11" s="86" t="str">
        <f t="shared" si="1"/>
        <v>10.120.236.50</v>
      </c>
      <c r="AC11" s="86" t="str">
        <f t="shared" si="1"/>
        <v>AVCoreA</v>
      </c>
      <c r="AD11" s="86" t="str">
        <f t="shared" si="1"/>
        <v>5_36_1</v>
      </c>
      <c r="AE11" s="86" t="str">
        <f t="shared" si="1"/>
        <v>tpco-megw-vgw103.rtb.st-net.media.int</v>
      </c>
      <c r="AF11" s="86" t="str">
        <f t="shared" si="1"/>
        <v>10.120.236.54</v>
      </c>
      <c r="AG11" s="86" t="str">
        <f t="shared" si="1"/>
        <v>AVCoreB</v>
      </c>
      <c r="AH11" s="86" t="str">
        <f t="shared" si="1"/>
        <v>5_36_1</v>
      </c>
      <c r="AI11" s="86" t="str">
        <f t="shared" si="1"/>
        <v>tpco-megw-vgw103.st-net.media.int</v>
      </c>
      <c r="AJ11" s="86" t="str">
        <f t="shared" si="1"/>
        <v>10.120.67.141</v>
      </c>
      <c r="AK11" s="86">
        <f t="shared" si="1"/>
        <v>0</v>
      </c>
      <c r="AL11" s="86">
        <f t="shared" si="1"/>
        <v>0</v>
      </c>
      <c r="AM11" s="86">
        <f t="shared" si="1"/>
        <v>0</v>
      </c>
      <c r="AN11" s="86">
        <f t="shared" si="1"/>
        <v>0</v>
      </c>
      <c r="AO11" s="86">
        <f t="shared" si="1"/>
        <v>0</v>
      </c>
      <c r="AP11" s="86">
        <f t="shared" si="1"/>
        <v>0</v>
      </c>
      <c r="AQ11" s="86" t="str">
        <f t="shared" si="1"/>
        <v>Imagine Communications SNP</v>
      </c>
      <c r="AR11" s="86" t="str">
        <f t="shared" si="1"/>
        <v>no</v>
      </c>
      <c r="AS11" s="86" t="str">
        <f t="shared" si="1"/>
        <v>yes</v>
      </c>
      <c r="AT11" s="87" t="s">
        <v>132</v>
      </c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</row>
    <row r="12" spans="1:75" x14ac:dyDescent="0.2">
      <c r="A12">
        <v>9</v>
      </c>
      <c r="B12" s="34">
        <v>386</v>
      </c>
      <c r="C12" s="86" t="str">
        <f t="shared" si="2"/>
        <v>VGW-103 (SDI09)</v>
      </c>
      <c r="D12" s="88">
        <f t="shared" si="3"/>
        <v>43805</v>
      </c>
      <c r="E12" s="88">
        <f t="shared" si="4"/>
        <v>43805</v>
      </c>
      <c r="F12" s="37" t="s">
        <v>146</v>
      </c>
      <c r="G12" s="85">
        <f>IF(Tabelle3[[#This Row],[Port direction]]="IP&gt;SDI",1,0)</f>
        <v>1</v>
      </c>
      <c r="H12" s="85">
        <f>IF(Tabelle3[[#This Row],[Port direction]]="SDI&gt;IP",1,0)</f>
        <v>0</v>
      </c>
      <c r="I12" s="85">
        <f>IF(Tabelle3[[#This Row],[Port direction]]="IP&gt;SDI",16,0)</f>
        <v>16</v>
      </c>
      <c r="J12" s="85">
        <f>IF(Tabelle3[[#This Row],[Port direction]]="SDI&gt;IP",16,0)</f>
        <v>0</v>
      </c>
      <c r="K12" s="85">
        <f>IF(Tabelle3[[#This Row],[Port direction]]="IP&gt;SDI",4,0)</f>
        <v>4</v>
      </c>
      <c r="L12" s="85">
        <f>IF(Tabelle3[[#This Row],[Port direction]]="SDI&gt;IP",4,0)</f>
        <v>0</v>
      </c>
      <c r="M12" s="39" t="s">
        <v>114</v>
      </c>
      <c r="N12" s="86" t="str">
        <f t="shared" si="5"/>
        <v>TC.U1.223 | MDC</v>
      </c>
      <c r="O12" s="86" t="str">
        <f t="shared" si="6"/>
        <v>Imagine Comunications</v>
      </c>
      <c r="P12" s="86" t="str">
        <f t="shared" si="6"/>
        <v>SNP Gateway</v>
      </c>
      <c r="Q12" s="34" t="s">
        <v>147</v>
      </c>
      <c r="R12" s="34" t="s">
        <v>148</v>
      </c>
      <c r="S12" s="34" t="s">
        <v>149</v>
      </c>
      <c r="T12" s="33"/>
      <c r="U12" s="40"/>
      <c r="V12" s="40">
        <v>1</v>
      </c>
      <c r="W12" s="40"/>
      <c r="X12" s="34"/>
      <c r="Y12" s="34" t="s">
        <v>150</v>
      </c>
      <c r="Z12" s="34" t="s">
        <v>121</v>
      </c>
      <c r="AA12" s="86" t="str">
        <f t="shared" si="7"/>
        <v>tpco-megw-vgw103.rta.st-net.media.int</v>
      </c>
      <c r="AB12" s="86" t="str">
        <f t="shared" si="1"/>
        <v>10.120.236.50</v>
      </c>
      <c r="AC12" s="86" t="str">
        <f t="shared" si="1"/>
        <v>AVCoreA</v>
      </c>
      <c r="AD12" s="86" t="str">
        <f t="shared" si="1"/>
        <v>5_36_1</v>
      </c>
      <c r="AE12" s="86" t="str">
        <f t="shared" si="1"/>
        <v>tpco-megw-vgw103.rtb.st-net.media.int</v>
      </c>
      <c r="AF12" s="86" t="str">
        <f t="shared" si="1"/>
        <v>10.120.236.54</v>
      </c>
      <c r="AG12" s="86" t="str">
        <f t="shared" si="1"/>
        <v>AVCoreB</v>
      </c>
      <c r="AH12" s="86" t="str">
        <f t="shared" si="1"/>
        <v>5_36_1</v>
      </c>
      <c r="AI12" s="86" t="str">
        <f t="shared" si="1"/>
        <v>tpco-megw-vgw103.st-net.media.int</v>
      </c>
      <c r="AJ12" s="86" t="str">
        <f t="shared" si="1"/>
        <v>10.120.67.141</v>
      </c>
      <c r="AK12" s="86">
        <f t="shared" si="1"/>
        <v>0</v>
      </c>
      <c r="AL12" s="86">
        <f t="shared" si="1"/>
        <v>0</v>
      </c>
      <c r="AM12" s="86">
        <f t="shared" si="1"/>
        <v>0</v>
      </c>
      <c r="AN12" s="86">
        <f t="shared" si="1"/>
        <v>0</v>
      </c>
      <c r="AO12" s="86">
        <f t="shared" si="1"/>
        <v>0</v>
      </c>
      <c r="AP12" s="86">
        <f t="shared" si="1"/>
        <v>0</v>
      </c>
      <c r="AQ12" s="86" t="str">
        <f t="shared" si="1"/>
        <v>Imagine Communications SNP</v>
      </c>
      <c r="AR12" s="86" t="str">
        <f t="shared" si="1"/>
        <v>no</v>
      </c>
      <c r="AS12" s="86" t="str">
        <f t="shared" si="1"/>
        <v>yes</v>
      </c>
      <c r="AT12" s="87" t="s">
        <v>132</v>
      </c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</row>
    <row r="13" spans="1:75" x14ac:dyDescent="0.2">
      <c r="A13">
        <v>10</v>
      </c>
      <c r="B13" s="34">
        <v>387</v>
      </c>
      <c r="C13" s="86" t="str">
        <f t="shared" si="2"/>
        <v>VGW-103 (SDI10)</v>
      </c>
      <c r="D13" s="88">
        <f t="shared" si="3"/>
        <v>43805</v>
      </c>
      <c r="E13" s="88">
        <f t="shared" si="4"/>
        <v>43805</v>
      </c>
      <c r="F13" s="89" t="s">
        <v>146</v>
      </c>
      <c r="G13" s="85">
        <f t="shared" ref="G13:L13" si="9">G12</f>
        <v>1</v>
      </c>
      <c r="H13" s="85">
        <f t="shared" si="9"/>
        <v>0</v>
      </c>
      <c r="I13" s="85">
        <f t="shared" si="9"/>
        <v>16</v>
      </c>
      <c r="J13" s="85">
        <f t="shared" si="9"/>
        <v>0</v>
      </c>
      <c r="K13" s="85">
        <f t="shared" si="9"/>
        <v>4</v>
      </c>
      <c r="L13" s="85">
        <f t="shared" si="9"/>
        <v>0</v>
      </c>
      <c r="M13" s="39" t="s">
        <v>114</v>
      </c>
      <c r="N13" s="86" t="str">
        <f t="shared" si="5"/>
        <v>TC.U1.223 | MDC</v>
      </c>
      <c r="O13" s="86" t="str">
        <f t="shared" si="6"/>
        <v>Imagine Comunications</v>
      </c>
      <c r="P13" s="86" t="str">
        <f t="shared" si="6"/>
        <v>SNP Gateway</v>
      </c>
      <c r="Q13" s="34" t="s">
        <v>147</v>
      </c>
      <c r="R13" s="34" t="s">
        <v>148</v>
      </c>
      <c r="S13" s="34" t="s">
        <v>149</v>
      </c>
      <c r="T13" s="33"/>
      <c r="U13" s="40"/>
      <c r="V13" s="40">
        <v>1</v>
      </c>
      <c r="W13" s="40"/>
      <c r="X13" s="34"/>
      <c r="Y13" s="34" t="s">
        <v>150</v>
      </c>
      <c r="Z13" s="34" t="s">
        <v>121</v>
      </c>
      <c r="AA13" s="86" t="str">
        <f t="shared" si="7"/>
        <v>tpco-megw-vgw103.rta.st-net.media.int</v>
      </c>
      <c r="AB13" s="86" t="str">
        <f t="shared" si="1"/>
        <v>10.120.236.50</v>
      </c>
      <c r="AC13" s="86" t="str">
        <f t="shared" si="1"/>
        <v>AVCoreA</v>
      </c>
      <c r="AD13" s="86" t="str">
        <f t="shared" si="1"/>
        <v>5_36_1</v>
      </c>
      <c r="AE13" s="86" t="str">
        <f t="shared" si="1"/>
        <v>tpco-megw-vgw103.rtb.st-net.media.int</v>
      </c>
      <c r="AF13" s="86" t="str">
        <f t="shared" si="1"/>
        <v>10.120.236.54</v>
      </c>
      <c r="AG13" s="86" t="str">
        <f t="shared" si="1"/>
        <v>AVCoreB</v>
      </c>
      <c r="AH13" s="86" t="str">
        <f t="shared" si="1"/>
        <v>5_36_1</v>
      </c>
      <c r="AI13" s="86" t="str">
        <f t="shared" si="1"/>
        <v>tpco-megw-vgw103.st-net.media.int</v>
      </c>
      <c r="AJ13" s="86" t="str">
        <f t="shared" si="1"/>
        <v>10.120.67.141</v>
      </c>
      <c r="AK13" s="86">
        <f t="shared" si="1"/>
        <v>0</v>
      </c>
      <c r="AL13" s="86">
        <f t="shared" si="1"/>
        <v>0</v>
      </c>
      <c r="AM13" s="86">
        <f t="shared" si="1"/>
        <v>0</v>
      </c>
      <c r="AN13" s="86">
        <f t="shared" si="1"/>
        <v>0</v>
      </c>
      <c r="AO13" s="86">
        <f t="shared" si="1"/>
        <v>0</v>
      </c>
      <c r="AP13" s="86">
        <f t="shared" si="1"/>
        <v>0</v>
      </c>
      <c r="AQ13" s="86" t="str">
        <f t="shared" si="1"/>
        <v>Imagine Communications SNP</v>
      </c>
      <c r="AR13" s="86" t="str">
        <f t="shared" si="1"/>
        <v>no</v>
      </c>
      <c r="AS13" s="86" t="str">
        <f t="shared" si="1"/>
        <v>yes</v>
      </c>
      <c r="AT13" s="87" t="s">
        <v>132</v>
      </c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</row>
    <row r="14" spans="1:75" x14ac:dyDescent="0.2">
      <c r="A14">
        <v>11</v>
      </c>
      <c r="B14" s="34">
        <v>388</v>
      </c>
      <c r="C14" s="86" t="str">
        <f t="shared" si="2"/>
        <v>VGW-103 (SDI11)</v>
      </c>
      <c r="D14" s="88">
        <f t="shared" si="3"/>
        <v>43805</v>
      </c>
      <c r="E14" s="88">
        <f t="shared" si="4"/>
        <v>43805</v>
      </c>
      <c r="F14" s="89" t="s">
        <v>146</v>
      </c>
      <c r="G14" s="85">
        <f t="shared" ref="G14:L14" si="10">G13</f>
        <v>1</v>
      </c>
      <c r="H14" s="85">
        <f t="shared" si="10"/>
        <v>0</v>
      </c>
      <c r="I14" s="85">
        <f t="shared" si="10"/>
        <v>16</v>
      </c>
      <c r="J14" s="85">
        <f t="shared" si="10"/>
        <v>0</v>
      </c>
      <c r="K14" s="85">
        <f t="shared" si="10"/>
        <v>4</v>
      </c>
      <c r="L14" s="85">
        <f t="shared" si="10"/>
        <v>0</v>
      </c>
      <c r="M14" s="39" t="s">
        <v>114</v>
      </c>
      <c r="N14" s="86" t="str">
        <f t="shared" si="5"/>
        <v>TC.U1.223 | MDC</v>
      </c>
      <c r="O14" s="86" t="str">
        <f t="shared" si="6"/>
        <v>Imagine Comunications</v>
      </c>
      <c r="P14" s="86" t="str">
        <f t="shared" si="6"/>
        <v>SNP Gateway</v>
      </c>
      <c r="Q14" s="34" t="s">
        <v>147</v>
      </c>
      <c r="R14" s="34" t="s">
        <v>148</v>
      </c>
      <c r="S14" s="34" t="s">
        <v>149</v>
      </c>
      <c r="T14" s="33"/>
      <c r="U14" s="40"/>
      <c r="V14" s="40">
        <v>1</v>
      </c>
      <c r="W14" s="40"/>
      <c r="X14" s="34"/>
      <c r="Y14" s="34" t="s">
        <v>150</v>
      </c>
      <c r="Z14" s="34" t="s">
        <v>121</v>
      </c>
      <c r="AA14" s="86" t="str">
        <f t="shared" si="7"/>
        <v>tpco-megw-vgw103.rta.st-net.media.int</v>
      </c>
      <c r="AB14" s="86" t="str">
        <f t="shared" si="1"/>
        <v>10.120.236.50</v>
      </c>
      <c r="AC14" s="86" t="str">
        <f t="shared" si="1"/>
        <v>AVCoreA</v>
      </c>
      <c r="AD14" s="86" t="str">
        <f t="shared" si="1"/>
        <v>5_36_1</v>
      </c>
      <c r="AE14" s="86" t="str">
        <f t="shared" si="1"/>
        <v>tpco-megw-vgw103.rtb.st-net.media.int</v>
      </c>
      <c r="AF14" s="86" t="str">
        <f t="shared" si="1"/>
        <v>10.120.236.54</v>
      </c>
      <c r="AG14" s="86" t="str">
        <f t="shared" si="1"/>
        <v>AVCoreB</v>
      </c>
      <c r="AH14" s="86" t="str">
        <f t="shared" si="1"/>
        <v>5_36_1</v>
      </c>
      <c r="AI14" s="86" t="str">
        <f t="shared" si="1"/>
        <v>tpco-megw-vgw103.st-net.media.int</v>
      </c>
      <c r="AJ14" s="86" t="str">
        <f t="shared" si="1"/>
        <v>10.120.67.141</v>
      </c>
      <c r="AK14" s="86">
        <f t="shared" si="1"/>
        <v>0</v>
      </c>
      <c r="AL14" s="86">
        <f t="shared" si="1"/>
        <v>0</v>
      </c>
      <c r="AM14" s="86">
        <f t="shared" si="1"/>
        <v>0</v>
      </c>
      <c r="AN14" s="86">
        <f t="shared" si="1"/>
        <v>0</v>
      </c>
      <c r="AO14" s="86">
        <f t="shared" si="1"/>
        <v>0</v>
      </c>
      <c r="AP14" s="86">
        <f t="shared" si="1"/>
        <v>0</v>
      </c>
      <c r="AQ14" s="86" t="str">
        <f t="shared" si="1"/>
        <v>Imagine Communications SNP</v>
      </c>
      <c r="AR14" s="86" t="str">
        <f t="shared" si="1"/>
        <v>no</v>
      </c>
      <c r="AS14" s="86" t="str">
        <f t="shared" si="1"/>
        <v>yes</v>
      </c>
      <c r="AT14" s="87" t="s">
        <v>132</v>
      </c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</row>
    <row r="15" spans="1:75" x14ac:dyDescent="0.2">
      <c r="A15">
        <v>12</v>
      </c>
      <c r="B15" s="34">
        <v>389</v>
      </c>
      <c r="C15" s="86" t="str">
        <f t="shared" si="2"/>
        <v>VGW-103 (SDI12)</v>
      </c>
      <c r="D15" s="88">
        <f t="shared" si="3"/>
        <v>43805</v>
      </c>
      <c r="E15" s="88">
        <f t="shared" si="4"/>
        <v>43805</v>
      </c>
      <c r="F15" s="89" t="s">
        <v>146</v>
      </c>
      <c r="G15" s="85">
        <f t="shared" ref="G15:L15" si="11">G14</f>
        <v>1</v>
      </c>
      <c r="H15" s="85">
        <f t="shared" si="11"/>
        <v>0</v>
      </c>
      <c r="I15" s="85">
        <f t="shared" si="11"/>
        <v>16</v>
      </c>
      <c r="J15" s="85">
        <f t="shared" si="11"/>
        <v>0</v>
      </c>
      <c r="K15" s="85">
        <f t="shared" si="11"/>
        <v>4</v>
      </c>
      <c r="L15" s="85">
        <f t="shared" si="11"/>
        <v>0</v>
      </c>
      <c r="M15" s="39" t="s">
        <v>114</v>
      </c>
      <c r="N15" s="86" t="str">
        <f t="shared" si="5"/>
        <v>TC.U1.223 | MDC</v>
      </c>
      <c r="O15" s="86" t="str">
        <f t="shared" si="6"/>
        <v>Imagine Comunications</v>
      </c>
      <c r="P15" s="86" t="str">
        <f t="shared" si="6"/>
        <v>SNP Gateway</v>
      </c>
      <c r="Q15" s="34" t="s">
        <v>147</v>
      </c>
      <c r="R15" s="34" t="s">
        <v>148</v>
      </c>
      <c r="S15" s="34" t="s">
        <v>149</v>
      </c>
      <c r="T15" s="33"/>
      <c r="U15" s="40"/>
      <c r="V15" s="40">
        <v>1</v>
      </c>
      <c r="W15" s="40"/>
      <c r="X15" s="34"/>
      <c r="Y15" s="34" t="s">
        <v>150</v>
      </c>
      <c r="Z15" s="34" t="s">
        <v>121</v>
      </c>
      <c r="AA15" s="86" t="str">
        <f t="shared" si="7"/>
        <v>tpco-megw-vgw103.rta.st-net.media.int</v>
      </c>
      <c r="AB15" s="86" t="str">
        <f t="shared" si="1"/>
        <v>10.120.236.50</v>
      </c>
      <c r="AC15" s="86" t="str">
        <f t="shared" si="1"/>
        <v>AVCoreA</v>
      </c>
      <c r="AD15" s="86" t="str">
        <f t="shared" si="1"/>
        <v>5_36_1</v>
      </c>
      <c r="AE15" s="86" t="str">
        <f t="shared" si="1"/>
        <v>tpco-megw-vgw103.rtb.st-net.media.int</v>
      </c>
      <c r="AF15" s="86" t="str">
        <f t="shared" si="1"/>
        <v>10.120.236.54</v>
      </c>
      <c r="AG15" s="86" t="str">
        <f t="shared" si="1"/>
        <v>AVCoreB</v>
      </c>
      <c r="AH15" s="86" t="str">
        <f t="shared" si="1"/>
        <v>5_36_1</v>
      </c>
      <c r="AI15" s="86" t="str">
        <f t="shared" si="1"/>
        <v>tpco-megw-vgw103.st-net.media.int</v>
      </c>
      <c r="AJ15" s="86" t="str">
        <f t="shared" si="1"/>
        <v>10.120.67.141</v>
      </c>
      <c r="AK15" s="86">
        <f t="shared" si="1"/>
        <v>0</v>
      </c>
      <c r="AL15" s="86">
        <f t="shared" si="1"/>
        <v>0</v>
      </c>
      <c r="AM15" s="86">
        <f t="shared" si="1"/>
        <v>0</v>
      </c>
      <c r="AN15" s="86">
        <f t="shared" si="1"/>
        <v>0</v>
      </c>
      <c r="AO15" s="86">
        <f t="shared" si="1"/>
        <v>0</v>
      </c>
      <c r="AP15" s="86">
        <f t="shared" si="1"/>
        <v>0</v>
      </c>
      <c r="AQ15" s="86" t="str">
        <f t="shared" si="1"/>
        <v>Imagine Communications SNP</v>
      </c>
      <c r="AR15" s="86" t="str">
        <f t="shared" si="1"/>
        <v>no</v>
      </c>
      <c r="AS15" s="86" t="str">
        <f t="shared" si="1"/>
        <v>yes</v>
      </c>
      <c r="AT15" s="87" t="s">
        <v>132</v>
      </c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</row>
    <row r="16" spans="1:75" x14ac:dyDescent="0.2">
      <c r="A16">
        <v>13</v>
      </c>
      <c r="B16" s="34">
        <v>390</v>
      </c>
      <c r="C16" s="86" t="str">
        <f t="shared" si="2"/>
        <v>VGW-103 (SDI13)</v>
      </c>
      <c r="D16" s="88">
        <f t="shared" si="3"/>
        <v>43805</v>
      </c>
      <c r="E16" s="88">
        <f t="shared" si="4"/>
        <v>43805</v>
      </c>
      <c r="F16" s="37" t="s">
        <v>146</v>
      </c>
      <c r="G16" s="85">
        <f>IF(Tabelle3[[#This Row],[Port direction]]="IP&gt;SDI",1,0)</f>
        <v>1</v>
      </c>
      <c r="H16" s="85">
        <f>IF(Tabelle3[[#This Row],[Port direction]]="SDI&gt;IP",1,0)</f>
        <v>0</v>
      </c>
      <c r="I16" s="85">
        <f>IF(Tabelle3[[#This Row],[Port direction]]="IP&gt;SDI",16,0)</f>
        <v>16</v>
      </c>
      <c r="J16" s="85">
        <f>IF(Tabelle3[[#This Row],[Port direction]]="SDI&gt;IP",16,0)</f>
        <v>0</v>
      </c>
      <c r="K16" s="85">
        <f>IF(Tabelle3[[#This Row],[Port direction]]="IP&gt;SDI",4,0)</f>
        <v>4</v>
      </c>
      <c r="L16" s="85">
        <f>IF(Tabelle3[[#This Row],[Port direction]]="SDI&gt;IP",4,0)</f>
        <v>0</v>
      </c>
      <c r="M16" s="39" t="s">
        <v>114</v>
      </c>
      <c r="N16" s="86" t="str">
        <f t="shared" si="5"/>
        <v>TC.U1.223 | MDC</v>
      </c>
      <c r="O16" s="86" t="str">
        <f t="shared" si="6"/>
        <v>Imagine Comunications</v>
      </c>
      <c r="P16" s="86" t="str">
        <f t="shared" si="6"/>
        <v>SNP Gateway</v>
      </c>
      <c r="Q16" s="34" t="s">
        <v>151</v>
      </c>
      <c r="R16" s="34" t="s">
        <v>148</v>
      </c>
      <c r="S16" s="34" t="s">
        <v>149</v>
      </c>
      <c r="T16" s="33"/>
      <c r="U16" s="40"/>
      <c r="V16" s="40">
        <v>1</v>
      </c>
      <c r="W16" s="40"/>
      <c r="X16" s="34"/>
      <c r="Y16" s="34" t="s">
        <v>150</v>
      </c>
      <c r="Z16" s="34" t="s">
        <v>121</v>
      </c>
      <c r="AA16" s="86" t="str">
        <f t="shared" si="7"/>
        <v>tpco-megw-vgw103.rta.st-net.media.int</v>
      </c>
      <c r="AB16" s="86" t="str">
        <f t="shared" si="1"/>
        <v>10.120.236.50</v>
      </c>
      <c r="AC16" s="86" t="str">
        <f t="shared" si="1"/>
        <v>AVCoreA</v>
      </c>
      <c r="AD16" s="86" t="str">
        <f t="shared" si="1"/>
        <v>5_36_1</v>
      </c>
      <c r="AE16" s="86" t="str">
        <f t="shared" si="1"/>
        <v>tpco-megw-vgw103.rtb.st-net.media.int</v>
      </c>
      <c r="AF16" s="86" t="str">
        <f t="shared" si="1"/>
        <v>10.120.236.54</v>
      </c>
      <c r="AG16" s="86" t="str">
        <f t="shared" si="1"/>
        <v>AVCoreB</v>
      </c>
      <c r="AH16" s="86" t="str">
        <f t="shared" si="1"/>
        <v>5_36_1</v>
      </c>
      <c r="AI16" s="86" t="str">
        <f t="shared" si="1"/>
        <v>tpco-megw-vgw103.st-net.media.int</v>
      </c>
      <c r="AJ16" s="86" t="str">
        <f t="shared" si="1"/>
        <v>10.120.67.141</v>
      </c>
      <c r="AK16" s="86">
        <f t="shared" si="1"/>
        <v>0</v>
      </c>
      <c r="AL16" s="86">
        <f t="shared" si="1"/>
        <v>0</v>
      </c>
      <c r="AM16" s="86">
        <f t="shared" si="1"/>
        <v>0</v>
      </c>
      <c r="AN16" s="86">
        <f t="shared" si="1"/>
        <v>0</v>
      </c>
      <c r="AO16" s="86">
        <f t="shared" si="1"/>
        <v>0</v>
      </c>
      <c r="AP16" s="86">
        <f t="shared" si="1"/>
        <v>0</v>
      </c>
      <c r="AQ16" s="86" t="str">
        <f t="shared" si="1"/>
        <v>Imagine Communications SNP</v>
      </c>
      <c r="AR16" s="86" t="str">
        <f t="shared" si="1"/>
        <v>no</v>
      </c>
      <c r="AS16" s="86" t="str">
        <f t="shared" si="1"/>
        <v>yes</v>
      </c>
      <c r="AT16" s="87" t="s">
        <v>132</v>
      </c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</row>
    <row r="17" spans="1:75" x14ac:dyDescent="0.2">
      <c r="A17">
        <v>14</v>
      </c>
      <c r="B17" s="34">
        <v>391</v>
      </c>
      <c r="C17" s="86" t="str">
        <f t="shared" si="2"/>
        <v>VGW-103 (SDI14)</v>
      </c>
      <c r="D17" s="88">
        <f t="shared" si="3"/>
        <v>43805</v>
      </c>
      <c r="E17" s="88">
        <f t="shared" si="4"/>
        <v>43805</v>
      </c>
      <c r="F17" s="89" t="s">
        <v>146</v>
      </c>
      <c r="G17" s="85">
        <f t="shared" ref="G17:L17" si="12">G16</f>
        <v>1</v>
      </c>
      <c r="H17" s="85">
        <f t="shared" si="12"/>
        <v>0</v>
      </c>
      <c r="I17" s="85">
        <f t="shared" si="12"/>
        <v>16</v>
      </c>
      <c r="J17" s="85">
        <f t="shared" si="12"/>
        <v>0</v>
      </c>
      <c r="K17" s="85">
        <f t="shared" si="12"/>
        <v>4</v>
      </c>
      <c r="L17" s="85">
        <f t="shared" si="12"/>
        <v>0</v>
      </c>
      <c r="M17" s="39" t="s">
        <v>114</v>
      </c>
      <c r="N17" s="86" t="str">
        <f t="shared" si="5"/>
        <v>TC.U1.223 | MDC</v>
      </c>
      <c r="O17" s="86" t="str">
        <f t="shared" si="6"/>
        <v>Imagine Comunications</v>
      </c>
      <c r="P17" s="86" t="str">
        <f t="shared" si="6"/>
        <v>SNP Gateway</v>
      </c>
      <c r="Q17" s="34" t="s">
        <v>151</v>
      </c>
      <c r="R17" s="34" t="s">
        <v>148</v>
      </c>
      <c r="S17" s="34" t="s">
        <v>149</v>
      </c>
      <c r="T17" s="33"/>
      <c r="U17" s="40"/>
      <c r="V17" s="40">
        <v>1</v>
      </c>
      <c r="W17" s="40"/>
      <c r="X17" s="34"/>
      <c r="Y17" s="34" t="s">
        <v>150</v>
      </c>
      <c r="Z17" s="34" t="s">
        <v>121</v>
      </c>
      <c r="AA17" s="86" t="str">
        <f t="shared" si="7"/>
        <v>tpco-megw-vgw103.rta.st-net.media.int</v>
      </c>
      <c r="AB17" s="86" t="str">
        <f t="shared" si="1"/>
        <v>10.120.236.50</v>
      </c>
      <c r="AC17" s="86" t="str">
        <f t="shared" si="1"/>
        <v>AVCoreA</v>
      </c>
      <c r="AD17" s="86" t="str">
        <f t="shared" si="1"/>
        <v>5_36_1</v>
      </c>
      <c r="AE17" s="86" t="str">
        <f t="shared" si="1"/>
        <v>tpco-megw-vgw103.rtb.st-net.media.int</v>
      </c>
      <c r="AF17" s="86" t="str">
        <f t="shared" si="1"/>
        <v>10.120.236.54</v>
      </c>
      <c r="AG17" s="86" t="str">
        <f t="shared" si="1"/>
        <v>AVCoreB</v>
      </c>
      <c r="AH17" s="86" t="str">
        <f t="shared" si="1"/>
        <v>5_36_1</v>
      </c>
      <c r="AI17" s="86" t="str">
        <f t="shared" si="1"/>
        <v>tpco-megw-vgw103.st-net.media.int</v>
      </c>
      <c r="AJ17" s="86" t="str">
        <f t="shared" si="1"/>
        <v>10.120.67.141</v>
      </c>
      <c r="AK17" s="86">
        <f t="shared" si="1"/>
        <v>0</v>
      </c>
      <c r="AL17" s="86">
        <f t="shared" si="1"/>
        <v>0</v>
      </c>
      <c r="AM17" s="86">
        <f t="shared" si="1"/>
        <v>0</v>
      </c>
      <c r="AN17" s="86">
        <f t="shared" si="1"/>
        <v>0</v>
      </c>
      <c r="AO17" s="86">
        <f t="shared" si="1"/>
        <v>0</v>
      </c>
      <c r="AP17" s="86">
        <f t="shared" si="1"/>
        <v>0</v>
      </c>
      <c r="AQ17" s="86" t="str">
        <f t="shared" si="1"/>
        <v>Imagine Communications SNP</v>
      </c>
      <c r="AR17" s="86" t="str">
        <f t="shared" si="1"/>
        <v>no</v>
      </c>
      <c r="AS17" s="86" t="str">
        <f t="shared" si="1"/>
        <v>yes</v>
      </c>
      <c r="AT17" s="87" t="s">
        <v>132</v>
      </c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</row>
    <row r="18" spans="1:75" x14ac:dyDescent="0.2">
      <c r="A18">
        <v>15</v>
      </c>
      <c r="B18" s="34">
        <v>392</v>
      </c>
      <c r="C18" s="86" t="str">
        <f t="shared" si="2"/>
        <v>VGW-103 (SDI15)</v>
      </c>
      <c r="D18" s="88">
        <f t="shared" si="3"/>
        <v>43805</v>
      </c>
      <c r="E18" s="88">
        <f t="shared" si="4"/>
        <v>43805</v>
      </c>
      <c r="F18" s="89" t="s">
        <v>146</v>
      </c>
      <c r="G18" s="85">
        <f t="shared" ref="G18:L18" si="13">G17</f>
        <v>1</v>
      </c>
      <c r="H18" s="85">
        <f t="shared" si="13"/>
        <v>0</v>
      </c>
      <c r="I18" s="85">
        <f t="shared" si="13"/>
        <v>16</v>
      </c>
      <c r="J18" s="85">
        <f t="shared" si="13"/>
        <v>0</v>
      </c>
      <c r="K18" s="85">
        <f t="shared" si="13"/>
        <v>4</v>
      </c>
      <c r="L18" s="85">
        <f t="shared" si="13"/>
        <v>0</v>
      </c>
      <c r="M18" s="39" t="s">
        <v>114</v>
      </c>
      <c r="N18" s="86" t="str">
        <f t="shared" si="5"/>
        <v>TC.U1.223 | MDC</v>
      </c>
      <c r="O18" s="86" t="str">
        <f t="shared" si="6"/>
        <v>Imagine Comunications</v>
      </c>
      <c r="P18" s="86" t="str">
        <f t="shared" si="6"/>
        <v>SNP Gateway</v>
      </c>
      <c r="Q18" s="34" t="s">
        <v>151</v>
      </c>
      <c r="R18" s="34" t="s">
        <v>148</v>
      </c>
      <c r="S18" s="34" t="s">
        <v>149</v>
      </c>
      <c r="T18" s="33"/>
      <c r="U18" s="40"/>
      <c r="V18" s="40">
        <v>1</v>
      </c>
      <c r="W18" s="40"/>
      <c r="X18" s="34"/>
      <c r="Y18" s="34" t="s">
        <v>150</v>
      </c>
      <c r="Z18" s="34" t="s">
        <v>121</v>
      </c>
      <c r="AA18" s="86" t="str">
        <f t="shared" si="7"/>
        <v>tpco-megw-vgw103.rta.st-net.media.int</v>
      </c>
      <c r="AB18" s="86" t="str">
        <f t="shared" si="1"/>
        <v>10.120.236.50</v>
      </c>
      <c r="AC18" s="86" t="str">
        <f t="shared" si="1"/>
        <v>AVCoreA</v>
      </c>
      <c r="AD18" s="86" t="str">
        <f t="shared" si="1"/>
        <v>5_36_1</v>
      </c>
      <c r="AE18" s="86" t="str">
        <f t="shared" si="1"/>
        <v>tpco-megw-vgw103.rtb.st-net.media.int</v>
      </c>
      <c r="AF18" s="86" t="str">
        <f t="shared" si="1"/>
        <v>10.120.236.54</v>
      </c>
      <c r="AG18" s="86" t="str">
        <f t="shared" si="1"/>
        <v>AVCoreB</v>
      </c>
      <c r="AH18" s="86" t="str">
        <f t="shared" si="1"/>
        <v>5_36_1</v>
      </c>
      <c r="AI18" s="86" t="str">
        <f t="shared" si="1"/>
        <v>tpco-megw-vgw103.st-net.media.int</v>
      </c>
      <c r="AJ18" s="86" t="str">
        <f t="shared" si="1"/>
        <v>10.120.67.141</v>
      </c>
      <c r="AK18" s="86">
        <f t="shared" si="1"/>
        <v>0</v>
      </c>
      <c r="AL18" s="86">
        <f t="shared" si="1"/>
        <v>0</v>
      </c>
      <c r="AM18" s="86">
        <f t="shared" si="1"/>
        <v>0</v>
      </c>
      <c r="AN18" s="86">
        <f t="shared" si="1"/>
        <v>0</v>
      </c>
      <c r="AO18" s="86">
        <f t="shared" si="1"/>
        <v>0</v>
      </c>
      <c r="AP18" s="86">
        <f t="shared" si="1"/>
        <v>0</v>
      </c>
      <c r="AQ18" s="86" t="str">
        <f t="shared" si="1"/>
        <v>Imagine Communications SNP</v>
      </c>
      <c r="AR18" s="86" t="str">
        <f t="shared" si="1"/>
        <v>no</v>
      </c>
      <c r="AS18" s="86" t="str">
        <f t="shared" si="1"/>
        <v>yes</v>
      </c>
      <c r="AT18" s="87" t="s">
        <v>132</v>
      </c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</row>
    <row r="19" spans="1:75" x14ac:dyDescent="0.2">
      <c r="A19">
        <v>16</v>
      </c>
      <c r="B19" s="34">
        <v>393</v>
      </c>
      <c r="C19" s="86" t="str">
        <f t="shared" si="2"/>
        <v>VGW-103 (SDI16)</v>
      </c>
      <c r="D19" s="88">
        <f t="shared" si="3"/>
        <v>43805</v>
      </c>
      <c r="E19" s="88">
        <f t="shared" si="4"/>
        <v>43805</v>
      </c>
      <c r="F19" s="89" t="s">
        <v>146</v>
      </c>
      <c r="G19" s="85">
        <f t="shared" ref="G19:L19" si="14">G18</f>
        <v>1</v>
      </c>
      <c r="H19" s="85">
        <f t="shared" si="14"/>
        <v>0</v>
      </c>
      <c r="I19" s="85">
        <f t="shared" si="14"/>
        <v>16</v>
      </c>
      <c r="J19" s="85">
        <f t="shared" si="14"/>
        <v>0</v>
      </c>
      <c r="K19" s="85">
        <f t="shared" si="14"/>
        <v>4</v>
      </c>
      <c r="L19" s="85">
        <f t="shared" si="14"/>
        <v>0</v>
      </c>
      <c r="M19" s="39" t="s">
        <v>114</v>
      </c>
      <c r="N19" s="86" t="str">
        <f t="shared" si="5"/>
        <v>TC.U1.223 | MDC</v>
      </c>
      <c r="O19" s="86" t="str">
        <f t="shared" si="6"/>
        <v>Imagine Comunications</v>
      </c>
      <c r="P19" s="86" t="str">
        <f t="shared" si="6"/>
        <v>SNP Gateway</v>
      </c>
      <c r="Q19" s="34" t="s">
        <v>151</v>
      </c>
      <c r="R19" s="34" t="s">
        <v>148</v>
      </c>
      <c r="S19" s="34" t="s">
        <v>149</v>
      </c>
      <c r="T19" s="33"/>
      <c r="U19" s="40"/>
      <c r="V19" s="40">
        <v>1</v>
      </c>
      <c r="W19" s="40"/>
      <c r="X19" s="34"/>
      <c r="Y19" s="34" t="s">
        <v>150</v>
      </c>
      <c r="Z19" s="34" t="s">
        <v>121</v>
      </c>
      <c r="AA19" s="86" t="str">
        <f t="shared" si="7"/>
        <v>tpco-megw-vgw103.rta.st-net.media.int</v>
      </c>
      <c r="AB19" s="86" t="str">
        <f t="shared" si="1"/>
        <v>10.120.236.50</v>
      </c>
      <c r="AC19" s="86" t="str">
        <f t="shared" si="1"/>
        <v>AVCoreA</v>
      </c>
      <c r="AD19" s="86" t="str">
        <f t="shared" si="1"/>
        <v>5_36_1</v>
      </c>
      <c r="AE19" s="86" t="str">
        <f t="shared" si="1"/>
        <v>tpco-megw-vgw103.rtb.st-net.media.int</v>
      </c>
      <c r="AF19" s="86" t="str">
        <f t="shared" ref="AF19:AS35" si="15">AF$4</f>
        <v>10.120.236.54</v>
      </c>
      <c r="AG19" s="86" t="str">
        <f t="shared" si="15"/>
        <v>AVCoreB</v>
      </c>
      <c r="AH19" s="86" t="str">
        <f t="shared" si="15"/>
        <v>5_36_1</v>
      </c>
      <c r="AI19" s="86" t="str">
        <f t="shared" si="15"/>
        <v>tpco-megw-vgw103.st-net.media.int</v>
      </c>
      <c r="AJ19" s="86" t="str">
        <f t="shared" si="15"/>
        <v>10.120.67.141</v>
      </c>
      <c r="AK19" s="86">
        <f t="shared" si="15"/>
        <v>0</v>
      </c>
      <c r="AL19" s="86">
        <f t="shared" si="15"/>
        <v>0</v>
      </c>
      <c r="AM19" s="86">
        <f t="shared" si="15"/>
        <v>0</v>
      </c>
      <c r="AN19" s="86">
        <f t="shared" si="15"/>
        <v>0</v>
      </c>
      <c r="AO19" s="86">
        <f t="shared" si="15"/>
        <v>0</v>
      </c>
      <c r="AP19" s="86">
        <f t="shared" si="15"/>
        <v>0</v>
      </c>
      <c r="AQ19" s="86" t="str">
        <f t="shared" si="15"/>
        <v>Imagine Communications SNP</v>
      </c>
      <c r="AR19" s="86" t="str">
        <f t="shared" si="15"/>
        <v>no</v>
      </c>
      <c r="AS19" s="86" t="str">
        <f t="shared" si="15"/>
        <v>yes</v>
      </c>
      <c r="AT19" s="87" t="s">
        <v>132</v>
      </c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</row>
    <row r="20" spans="1:75" x14ac:dyDescent="0.2">
      <c r="A20">
        <v>17</v>
      </c>
      <c r="B20" s="34">
        <v>394</v>
      </c>
      <c r="C20" s="86" t="str">
        <f t="shared" si="2"/>
        <v>VGW-103 (SDI17)</v>
      </c>
      <c r="D20" s="88">
        <f t="shared" si="3"/>
        <v>43805</v>
      </c>
      <c r="E20" s="88">
        <f t="shared" si="4"/>
        <v>43805</v>
      </c>
      <c r="F20" s="37" t="s">
        <v>113</v>
      </c>
      <c r="G20" s="85">
        <f>IF(Tabelle3[[#This Row],[Port direction]]="IP&gt;SDI",1,0)</f>
        <v>0</v>
      </c>
      <c r="H20" s="85">
        <f>IF(Tabelle3[[#This Row],[Port direction]]="SDI&gt;IP",1,0)</f>
        <v>1</v>
      </c>
      <c r="I20" s="85">
        <f>IF(Tabelle3[[#This Row],[Port direction]]="IP&gt;SDI",16,0)</f>
        <v>0</v>
      </c>
      <c r="J20" s="85">
        <f>IF(Tabelle3[[#This Row],[Port direction]]="SDI&gt;IP",16,0)</f>
        <v>16</v>
      </c>
      <c r="K20" s="85">
        <f>IF(Tabelle3[[#This Row],[Port direction]]="IP&gt;SDI",4,0)</f>
        <v>0</v>
      </c>
      <c r="L20" s="85">
        <f>IF(Tabelle3[[#This Row],[Port direction]]="SDI&gt;IP",4,0)</f>
        <v>4</v>
      </c>
      <c r="M20" s="39" t="s">
        <v>152</v>
      </c>
      <c r="N20" s="86" t="str">
        <f t="shared" si="5"/>
        <v>TC.U1.223 | MDC</v>
      </c>
      <c r="O20" s="86" t="str">
        <f t="shared" si="6"/>
        <v>Imagine Comunications</v>
      </c>
      <c r="P20" s="86" t="str">
        <f t="shared" si="6"/>
        <v>SNP Gateway</v>
      </c>
      <c r="Q20" s="34" t="s">
        <v>153</v>
      </c>
      <c r="R20" s="34" t="s">
        <v>154</v>
      </c>
      <c r="S20" s="34" t="s">
        <v>155</v>
      </c>
      <c r="T20" s="33"/>
      <c r="U20" s="40"/>
      <c r="V20" s="40">
        <v>1</v>
      </c>
      <c r="W20" s="40"/>
      <c r="X20" s="34"/>
      <c r="Y20" s="34"/>
      <c r="Z20" s="34" t="s">
        <v>121</v>
      </c>
      <c r="AA20" s="86" t="str">
        <f t="shared" si="7"/>
        <v>tpco-megw-vgw103.rta.st-net.media.int</v>
      </c>
      <c r="AB20" s="86" t="str">
        <f t="shared" si="7"/>
        <v>10.120.236.50</v>
      </c>
      <c r="AC20" s="86" t="str">
        <f t="shared" si="7"/>
        <v>AVCoreA</v>
      </c>
      <c r="AD20" s="86" t="str">
        <f t="shared" si="7"/>
        <v>5_36_1</v>
      </c>
      <c r="AE20" s="86" t="str">
        <f t="shared" si="7"/>
        <v>tpco-megw-vgw103.rtb.st-net.media.int</v>
      </c>
      <c r="AF20" s="86" t="str">
        <f t="shared" si="7"/>
        <v>10.120.236.54</v>
      </c>
      <c r="AG20" s="86" t="str">
        <f t="shared" si="7"/>
        <v>AVCoreB</v>
      </c>
      <c r="AH20" s="86" t="str">
        <f t="shared" si="7"/>
        <v>5_36_1</v>
      </c>
      <c r="AI20" s="86" t="str">
        <f t="shared" si="7"/>
        <v>tpco-megw-vgw103.st-net.media.int</v>
      </c>
      <c r="AJ20" s="86" t="str">
        <f t="shared" si="7"/>
        <v>10.120.67.141</v>
      </c>
      <c r="AK20" s="86">
        <f t="shared" si="7"/>
        <v>0</v>
      </c>
      <c r="AL20" s="86">
        <f t="shared" si="7"/>
        <v>0</v>
      </c>
      <c r="AM20" s="86">
        <f t="shared" si="7"/>
        <v>0</v>
      </c>
      <c r="AN20" s="86">
        <f t="shared" si="7"/>
        <v>0</v>
      </c>
      <c r="AO20" s="86">
        <f t="shared" si="7"/>
        <v>0</v>
      </c>
      <c r="AP20" s="86">
        <f t="shared" si="7"/>
        <v>0</v>
      </c>
      <c r="AQ20" s="86" t="str">
        <f t="shared" si="15"/>
        <v>Imagine Communications SNP</v>
      </c>
      <c r="AR20" s="86" t="str">
        <f t="shared" si="15"/>
        <v>no</v>
      </c>
      <c r="AS20" s="86" t="str">
        <f t="shared" si="15"/>
        <v>yes</v>
      </c>
      <c r="AT20" s="87" t="s">
        <v>132</v>
      </c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</row>
    <row r="21" spans="1:75" x14ac:dyDescent="0.2">
      <c r="A21">
        <v>18</v>
      </c>
      <c r="B21" s="34">
        <v>395</v>
      </c>
      <c r="C21" s="86" t="str">
        <f t="shared" si="2"/>
        <v>VGW-103 (SDI18)</v>
      </c>
      <c r="D21" s="88">
        <f t="shared" si="3"/>
        <v>43805</v>
      </c>
      <c r="E21" s="88">
        <f t="shared" si="4"/>
        <v>43805</v>
      </c>
      <c r="F21" s="89" t="s">
        <v>113</v>
      </c>
      <c r="G21" s="85">
        <f t="shared" ref="G21:L21" si="16">G20</f>
        <v>0</v>
      </c>
      <c r="H21" s="85">
        <f t="shared" si="16"/>
        <v>1</v>
      </c>
      <c r="I21" s="85">
        <f t="shared" si="16"/>
        <v>0</v>
      </c>
      <c r="J21" s="85">
        <f t="shared" si="16"/>
        <v>16</v>
      </c>
      <c r="K21" s="85">
        <f t="shared" si="16"/>
        <v>0</v>
      </c>
      <c r="L21" s="85">
        <f t="shared" si="16"/>
        <v>4</v>
      </c>
      <c r="M21" s="39" t="s">
        <v>152</v>
      </c>
      <c r="N21" s="86" t="str">
        <f t="shared" si="5"/>
        <v>TC.U1.223 | MDC</v>
      </c>
      <c r="O21" s="86" t="str">
        <f t="shared" si="6"/>
        <v>Imagine Comunications</v>
      </c>
      <c r="P21" s="86" t="str">
        <f t="shared" si="6"/>
        <v>SNP Gateway</v>
      </c>
      <c r="Q21" s="34" t="s">
        <v>156</v>
      </c>
      <c r="R21" s="34" t="s">
        <v>157</v>
      </c>
      <c r="S21" s="34" t="s">
        <v>158</v>
      </c>
      <c r="T21" s="33"/>
      <c r="U21" s="40"/>
      <c r="V21" s="40">
        <v>1</v>
      </c>
      <c r="W21" s="40"/>
      <c r="X21" s="34"/>
      <c r="Y21" s="34"/>
      <c r="Z21" s="34" t="s">
        <v>121</v>
      </c>
      <c r="AA21" s="86" t="str">
        <f t="shared" si="7"/>
        <v>tpco-megw-vgw103.rta.st-net.media.int</v>
      </c>
      <c r="AB21" s="86" t="str">
        <f t="shared" si="7"/>
        <v>10.120.236.50</v>
      </c>
      <c r="AC21" s="86" t="str">
        <f t="shared" si="7"/>
        <v>AVCoreA</v>
      </c>
      <c r="AD21" s="86" t="str">
        <f t="shared" si="7"/>
        <v>5_36_1</v>
      </c>
      <c r="AE21" s="86" t="str">
        <f t="shared" si="7"/>
        <v>tpco-megw-vgw103.rtb.st-net.media.int</v>
      </c>
      <c r="AF21" s="86" t="str">
        <f t="shared" si="7"/>
        <v>10.120.236.54</v>
      </c>
      <c r="AG21" s="86" t="str">
        <f t="shared" si="7"/>
        <v>AVCoreB</v>
      </c>
      <c r="AH21" s="86" t="str">
        <f t="shared" si="7"/>
        <v>5_36_1</v>
      </c>
      <c r="AI21" s="86" t="str">
        <f t="shared" si="7"/>
        <v>tpco-megw-vgw103.st-net.media.int</v>
      </c>
      <c r="AJ21" s="86" t="str">
        <f t="shared" si="7"/>
        <v>10.120.67.141</v>
      </c>
      <c r="AK21" s="86">
        <f t="shared" si="7"/>
        <v>0</v>
      </c>
      <c r="AL21" s="86">
        <f t="shared" si="7"/>
        <v>0</v>
      </c>
      <c r="AM21" s="86">
        <f t="shared" si="7"/>
        <v>0</v>
      </c>
      <c r="AN21" s="86">
        <f t="shared" si="7"/>
        <v>0</v>
      </c>
      <c r="AO21" s="86">
        <f t="shared" si="7"/>
        <v>0</v>
      </c>
      <c r="AP21" s="86">
        <f t="shared" si="7"/>
        <v>0</v>
      </c>
      <c r="AQ21" s="86" t="str">
        <f t="shared" si="15"/>
        <v>Imagine Communications SNP</v>
      </c>
      <c r="AR21" s="86" t="str">
        <f t="shared" si="15"/>
        <v>no</v>
      </c>
      <c r="AS21" s="86" t="str">
        <f t="shared" si="15"/>
        <v>yes</v>
      </c>
      <c r="AT21" s="87" t="s">
        <v>132</v>
      </c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</row>
    <row r="22" spans="1:75" x14ac:dyDescent="0.2">
      <c r="A22">
        <v>19</v>
      </c>
      <c r="B22" s="34">
        <v>396</v>
      </c>
      <c r="C22" s="86" t="str">
        <f t="shared" si="2"/>
        <v>VGW-103 (SDI19)</v>
      </c>
      <c r="D22" s="88">
        <f t="shared" si="3"/>
        <v>43805</v>
      </c>
      <c r="E22" s="88">
        <f t="shared" si="4"/>
        <v>43805</v>
      </c>
      <c r="F22" s="89" t="s">
        <v>113</v>
      </c>
      <c r="G22" s="85">
        <f t="shared" ref="G22:L22" si="17">G21</f>
        <v>0</v>
      </c>
      <c r="H22" s="85">
        <f t="shared" si="17"/>
        <v>1</v>
      </c>
      <c r="I22" s="85">
        <f t="shared" si="17"/>
        <v>0</v>
      </c>
      <c r="J22" s="85">
        <f t="shared" si="17"/>
        <v>16</v>
      </c>
      <c r="K22" s="85">
        <f t="shared" si="17"/>
        <v>0</v>
      </c>
      <c r="L22" s="85">
        <f t="shared" si="17"/>
        <v>4</v>
      </c>
      <c r="M22" s="39" t="s">
        <v>152</v>
      </c>
      <c r="N22" s="86" t="str">
        <f t="shared" si="5"/>
        <v>TC.U1.223 | MDC</v>
      </c>
      <c r="O22" s="86" t="str">
        <f t="shared" si="6"/>
        <v>Imagine Comunications</v>
      </c>
      <c r="P22" s="86" t="str">
        <f t="shared" si="6"/>
        <v>SNP Gateway</v>
      </c>
      <c r="Q22" s="34" t="s">
        <v>159</v>
      </c>
      <c r="R22" s="34" t="s">
        <v>160</v>
      </c>
      <c r="S22" s="34" t="s">
        <v>161</v>
      </c>
      <c r="T22" s="33"/>
      <c r="U22" s="40"/>
      <c r="V22" s="40">
        <v>1</v>
      </c>
      <c r="W22" s="40"/>
      <c r="X22" s="34"/>
      <c r="Y22" s="34"/>
      <c r="Z22" s="34" t="s">
        <v>121</v>
      </c>
      <c r="AA22" s="86" t="str">
        <f t="shared" si="7"/>
        <v>tpco-megw-vgw103.rta.st-net.media.int</v>
      </c>
      <c r="AB22" s="86" t="str">
        <f t="shared" si="7"/>
        <v>10.120.236.50</v>
      </c>
      <c r="AC22" s="86" t="str">
        <f t="shared" si="7"/>
        <v>AVCoreA</v>
      </c>
      <c r="AD22" s="86" t="str">
        <f t="shared" si="7"/>
        <v>5_36_1</v>
      </c>
      <c r="AE22" s="86" t="str">
        <f t="shared" si="7"/>
        <v>tpco-megw-vgw103.rtb.st-net.media.int</v>
      </c>
      <c r="AF22" s="86" t="str">
        <f t="shared" si="7"/>
        <v>10.120.236.54</v>
      </c>
      <c r="AG22" s="86" t="str">
        <f t="shared" si="7"/>
        <v>AVCoreB</v>
      </c>
      <c r="AH22" s="86" t="str">
        <f t="shared" si="7"/>
        <v>5_36_1</v>
      </c>
      <c r="AI22" s="86" t="str">
        <f t="shared" si="7"/>
        <v>tpco-megw-vgw103.st-net.media.int</v>
      </c>
      <c r="AJ22" s="86" t="str">
        <f t="shared" si="7"/>
        <v>10.120.67.141</v>
      </c>
      <c r="AK22" s="86">
        <f t="shared" si="7"/>
        <v>0</v>
      </c>
      <c r="AL22" s="86">
        <f t="shared" si="7"/>
        <v>0</v>
      </c>
      <c r="AM22" s="86">
        <f t="shared" si="7"/>
        <v>0</v>
      </c>
      <c r="AN22" s="86">
        <f t="shared" si="7"/>
        <v>0</v>
      </c>
      <c r="AO22" s="86">
        <f t="shared" si="7"/>
        <v>0</v>
      </c>
      <c r="AP22" s="86">
        <f t="shared" si="7"/>
        <v>0</v>
      </c>
      <c r="AQ22" s="86" t="str">
        <f t="shared" si="15"/>
        <v>Imagine Communications SNP</v>
      </c>
      <c r="AR22" s="86" t="str">
        <f t="shared" si="15"/>
        <v>no</v>
      </c>
      <c r="AS22" s="86" t="str">
        <f t="shared" si="15"/>
        <v>yes</v>
      </c>
      <c r="AT22" s="87" t="s">
        <v>132</v>
      </c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</row>
    <row r="23" spans="1:75" x14ac:dyDescent="0.2">
      <c r="A23">
        <v>20</v>
      </c>
      <c r="B23" s="34">
        <v>397</v>
      </c>
      <c r="C23" s="86" t="str">
        <f t="shared" si="2"/>
        <v>VGW-103 (SDI20)</v>
      </c>
      <c r="D23" s="88">
        <f t="shared" si="3"/>
        <v>43805</v>
      </c>
      <c r="E23" s="88">
        <f t="shared" si="4"/>
        <v>43805</v>
      </c>
      <c r="F23" s="89" t="s">
        <v>113</v>
      </c>
      <c r="G23" s="85">
        <f t="shared" ref="G23:L23" si="18">G22</f>
        <v>0</v>
      </c>
      <c r="H23" s="85">
        <f t="shared" si="18"/>
        <v>1</v>
      </c>
      <c r="I23" s="85">
        <f t="shared" si="18"/>
        <v>0</v>
      </c>
      <c r="J23" s="85">
        <f t="shared" si="18"/>
        <v>16</v>
      </c>
      <c r="K23" s="85">
        <f t="shared" si="18"/>
        <v>0</v>
      </c>
      <c r="L23" s="85">
        <f t="shared" si="18"/>
        <v>4</v>
      </c>
      <c r="M23" s="39" t="s">
        <v>152</v>
      </c>
      <c r="N23" s="86" t="str">
        <f t="shared" si="5"/>
        <v>TC.U1.223 | MDC</v>
      </c>
      <c r="O23" s="86" t="str">
        <f t="shared" si="6"/>
        <v>Imagine Comunications</v>
      </c>
      <c r="P23" s="86" t="str">
        <f t="shared" si="6"/>
        <v>SNP Gateway</v>
      </c>
      <c r="Q23" s="34" t="s">
        <v>162</v>
      </c>
      <c r="R23" s="34" t="s">
        <v>163</v>
      </c>
      <c r="S23" s="34" t="s">
        <v>164</v>
      </c>
      <c r="T23" s="33"/>
      <c r="U23" s="40"/>
      <c r="V23" s="40">
        <v>1</v>
      </c>
      <c r="W23" s="40"/>
      <c r="X23" s="34"/>
      <c r="Y23" s="34"/>
      <c r="Z23" s="34" t="s">
        <v>121</v>
      </c>
      <c r="AA23" s="86" t="str">
        <f t="shared" si="7"/>
        <v>tpco-megw-vgw103.rta.st-net.media.int</v>
      </c>
      <c r="AB23" s="86" t="str">
        <f t="shared" si="7"/>
        <v>10.120.236.50</v>
      </c>
      <c r="AC23" s="86" t="str">
        <f t="shared" si="7"/>
        <v>AVCoreA</v>
      </c>
      <c r="AD23" s="86" t="str">
        <f t="shared" si="7"/>
        <v>5_36_1</v>
      </c>
      <c r="AE23" s="86" t="str">
        <f t="shared" si="7"/>
        <v>tpco-megw-vgw103.rtb.st-net.media.int</v>
      </c>
      <c r="AF23" s="86" t="str">
        <f t="shared" si="7"/>
        <v>10.120.236.54</v>
      </c>
      <c r="AG23" s="86" t="str">
        <f t="shared" si="7"/>
        <v>AVCoreB</v>
      </c>
      <c r="AH23" s="86" t="str">
        <f t="shared" si="7"/>
        <v>5_36_1</v>
      </c>
      <c r="AI23" s="86" t="str">
        <f t="shared" si="7"/>
        <v>tpco-megw-vgw103.st-net.media.int</v>
      </c>
      <c r="AJ23" s="86" t="str">
        <f t="shared" si="7"/>
        <v>10.120.67.141</v>
      </c>
      <c r="AK23" s="86">
        <f t="shared" si="7"/>
        <v>0</v>
      </c>
      <c r="AL23" s="86">
        <f t="shared" si="7"/>
        <v>0</v>
      </c>
      <c r="AM23" s="86">
        <f t="shared" si="7"/>
        <v>0</v>
      </c>
      <c r="AN23" s="86">
        <f t="shared" si="7"/>
        <v>0</v>
      </c>
      <c r="AO23" s="86">
        <f t="shared" si="7"/>
        <v>0</v>
      </c>
      <c r="AP23" s="86">
        <f t="shared" si="7"/>
        <v>0</v>
      </c>
      <c r="AQ23" s="86" t="str">
        <f t="shared" si="15"/>
        <v>Imagine Communications SNP</v>
      </c>
      <c r="AR23" s="86" t="str">
        <f t="shared" si="15"/>
        <v>no</v>
      </c>
      <c r="AS23" s="86" t="str">
        <f t="shared" si="15"/>
        <v>yes</v>
      </c>
      <c r="AT23" s="87" t="s">
        <v>132</v>
      </c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</row>
    <row r="24" spans="1:75" x14ac:dyDescent="0.2">
      <c r="A24">
        <v>21</v>
      </c>
      <c r="B24" s="34">
        <v>398</v>
      </c>
      <c r="C24" s="86" t="str">
        <f t="shared" si="2"/>
        <v>VGW-103 (SDI21)</v>
      </c>
      <c r="D24" s="88">
        <f t="shared" si="3"/>
        <v>43805</v>
      </c>
      <c r="E24" s="88">
        <f t="shared" si="4"/>
        <v>43805</v>
      </c>
      <c r="F24" s="37" t="s">
        <v>146</v>
      </c>
      <c r="G24" s="85">
        <f>IF(Tabelle3[[#This Row],[Port direction]]="IP&gt;SDI",1,0)</f>
        <v>1</v>
      </c>
      <c r="H24" s="85">
        <f>IF(Tabelle3[[#This Row],[Port direction]]="SDI&gt;IP",1,0)</f>
        <v>0</v>
      </c>
      <c r="I24" s="85">
        <f>IF(Tabelle3[[#This Row],[Port direction]]="IP&gt;SDI",16,0)</f>
        <v>16</v>
      </c>
      <c r="J24" s="85">
        <f>IF(Tabelle3[[#This Row],[Port direction]]="SDI&gt;IP",16,0)</f>
        <v>0</v>
      </c>
      <c r="K24" s="85">
        <f>IF(Tabelle3[[#This Row],[Port direction]]="IP&gt;SDI",4,0)</f>
        <v>4</v>
      </c>
      <c r="L24" s="85">
        <f>IF(Tabelle3[[#This Row],[Port direction]]="SDI&gt;IP",4,0)</f>
        <v>0</v>
      </c>
      <c r="M24" s="39" t="s">
        <v>152</v>
      </c>
      <c r="N24" s="86" t="str">
        <f t="shared" si="5"/>
        <v>TC.U1.223 | MDC</v>
      </c>
      <c r="O24" s="86" t="str">
        <f t="shared" si="6"/>
        <v>Imagine Comunications</v>
      </c>
      <c r="P24" s="86" t="str">
        <f t="shared" si="6"/>
        <v>SNP Gateway</v>
      </c>
      <c r="Q24" s="34" t="s">
        <v>165</v>
      </c>
      <c r="R24" s="34" t="s">
        <v>154</v>
      </c>
      <c r="S24" s="34" t="s">
        <v>155</v>
      </c>
      <c r="T24" s="33"/>
      <c r="U24" s="40"/>
      <c r="V24" s="40">
        <v>1</v>
      </c>
      <c r="W24" s="40"/>
      <c r="X24" s="34"/>
      <c r="Y24" s="34"/>
      <c r="Z24" s="34" t="s">
        <v>121</v>
      </c>
      <c r="AA24" s="86" t="str">
        <f t="shared" si="7"/>
        <v>tpco-megw-vgw103.rta.st-net.media.int</v>
      </c>
      <c r="AB24" s="86" t="str">
        <f t="shared" si="7"/>
        <v>10.120.236.50</v>
      </c>
      <c r="AC24" s="86" t="str">
        <f t="shared" si="7"/>
        <v>AVCoreA</v>
      </c>
      <c r="AD24" s="86" t="str">
        <f t="shared" si="7"/>
        <v>5_36_1</v>
      </c>
      <c r="AE24" s="86" t="str">
        <f t="shared" si="7"/>
        <v>tpco-megw-vgw103.rtb.st-net.media.int</v>
      </c>
      <c r="AF24" s="86" t="str">
        <f t="shared" si="7"/>
        <v>10.120.236.54</v>
      </c>
      <c r="AG24" s="86" t="str">
        <f t="shared" si="7"/>
        <v>AVCoreB</v>
      </c>
      <c r="AH24" s="86" t="str">
        <f t="shared" si="7"/>
        <v>5_36_1</v>
      </c>
      <c r="AI24" s="86" t="str">
        <f t="shared" si="7"/>
        <v>tpco-megw-vgw103.st-net.media.int</v>
      </c>
      <c r="AJ24" s="86" t="str">
        <f t="shared" si="7"/>
        <v>10.120.67.141</v>
      </c>
      <c r="AK24" s="86">
        <f t="shared" si="7"/>
        <v>0</v>
      </c>
      <c r="AL24" s="86">
        <f t="shared" si="7"/>
        <v>0</v>
      </c>
      <c r="AM24" s="86">
        <f t="shared" si="7"/>
        <v>0</v>
      </c>
      <c r="AN24" s="86">
        <f t="shared" si="7"/>
        <v>0</v>
      </c>
      <c r="AO24" s="86">
        <f t="shared" si="7"/>
        <v>0</v>
      </c>
      <c r="AP24" s="86">
        <f t="shared" si="7"/>
        <v>0</v>
      </c>
      <c r="AQ24" s="86" t="str">
        <f t="shared" si="15"/>
        <v>Imagine Communications SNP</v>
      </c>
      <c r="AR24" s="86" t="str">
        <f t="shared" si="15"/>
        <v>no</v>
      </c>
      <c r="AS24" s="86" t="str">
        <f t="shared" si="15"/>
        <v>yes</v>
      </c>
      <c r="AT24" s="87" t="s">
        <v>132</v>
      </c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</row>
    <row r="25" spans="1:75" x14ac:dyDescent="0.2">
      <c r="A25">
        <v>22</v>
      </c>
      <c r="B25" s="34">
        <v>399</v>
      </c>
      <c r="C25" s="86" t="str">
        <f t="shared" si="2"/>
        <v>VGW-103 (SDI22)</v>
      </c>
      <c r="D25" s="88">
        <f t="shared" si="3"/>
        <v>43805</v>
      </c>
      <c r="E25" s="88">
        <f t="shared" si="4"/>
        <v>43805</v>
      </c>
      <c r="F25" s="89" t="s">
        <v>146</v>
      </c>
      <c r="G25" s="85">
        <f t="shared" ref="G25:L25" si="19">G24</f>
        <v>1</v>
      </c>
      <c r="H25" s="85">
        <f t="shared" si="19"/>
        <v>0</v>
      </c>
      <c r="I25" s="85">
        <f t="shared" si="19"/>
        <v>16</v>
      </c>
      <c r="J25" s="85">
        <f t="shared" si="19"/>
        <v>0</v>
      </c>
      <c r="K25" s="85">
        <f t="shared" si="19"/>
        <v>4</v>
      </c>
      <c r="L25" s="85">
        <f t="shared" si="19"/>
        <v>0</v>
      </c>
      <c r="M25" s="39" t="s">
        <v>152</v>
      </c>
      <c r="N25" s="86" t="str">
        <f t="shared" si="5"/>
        <v>TC.U1.223 | MDC</v>
      </c>
      <c r="O25" s="86" t="str">
        <f t="shared" si="6"/>
        <v>Imagine Comunications</v>
      </c>
      <c r="P25" s="86" t="str">
        <f t="shared" si="6"/>
        <v>SNP Gateway</v>
      </c>
      <c r="Q25" s="34" t="s">
        <v>166</v>
      </c>
      <c r="R25" s="34" t="s">
        <v>157</v>
      </c>
      <c r="S25" s="34" t="s">
        <v>158</v>
      </c>
      <c r="T25" s="33"/>
      <c r="U25" s="40"/>
      <c r="V25" s="40">
        <v>1</v>
      </c>
      <c r="W25" s="40"/>
      <c r="X25" s="34"/>
      <c r="Y25" s="34"/>
      <c r="Z25" s="34" t="s">
        <v>121</v>
      </c>
      <c r="AA25" s="86" t="str">
        <f t="shared" si="7"/>
        <v>tpco-megw-vgw103.rta.st-net.media.int</v>
      </c>
      <c r="AB25" s="86" t="str">
        <f t="shared" si="7"/>
        <v>10.120.236.50</v>
      </c>
      <c r="AC25" s="86" t="str">
        <f t="shared" si="7"/>
        <v>AVCoreA</v>
      </c>
      <c r="AD25" s="86" t="str">
        <f t="shared" si="7"/>
        <v>5_36_1</v>
      </c>
      <c r="AE25" s="86" t="str">
        <f t="shared" si="7"/>
        <v>tpco-megw-vgw103.rtb.st-net.media.int</v>
      </c>
      <c r="AF25" s="86" t="str">
        <f t="shared" si="7"/>
        <v>10.120.236.54</v>
      </c>
      <c r="AG25" s="86" t="str">
        <f t="shared" si="7"/>
        <v>AVCoreB</v>
      </c>
      <c r="AH25" s="86" t="str">
        <f t="shared" si="7"/>
        <v>5_36_1</v>
      </c>
      <c r="AI25" s="86" t="str">
        <f t="shared" si="7"/>
        <v>tpco-megw-vgw103.st-net.media.int</v>
      </c>
      <c r="AJ25" s="86" t="str">
        <f t="shared" si="7"/>
        <v>10.120.67.141</v>
      </c>
      <c r="AK25" s="86">
        <f t="shared" si="7"/>
        <v>0</v>
      </c>
      <c r="AL25" s="86">
        <f t="shared" si="7"/>
        <v>0</v>
      </c>
      <c r="AM25" s="86">
        <f t="shared" si="7"/>
        <v>0</v>
      </c>
      <c r="AN25" s="86">
        <f t="shared" si="7"/>
        <v>0</v>
      </c>
      <c r="AO25" s="86">
        <f t="shared" si="7"/>
        <v>0</v>
      </c>
      <c r="AP25" s="86">
        <f t="shared" si="7"/>
        <v>0</v>
      </c>
      <c r="AQ25" s="86" t="str">
        <f t="shared" si="15"/>
        <v>Imagine Communications SNP</v>
      </c>
      <c r="AR25" s="86" t="str">
        <f t="shared" si="15"/>
        <v>no</v>
      </c>
      <c r="AS25" s="86" t="str">
        <f t="shared" si="15"/>
        <v>yes</v>
      </c>
      <c r="AT25" s="87" t="s">
        <v>132</v>
      </c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</row>
    <row r="26" spans="1:75" x14ac:dyDescent="0.2">
      <c r="A26">
        <v>23</v>
      </c>
      <c r="B26" s="34">
        <v>400</v>
      </c>
      <c r="C26" s="86" t="str">
        <f t="shared" si="2"/>
        <v>VGW-103 (SDI23)</v>
      </c>
      <c r="D26" s="88">
        <f t="shared" si="3"/>
        <v>43805</v>
      </c>
      <c r="E26" s="88">
        <f t="shared" si="4"/>
        <v>43805</v>
      </c>
      <c r="F26" s="89" t="s">
        <v>146</v>
      </c>
      <c r="G26" s="85">
        <f t="shared" ref="G26:L26" si="20">G25</f>
        <v>1</v>
      </c>
      <c r="H26" s="85">
        <f t="shared" si="20"/>
        <v>0</v>
      </c>
      <c r="I26" s="85">
        <f t="shared" si="20"/>
        <v>16</v>
      </c>
      <c r="J26" s="85">
        <f t="shared" si="20"/>
        <v>0</v>
      </c>
      <c r="K26" s="85">
        <f t="shared" si="20"/>
        <v>4</v>
      </c>
      <c r="L26" s="85">
        <f t="shared" si="20"/>
        <v>0</v>
      </c>
      <c r="M26" s="39" t="s">
        <v>152</v>
      </c>
      <c r="N26" s="86" t="str">
        <f t="shared" si="5"/>
        <v>TC.U1.223 | MDC</v>
      </c>
      <c r="O26" s="86" t="str">
        <f t="shared" si="6"/>
        <v>Imagine Comunications</v>
      </c>
      <c r="P26" s="86" t="str">
        <f t="shared" si="6"/>
        <v>SNP Gateway</v>
      </c>
      <c r="Q26" s="34" t="s">
        <v>167</v>
      </c>
      <c r="R26" s="34" t="s">
        <v>160</v>
      </c>
      <c r="S26" s="34" t="s">
        <v>161</v>
      </c>
      <c r="T26" s="33"/>
      <c r="U26" s="40"/>
      <c r="V26" s="40">
        <v>1</v>
      </c>
      <c r="W26" s="40"/>
      <c r="X26" s="34"/>
      <c r="Y26" s="34"/>
      <c r="Z26" s="34" t="s">
        <v>121</v>
      </c>
      <c r="AA26" s="86" t="str">
        <f t="shared" si="7"/>
        <v>tpco-megw-vgw103.rta.st-net.media.int</v>
      </c>
      <c r="AB26" s="86" t="str">
        <f t="shared" si="7"/>
        <v>10.120.236.50</v>
      </c>
      <c r="AC26" s="86" t="str">
        <f t="shared" si="7"/>
        <v>AVCoreA</v>
      </c>
      <c r="AD26" s="86" t="str">
        <f t="shared" si="7"/>
        <v>5_36_1</v>
      </c>
      <c r="AE26" s="86" t="str">
        <f t="shared" si="7"/>
        <v>tpco-megw-vgw103.rtb.st-net.media.int</v>
      </c>
      <c r="AF26" s="86" t="str">
        <f t="shared" si="7"/>
        <v>10.120.236.54</v>
      </c>
      <c r="AG26" s="86" t="str">
        <f t="shared" si="7"/>
        <v>AVCoreB</v>
      </c>
      <c r="AH26" s="86" t="str">
        <f t="shared" si="7"/>
        <v>5_36_1</v>
      </c>
      <c r="AI26" s="86" t="str">
        <f t="shared" si="7"/>
        <v>tpco-megw-vgw103.st-net.media.int</v>
      </c>
      <c r="AJ26" s="86" t="str">
        <f t="shared" si="7"/>
        <v>10.120.67.141</v>
      </c>
      <c r="AK26" s="86">
        <f t="shared" si="7"/>
        <v>0</v>
      </c>
      <c r="AL26" s="86">
        <f t="shared" si="7"/>
        <v>0</v>
      </c>
      <c r="AM26" s="86">
        <f t="shared" si="7"/>
        <v>0</v>
      </c>
      <c r="AN26" s="86">
        <f t="shared" si="7"/>
        <v>0</v>
      </c>
      <c r="AO26" s="86">
        <f t="shared" si="7"/>
        <v>0</v>
      </c>
      <c r="AP26" s="86">
        <f t="shared" si="7"/>
        <v>0</v>
      </c>
      <c r="AQ26" s="86" t="str">
        <f t="shared" si="15"/>
        <v>Imagine Communications SNP</v>
      </c>
      <c r="AR26" s="86" t="str">
        <f t="shared" si="15"/>
        <v>no</v>
      </c>
      <c r="AS26" s="86" t="str">
        <f t="shared" si="15"/>
        <v>yes</v>
      </c>
      <c r="AT26" s="87" t="s">
        <v>132</v>
      </c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</row>
    <row r="27" spans="1:75" x14ac:dyDescent="0.2">
      <c r="A27">
        <v>24</v>
      </c>
      <c r="B27" s="34">
        <v>401</v>
      </c>
      <c r="C27" s="86" t="str">
        <f t="shared" si="2"/>
        <v>VGW-103 (SDI24)</v>
      </c>
      <c r="D27" s="88">
        <f t="shared" si="3"/>
        <v>43805</v>
      </c>
      <c r="E27" s="88">
        <f t="shared" si="4"/>
        <v>43805</v>
      </c>
      <c r="F27" s="89" t="s">
        <v>146</v>
      </c>
      <c r="G27" s="85">
        <f t="shared" ref="G27:L27" si="21">G26</f>
        <v>1</v>
      </c>
      <c r="H27" s="85">
        <f t="shared" si="21"/>
        <v>0</v>
      </c>
      <c r="I27" s="85">
        <f t="shared" si="21"/>
        <v>16</v>
      </c>
      <c r="J27" s="85">
        <f t="shared" si="21"/>
        <v>0</v>
      </c>
      <c r="K27" s="85">
        <f t="shared" si="21"/>
        <v>4</v>
      </c>
      <c r="L27" s="85">
        <f t="shared" si="21"/>
        <v>0</v>
      </c>
      <c r="M27" s="39" t="s">
        <v>152</v>
      </c>
      <c r="N27" s="86" t="str">
        <f t="shared" si="5"/>
        <v>TC.U1.223 | MDC</v>
      </c>
      <c r="O27" s="86" t="str">
        <f t="shared" si="6"/>
        <v>Imagine Comunications</v>
      </c>
      <c r="P27" s="86" t="str">
        <f t="shared" si="6"/>
        <v>SNP Gateway</v>
      </c>
      <c r="Q27" s="34" t="s">
        <v>168</v>
      </c>
      <c r="R27" s="34" t="s">
        <v>163</v>
      </c>
      <c r="S27" s="34" t="s">
        <v>164</v>
      </c>
      <c r="T27" s="33"/>
      <c r="U27" s="40"/>
      <c r="V27" s="40">
        <v>1</v>
      </c>
      <c r="W27" s="40"/>
      <c r="X27" s="34"/>
      <c r="Y27" s="34"/>
      <c r="Z27" s="34" t="s">
        <v>121</v>
      </c>
      <c r="AA27" s="86" t="str">
        <f t="shared" si="7"/>
        <v>tpco-megw-vgw103.rta.st-net.media.int</v>
      </c>
      <c r="AB27" s="86" t="str">
        <f t="shared" si="7"/>
        <v>10.120.236.50</v>
      </c>
      <c r="AC27" s="86" t="str">
        <f t="shared" si="7"/>
        <v>AVCoreA</v>
      </c>
      <c r="AD27" s="86" t="str">
        <f t="shared" si="7"/>
        <v>5_36_1</v>
      </c>
      <c r="AE27" s="86" t="str">
        <f t="shared" si="7"/>
        <v>tpco-megw-vgw103.rtb.st-net.media.int</v>
      </c>
      <c r="AF27" s="86" t="str">
        <f t="shared" si="7"/>
        <v>10.120.236.54</v>
      </c>
      <c r="AG27" s="86" t="str">
        <f t="shared" si="7"/>
        <v>AVCoreB</v>
      </c>
      <c r="AH27" s="86" t="str">
        <f t="shared" si="7"/>
        <v>5_36_1</v>
      </c>
      <c r="AI27" s="86" t="str">
        <f t="shared" si="7"/>
        <v>tpco-megw-vgw103.st-net.media.int</v>
      </c>
      <c r="AJ27" s="86" t="str">
        <f t="shared" si="7"/>
        <v>10.120.67.141</v>
      </c>
      <c r="AK27" s="86">
        <f t="shared" si="7"/>
        <v>0</v>
      </c>
      <c r="AL27" s="86">
        <f t="shared" si="7"/>
        <v>0</v>
      </c>
      <c r="AM27" s="86">
        <f t="shared" si="7"/>
        <v>0</v>
      </c>
      <c r="AN27" s="86">
        <f t="shared" si="7"/>
        <v>0</v>
      </c>
      <c r="AO27" s="86">
        <f t="shared" si="7"/>
        <v>0</v>
      </c>
      <c r="AP27" s="86">
        <f t="shared" si="7"/>
        <v>0</v>
      </c>
      <c r="AQ27" s="86" t="str">
        <f t="shared" si="15"/>
        <v>Imagine Communications SNP</v>
      </c>
      <c r="AR27" s="86" t="str">
        <f t="shared" si="15"/>
        <v>no</v>
      </c>
      <c r="AS27" s="86" t="str">
        <f t="shared" si="15"/>
        <v>yes</v>
      </c>
      <c r="AT27" s="87" t="s">
        <v>132</v>
      </c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</row>
    <row r="28" spans="1:75" x14ac:dyDescent="0.2">
      <c r="A28">
        <v>25</v>
      </c>
      <c r="B28" s="34">
        <v>402</v>
      </c>
      <c r="C28" s="86" t="str">
        <f t="shared" si="2"/>
        <v>VGW-103 (SDI25)</v>
      </c>
      <c r="D28" s="88">
        <f t="shared" si="3"/>
        <v>43805</v>
      </c>
      <c r="E28" s="88">
        <f t="shared" si="4"/>
        <v>43805</v>
      </c>
      <c r="F28" s="37" t="s">
        <v>146</v>
      </c>
      <c r="G28" s="85">
        <f>IF(Tabelle3[[#This Row],[Port direction]]="IP&gt;SDI",1,0)</f>
        <v>1</v>
      </c>
      <c r="H28" s="85">
        <f>IF(Tabelle3[[#This Row],[Port direction]]="SDI&gt;IP",1,0)</f>
        <v>0</v>
      </c>
      <c r="I28" s="85">
        <f>IF(Tabelle3[[#This Row],[Port direction]]="IP&gt;SDI",16,0)</f>
        <v>16</v>
      </c>
      <c r="J28" s="85">
        <f>IF(Tabelle3[[#This Row],[Port direction]]="SDI&gt;IP",16,0)</f>
        <v>0</v>
      </c>
      <c r="K28" s="85">
        <f>IF(Tabelle3[[#This Row],[Port direction]]="IP&gt;SDI",4,0)</f>
        <v>4</v>
      </c>
      <c r="L28" s="85">
        <f>IF(Tabelle3[[#This Row],[Port direction]]="SDI&gt;IP",4,0)</f>
        <v>0</v>
      </c>
      <c r="M28" s="39" t="s">
        <v>114</v>
      </c>
      <c r="N28" s="86" t="str">
        <f t="shared" si="5"/>
        <v>TC.U1.223 | MDC</v>
      </c>
      <c r="O28" s="86" t="str">
        <f t="shared" si="6"/>
        <v>Imagine Comunications</v>
      </c>
      <c r="P28" s="86" t="str">
        <f t="shared" si="6"/>
        <v>SNP Gateway</v>
      </c>
      <c r="Q28" s="34" t="s">
        <v>2683</v>
      </c>
      <c r="R28" s="34" t="s">
        <v>148</v>
      </c>
      <c r="S28" s="34" t="s">
        <v>149</v>
      </c>
      <c r="T28" s="33"/>
      <c r="U28" s="40"/>
      <c r="V28" s="40">
        <v>1</v>
      </c>
      <c r="W28" s="40"/>
      <c r="X28" s="34"/>
      <c r="Y28" s="34"/>
      <c r="Z28" s="34" t="s">
        <v>121</v>
      </c>
      <c r="AA28" s="86" t="str">
        <f t="shared" si="7"/>
        <v>tpco-megw-vgw103.rta.st-net.media.int</v>
      </c>
      <c r="AB28" s="86" t="str">
        <f t="shared" si="7"/>
        <v>10.120.236.50</v>
      </c>
      <c r="AC28" s="86" t="str">
        <f t="shared" si="7"/>
        <v>AVCoreA</v>
      </c>
      <c r="AD28" s="86" t="str">
        <f t="shared" si="7"/>
        <v>5_36_1</v>
      </c>
      <c r="AE28" s="86" t="str">
        <f t="shared" si="7"/>
        <v>tpco-megw-vgw103.rtb.st-net.media.int</v>
      </c>
      <c r="AF28" s="86" t="str">
        <f t="shared" si="7"/>
        <v>10.120.236.54</v>
      </c>
      <c r="AG28" s="86" t="str">
        <f t="shared" si="7"/>
        <v>AVCoreB</v>
      </c>
      <c r="AH28" s="86" t="str">
        <f t="shared" si="7"/>
        <v>5_36_1</v>
      </c>
      <c r="AI28" s="86" t="str">
        <f t="shared" si="7"/>
        <v>tpco-megw-vgw103.st-net.media.int</v>
      </c>
      <c r="AJ28" s="86" t="str">
        <f t="shared" si="7"/>
        <v>10.120.67.141</v>
      </c>
      <c r="AK28" s="86">
        <f t="shared" si="7"/>
        <v>0</v>
      </c>
      <c r="AL28" s="86">
        <f t="shared" si="7"/>
        <v>0</v>
      </c>
      <c r="AM28" s="86">
        <f t="shared" si="7"/>
        <v>0</v>
      </c>
      <c r="AN28" s="86">
        <f t="shared" si="7"/>
        <v>0</v>
      </c>
      <c r="AO28" s="86">
        <f t="shared" si="7"/>
        <v>0</v>
      </c>
      <c r="AP28" s="86">
        <f t="shared" si="7"/>
        <v>0</v>
      </c>
      <c r="AQ28" s="86" t="str">
        <f t="shared" si="15"/>
        <v>Imagine Communications SNP</v>
      </c>
      <c r="AR28" s="86" t="str">
        <f t="shared" si="15"/>
        <v>no</v>
      </c>
      <c r="AS28" s="86" t="str">
        <f t="shared" si="15"/>
        <v>yes</v>
      </c>
      <c r="AT28" s="87" t="s">
        <v>132</v>
      </c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</row>
    <row r="29" spans="1:75" x14ac:dyDescent="0.2">
      <c r="A29">
        <v>26</v>
      </c>
      <c r="B29" s="34">
        <v>403</v>
      </c>
      <c r="C29" s="86" t="str">
        <f t="shared" si="2"/>
        <v>VGW-103 (SDI26)</v>
      </c>
      <c r="D29" s="88">
        <f t="shared" si="3"/>
        <v>43805</v>
      </c>
      <c r="E29" s="88">
        <f t="shared" si="4"/>
        <v>43805</v>
      </c>
      <c r="F29" s="89" t="s">
        <v>146</v>
      </c>
      <c r="G29" s="85">
        <f t="shared" ref="G29:L29" si="22">G28</f>
        <v>1</v>
      </c>
      <c r="H29" s="85">
        <f t="shared" si="22"/>
        <v>0</v>
      </c>
      <c r="I29" s="85">
        <f t="shared" si="22"/>
        <v>16</v>
      </c>
      <c r="J29" s="85">
        <f t="shared" si="22"/>
        <v>0</v>
      </c>
      <c r="K29" s="85">
        <f t="shared" si="22"/>
        <v>4</v>
      </c>
      <c r="L29" s="85">
        <f t="shared" si="22"/>
        <v>0</v>
      </c>
      <c r="M29" s="39" t="s">
        <v>114</v>
      </c>
      <c r="N29" s="86" t="str">
        <f t="shared" si="5"/>
        <v>TC.U1.223 | MDC</v>
      </c>
      <c r="O29" s="86" t="str">
        <f t="shared" si="6"/>
        <v>Imagine Comunications</v>
      </c>
      <c r="P29" s="86" t="str">
        <f t="shared" si="6"/>
        <v>SNP Gateway</v>
      </c>
      <c r="Q29" s="34" t="s">
        <v>2683</v>
      </c>
      <c r="R29" s="34" t="s">
        <v>148</v>
      </c>
      <c r="S29" s="34" t="s">
        <v>149</v>
      </c>
      <c r="T29" s="33"/>
      <c r="U29" s="40"/>
      <c r="V29" s="40">
        <v>1</v>
      </c>
      <c r="W29" s="40"/>
      <c r="X29" s="34"/>
      <c r="Y29" s="34"/>
      <c r="Z29" s="34" t="s">
        <v>121</v>
      </c>
      <c r="AA29" s="86" t="str">
        <f t="shared" si="7"/>
        <v>tpco-megw-vgw103.rta.st-net.media.int</v>
      </c>
      <c r="AB29" s="86" t="str">
        <f t="shared" si="7"/>
        <v>10.120.236.50</v>
      </c>
      <c r="AC29" s="86" t="str">
        <f t="shared" si="7"/>
        <v>AVCoreA</v>
      </c>
      <c r="AD29" s="86" t="str">
        <f t="shared" si="7"/>
        <v>5_36_1</v>
      </c>
      <c r="AE29" s="86" t="str">
        <f t="shared" si="7"/>
        <v>tpco-megw-vgw103.rtb.st-net.media.int</v>
      </c>
      <c r="AF29" s="86" t="str">
        <f t="shared" si="7"/>
        <v>10.120.236.54</v>
      </c>
      <c r="AG29" s="86" t="str">
        <f t="shared" si="7"/>
        <v>AVCoreB</v>
      </c>
      <c r="AH29" s="86" t="str">
        <f t="shared" si="7"/>
        <v>5_36_1</v>
      </c>
      <c r="AI29" s="86" t="str">
        <f t="shared" si="7"/>
        <v>tpco-megw-vgw103.st-net.media.int</v>
      </c>
      <c r="AJ29" s="86" t="str">
        <f t="shared" si="7"/>
        <v>10.120.67.141</v>
      </c>
      <c r="AK29" s="86">
        <f t="shared" si="7"/>
        <v>0</v>
      </c>
      <c r="AL29" s="86">
        <f t="shared" si="7"/>
        <v>0</v>
      </c>
      <c r="AM29" s="86">
        <f t="shared" si="7"/>
        <v>0</v>
      </c>
      <c r="AN29" s="86">
        <f t="shared" si="7"/>
        <v>0</v>
      </c>
      <c r="AO29" s="86">
        <f t="shared" si="7"/>
        <v>0</v>
      </c>
      <c r="AP29" s="86">
        <f t="shared" si="7"/>
        <v>0</v>
      </c>
      <c r="AQ29" s="86" t="str">
        <f t="shared" si="15"/>
        <v>Imagine Communications SNP</v>
      </c>
      <c r="AR29" s="86" t="str">
        <f t="shared" si="15"/>
        <v>no</v>
      </c>
      <c r="AS29" s="86" t="str">
        <f t="shared" si="15"/>
        <v>yes</v>
      </c>
      <c r="AT29" s="87" t="s">
        <v>132</v>
      </c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</row>
    <row r="30" spans="1:75" x14ac:dyDescent="0.2">
      <c r="A30">
        <v>27</v>
      </c>
      <c r="B30" s="34">
        <v>404</v>
      </c>
      <c r="C30" s="86" t="str">
        <f t="shared" si="2"/>
        <v>VGW-103 (SDI27)</v>
      </c>
      <c r="D30" s="88">
        <f t="shared" si="3"/>
        <v>43805</v>
      </c>
      <c r="E30" s="88">
        <f t="shared" si="4"/>
        <v>43805</v>
      </c>
      <c r="F30" s="89" t="s">
        <v>146</v>
      </c>
      <c r="G30" s="85">
        <f t="shared" ref="G30:L30" si="23">G29</f>
        <v>1</v>
      </c>
      <c r="H30" s="85">
        <f t="shared" si="23"/>
        <v>0</v>
      </c>
      <c r="I30" s="85">
        <f t="shared" si="23"/>
        <v>16</v>
      </c>
      <c r="J30" s="85">
        <f t="shared" si="23"/>
        <v>0</v>
      </c>
      <c r="K30" s="85">
        <f t="shared" si="23"/>
        <v>4</v>
      </c>
      <c r="L30" s="85">
        <f t="shared" si="23"/>
        <v>0</v>
      </c>
      <c r="M30" s="39" t="s">
        <v>114</v>
      </c>
      <c r="N30" s="86" t="str">
        <f t="shared" si="5"/>
        <v>TC.U1.223 | MDC</v>
      </c>
      <c r="O30" s="86" t="str">
        <f t="shared" si="6"/>
        <v>Imagine Comunications</v>
      </c>
      <c r="P30" s="86" t="str">
        <f t="shared" si="6"/>
        <v>SNP Gateway</v>
      </c>
      <c r="Q30" s="34" t="s">
        <v>2683</v>
      </c>
      <c r="R30" s="34" t="s">
        <v>148</v>
      </c>
      <c r="S30" s="34" t="s">
        <v>149</v>
      </c>
      <c r="T30" s="33"/>
      <c r="U30" s="40"/>
      <c r="V30" s="40">
        <v>1</v>
      </c>
      <c r="W30" s="40"/>
      <c r="X30" s="34"/>
      <c r="Y30" s="34"/>
      <c r="Z30" s="34" t="s">
        <v>121</v>
      </c>
      <c r="AA30" s="86" t="str">
        <f t="shared" si="7"/>
        <v>tpco-megw-vgw103.rta.st-net.media.int</v>
      </c>
      <c r="AB30" s="86" t="str">
        <f t="shared" si="7"/>
        <v>10.120.236.50</v>
      </c>
      <c r="AC30" s="86" t="str">
        <f t="shared" si="7"/>
        <v>AVCoreA</v>
      </c>
      <c r="AD30" s="86" t="str">
        <f t="shared" si="7"/>
        <v>5_36_1</v>
      </c>
      <c r="AE30" s="86" t="str">
        <f t="shared" si="7"/>
        <v>tpco-megw-vgw103.rtb.st-net.media.int</v>
      </c>
      <c r="AF30" s="86" t="str">
        <f t="shared" si="7"/>
        <v>10.120.236.54</v>
      </c>
      <c r="AG30" s="86" t="str">
        <f t="shared" si="7"/>
        <v>AVCoreB</v>
      </c>
      <c r="AH30" s="86" t="str">
        <f t="shared" si="7"/>
        <v>5_36_1</v>
      </c>
      <c r="AI30" s="86" t="str">
        <f t="shared" si="7"/>
        <v>tpco-megw-vgw103.st-net.media.int</v>
      </c>
      <c r="AJ30" s="86" t="str">
        <f t="shared" si="7"/>
        <v>10.120.67.141</v>
      </c>
      <c r="AK30" s="86">
        <f t="shared" si="7"/>
        <v>0</v>
      </c>
      <c r="AL30" s="86">
        <f t="shared" si="7"/>
        <v>0</v>
      </c>
      <c r="AM30" s="86">
        <f t="shared" si="7"/>
        <v>0</v>
      </c>
      <c r="AN30" s="86">
        <f t="shared" si="7"/>
        <v>0</v>
      </c>
      <c r="AO30" s="86">
        <f t="shared" si="7"/>
        <v>0</v>
      </c>
      <c r="AP30" s="86">
        <f t="shared" si="7"/>
        <v>0</v>
      </c>
      <c r="AQ30" s="86" t="str">
        <f t="shared" si="15"/>
        <v>Imagine Communications SNP</v>
      </c>
      <c r="AR30" s="86" t="str">
        <f t="shared" si="15"/>
        <v>no</v>
      </c>
      <c r="AS30" s="86" t="str">
        <f t="shared" si="15"/>
        <v>yes</v>
      </c>
      <c r="AT30" s="87" t="s">
        <v>132</v>
      </c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</row>
    <row r="31" spans="1:75" x14ac:dyDescent="0.2">
      <c r="A31">
        <v>28</v>
      </c>
      <c r="B31" s="34">
        <v>405</v>
      </c>
      <c r="C31" s="86" t="str">
        <f t="shared" si="2"/>
        <v>VGW-103 (SDI28)</v>
      </c>
      <c r="D31" s="88">
        <f t="shared" si="3"/>
        <v>43805</v>
      </c>
      <c r="E31" s="88">
        <f t="shared" si="4"/>
        <v>43805</v>
      </c>
      <c r="F31" s="89" t="s">
        <v>146</v>
      </c>
      <c r="G31" s="85">
        <f t="shared" ref="G31:L31" si="24">G30</f>
        <v>1</v>
      </c>
      <c r="H31" s="85">
        <f t="shared" si="24"/>
        <v>0</v>
      </c>
      <c r="I31" s="85">
        <f t="shared" si="24"/>
        <v>16</v>
      </c>
      <c r="J31" s="85">
        <f t="shared" si="24"/>
        <v>0</v>
      </c>
      <c r="K31" s="85">
        <f t="shared" si="24"/>
        <v>4</v>
      </c>
      <c r="L31" s="85">
        <f t="shared" si="24"/>
        <v>0</v>
      </c>
      <c r="M31" s="39" t="s">
        <v>114</v>
      </c>
      <c r="N31" s="86" t="str">
        <f t="shared" si="5"/>
        <v>TC.U1.223 | MDC</v>
      </c>
      <c r="O31" s="86" t="str">
        <f t="shared" si="6"/>
        <v>Imagine Comunications</v>
      </c>
      <c r="P31" s="86" t="str">
        <f t="shared" si="6"/>
        <v>SNP Gateway</v>
      </c>
      <c r="Q31" s="34" t="s">
        <v>2683</v>
      </c>
      <c r="R31" s="34" t="s">
        <v>148</v>
      </c>
      <c r="S31" s="34" t="s">
        <v>149</v>
      </c>
      <c r="T31" s="33"/>
      <c r="U31" s="40"/>
      <c r="V31" s="40">
        <v>1</v>
      </c>
      <c r="W31" s="40"/>
      <c r="X31" s="34"/>
      <c r="Y31" s="34"/>
      <c r="Z31" s="34" t="s">
        <v>121</v>
      </c>
      <c r="AA31" s="86" t="str">
        <f t="shared" si="7"/>
        <v>tpco-megw-vgw103.rta.st-net.media.int</v>
      </c>
      <c r="AB31" s="86" t="str">
        <f t="shared" si="7"/>
        <v>10.120.236.50</v>
      </c>
      <c r="AC31" s="86" t="str">
        <f t="shared" si="7"/>
        <v>AVCoreA</v>
      </c>
      <c r="AD31" s="86" t="str">
        <f t="shared" si="7"/>
        <v>5_36_1</v>
      </c>
      <c r="AE31" s="86" t="str">
        <f t="shared" si="7"/>
        <v>tpco-megw-vgw103.rtb.st-net.media.int</v>
      </c>
      <c r="AF31" s="86" t="str">
        <f t="shared" si="7"/>
        <v>10.120.236.54</v>
      </c>
      <c r="AG31" s="86" t="str">
        <f t="shared" si="7"/>
        <v>AVCoreB</v>
      </c>
      <c r="AH31" s="86" t="str">
        <f t="shared" si="7"/>
        <v>5_36_1</v>
      </c>
      <c r="AI31" s="86" t="str">
        <f t="shared" si="7"/>
        <v>tpco-megw-vgw103.st-net.media.int</v>
      </c>
      <c r="AJ31" s="86" t="str">
        <f t="shared" si="7"/>
        <v>10.120.67.141</v>
      </c>
      <c r="AK31" s="86">
        <f t="shared" si="7"/>
        <v>0</v>
      </c>
      <c r="AL31" s="86">
        <f t="shared" si="7"/>
        <v>0</v>
      </c>
      <c r="AM31" s="86">
        <f t="shared" si="7"/>
        <v>0</v>
      </c>
      <c r="AN31" s="86">
        <f t="shared" si="7"/>
        <v>0</v>
      </c>
      <c r="AO31" s="86">
        <f t="shared" si="7"/>
        <v>0</v>
      </c>
      <c r="AP31" s="86">
        <f t="shared" si="7"/>
        <v>0</v>
      </c>
      <c r="AQ31" s="86" t="str">
        <f t="shared" si="15"/>
        <v>Imagine Communications SNP</v>
      </c>
      <c r="AR31" s="86" t="str">
        <f t="shared" si="15"/>
        <v>no</v>
      </c>
      <c r="AS31" s="86" t="str">
        <f t="shared" si="15"/>
        <v>yes</v>
      </c>
      <c r="AT31" s="87" t="s">
        <v>132</v>
      </c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</row>
    <row r="32" spans="1:75" x14ac:dyDescent="0.2">
      <c r="A32">
        <v>29</v>
      </c>
      <c r="B32" s="34">
        <v>2154</v>
      </c>
      <c r="C32" s="86" t="str">
        <f t="shared" si="2"/>
        <v>VGW-103 (SDI29)</v>
      </c>
      <c r="D32" s="88">
        <f t="shared" si="3"/>
        <v>43805</v>
      </c>
      <c r="E32" s="88">
        <f t="shared" si="4"/>
        <v>43805</v>
      </c>
      <c r="F32" s="37" t="s">
        <v>113</v>
      </c>
      <c r="G32" s="85">
        <f>IF(Tabelle3[[#This Row],[Port direction]]="IP&gt;SDI",1,0)</f>
        <v>0</v>
      </c>
      <c r="H32" s="85">
        <f>IF(Tabelle3[[#This Row],[Port direction]]="SDI&gt;IP",1,0)</f>
        <v>1</v>
      </c>
      <c r="I32" s="85">
        <f>IF(Tabelle3[[#This Row],[Port direction]]="IP&gt;SDI",16,0)</f>
        <v>0</v>
      </c>
      <c r="J32" s="85">
        <f>IF(Tabelle3[[#This Row],[Port direction]]="SDI&gt;IP",16,0)</f>
        <v>16</v>
      </c>
      <c r="K32" s="85">
        <f>IF(Tabelle3[[#This Row],[Port direction]]="IP&gt;SDI",4,0)</f>
        <v>0</v>
      </c>
      <c r="L32" s="85">
        <f>IF(Tabelle3[[#This Row],[Port direction]]="SDI&gt;IP",4,0)</f>
        <v>4</v>
      </c>
      <c r="M32" s="39" t="s">
        <v>152</v>
      </c>
      <c r="N32" s="86" t="str">
        <f t="shared" si="5"/>
        <v>TC.U1.223 | MDC</v>
      </c>
      <c r="O32" s="86" t="str">
        <f t="shared" si="6"/>
        <v>Imagine Comunications</v>
      </c>
      <c r="P32" s="86" t="str">
        <f t="shared" si="6"/>
        <v>SNP Gateway</v>
      </c>
      <c r="Q32" s="33" t="s">
        <v>169</v>
      </c>
      <c r="R32" s="33" t="s">
        <v>170</v>
      </c>
      <c r="S32" s="33" t="s">
        <v>171</v>
      </c>
      <c r="T32" s="33"/>
      <c r="U32" s="36"/>
      <c r="V32" s="36">
        <v>1</v>
      </c>
      <c r="W32" s="36"/>
      <c r="X32" s="33"/>
      <c r="Y32" s="33"/>
      <c r="Z32" s="33" t="s">
        <v>121</v>
      </c>
      <c r="AA32" s="86" t="str">
        <f t="shared" si="7"/>
        <v>tpco-megw-vgw103.rta.st-net.media.int</v>
      </c>
      <c r="AB32" s="86" t="str">
        <f t="shared" si="7"/>
        <v>10.120.236.50</v>
      </c>
      <c r="AC32" s="86" t="str">
        <f t="shared" si="7"/>
        <v>AVCoreA</v>
      </c>
      <c r="AD32" s="86" t="str">
        <f t="shared" si="7"/>
        <v>5_36_1</v>
      </c>
      <c r="AE32" s="86" t="str">
        <f t="shared" si="7"/>
        <v>tpco-megw-vgw103.rtb.st-net.media.int</v>
      </c>
      <c r="AF32" s="86" t="str">
        <f t="shared" si="7"/>
        <v>10.120.236.54</v>
      </c>
      <c r="AG32" s="86" t="str">
        <f t="shared" si="7"/>
        <v>AVCoreB</v>
      </c>
      <c r="AH32" s="86" t="str">
        <f t="shared" si="7"/>
        <v>5_36_1</v>
      </c>
      <c r="AI32" s="86" t="str">
        <f t="shared" si="7"/>
        <v>tpco-megw-vgw103.st-net.media.int</v>
      </c>
      <c r="AJ32" s="86" t="str">
        <f t="shared" si="7"/>
        <v>10.120.67.141</v>
      </c>
      <c r="AK32" s="86">
        <f t="shared" si="7"/>
        <v>0</v>
      </c>
      <c r="AL32" s="86">
        <f t="shared" si="7"/>
        <v>0</v>
      </c>
      <c r="AM32" s="86">
        <f t="shared" si="7"/>
        <v>0</v>
      </c>
      <c r="AN32" s="86">
        <f t="shared" si="7"/>
        <v>0</v>
      </c>
      <c r="AO32" s="86">
        <f t="shared" si="7"/>
        <v>0</v>
      </c>
      <c r="AP32" s="86">
        <f t="shared" si="7"/>
        <v>0</v>
      </c>
      <c r="AQ32" s="86" t="str">
        <f t="shared" si="15"/>
        <v>Imagine Communications SNP</v>
      </c>
      <c r="AR32" s="86" t="str">
        <f t="shared" si="15"/>
        <v>no</v>
      </c>
      <c r="AS32" s="86" t="str">
        <f t="shared" si="15"/>
        <v>yes</v>
      </c>
      <c r="AT32" s="87" t="s">
        <v>132</v>
      </c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</row>
    <row r="33" spans="1:75" x14ac:dyDescent="0.2">
      <c r="A33">
        <v>30</v>
      </c>
      <c r="B33" s="34">
        <v>2155</v>
      </c>
      <c r="C33" s="86" t="str">
        <f t="shared" si="2"/>
        <v>VGW-103 (SDI30)</v>
      </c>
      <c r="D33" s="88">
        <f t="shared" si="3"/>
        <v>43805</v>
      </c>
      <c r="E33" s="88">
        <f t="shared" si="4"/>
        <v>43805</v>
      </c>
      <c r="F33" s="89" t="s">
        <v>113</v>
      </c>
      <c r="G33" s="85">
        <f t="shared" ref="G33:L33" si="25">G32</f>
        <v>0</v>
      </c>
      <c r="H33" s="85">
        <f t="shared" si="25"/>
        <v>1</v>
      </c>
      <c r="I33" s="85">
        <f t="shared" si="25"/>
        <v>0</v>
      </c>
      <c r="J33" s="85">
        <f t="shared" si="25"/>
        <v>16</v>
      </c>
      <c r="K33" s="85">
        <f t="shared" si="25"/>
        <v>0</v>
      </c>
      <c r="L33" s="85">
        <f t="shared" si="25"/>
        <v>4</v>
      </c>
      <c r="M33" s="39" t="s">
        <v>152</v>
      </c>
      <c r="N33" s="86" t="str">
        <f t="shared" si="5"/>
        <v>TC.U1.223 | MDC</v>
      </c>
      <c r="O33" s="86" t="str">
        <f t="shared" si="6"/>
        <v>Imagine Comunications</v>
      </c>
      <c r="P33" s="86" t="str">
        <f t="shared" si="6"/>
        <v>SNP Gateway</v>
      </c>
      <c r="Q33" s="33" t="s">
        <v>172</v>
      </c>
      <c r="R33" s="33" t="s">
        <v>173</v>
      </c>
      <c r="S33" s="33" t="s">
        <v>174</v>
      </c>
      <c r="T33" s="33"/>
      <c r="U33" s="36"/>
      <c r="V33" s="36">
        <v>1</v>
      </c>
      <c r="W33" s="36"/>
      <c r="X33" s="33"/>
      <c r="Y33" s="33"/>
      <c r="Z33" s="33" t="s">
        <v>121</v>
      </c>
      <c r="AA33" s="86" t="str">
        <f t="shared" si="7"/>
        <v>tpco-megw-vgw103.rta.st-net.media.int</v>
      </c>
      <c r="AB33" s="86" t="str">
        <f t="shared" si="7"/>
        <v>10.120.236.50</v>
      </c>
      <c r="AC33" s="86" t="str">
        <f t="shared" si="7"/>
        <v>AVCoreA</v>
      </c>
      <c r="AD33" s="86" t="str">
        <f t="shared" si="7"/>
        <v>5_36_1</v>
      </c>
      <c r="AE33" s="86" t="str">
        <f t="shared" si="7"/>
        <v>tpco-megw-vgw103.rtb.st-net.media.int</v>
      </c>
      <c r="AF33" s="86" t="str">
        <f t="shared" si="7"/>
        <v>10.120.236.54</v>
      </c>
      <c r="AG33" s="86" t="str">
        <f t="shared" si="7"/>
        <v>AVCoreB</v>
      </c>
      <c r="AH33" s="86" t="str">
        <f t="shared" si="7"/>
        <v>5_36_1</v>
      </c>
      <c r="AI33" s="86" t="str">
        <f t="shared" si="7"/>
        <v>tpco-megw-vgw103.st-net.media.int</v>
      </c>
      <c r="AJ33" s="86" t="str">
        <f t="shared" si="7"/>
        <v>10.120.67.141</v>
      </c>
      <c r="AK33" s="86">
        <f t="shared" si="7"/>
        <v>0</v>
      </c>
      <c r="AL33" s="86">
        <f t="shared" si="7"/>
        <v>0</v>
      </c>
      <c r="AM33" s="86">
        <f t="shared" si="7"/>
        <v>0</v>
      </c>
      <c r="AN33" s="86">
        <f t="shared" si="7"/>
        <v>0</v>
      </c>
      <c r="AO33" s="86">
        <f t="shared" si="7"/>
        <v>0</v>
      </c>
      <c r="AP33" s="86">
        <f t="shared" si="7"/>
        <v>0</v>
      </c>
      <c r="AQ33" s="86" t="str">
        <f t="shared" si="15"/>
        <v>Imagine Communications SNP</v>
      </c>
      <c r="AR33" s="86" t="str">
        <f t="shared" si="15"/>
        <v>no</v>
      </c>
      <c r="AS33" s="86" t="str">
        <f t="shared" si="15"/>
        <v>yes</v>
      </c>
      <c r="AT33" s="87" t="s">
        <v>132</v>
      </c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</row>
    <row r="34" spans="1:75" x14ac:dyDescent="0.2">
      <c r="A34">
        <v>31</v>
      </c>
      <c r="B34" s="34">
        <v>2156</v>
      </c>
      <c r="C34" s="86" t="str">
        <f t="shared" si="2"/>
        <v>VGW-103 (SDI31)</v>
      </c>
      <c r="D34" s="88">
        <f t="shared" si="3"/>
        <v>43805</v>
      </c>
      <c r="E34" s="88">
        <f t="shared" si="4"/>
        <v>43805</v>
      </c>
      <c r="F34" s="89" t="s">
        <v>113</v>
      </c>
      <c r="G34" s="85">
        <f t="shared" ref="G34:L34" si="26">G33</f>
        <v>0</v>
      </c>
      <c r="H34" s="85">
        <f t="shared" si="26"/>
        <v>1</v>
      </c>
      <c r="I34" s="85">
        <f t="shared" si="26"/>
        <v>0</v>
      </c>
      <c r="J34" s="85">
        <f t="shared" si="26"/>
        <v>16</v>
      </c>
      <c r="K34" s="85">
        <f t="shared" si="26"/>
        <v>0</v>
      </c>
      <c r="L34" s="85">
        <f t="shared" si="26"/>
        <v>4</v>
      </c>
      <c r="M34" s="39" t="s">
        <v>152</v>
      </c>
      <c r="N34" s="86" t="str">
        <f t="shared" si="5"/>
        <v>TC.U1.223 | MDC</v>
      </c>
      <c r="O34" s="86" t="str">
        <f t="shared" si="6"/>
        <v>Imagine Comunications</v>
      </c>
      <c r="P34" s="86" t="str">
        <f t="shared" si="6"/>
        <v>SNP Gateway</v>
      </c>
      <c r="Q34" s="33" t="s">
        <v>175</v>
      </c>
      <c r="R34" s="33" t="s">
        <v>176</v>
      </c>
      <c r="S34" s="33" t="s">
        <v>177</v>
      </c>
      <c r="T34" s="33"/>
      <c r="U34" s="36"/>
      <c r="V34" s="36">
        <v>1</v>
      </c>
      <c r="W34" s="36"/>
      <c r="X34" s="33"/>
      <c r="Y34" s="33"/>
      <c r="Z34" s="33" t="s">
        <v>121</v>
      </c>
      <c r="AA34" s="86" t="str">
        <f t="shared" si="7"/>
        <v>tpco-megw-vgw103.rta.st-net.media.int</v>
      </c>
      <c r="AB34" s="86" t="str">
        <f t="shared" si="7"/>
        <v>10.120.236.50</v>
      </c>
      <c r="AC34" s="86" t="str">
        <f t="shared" si="7"/>
        <v>AVCoreA</v>
      </c>
      <c r="AD34" s="86" t="str">
        <f t="shared" si="7"/>
        <v>5_36_1</v>
      </c>
      <c r="AE34" s="86" t="str">
        <f t="shared" si="7"/>
        <v>tpco-megw-vgw103.rtb.st-net.media.int</v>
      </c>
      <c r="AF34" s="86" t="str">
        <f t="shared" si="7"/>
        <v>10.120.236.54</v>
      </c>
      <c r="AG34" s="86" t="str">
        <f t="shared" si="7"/>
        <v>AVCoreB</v>
      </c>
      <c r="AH34" s="86" t="str">
        <f t="shared" si="7"/>
        <v>5_36_1</v>
      </c>
      <c r="AI34" s="86" t="str">
        <f t="shared" si="7"/>
        <v>tpco-megw-vgw103.st-net.media.int</v>
      </c>
      <c r="AJ34" s="86" t="str">
        <f t="shared" si="7"/>
        <v>10.120.67.141</v>
      </c>
      <c r="AK34" s="86">
        <f t="shared" si="7"/>
        <v>0</v>
      </c>
      <c r="AL34" s="86">
        <f t="shared" si="7"/>
        <v>0</v>
      </c>
      <c r="AM34" s="86">
        <f t="shared" si="7"/>
        <v>0</v>
      </c>
      <c r="AN34" s="86">
        <f t="shared" si="7"/>
        <v>0</v>
      </c>
      <c r="AO34" s="86">
        <f t="shared" si="7"/>
        <v>0</v>
      </c>
      <c r="AP34" s="86">
        <f t="shared" si="7"/>
        <v>0</v>
      </c>
      <c r="AQ34" s="86" t="str">
        <f t="shared" si="15"/>
        <v>Imagine Communications SNP</v>
      </c>
      <c r="AR34" s="86" t="str">
        <f t="shared" si="15"/>
        <v>no</v>
      </c>
      <c r="AS34" s="86" t="str">
        <f t="shared" si="15"/>
        <v>yes</v>
      </c>
      <c r="AT34" s="87" t="s">
        <v>132</v>
      </c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</row>
    <row r="35" spans="1:75" x14ac:dyDescent="0.2">
      <c r="A35">
        <v>32</v>
      </c>
      <c r="B35" s="34">
        <v>2157</v>
      </c>
      <c r="C35" s="86" t="str">
        <f t="shared" si="2"/>
        <v>VGW-103 (SDI32)</v>
      </c>
      <c r="D35" s="88">
        <f t="shared" si="3"/>
        <v>43805</v>
      </c>
      <c r="E35" s="88">
        <f t="shared" si="4"/>
        <v>43805</v>
      </c>
      <c r="F35" s="89" t="s">
        <v>113</v>
      </c>
      <c r="G35" s="85">
        <f t="shared" ref="G35:L35" si="27">G34</f>
        <v>0</v>
      </c>
      <c r="H35" s="85">
        <f t="shared" si="27"/>
        <v>1</v>
      </c>
      <c r="I35" s="85">
        <f t="shared" si="27"/>
        <v>0</v>
      </c>
      <c r="J35" s="85">
        <f t="shared" si="27"/>
        <v>16</v>
      </c>
      <c r="K35" s="85">
        <f t="shared" si="27"/>
        <v>0</v>
      </c>
      <c r="L35" s="85">
        <f t="shared" si="27"/>
        <v>4</v>
      </c>
      <c r="M35" s="39" t="s">
        <v>152</v>
      </c>
      <c r="N35" s="86" t="str">
        <f t="shared" si="5"/>
        <v>TC.U1.223 | MDC</v>
      </c>
      <c r="O35" s="86" t="str">
        <f t="shared" si="6"/>
        <v>Imagine Comunications</v>
      </c>
      <c r="P35" s="86" t="str">
        <f t="shared" si="6"/>
        <v>SNP Gateway</v>
      </c>
      <c r="Q35" s="33" t="s">
        <v>178</v>
      </c>
      <c r="R35" s="33" t="s">
        <v>179</v>
      </c>
      <c r="S35" s="33" t="s">
        <v>180</v>
      </c>
      <c r="T35" s="33"/>
      <c r="U35" s="36"/>
      <c r="V35" s="36">
        <v>1</v>
      </c>
      <c r="W35" s="36"/>
      <c r="X35" s="33"/>
      <c r="Y35" s="33"/>
      <c r="Z35" s="33" t="s">
        <v>121</v>
      </c>
      <c r="AA35" s="86" t="str">
        <f t="shared" si="7"/>
        <v>tpco-megw-vgw103.rta.st-net.media.int</v>
      </c>
      <c r="AB35" s="86" t="str">
        <f t="shared" ref="AB35:AS35" si="28">AB$4</f>
        <v>10.120.236.50</v>
      </c>
      <c r="AC35" s="86" t="str">
        <f t="shared" si="28"/>
        <v>AVCoreA</v>
      </c>
      <c r="AD35" s="86" t="str">
        <f t="shared" si="28"/>
        <v>5_36_1</v>
      </c>
      <c r="AE35" s="86" t="str">
        <f t="shared" si="28"/>
        <v>tpco-megw-vgw103.rtb.st-net.media.int</v>
      </c>
      <c r="AF35" s="86" t="str">
        <f t="shared" si="28"/>
        <v>10.120.236.54</v>
      </c>
      <c r="AG35" s="86" t="str">
        <f t="shared" si="28"/>
        <v>AVCoreB</v>
      </c>
      <c r="AH35" s="86" t="str">
        <f t="shared" si="28"/>
        <v>5_36_1</v>
      </c>
      <c r="AI35" s="86" t="str">
        <f t="shared" si="28"/>
        <v>tpco-megw-vgw103.st-net.media.int</v>
      </c>
      <c r="AJ35" s="86" t="str">
        <f t="shared" si="28"/>
        <v>10.120.67.141</v>
      </c>
      <c r="AK35" s="86">
        <f t="shared" si="28"/>
        <v>0</v>
      </c>
      <c r="AL35" s="86">
        <f t="shared" si="28"/>
        <v>0</v>
      </c>
      <c r="AM35" s="86">
        <f t="shared" si="28"/>
        <v>0</v>
      </c>
      <c r="AN35" s="86">
        <f t="shared" si="28"/>
        <v>0</v>
      </c>
      <c r="AO35" s="86">
        <f t="shared" si="28"/>
        <v>0</v>
      </c>
      <c r="AP35" s="86">
        <f t="shared" si="28"/>
        <v>0</v>
      </c>
      <c r="AQ35" s="86" t="str">
        <f t="shared" si="28"/>
        <v>Imagine Communications SNP</v>
      </c>
      <c r="AR35" s="86" t="str">
        <f t="shared" si="15"/>
        <v>no</v>
      </c>
      <c r="AS35" s="86" t="str">
        <f t="shared" si="28"/>
        <v>yes</v>
      </c>
      <c r="AT35" s="87" t="s">
        <v>132</v>
      </c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</row>
  </sheetData>
  <sheetProtection sheet="1" formatCells="0" formatColumns="0" sort="0"/>
  <conditionalFormatting sqref="F4:F35">
    <cfRule type="containsText" dxfId="186" priority="1" operator="containsText" text="ERROR">
      <formula>NOT(ISERROR(SEARCH("ERROR",F4)))</formula>
    </cfRule>
  </conditionalFormatting>
  <dataValidations count="6">
    <dataValidation type="list" allowBlank="1" showInputMessage="1" showErrorMessage="1" errorTitle="Kein gültiger Wert" error="bitte gültigen Wert in Sharepoint Liste eintragen &gt;_x000a_https://srgssr.sharepoint.com/sites/MetechnoIPOrchestrator/Lists/IOListe%20%20Device%20Location/AllItems.aspx" sqref="O5:P35 AA5:AS35 N3:N35" xr:uid="{EB04B627-E752-4E5E-A019-7ACF6A941439}">
      <formula1>dev_location</formula1>
    </dataValidation>
    <dataValidation type="list" allowBlank="1" showInputMessage="1" showErrorMessage="1" sqref="O3:O4" xr:uid="{22E6BD73-C227-4E03-867E-214800EA49E4}">
      <formula1>manufacturer</formula1>
    </dataValidation>
    <dataValidation type="list" allowBlank="1" showInputMessage="1" showErrorMessage="1" errorTitle="Error" sqref="R3:R35" xr:uid="{F40706C2-B4AA-4214-AF86-7AA319FE0088}">
      <formula1>workplace_usage</formula1>
    </dataValidation>
    <dataValidation type="list" allowBlank="1" showInputMessage="1" showErrorMessage="1" errorTitle="Error" sqref="S3:S35" xr:uid="{D18005DB-BC2D-44A8-BF29-BFB328E657AF}">
      <formula1>workplace_room</formula1>
    </dataValidation>
    <dataValidation type="list" allowBlank="1" showInputMessage="1" showErrorMessage="1" errorTitle="Error" sqref="AQ3:AQ4" xr:uid="{19DCC1FF-9780-4F96-938E-BAB59AB377B5}">
      <formula1>driver</formula1>
    </dataValidation>
    <dataValidation type="list" allowBlank="1" showInputMessage="1" showErrorMessage="1" errorTitle="Error" sqref="AS3:AS4" xr:uid="{2AD70A5D-F6FE-4915-8A59-BF0BBC6F2ECC}">
      <formula1>ST2022_7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xr:uid="{2B38D9BB-7DCE-4094-A661-F39593F544AD}">
          <x14:formula1>
            <xm:f>'SP - Dev. Type GW'!$A:$A</xm:f>
          </x14:formula1>
          <xm:sqref>P3:P4</xm:sqref>
        </x14:dataValidation>
        <x14:dataValidation type="list" allowBlank="1" showInputMessage="1" showErrorMessage="1" errorTitle="Fehler" error="This value canot be other" xr:uid="{8F6FF3EC-FF9E-4B9D-A524-3C73CCBEBEED}">
          <x14:formula1>
            <xm:f>Dropdown!$A$2:$A$4</xm:f>
          </x14:formula1>
          <xm:sqref>F4 F8 F12 F16 F20 F24 F28 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7612-4D98-48F3-8AA9-C7975A5FC61C}">
  <sheetPr codeName="Tabelle3">
    <tabColor rgb="FF00B050"/>
  </sheetPr>
  <dimension ref="A1:BY675"/>
  <sheetViews>
    <sheetView tabSelected="1" workbookViewId="0">
      <pane xSplit="6" ySplit="2" topLeftCell="AS56" activePane="bottomRight" state="frozenSplit"/>
      <selection pane="topRight" activeCell="B27" sqref="B27"/>
      <selection pane="bottomLeft" activeCell="B27" sqref="B27"/>
      <selection pane="bottomRight" activeCell="BO255" sqref="BO255:BO338"/>
    </sheetView>
  </sheetViews>
  <sheetFormatPr baseColWidth="10" defaultColWidth="11.42578125" defaultRowHeight="12.75" x14ac:dyDescent="0.2"/>
  <cols>
    <col min="1" max="1" width="13.140625" customWidth="1"/>
    <col min="2" max="2" width="34.5703125" style="16" customWidth="1"/>
    <col min="3" max="4" width="13.42578125" style="2" hidden="1" customWidth="1"/>
    <col min="5" max="5" width="20.140625" style="2" hidden="1" customWidth="1"/>
    <col min="6" max="8" width="17.28515625" customWidth="1"/>
    <col min="9" max="9" width="20.85546875" customWidth="1"/>
    <col min="10" max="11" width="28.42578125" customWidth="1"/>
    <col min="12" max="12" width="29.85546875" customWidth="1"/>
    <col min="13" max="13" width="17.5703125" customWidth="1"/>
    <col min="14" max="14" width="20.140625" customWidth="1"/>
    <col min="15" max="20" width="3.28515625" style="15" customWidth="1"/>
    <col min="21" max="21" width="20.140625" customWidth="1"/>
    <col min="22" max="22" width="55.42578125" customWidth="1"/>
    <col min="23" max="23" width="20.85546875" customWidth="1"/>
    <col min="24" max="24" width="16.140625" customWidth="1"/>
    <col min="25" max="25" width="16.28515625" customWidth="1"/>
    <col min="26" max="26" width="55.42578125" customWidth="1"/>
    <col min="27" max="27" width="20.85546875" customWidth="1"/>
    <col min="28" max="28" width="16.140625" customWidth="1"/>
    <col min="29" max="29" width="16.42578125" customWidth="1"/>
    <col min="30" max="30" width="55.42578125" customWidth="1"/>
    <col min="31" max="31" width="26.42578125" customWidth="1"/>
    <col min="32" max="32" width="55.42578125" customWidth="1"/>
    <col min="33" max="33" width="26.42578125" customWidth="1"/>
    <col min="34" max="37" width="10.85546875" hidden="1" customWidth="1"/>
    <col min="38" max="38" width="32.5703125" customWidth="1"/>
    <col min="39" max="39" width="12.85546875" customWidth="1"/>
    <col min="40" max="40" width="8.28515625" customWidth="1"/>
    <col min="41" max="41" width="10.85546875" customWidth="1"/>
    <col min="42" max="42" width="45.85546875" customWidth="1"/>
    <col min="43" max="43" width="22.140625" hidden="1" customWidth="1"/>
    <col min="44" max="57" width="3.28515625" bestFit="1" customWidth="1"/>
    <col min="58" max="58" width="3.140625" bestFit="1" customWidth="1"/>
    <col min="59" max="59" width="3.28515625" bestFit="1" customWidth="1"/>
    <col min="60" max="60" width="6.5703125" hidden="1" customWidth="1"/>
    <col min="61" max="61" width="6.7109375" style="27" customWidth="1"/>
    <col min="62" max="62" width="37.42578125" customWidth="1"/>
    <col min="63" max="64" width="7.140625" hidden="1" customWidth="1"/>
    <col min="65" max="65" width="19.5703125" hidden="1" customWidth="1"/>
    <col min="66" max="66" width="19.140625" customWidth="1"/>
    <col min="67" max="69" width="19.5703125" customWidth="1"/>
    <col min="70" max="71" width="19.5703125" hidden="1" customWidth="1"/>
    <col min="72" max="73" width="10.140625" hidden="1" customWidth="1"/>
    <col min="74" max="75" width="25.85546875" customWidth="1"/>
    <col min="76" max="76" width="16" customWidth="1"/>
  </cols>
  <sheetData>
    <row r="1" spans="1:77" ht="15.75" customHeight="1" x14ac:dyDescent="0.25">
      <c r="A1" s="1" t="s">
        <v>12</v>
      </c>
      <c r="C1" s="43" t="s">
        <v>13</v>
      </c>
      <c r="D1" s="43"/>
      <c r="E1" s="43"/>
      <c r="F1" s="43"/>
      <c r="G1" s="107" t="s">
        <v>13</v>
      </c>
      <c r="H1" s="107"/>
      <c r="I1" s="107"/>
      <c r="J1" s="107"/>
    </row>
    <row r="2" spans="1:77" s="9" customFormat="1" ht="134.1" customHeight="1" x14ac:dyDescent="0.2">
      <c r="A2" s="44" t="s">
        <v>181</v>
      </c>
      <c r="B2" s="45" t="s">
        <v>182</v>
      </c>
      <c r="C2" s="46" t="s">
        <v>17</v>
      </c>
      <c r="D2" s="46" t="s">
        <v>183</v>
      </c>
      <c r="E2" s="46" t="s">
        <v>184</v>
      </c>
      <c r="F2" s="47" t="s">
        <v>30</v>
      </c>
      <c r="G2" s="47" t="s">
        <v>15</v>
      </c>
      <c r="H2" s="47" t="s">
        <v>185</v>
      </c>
      <c r="I2" s="47" t="s">
        <v>26</v>
      </c>
      <c r="J2" s="47" t="s">
        <v>27</v>
      </c>
      <c r="K2" s="47" t="s">
        <v>28</v>
      </c>
      <c r="L2" s="47" t="s">
        <v>29</v>
      </c>
      <c r="M2" s="47" t="s">
        <v>31</v>
      </c>
      <c r="N2" s="47" t="s">
        <v>32</v>
      </c>
      <c r="O2" s="48" t="s">
        <v>33</v>
      </c>
      <c r="P2" s="48" t="s">
        <v>34</v>
      </c>
      <c r="Q2" s="48" t="s">
        <v>35</v>
      </c>
      <c r="R2" s="48" t="s">
        <v>36</v>
      </c>
      <c r="S2" s="48" t="s">
        <v>37</v>
      </c>
      <c r="T2" s="48" t="s">
        <v>38</v>
      </c>
      <c r="U2" s="49" t="s">
        <v>39</v>
      </c>
      <c r="V2" s="50" t="s">
        <v>40</v>
      </c>
      <c r="W2" s="50" t="s">
        <v>41</v>
      </c>
      <c r="X2" s="50" t="s">
        <v>42</v>
      </c>
      <c r="Y2" s="50" t="s">
        <v>43</v>
      </c>
      <c r="Z2" s="51" t="s">
        <v>44</v>
      </c>
      <c r="AA2" s="51" t="s">
        <v>45</v>
      </c>
      <c r="AB2" s="51" t="s">
        <v>46</v>
      </c>
      <c r="AC2" s="51" t="s">
        <v>47</v>
      </c>
      <c r="AD2" s="50" t="s">
        <v>48</v>
      </c>
      <c r="AE2" s="50" t="s">
        <v>49</v>
      </c>
      <c r="AF2" s="51" t="s">
        <v>50</v>
      </c>
      <c r="AG2" s="51" t="s">
        <v>51</v>
      </c>
      <c r="AH2" s="52" t="s">
        <v>52</v>
      </c>
      <c r="AI2" s="52" t="s">
        <v>53</v>
      </c>
      <c r="AJ2" s="52" t="s">
        <v>54</v>
      </c>
      <c r="AK2" s="52" t="s">
        <v>55</v>
      </c>
      <c r="AL2" s="53" t="s">
        <v>56</v>
      </c>
      <c r="AM2" s="53" t="s">
        <v>57</v>
      </c>
      <c r="AN2" s="53" t="s">
        <v>58</v>
      </c>
      <c r="AO2" s="53" t="s">
        <v>59</v>
      </c>
      <c r="AP2" s="53" t="s">
        <v>60</v>
      </c>
      <c r="AQ2" s="53" t="s">
        <v>61</v>
      </c>
      <c r="AR2" s="54" t="s">
        <v>62</v>
      </c>
      <c r="AS2" s="54" t="s">
        <v>63</v>
      </c>
      <c r="AT2" s="54" t="s">
        <v>64</v>
      </c>
      <c r="AU2" s="54" t="s">
        <v>65</v>
      </c>
      <c r="AV2" s="54" t="s">
        <v>66</v>
      </c>
      <c r="AW2" s="54" t="s">
        <v>67</v>
      </c>
      <c r="AX2" s="54" t="s">
        <v>68</v>
      </c>
      <c r="AY2" s="54" t="s">
        <v>69</v>
      </c>
      <c r="AZ2" s="54" t="s">
        <v>70</v>
      </c>
      <c r="BA2" s="54" t="s">
        <v>71</v>
      </c>
      <c r="BB2" s="54" t="s">
        <v>72</v>
      </c>
      <c r="BC2" s="54" t="s">
        <v>73</v>
      </c>
      <c r="BD2" s="54" t="s">
        <v>74</v>
      </c>
      <c r="BE2" s="54" t="s">
        <v>75</v>
      </c>
      <c r="BF2" s="54" t="s">
        <v>76</v>
      </c>
      <c r="BG2" s="54" t="s">
        <v>77</v>
      </c>
      <c r="BH2" s="53" t="s">
        <v>78</v>
      </c>
      <c r="BI2" s="55" t="s">
        <v>79</v>
      </c>
      <c r="BJ2" s="53" t="s">
        <v>80</v>
      </c>
      <c r="BK2" s="53" t="s">
        <v>81</v>
      </c>
      <c r="BL2" s="53" t="s">
        <v>186</v>
      </c>
      <c r="BM2" s="56" t="s">
        <v>187</v>
      </c>
      <c r="BN2" s="56" t="s">
        <v>188</v>
      </c>
      <c r="BO2" s="56" t="s">
        <v>189</v>
      </c>
      <c r="BP2" s="56" t="s">
        <v>190</v>
      </c>
      <c r="BQ2" s="56" t="s">
        <v>191</v>
      </c>
      <c r="BR2" s="56" t="s">
        <v>192</v>
      </c>
      <c r="BS2" s="56" t="s">
        <v>87</v>
      </c>
      <c r="BT2" s="53" t="s">
        <v>193</v>
      </c>
      <c r="BU2" s="53" t="s">
        <v>194</v>
      </c>
      <c r="BV2" s="53" t="s">
        <v>195</v>
      </c>
      <c r="BW2" s="53" t="s">
        <v>196</v>
      </c>
      <c r="BX2" s="53" t="s">
        <v>197</v>
      </c>
      <c r="BY2" s="53" t="s">
        <v>198</v>
      </c>
    </row>
    <row r="3" spans="1:77" x14ac:dyDescent="0.2">
      <c r="A3" s="58" t="str">
        <f>CONCATENATE(Tabelle32[[#This Row],[Device ID]],".",Tabelle32[[#This Row],[Streamcounter]])</f>
        <v>378.01301</v>
      </c>
      <c r="B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VGW-103_SDI01_ANCsend_0001</v>
      </c>
      <c r="C3" s="60"/>
      <c r="D3" s="61"/>
      <c r="E3" s="62"/>
      <c r="F3" s="59" t="str">
        <f>IFERROR(VLOOKUP(Tabelle32[[#This Row],[Device ID]],BOM!$B$3:$BQ$35,16,FALSE),"")</f>
        <v>R401 HD1 Backup</v>
      </c>
      <c r="G3" s="63">
        <f>VLOOKUP(Tabelle32[[#This Row],[SDI Interface]],BOM!$A$4:$B$35,2,FALSE)</f>
        <v>378</v>
      </c>
      <c r="H3" s="59" t="str">
        <f>BOM!$C$4</f>
        <v>VGW-103</v>
      </c>
      <c r="I3" s="59" t="str">
        <f>IFERROR(VLOOKUP(Tabelle32[[#This Row],[Device ID]],BOM!$B$3:$BQ$35,12,FALSE),"")</f>
        <v>Videoserver</v>
      </c>
      <c r="J3" s="59" t="str">
        <f>IFERROR(VLOOKUP(Tabelle32[[#This Row],[Device ID]],BOM!$B$3:$BQ$35,13,FALSE),"")</f>
        <v>TC.U1.223 | MDC</v>
      </c>
      <c r="K3" s="59" t="str">
        <f>IFERROR(VLOOKUP(Tabelle32[[#This Row],[Device ID]],BOM!$B$3:$BQ$35,14,FALSE),"")</f>
        <v>Imagine Comunications</v>
      </c>
      <c r="L3" s="59" t="str">
        <f>IFERROR(VLOOKUP(Tabelle32[[#This Row],[Device ID]],BOM!$B$3:$BQ$35,16,FALSE),"")</f>
        <v>R401 HD1 Backup</v>
      </c>
      <c r="M3" s="63" t="str">
        <f>IFERROR(VLOOKUP(Tabelle32[[#This Row],[Device ID]],BOM!$B$3:$BQ$35,17,FALSE),"")</f>
        <v>R401</v>
      </c>
      <c r="N3" s="59" t="str">
        <f>IFERROR(VLOOKUP(Tabelle32[[#This Row],[Device ID]],BOM!$B$3:$BQ$35,18,FALSE),"")</f>
        <v>TC.00.104 | R401</v>
      </c>
      <c r="O3" s="64"/>
      <c r="P3" s="64">
        <f>IFERROR(VLOOKUP(Tabelle32[[#This Row],[Device ID]],BOM!$B$3:$BO$50,20,FALSE),"")</f>
        <v>0</v>
      </c>
      <c r="Q3" s="64">
        <f>IFERROR(VLOOKUP(Tabelle32[[#This Row],[Device ID]],BOM!$B$3:$BO$50,21,FALSE),"")</f>
        <v>1</v>
      </c>
      <c r="R3" s="64">
        <f>IFERROR(VLOOKUP(Tabelle32[[#This Row],[Device ID]],BOM!$B$3:$BO$50,22,FALSE),"")</f>
        <v>0</v>
      </c>
      <c r="S3" s="64"/>
      <c r="T3" s="64"/>
      <c r="U3" s="59" t="str">
        <f>IFERROR(VLOOKUP(Tabelle32[[#This Row],[Device ID]],BOM!$B$3:$BQ$35,25,FALSE),"")</f>
        <v>Luis/Ivo</v>
      </c>
      <c r="V3" s="59" t="str">
        <f>IFERROR(VLOOKUP(Tabelle32[[#This Row],[Device ID]],BOM!$B$3:$BQ$35,26,FALSE),"")</f>
        <v>tpco-megw-vgw103.rta.st-net.media.int</v>
      </c>
      <c r="W3" s="59" t="str">
        <f>IFERROR(VLOOKUP(Tabelle32[[#This Row],[Device ID]],BOM!$B$3:$BQ$35,27,FALSE),"")</f>
        <v>10.120.236.50</v>
      </c>
      <c r="X3" s="59" t="str">
        <f>IFERROR(VLOOKUP(Tabelle32[[#This Row],[Device ID]],BOM!$B$3:$BQ$35,28,FALSE),"")</f>
        <v>AVCoreA</v>
      </c>
      <c r="Y3" s="59" t="str">
        <f>IFERROR(VLOOKUP(Tabelle32[[#This Row],[Device ID]],BOM!$B$3:$BQ$35,29,FALSE),"")</f>
        <v>5_36_1</v>
      </c>
      <c r="Z3" s="59" t="str">
        <f>IFERROR(VLOOKUP(Tabelle32[[#This Row],[Device ID]],BOM!$B$3:$BQ$35,30,FALSE),"")</f>
        <v>tpco-megw-vgw103.rtb.st-net.media.int</v>
      </c>
      <c r="AA3" s="59" t="str">
        <f>IFERROR(VLOOKUP(Tabelle32[[#This Row],[Device ID]],BOM!$B$3:$BQ$35,31,FALSE),"")</f>
        <v>10.120.236.54</v>
      </c>
      <c r="AB3" s="59" t="str">
        <f>IFERROR(VLOOKUP(Tabelle32[[#This Row],[Device ID]],BOM!$B$3:$BQ$35,32,FALSE),"")</f>
        <v>AVCoreB</v>
      </c>
      <c r="AC3" s="59" t="str">
        <f>IFERROR(VLOOKUP(Tabelle32[[#This Row],[Device ID]],BOM!$B$3:$BQ$35,33,FALSE),"")</f>
        <v>5_36_1</v>
      </c>
      <c r="AD3" s="59" t="str">
        <f>IFERROR(VLOOKUP(Tabelle32[[#This Row],[Device ID]],BOM!$B$3:$BQ$35,34,FALSE),"")</f>
        <v>tpco-megw-vgw103.st-net.media.int</v>
      </c>
      <c r="AE3" s="59" t="str">
        <f>IFERROR(VLOOKUP(Tabelle32[[#This Row],[Device ID]],BOM!$B$3:$BQ$35,35,FALSE),"")</f>
        <v>10.120.67.141</v>
      </c>
      <c r="AF3" s="59">
        <f>IFERROR(VLOOKUP(Tabelle32[[#This Row],[Device ID]],BOM!$B$3:$BQ$35,36,FALSE),"")</f>
        <v>0</v>
      </c>
      <c r="AG3" s="59">
        <f>IFERROR(VLOOKUP(Tabelle32[[#This Row],[Device ID]],BOM!$B$3:$BQ$35,37,FALSE),"")</f>
        <v>0</v>
      </c>
      <c r="AH3" s="59"/>
      <c r="AI3" s="59"/>
      <c r="AJ3" s="59"/>
      <c r="AK3" s="59"/>
      <c r="AL3" s="59" t="str">
        <f>IFERROR(VLOOKUP(Tabelle32[[#This Row],[Device ID]],BOM!$B$3:$BQ$35,42,FALSE),"")</f>
        <v>Imagine Communications SNP</v>
      </c>
      <c r="AM3" s="59" t="str">
        <f>IFERROR(VLOOKUP(Tabelle32[[#This Row],[Device ID]],BOM!$B$3:$BQ$35,43,FALSE),"")</f>
        <v>no</v>
      </c>
      <c r="AN3" s="59" t="str">
        <f>IFERROR(VLOOKUP(Tabelle32[[#This Row],[Device ID]],BOM!$B$3:$BQ$35,44,FALSE),"")</f>
        <v>yes</v>
      </c>
      <c r="AO3" s="59" t="str">
        <f>IFERROR(VLOOKUP(Tabelle32[[#This Row],[Device ID]],BOM!$B$3:$BQ$35,45,FALSE),"")</f>
        <v>no</v>
      </c>
      <c r="AP3" s="59" t="str">
        <f>IFERROR(CONCATENATE(Tabelle32[[#This Row],[Family
GFX-Unit]]," | ",Tabelle32[[#This Row],[Label 1
GFX-Unit]]," | ",Tabelle32[[#This Row],[Attached Device if Gateway]]),"")</f>
        <v>PLAYOUT R401 | HD1 Backup-001 | R401 HD1 Backup</v>
      </c>
      <c r="AQ3" s="59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 t="s">
        <v>97</v>
      </c>
      <c r="BH3" s="73" t="s">
        <v>199</v>
      </c>
      <c r="BI3" s="30" t="str">
        <f>IF(COUNTA(Tabelle32[[#This Row],[Type:Vid_1080i50]:[Type:Anc_Prot]])&gt;0,"x","")</f>
        <v>x</v>
      </c>
      <c r="BJ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3" s="59"/>
      <c r="BL3" s="59"/>
      <c r="BM3" s="63"/>
      <c r="BN3" s="63"/>
      <c r="BO3" s="93" t="s">
        <v>200</v>
      </c>
      <c r="BP3" s="100" t="s">
        <v>201</v>
      </c>
      <c r="BQ3" s="63">
        <f>LEN(Tabelle32[[#This Row],[Label 1
GFX-Unit]])</f>
        <v>14</v>
      </c>
      <c r="BR3" s="63"/>
      <c r="BS3" s="63"/>
      <c r="BT3" s="59"/>
      <c r="BU3" s="59"/>
      <c r="BV3" s="68" t="s">
        <v>202</v>
      </c>
      <c r="BW3" s="68" t="s">
        <v>203</v>
      </c>
      <c r="BX3" s="68" t="s">
        <v>204</v>
      </c>
      <c r="BY3" s="68">
        <v>1</v>
      </c>
    </row>
    <row r="4" spans="1:77" hidden="1" x14ac:dyDescent="0.2">
      <c r="A4" s="58" t="str">
        <f>CONCATENATE(Tabelle32[[#This Row],[Device ID]],".",Tabelle32[[#This Row],[Streamcounter]])</f>
        <v>378.01302</v>
      </c>
      <c r="B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VGW-103_SDI01_ANCsend_0002</v>
      </c>
      <c r="C4" s="60"/>
      <c r="D4" s="61"/>
      <c r="E4" s="62"/>
      <c r="F4" s="59" t="str">
        <f>IFERROR(VLOOKUP(Tabelle32[[#This Row],[Device ID]],BOM!$B$3:$BQ$35,16,FALSE),"")</f>
        <v>R401 HD1 Backup</v>
      </c>
      <c r="G4" s="63">
        <f>VLOOKUP(Tabelle32[[#This Row],[SDI Interface]],BOM!$A$4:$B$35,2,FALSE)</f>
        <v>378</v>
      </c>
      <c r="H4" s="59" t="str">
        <f>BOM!$C$4</f>
        <v>VGW-103</v>
      </c>
      <c r="I4" s="59" t="str">
        <f>IFERROR(VLOOKUP(Tabelle32[[#This Row],[Device ID]],BOM!$B$3:$BQ$35,12,FALSE),"")</f>
        <v>Videoserver</v>
      </c>
      <c r="J4" s="59" t="str">
        <f>IFERROR(VLOOKUP(Tabelle32[[#This Row],[Device ID]],BOM!$B$3:$BQ$35,13,FALSE),"")</f>
        <v>TC.U1.223 | MDC</v>
      </c>
      <c r="K4" s="59" t="str">
        <f>IFERROR(VLOOKUP(Tabelle32[[#This Row],[Device ID]],BOM!$B$3:$BQ$35,14,FALSE),"")</f>
        <v>Imagine Comunications</v>
      </c>
      <c r="L4" s="59" t="str">
        <f>IFERROR(VLOOKUP(Tabelle32[[#This Row],[Device ID]],BOM!$B$3:$BQ$35,16,FALSE),"")</f>
        <v>R401 HD1 Backup</v>
      </c>
      <c r="M4" s="63" t="str">
        <f>IFERROR(VLOOKUP(Tabelle32[[#This Row],[Device ID]],BOM!$B$3:$BQ$35,17,FALSE),"")</f>
        <v>R401</v>
      </c>
      <c r="N4" s="59" t="str">
        <f>IFERROR(VLOOKUP(Tabelle32[[#This Row],[Device ID]],BOM!$B$3:$BQ$35,18,FALSE),"")</f>
        <v>TC.00.104 | R401</v>
      </c>
      <c r="O4" s="64"/>
      <c r="P4" s="64">
        <f>IFERROR(VLOOKUP(Tabelle32[[#This Row],[Device ID]],BOM!$B$3:$BO$50,20,FALSE),"")</f>
        <v>0</v>
      </c>
      <c r="Q4" s="64">
        <f>IFERROR(VLOOKUP(Tabelle32[[#This Row],[Device ID]],BOM!$B$3:$BO$50,21,FALSE),"")</f>
        <v>1</v>
      </c>
      <c r="R4" s="64">
        <f>IFERROR(VLOOKUP(Tabelle32[[#This Row],[Device ID]],BOM!$B$3:$BO$50,22,FALSE),"")</f>
        <v>0</v>
      </c>
      <c r="S4" s="64"/>
      <c r="T4" s="64"/>
      <c r="U4" s="59" t="str">
        <f>IFERROR(VLOOKUP(Tabelle32[[#This Row],[Device ID]],BOM!$B$3:$BQ$35,25,FALSE),"")</f>
        <v>Luis/Ivo</v>
      </c>
      <c r="V4" s="59" t="str">
        <f>IFERROR(VLOOKUP(Tabelle32[[#This Row],[Device ID]],BOM!$B$3:$BQ$35,26,FALSE),"")</f>
        <v>tpco-megw-vgw103.rta.st-net.media.int</v>
      </c>
      <c r="W4" s="59" t="str">
        <f>IFERROR(VLOOKUP(Tabelle32[[#This Row],[Device ID]],BOM!$B$3:$BQ$35,27,FALSE),"")</f>
        <v>10.120.236.50</v>
      </c>
      <c r="X4" s="59" t="str">
        <f>IFERROR(VLOOKUP(Tabelle32[[#This Row],[Device ID]],BOM!$B$3:$BQ$35,28,FALSE),"")</f>
        <v>AVCoreA</v>
      </c>
      <c r="Y4" s="59" t="str">
        <f>IFERROR(VLOOKUP(Tabelle32[[#This Row],[Device ID]],BOM!$B$3:$BQ$35,29,FALSE),"")</f>
        <v>5_36_1</v>
      </c>
      <c r="Z4" s="59" t="str">
        <f>IFERROR(VLOOKUP(Tabelle32[[#This Row],[Device ID]],BOM!$B$3:$BQ$35,30,FALSE),"")</f>
        <v>tpco-megw-vgw103.rtb.st-net.media.int</v>
      </c>
      <c r="AA4" s="59" t="str">
        <f>IFERROR(VLOOKUP(Tabelle32[[#This Row],[Device ID]],BOM!$B$3:$BQ$35,31,FALSE),"")</f>
        <v>10.120.236.54</v>
      </c>
      <c r="AB4" s="59" t="str">
        <f>IFERROR(VLOOKUP(Tabelle32[[#This Row],[Device ID]],BOM!$B$3:$BQ$35,32,FALSE),"")</f>
        <v>AVCoreB</v>
      </c>
      <c r="AC4" s="59" t="str">
        <f>IFERROR(VLOOKUP(Tabelle32[[#This Row],[Device ID]],BOM!$B$3:$BQ$35,33,FALSE),"")</f>
        <v>5_36_1</v>
      </c>
      <c r="AD4" s="59" t="str">
        <f>IFERROR(VLOOKUP(Tabelle32[[#This Row],[Device ID]],BOM!$B$3:$BQ$35,34,FALSE),"")</f>
        <v>tpco-megw-vgw103.st-net.media.int</v>
      </c>
      <c r="AE4" s="59" t="str">
        <f>IFERROR(VLOOKUP(Tabelle32[[#This Row],[Device ID]],BOM!$B$3:$BQ$35,35,FALSE),"")</f>
        <v>10.120.67.141</v>
      </c>
      <c r="AF4" s="59">
        <f>IFERROR(VLOOKUP(Tabelle32[[#This Row],[Device ID]],BOM!$B$3:$BQ$35,36,FALSE),"")</f>
        <v>0</v>
      </c>
      <c r="AG4" s="59">
        <f>IFERROR(VLOOKUP(Tabelle32[[#This Row],[Device ID]],BOM!$B$3:$BQ$35,37,FALSE),"")</f>
        <v>0</v>
      </c>
      <c r="AH4" s="59"/>
      <c r="AI4" s="59"/>
      <c r="AJ4" s="59"/>
      <c r="AK4" s="59"/>
      <c r="AL4" s="59" t="str">
        <f>IFERROR(VLOOKUP(Tabelle32[[#This Row],[Device ID]],BOM!$B$3:$BQ$35,42,FALSE),"")</f>
        <v>Imagine Communications SNP</v>
      </c>
      <c r="AM4" s="59" t="str">
        <f>IFERROR(VLOOKUP(Tabelle32[[#This Row],[Device ID]],BOM!$B$3:$BQ$35,43,FALSE),"")</f>
        <v>no</v>
      </c>
      <c r="AN4" s="59" t="str">
        <f>IFERROR(VLOOKUP(Tabelle32[[#This Row],[Device ID]],BOM!$B$3:$BQ$35,44,FALSE),"")</f>
        <v>yes</v>
      </c>
      <c r="AO4" s="59" t="str">
        <f>IFERROR(VLOOKUP(Tabelle32[[#This Row],[Device ID]],BOM!$B$3:$BQ$35,45,FALSE),"")</f>
        <v>no</v>
      </c>
      <c r="AP4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4" s="59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73" t="s">
        <v>199</v>
      </c>
      <c r="BI4" s="30" t="str">
        <f>IF(COUNTA(Tabelle32[[#This Row],[Type:Vid_1080i50]:[Type:Anc_Prot]])&gt;0,"x","")</f>
        <v/>
      </c>
      <c r="BJ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" s="59"/>
      <c r="BL4" s="59"/>
      <c r="BM4" s="63"/>
      <c r="BN4" s="63"/>
      <c r="BO4" s="105"/>
      <c r="BP4" s="99"/>
      <c r="BQ4" s="63">
        <f>LEN(Tabelle32[[#This Row],[Label 1
GFX-Unit]])</f>
        <v>0</v>
      </c>
      <c r="BR4" s="63"/>
      <c r="BS4" s="63"/>
      <c r="BT4" s="59"/>
      <c r="BU4" s="59"/>
      <c r="BV4" s="68" t="s">
        <v>205</v>
      </c>
      <c r="BW4" s="68" t="s">
        <v>206</v>
      </c>
      <c r="BX4" s="68" t="s">
        <v>207</v>
      </c>
      <c r="BY4" s="68">
        <v>1</v>
      </c>
    </row>
    <row r="5" spans="1:77" hidden="1" x14ac:dyDescent="0.2">
      <c r="A5" s="58" t="str">
        <f>CONCATENATE(Tabelle32[[#This Row],[Device ID]],".",Tabelle32[[#This Row],[Streamcounter]])</f>
        <v>378.01303</v>
      </c>
      <c r="B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VGW-103_SDI01_ANCsend_0003</v>
      </c>
      <c r="C5" s="60"/>
      <c r="D5" s="61"/>
      <c r="E5" s="62"/>
      <c r="F5" s="59" t="str">
        <f>IFERROR(VLOOKUP(Tabelle32[[#This Row],[Device ID]],BOM!$B$3:$BQ$35,16,FALSE),"")</f>
        <v>R401 HD1 Backup</v>
      </c>
      <c r="G5" s="63">
        <f>VLOOKUP(Tabelle32[[#This Row],[SDI Interface]],BOM!$A$4:$B$35,2,FALSE)</f>
        <v>378</v>
      </c>
      <c r="H5" s="59" t="str">
        <f>BOM!$C$4</f>
        <v>VGW-103</v>
      </c>
      <c r="I5" s="59" t="str">
        <f>IFERROR(VLOOKUP(Tabelle32[[#This Row],[Device ID]],BOM!$B$3:$BQ$35,12,FALSE),"")</f>
        <v>Videoserver</v>
      </c>
      <c r="J5" s="59" t="str">
        <f>IFERROR(VLOOKUP(Tabelle32[[#This Row],[Device ID]],BOM!$B$3:$BQ$35,13,FALSE),"")</f>
        <v>TC.U1.223 | MDC</v>
      </c>
      <c r="K5" s="59" t="str">
        <f>IFERROR(VLOOKUP(Tabelle32[[#This Row],[Device ID]],BOM!$B$3:$BQ$35,14,FALSE),"")</f>
        <v>Imagine Comunications</v>
      </c>
      <c r="L5" s="59" t="str">
        <f>IFERROR(VLOOKUP(Tabelle32[[#This Row],[Device ID]],BOM!$B$3:$BQ$35,16,FALSE),"")</f>
        <v>R401 HD1 Backup</v>
      </c>
      <c r="M5" s="63" t="str">
        <f>IFERROR(VLOOKUP(Tabelle32[[#This Row],[Device ID]],BOM!$B$3:$BQ$35,17,FALSE),"")</f>
        <v>R401</v>
      </c>
      <c r="N5" s="59" t="str">
        <f>IFERROR(VLOOKUP(Tabelle32[[#This Row],[Device ID]],BOM!$B$3:$BQ$35,18,FALSE),"")</f>
        <v>TC.00.104 | R401</v>
      </c>
      <c r="O5" s="64"/>
      <c r="P5" s="64">
        <f>IFERROR(VLOOKUP(Tabelle32[[#This Row],[Device ID]],BOM!$B$3:$BO$50,20,FALSE),"")</f>
        <v>0</v>
      </c>
      <c r="Q5" s="64">
        <f>IFERROR(VLOOKUP(Tabelle32[[#This Row],[Device ID]],BOM!$B$3:$BO$50,21,FALSE),"")</f>
        <v>1</v>
      </c>
      <c r="R5" s="64">
        <f>IFERROR(VLOOKUP(Tabelle32[[#This Row],[Device ID]],BOM!$B$3:$BO$50,22,FALSE),"")</f>
        <v>0</v>
      </c>
      <c r="S5" s="64"/>
      <c r="T5" s="64"/>
      <c r="U5" s="59" t="str">
        <f>IFERROR(VLOOKUP(Tabelle32[[#This Row],[Device ID]],BOM!$B$3:$BQ$35,25,FALSE),"")</f>
        <v>Luis/Ivo</v>
      </c>
      <c r="V5" s="59" t="str">
        <f>IFERROR(VLOOKUP(Tabelle32[[#This Row],[Device ID]],BOM!$B$3:$BQ$35,26,FALSE),"")</f>
        <v>tpco-megw-vgw103.rta.st-net.media.int</v>
      </c>
      <c r="W5" s="59" t="str">
        <f>IFERROR(VLOOKUP(Tabelle32[[#This Row],[Device ID]],BOM!$B$3:$BQ$35,27,FALSE),"")</f>
        <v>10.120.236.50</v>
      </c>
      <c r="X5" s="59" t="str">
        <f>IFERROR(VLOOKUP(Tabelle32[[#This Row],[Device ID]],BOM!$B$3:$BQ$35,28,FALSE),"")</f>
        <v>AVCoreA</v>
      </c>
      <c r="Y5" s="59" t="str">
        <f>IFERROR(VLOOKUP(Tabelle32[[#This Row],[Device ID]],BOM!$B$3:$BQ$35,29,FALSE),"")</f>
        <v>5_36_1</v>
      </c>
      <c r="Z5" s="59" t="str">
        <f>IFERROR(VLOOKUP(Tabelle32[[#This Row],[Device ID]],BOM!$B$3:$BQ$35,30,FALSE),"")</f>
        <v>tpco-megw-vgw103.rtb.st-net.media.int</v>
      </c>
      <c r="AA5" s="59" t="str">
        <f>IFERROR(VLOOKUP(Tabelle32[[#This Row],[Device ID]],BOM!$B$3:$BQ$35,31,FALSE),"")</f>
        <v>10.120.236.54</v>
      </c>
      <c r="AB5" s="59" t="str">
        <f>IFERROR(VLOOKUP(Tabelle32[[#This Row],[Device ID]],BOM!$B$3:$BQ$35,32,FALSE),"")</f>
        <v>AVCoreB</v>
      </c>
      <c r="AC5" s="59" t="str">
        <f>IFERROR(VLOOKUP(Tabelle32[[#This Row],[Device ID]],BOM!$B$3:$BQ$35,33,FALSE),"")</f>
        <v>5_36_1</v>
      </c>
      <c r="AD5" s="59" t="str">
        <f>IFERROR(VLOOKUP(Tabelle32[[#This Row],[Device ID]],BOM!$B$3:$BQ$35,34,FALSE),"")</f>
        <v>tpco-megw-vgw103.st-net.media.int</v>
      </c>
      <c r="AE5" s="59" t="str">
        <f>IFERROR(VLOOKUP(Tabelle32[[#This Row],[Device ID]],BOM!$B$3:$BQ$35,35,FALSE),"")</f>
        <v>10.120.67.141</v>
      </c>
      <c r="AF5" s="59">
        <f>IFERROR(VLOOKUP(Tabelle32[[#This Row],[Device ID]],BOM!$B$3:$BQ$35,36,FALSE),"")</f>
        <v>0</v>
      </c>
      <c r="AG5" s="59">
        <f>IFERROR(VLOOKUP(Tabelle32[[#This Row],[Device ID]],BOM!$B$3:$BQ$35,37,FALSE),"")</f>
        <v>0</v>
      </c>
      <c r="AH5" s="59"/>
      <c r="AI5" s="59"/>
      <c r="AJ5" s="59"/>
      <c r="AK5" s="59"/>
      <c r="AL5" s="59" t="str">
        <f>IFERROR(VLOOKUP(Tabelle32[[#This Row],[Device ID]],BOM!$B$3:$BQ$35,42,FALSE),"")</f>
        <v>Imagine Communications SNP</v>
      </c>
      <c r="AM5" s="59" t="str">
        <f>IFERROR(VLOOKUP(Tabelle32[[#This Row],[Device ID]],BOM!$B$3:$BQ$35,43,FALSE),"")</f>
        <v>no</v>
      </c>
      <c r="AN5" s="59" t="str">
        <f>IFERROR(VLOOKUP(Tabelle32[[#This Row],[Device ID]],BOM!$B$3:$BQ$35,44,FALSE),"")</f>
        <v>yes</v>
      </c>
      <c r="AO5" s="59" t="str">
        <f>IFERROR(VLOOKUP(Tabelle32[[#This Row],[Device ID]],BOM!$B$3:$BQ$35,45,FALSE),"")</f>
        <v>no</v>
      </c>
      <c r="AP5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5" s="59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73" t="s">
        <v>199</v>
      </c>
      <c r="BI5" s="30" t="str">
        <f>IF(COUNTA(Tabelle32[[#This Row],[Type:Vid_1080i50]:[Type:Anc_Prot]])&gt;0,"x","")</f>
        <v/>
      </c>
      <c r="BJ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" s="59"/>
      <c r="BL5" s="59"/>
      <c r="BM5" s="63"/>
      <c r="BN5" s="63"/>
      <c r="BO5" s="105"/>
      <c r="BP5" s="99"/>
      <c r="BQ5" s="63">
        <f>LEN(Tabelle32[[#This Row],[Label 1
GFX-Unit]])</f>
        <v>0</v>
      </c>
      <c r="BR5" s="63"/>
      <c r="BS5" s="63"/>
      <c r="BT5" s="59"/>
      <c r="BU5" s="59"/>
      <c r="BV5" s="68" t="s">
        <v>208</v>
      </c>
      <c r="BW5" s="68" t="s">
        <v>209</v>
      </c>
      <c r="BX5" s="68" t="s">
        <v>210</v>
      </c>
      <c r="BY5" s="68">
        <v>1</v>
      </c>
    </row>
    <row r="6" spans="1:77" hidden="1" x14ac:dyDescent="0.2">
      <c r="A6" s="58" t="str">
        <f>CONCATENATE(Tabelle32[[#This Row],[Device ID]],".",Tabelle32[[#This Row],[Streamcounter]])</f>
        <v>378.01304</v>
      </c>
      <c r="B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VGW-103_SDI01_ANCsend_0004</v>
      </c>
      <c r="C6" s="60"/>
      <c r="D6" s="61"/>
      <c r="E6" s="62"/>
      <c r="F6" s="59" t="str">
        <f>IFERROR(VLOOKUP(Tabelle32[[#This Row],[Device ID]],BOM!$B$3:$BQ$35,16,FALSE),"")</f>
        <v>R401 HD1 Backup</v>
      </c>
      <c r="G6" s="63">
        <f>VLOOKUP(Tabelle32[[#This Row],[SDI Interface]],BOM!$A$4:$B$35,2,FALSE)</f>
        <v>378</v>
      </c>
      <c r="H6" s="59" t="str">
        <f>BOM!$C$4</f>
        <v>VGW-103</v>
      </c>
      <c r="I6" s="59" t="str">
        <f>IFERROR(VLOOKUP(Tabelle32[[#This Row],[Device ID]],BOM!$B$3:$BQ$35,12,FALSE),"")</f>
        <v>Videoserver</v>
      </c>
      <c r="J6" s="59" t="str">
        <f>IFERROR(VLOOKUP(Tabelle32[[#This Row],[Device ID]],BOM!$B$3:$BQ$35,13,FALSE),"")</f>
        <v>TC.U1.223 | MDC</v>
      </c>
      <c r="K6" s="59" t="str">
        <f>IFERROR(VLOOKUP(Tabelle32[[#This Row],[Device ID]],BOM!$B$3:$BQ$35,14,FALSE),"")</f>
        <v>Imagine Comunications</v>
      </c>
      <c r="L6" s="59" t="str">
        <f>IFERROR(VLOOKUP(Tabelle32[[#This Row],[Device ID]],BOM!$B$3:$BQ$35,16,FALSE),"")</f>
        <v>R401 HD1 Backup</v>
      </c>
      <c r="M6" s="63" t="str">
        <f>IFERROR(VLOOKUP(Tabelle32[[#This Row],[Device ID]],BOM!$B$3:$BQ$35,17,FALSE),"")</f>
        <v>R401</v>
      </c>
      <c r="N6" s="59" t="str">
        <f>IFERROR(VLOOKUP(Tabelle32[[#This Row],[Device ID]],BOM!$B$3:$BQ$35,18,FALSE),"")</f>
        <v>TC.00.104 | R401</v>
      </c>
      <c r="O6" s="64"/>
      <c r="P6" s="64">
        <f>IFERROR(VLOOKUP(Tabelle32[[#This Row],[Device ID]],BOM!$B$3:$BO$50,20,FALSE),"")</f>
        <v>0</v>
      </c>
      <c r="Q6" s="64">
        <f>IFERROR(VLOOKUP(Tabelle32[[#This Row],[Device ID]],BOM!$B$3:$BO$50,21,FALSE),"")</f>
        <v>1</v>
      </c>
      <c r="R6" s="64">
        <f>IFERROR(VLOOKUP(Tabelle32[[#This Row],[Device ID]],BOM!$B$3:$BO$50,22,FALSE),"")</f>
        <v>0</v>
      </c>
      <c r="S6" s="64"/>
      <c r="T6" s="64"/>
      <c r="U6" s="59" t="str">
        <f>IFERROR(VLOOKUP(Tabelle32[[#This Row],[Device ID]],BOM!$B$3:$BQ$35,25,FALSE),"")</f>
        <v>Luis/Ivo</v>
      </c>
      <c r="V6" s="59" t="str">
        <f>IFERROR(VLOOKUP(Tabelle32[[#This Row],[Device ID]],BOM!$B$3:$BQ$35,26,FALSE),"")</f>
        <v>tpco-megw-vgw103.rta.st-net.media.int</v>
      </c>
      <c r="W6" s="59" t="str">
        <f>IFERROR(VLOOKUP(Tabelle32[[#This Row],[Device ID]],BOM!$B$3:$BQ$35,27,FALSE),"")</f>
        <v>10.120.236.50</v>
      </c>
      <c r="X6" s="59" t="str">
        <f>IFERROR(VLOOKUP(Tabelle32[[#This Row],[Device ID]],BOM!$B$3:$BQ$35,28,FALSE),"")</f>
        <v>AVCoreA</v>
      </c>
      <c r="Y6" s="59" t="str">
        <f>IFERROR(VLOOKUP(Tabelle32[[#This Row],[Device ID]],BOM!$B$3:$BQ$35,29,FALSE),"")</f>
        <v>5_36_1</v>
      </c>
      <c r="Z6" s="59" t="str">
        <f>IFERROR(VLOOKUP(Tabelle32[[#This Row],[Device ID]],BOM!$B$3:$BQ$35,30,FALSE),"")</f>
        <v>tpco-megw-vgw103.rtb.st-net.media.int</v>
      </c>
      <c r="AA6" s="59" t="str">
        <f>IFERROR(VLOOKUP(Tabelle32[[#This Row],[Device ID]],BOM!$B$3:$BQ$35,31,FALSE),"")</f>
        <v>10.120.236.54</v>
      </c>
      <c r="AB6" s="59" t="str">
        <f>IFERROR(VLOOKUP(Tabelle32[[#This Row],[Device ID]],BOM!$B$3:$BQ$35,32,FALSE),"")</f>
        <v>AVCoreB</v>
      </c>
      <c r="AC6" s="59" t="str">
        <f>IFERROR(VLOOKUP(Tabelle32[[#This Row],[Device ID]],BOM!$B$3:$BQ$35,33,FALSE),"")</f>
        <v>5_36_1</v>
      </c>
      <c r="AD6" s="59" t="str">
        <f>IFERROR(VLOOKUP(Tabelle32[[#This Row],[Device ID]],BOM!$B$3:$BQ$35,34,FALSE),"")</f>
        <v>tpco-megw-vgw103.st-net.media.int</v>
      </c>
      <c r="AE6" s="59" t="str">
        <f>IFERROR(VLOOKUP(Tabelle32[[#This Row],[Device ID]],BOM!$B$3:$BQ$35,35,FALSE),"")</f>
        <v>10.120.67.141</v>
      </c>
      <c r="AF6" s="59">
        <f>IFERROR(VLOOKUP(Tabelle32[[#This Row],[Device ID]],BOM!$B$3:$BQ$35,36,FALSE),"")</f>
        <v>0</v>
      </c>
      <c r="AG6" s="59">
        <f>IFERROR(VLOOKUP(Tabelle32[[#This Row],[Device ID]],BOM!$B$3:$BQ$35,37,FALSE),"")</f>
        <v>0</v>
      </c>
      <c r="AH6" s="59"/>
      <c r="AI6" s="59"/>
      <c r="AJ6" s="59"/>
      <c r="AK6" s="59"/>
      <c r="AL6" s="59" t="str">
        <f>IFERROR(VLOOKUP(Tabelle32[[#This Row],[Device ID]],BOM!$B$3:$BQ$35,42,FALSE),"")</f>
        <v>Imagine Communications SNP</v>
      </c>
      <c r="AM6" s="59" t="str">
        <f>IFERROR(VLOOKUP(Tabelle32[[#This Row],[Device ID]],BOM!$B$3:$BQ$35,43,FALSE),"")</f>
        <v>no</v>
      </c>
      <c r="AN6" s="59" t="str">
        <f>IFERROR(VLOOKUP(Tabelle32[[#This Row],[Device ID]],BOM!$B$3:$BQ$35,44,FALSE),"")</f>
        <v>yes</v>
      </c>
      <c r="AO6" s="59" t="str">
        <f>IFERROR(VLOOKUP(Tabelle32[[#This Row],[Device ID]],BOM!$B$3:$BQ$35,45,FALSE),"")</f>
        <v>no</v>
      </c>
      <c r="AP6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6" s="59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73" t="s">
        <v>199</v>
      </c>
      <c r="BI6" s="30" t="str">
        <f>IF(COUNTA(Tabelle32[[#This Row],[Type:Vid_1080i50]:[Type:Anc_Prot]])&gt;0,"x","")</f>
        <v/>
      </c>
      <c r="BJ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" s="59"/>
      <c r="BL6" s="59"/>
      <c r="BM6" s="63"/>
      <c r="BN6" s="63"/>
      <c r="BO6" s="105"/>
      <c r="BP6" s="99"/>
      <c r="BQ6" s="63">
        <f>LEN(Tabelle32[[#This Row],[Label 1
GFX-Unit]])</f>
        <v>0</v>
      </c>
      <c r="BR6" s="63"/>
      <c r="BS6" s="63"/>
      <c r="BT6" s="59"/>
      <c r="BU6" s="59"/>
      <c r="BV6" s="68" t="s">
        <v>211</v>
      </c>
      <c r="BW6" s="68" t="s">
        <v>212</v>
      </c>
      <c r="BX6" s="68" t="s">
        <v>213</v>
      </c>
      <c r="BY6" s="68">
        <v>1</v>
      </c>
    </row>
    <row r="7" spans="1:77" x14ac:dyDescent="0.2">
      <c r="A7" s="58" t="str">
        <f>CONCATENATE(Tabelle32[[#This Row],[Device ID]],".",Tabelle32[[#This Row],[Streamcounter]])</f>
        <v>378.01201</v>
      </c>
      <c r="B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VGW-103_SDI01_AUDsend_0001</v>
      </c>
      <c r="C7" s="67"/>
      <c r="D7" s="61"/>
      <c r="E7" s="67"/>
      <c r="F7" s="59" t="str">
        <f>IFERROR(VLOOKUP(Tabelle32[[#This Row],[Device ID]],BOM!$B$3:$BQ$35,16,FALSE),"")</f>
        <v>R401 HD1 Backup</v>
      </c>
      <c r="G7" s="63">
        <f>VLOOKUP(Tabelle32[[#This Row],[SDI Interface]],BOM!$A$4:$B$35,2,FALSE)</f>
        <v>378</v>
      </c>
      <c r="H7" s="59" t="str">
        <f>BOM!$C$4</f>
        <v>VGW-103</v>
      </c>
      <c r="I7" s="59" t="str">
        <f>IFERROR(VLOOKUP(Tabelle32[[#This Row],[Device ID]],BOM!$B$3:$BQ$35,12,FALSE),"")</f>
        <v>Videoserver</v>
      </c>
      <c r="J7" s="59" t="str">
        <f>IFERROR(VLOOKUP(Tabelle32[[#This Row],[Device ID]],BOM!$B$3:$BQ$35,13,FALSE),"")</f>
        <v>TC.U1.223 | MDC</v>
      </c>
      <c r="K7" s="59" t="str">
        <f>IFERROR(VLOOKUP(Tabelle32[[#This Row],[Device ID]],BOM!$B$3:$BQ$35,14,FALSE),"")</f>
        <v>Imagine Comunications</v>
      </c>
      <c r="L7" s="59" t="str">
        <f>IFERROR(VLOOKUP(Tabelle32[[#This Row],[Device ID]],BOM!$B$3:$BQ$35,16,FALSE),"")</f>
        <v>R401 HD1 Backup</v>
      </c>
      <c r="M7" s="63" t="str">
        <f>IFERROR(VLOOKUP(Tabelle32[[#This Row],[Device ID]],BOM!$B$3:$BQ$35,17,FALSE),"")</f>
        <v>R401</v>
      </c>
      <c r="N7" s="59" t="str">
        <f>IFERROR(VLOOKUP(Tabelle32[[#This Row],[Device ID]],BOM!$B$3:$BQ$35,18,FALSE),"")</f>
        <v>TC.00.104 | R401</v>
      </c>
      <c r="O7" s="64"/>
      <c r="P7" s="64">
        <f>IFERROR(VLOOKUP(Tabelle32[[#This Row],[Device ID]],BOM!$B$3:$BO$50,20,FALSE),"")</f>
        <v>0</v>
      </c>
      <c r="Q7" s="64">
        <f>IFERROR(VLOOKUP(Tabelle32[[#This Row],[Device ID]],BOM!$B$3:$BO$50,21,FALSE),"")</f>
        <v>1</v>
      </c>
      <c r="R7" s="64">
        <f>IFERROR(VLOOKUP(Tabelle32[[#This Row],[Device ID]],BOM!$B$3:$BO$50,22,FALSE),"")</f>
        <v>0</v>
      </c>
      <c r="S7" s="64"/>
      <c r="T7" s="64"/>
      <c r="U7" s="59" t="str">
        <f>IFERROR(VLOOKUP(Tabelle32[[#This Row],[Device ID]],BOM!$B$3:$BQ$35,25,FALSE),"")</f>
        <v>Luis/Ivo</v>
      </c>
      <c r="V7" s="59" t="str">
        <f>IFERROR(VLOOKUP(Tabelle32[[#This Row],[Device ID]],BOM!$B$3:$BQ$35,26,FALSE),"")</f>
        <v>tpco-megw-vgw103.rta.st-net.media.int</v>
      </c>
      <c r="W7" s="59" t="str">
        <f>IFERROR(VLOOKUP(Tabelle32[[#This Row],[Device ID]],BOM!$B$3:$BQ$35,27,FALSE),"")</f>
        <v>10.120.236.50</v>
      </c>
      <c r="X7" s="59" t="str">
        <f>IFERROR(VLOOKUP(Tabelle32[[#This Row],[Device ID]],BOM!$B$3:$BQ$35,28,FALSE),"")</f>
        <v>AVCoreA</v>
      </c>
      <c r="Y7" s="59" t="str">
        <f>IFERROR(VLOOKUP(Tabelle32[[#This Row],[Device ID]],BOM!$B$3:$BQ$35,29,FALSE),"")</f>
        <v>5_36_1</v>
      </c>
      <c r="Z7" s="59" t="str">
        <f>IFERROR(VLOOKUP(Tabelle32[[#This Row],[Device ID]],BOM!$B$3:$BQ$35,30,FALSE),"")</f>
        <v>tpco-megw-vgw103.rtb.st-net.media.int</v>
      </c>
      <c r="AA7" s="59" t="str">
        <f>IFERROR(VLOOKUP(Tabelle32[[#This Row],[Device ID]],BOM!$B$3:$BQ$35,31,FALSE),"")</f>
        <v>10.120.236.54</v>
      </c>
      <c r="AB7" s="59" t="str">
        <f>IFERROR(VLOOKUP(Tabelle32[[#This Row],[Device ID]],BOM!$B$3:$BQ$35,32,FALSE),"")</f>
        <v>AVCoreB</v>
      </c>
      <c r="AC7" s="59" t="str">
        <f>IFERROR(VLOOKUP(Tabelle32[[#This Row],[Device ID]],BOM!$B$3:$BQ$35,33,FALSE),"")</f>
        <v>5_36_1</v>
      </c>
      <c r="AD7" s="59" t="str">
        <f>IFERROR(VLOOKUP(Tabelle32[[#This Row],[Device ID]],BOM!$B$3:$BQ$35,34,FALSE),"")</f>
        <v>tpco-megw-vgw103.st-net.media.int</v>
      </c>
      <c r="AE7" s="59" t="str">
        <f>IFERROR(VLOOKUP(Tabelle32[[#This Row],[Device ID]],BOM!$B$3:$BQ$35,35,FALSE),"")</f>
        <v>10.120.67.141</v>
      </c>
      <c r="AF7" s="59">
        <f>IFERROR(VLOOKUP(Tabelle32[[#This Row],[Device ID]],BOM!$B$3:$BQ$35,36,FALSE),"")</f>
        <v>0</v>
      </c>
      <c r="AG7" s="59">
        <f>IFERROR(VLOOKUP(Tabelle32[[#This Row],[Device ID]],BOM!$B$3:$BQ$35,37,FALSE),"")</f>
        <v>0</v>
      </c>
      <c r="AH7" s="59"/>
      <c r="AI7" s="59"/>
      <c r="AJ7" s="59"/>
      <c r="AK7" s="59"/>
      <c r="AL7" s="59" t="str">
        <f>IFERROR(VLOOKUP(Tabelle32[[#This Row],[Device ID]],BOM!$B$3:$BQ$35,42,FALSE),"")</f>
        <v>Imagine Communications SNP</v>
      </c>
      <c r="AM7" s="59" t="str">
        <f>IFERROR(VLOOKUP(Tabelle32[[#This Row],[Device ID]],BOM!$B$3:$BQ$35,43,FALSE),"")</f>
        <v>no</v>
      </c>
      <c r="AN7" s="59" t="str">
        <f>IFERROR(VLOOKUP(Tabelle32[[#This Row],[Device ID]],BOM!$B$3:$BQ$35,44,FALSE),"")</f>
        <v>yes</v>
      </c>
      <c r="AO7" s="59" t="str">
        <f>IFERROR(VLOOKUP(Tabelle32[[#This Row],[Device ID]],BOM!$B$3:$BQ$35,45,FALSE),"")</f>
        <v>no</v>
      </c>
      <c r="AP7" s="59" t="str">
        <f>IFERROR(CONCATENATE(Tabelle32[[#This Row],[Family
GFX-Unit]]," | ",Tabelle32[[#This Row],[Label 1
GFX-Unit]]," | ",Tabelle32[[#This Row],[Attached Device if Gateway]]),"")</f>
        <v>PLAYOUT R401 | HD1 Backup-001 | R401 HD1 Backup</v>
      </c>
      <c r="AQ7" s="59"/>
      <c r="AR7" s="90"/>
      <c r="AS7" s="90"/>
      <c r="AT7" s="90"/>
      <c r="AU7" s="90"/>
      <c r="AV7" s="90"/>
      <c r="AW7" s="90"/>
      <c r="AX7" s="90"/>
      <c r="AY7" s="90"/>
      <c r="AZ7" s="90" t="s">
        <v>97</v>
      </c>
      <c r="BA7" s="90"/>
      <c r="BB7" s="90"/>
      <c r="BC7" s="90"/>
      <c r="BD7" s="90"/>
      <c r="BE7" s="90"/>
      <c r="BF7" s="90"/>
      <c r="BG7" s="90"/>
      <c r="BH7" s="66"/>
      <c r="BI7" s="30" t="str">
        <f>IF(COUNTA(Tabelle32[[#This Row],[Type:Vid_1080i50]:[Type:Anc_Prot]])&gt;0,"x","")</f>
        <v>x</v>
      </c>
      <c r="BJ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7" s="59"/>
      <c r="BL7" s="59"/>
      <c r="BM7" s="66"/>
      <c r="BN7" s="66"/>
      <c r="BO7" s="93" t="s">
        <v>200</v>
      </c>
      <c r="BP7" s="100" t="s">
        <v>201</v>
      </c>
      <c r="BQ7" s="63">
        <f>LEN(Tabelle32[[#This Row],[Label 1
GFX-Unit]])</f>
        <v>14</v>
      </c>
      <c r="BR7" s="66"/>
      <c r="BS7" s="66"/>
      <c r="BT7" s="59"/>
      <c r="BU7" s="59"/>
      <c r="BV7" s="68" t="s">
        <v>214</v>
      </c>
      <c r="BW7" s="68" t="s">
        <v>215</v>
      </c>
      <c r="BX7" s="68" t="s">
        <v>216</v>
      </c>
      <c r="BY7" s="68">
        <v>1</v>
      </c>
    </row>
    <row r="8" spans="1:77" x14ac:dyDescent="0.2">
      <c r="A8" s="58" t="str">
        <f>CONCATENATE(Tabelle32[[#This Row],[Device ID]],".",Tabelle32[[#This Row],[Streamcounter]])</f>
        <v>378.01202</v>
      </c>
      <c r="B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VGW-103_SDI01_AUDsend_0002</v>
      </c>
      <c r="C8" s="67"/>
      <c r="D8" s="61"/>
      <c r="E8" s="67"/>
      <c r="F8" s="59" t="str">
        <f>IFERROR(VLOOKUP(Tabelle32[[#This Row],[Device ID]],BOM!$B$3:$BQ$35,16,FALSE),"")</f>
        <v>R401 HD1 Backup</v>
      </c>
      <c r="G8" s="63">
        <f>VLOOKUP(Tabelle32[[#This Row],[SDI Interface]],BOM!$A$4:$B$35,2,FALSE)</f>
        <v>378</v>
      </c>
      <c r="H8" s="59" t="str">
        <f>BOM!$C$4</f>
        <v>VGW-103</v>
      </c>
      <c r="I8" s="59" t="str">
        <f>IFERROR(VLOOKUP(Tabelle32[[#This Row],[Device ID]],BOM!$B$3:$BQ$35,12,FALSE),"")</f>
        <v>Videoserver</v>
      </c>
      <c r="J8" s="59" t="str">
        <f>IFERROR(VLOOKUP(Tabelle32[[#This Row],[Device ID]],BOM!$B$3:$BQ$35,13,FALSE),"")</f>
        <v>TC.U1.223 | MDC</v>
      </c>
      <c r="K8" s="59" t="str">
        <f>IFERROR(VLOOKUP(Tabelle32[[#This Row],[Device ID]],BOM!$B$3:$BQ$35,14,FALSE),"")</f>
        <v>Imagine Comunications</v>
      </c>
      <c r="L8" s="59" t="str">
        <f>IFERROR(VLOOKUP(Tabelle32[[#This Row],[Device ID]],BOM!$B$3:$BQ$35,16,FALSE),"")</f>
        <v>R401 HD1 Backup</v>
      </c>
      <c r="M8" s="63" t="str">
        <f>IFERROR(VLOOKUP(Tabelle32[[#This Row],[Device ID]],BOM!$B$3:$BQ$35,17,FALSE),"")</f>
        <v>R401</v>
      </c>
      <c r="N8" s="59" t="str">
        <f>IFERROR(VLOOKUP(Tabelle32[[#This Row],[Device ID]],BOM!$B$3:$BQ$35,18,FALSE),"")</f>
        <v>TC.00.104 | R401</v>
      </c>
      <c r="O8" s="64"/>
      <c r="P8" s="64">
        <f>IFERROR(VLOOKUP(Tabelle32[[#This Row],[Device ID]],BOM!$B$3:$BO$50,20,FALSE),"")</f>
        <v>0</v>
      </c>
      <c r="Q8" s="64">
        <f>IFERROR(VLOOKUP(Tabelle32[[#This Row],[Device ID]],BOM!$B$3:$BO$50,21,FALSE),"")</f>
        <v>1</v>
      </c>
      <c r="R8" s="64">
        <f>IFERROR(VLOOKUP(Tabelle32[[#This Row],[Device ID]],BOM!$B$3:$BO$50,22,FALSE),"")</f>
        <v>0</v>
      </c>
      <c r="S8" s="64"/>
      <c r="T8" s="64"/>
      <c r="U8" s="59" t="str">
        <f>IFERROR(VLOOKUP(Tabelle32[[#This Row],[Device ID]],BOM!$B$3:$BQ$35,25,FALSE),"")</f>
        <v>Luis/Ivo</v>
      </c>
      <c r="V8" s="59" t="str">
        <f>IFERROR(VLOOKUP(Tabelle32[[#This Row],[Device ID]],BOM!$B$3:$BQ$35,26,FALSE),"")</f>
        <v>tpco-megw-vgw103.rta.st-net.media.int</v>
      </c>
      <c r="W8" s="59" t="str">
        <f>IFERROR(VLOOKUP(Tabelle32[[#This Row],[Device ID]],BOM!$B$3:$BQ$35,27,FALSE),"")</f>
        <v>10.120.236.50</v>
      </c>
      <c r="X8" s="59" t="str">
        <f>IFERROR(VLOOKUP(Tabelle32[[#This Row],[Device ID]],BOM!$B$3:$BQ$35,28,FALSE),"")</f>
        <v>AVCoreA</v>
      </c>
      <c r="Y8" s="59" t="str">
        <f>IFERROR(VLOOKUP(Tabelle32[[#This Row],[Device ID]],BOM!$B$3:$BQ$35,29,FALSE),"")</f>
        <v>5_36_1</v>
      </c>
      <c r="Z8" s="59" t="str">
        <f>IFERROR(VLOOKUP(Tabelle32[[#This Row],[Device ID]],BOM!$B$3:$BQ$35,30,FALSE),"")</f>
        <v>tpco-megw-vgw103.rtb.st-net.media.int</v>
      </c>
      <c r="AA8" s="59" t="str">
        <f>IFERROR(VLOOKUP(Tabelle32[[#This Row],[Device ID]],BOM!$B$3:$BQ$35,31,FALSE),"")</f>
        <v>10.120.236.54</v>
      </c>
      <c r="AB8" s="59" t="str">
        <f>IFERROR(VLOOKUP(Tabelle32[[#This Row],[Device ID]],BOM!$B$3:$BQ$35,32,FALSE),"")</f>
        <v>AVCoreB</v>
      </c>
      <c r="AC8" s="59" t="str">
        <f>IFERROR(VLOOKUP(Tabelle32[[#This Row],[Device ID]],BOM!$B$3:$BQ$35,33,FALSE),"")</f>
        <v>5_36_1</v>
      </c>
      <c r="AD8" s="59" t="str">
        <f>IFERROR(VLOOKUP(Tabelle32[[#This Row],[Device ID]],BOM!$B$3:$BQ$35,34,FALSE),"")</f>
        <v>tpco-megw-vgw103.st-net.media.int</v>
      </c>
      <c r="AE8" s="59" t="str">
        <f>IFERROR(VLOOKUP(Tabelle32[[#This Row],[Device ID]],BOM!$B$3:$BQ$35,35,FALSE),"")</f>
        <v>10.120.67.141</v>
      </c>
      <c r="AF8" s="59">
        <f>IFERROR(VLOOKUP(Tabelle32[[#This Row],[Device ID]],BOM!$B$3:$BQ$35,36,FALSE),"")</f>
        <v>0</v>
      </c>
      <c r="AG8" s="59">
        <f>IFERROR(VLOOKUP(Tabelle32[[#This Row],[Device ID]],BOM!$B$3:$BQ$35,37,FALSE),"")</f>
        <v>0</v>
      </c>
      <c r="AH8" s="59"/>
      <c r="AI8" s="59"/>
      <c r="AJ8" s="59"/>
      <c r="AK8" s="59"/>
      <c r="AL8" s="59" t="str">
        <f>IFERROR(VLOOKUP(Tabelle32[[#This Row],[Device ID]],BOM!$B$3:$BQ$35,42,FALSE),"")</f>
        <v>Imagine Communications SNP</v>
      </c>
      <c r="AM8" s="59" t="str">
        <f>IFERROR(VLOOKUP(Tabelle32[[#This Row],[Device ID]],BOM!$B$3:$BQ$35,43,FALSE),"")</f>
        <v>no</v>
      </c>
      <c r="AN8" s="59" t="str">
        <f>IFERROR(VLOOKUP(Tabelle32[[#This Row],[Device ID]],BOM!$B$3:$BQ$35,44,FALSE),"")</f>
        <v>yes</v>
      </c>
      <c r="AO8" s="59" t="str">
        <f>IFERROR(VLOOKUP(Tabelle32[[#This Row],[Device ID]],BOM!$B$3:$BQ$35,45,FALSE),"")</f>
        <v>no</v>
      </c>
      <c r="AP8" s="59" t="str">
        <f>IFERROR(CONCATENATE(Tabelle32[[#This Row],[Family
GFX-Unit]]," | ",Tabelle32[[#This Row],[Label 1
GFX-Unit]]," | ",Tabelle32[[#This Row],[Attached Device if Gateway]]),"")</f>
        <v>PLAYOUT R401 | HD1 Backup-002 | R401 HD1 Backup</v>
      </c>
      <c r="AQ8" s="59"/>
      <c r="AR8" s="90"/>
      <c r="AS8" s="90"/>
      <c r="AT8" s="90"/>
      <c r="AU8" s="90"/>
      <c r="AV8" s="90"/>
      <c r="AW8" s="90" t="s">
        <v>97</v>
      </c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66"/>
      <c r="BI8" s="30" t="str">
        <f>IF(COUNTA(Tabelle32[[#This Row],[Type:Vid_1080i50]:[Type:Anc_Prot]])&gt;0,"x","")</f>
        <v>x</v>
      </c>
      <c r="BJ8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8" s="59"/>
      <c r="BL8" s="59"/>
      <c r="BM8" s="66"/>
      <c r="BN8" s="66"/>
      <c r="BO8" s="93" t="s">
        <v>200</v>
      </c>
      <c r="BP8" s="100" t="s">
        <v>217</v>
      </c>
      <c r="BQ8" s="63">
        <f>LEN(Tabelle32[[#This Row],[Label 1
GFX-Unit]])</f>
        <v>14</v>
      </c>
      <c r="BR8" s="66"/>
      <c r="BS8" s="66"/>
      <c r="BT8" s="59"/>
      <c r="BU8" s="59"/>
      <c r="BV8" s="68" t="s">
        <v>218</v>
      </c>
      <c r="BW8" s="68" t="s">
        <v>219</v>
      </c>
      <c r="BX8" s="68" t="s">
        <v>220</v>
      </c>
      <c r="BY8" s="68">
        <v>1</v>
      </c>
    </row>
    <row r="9" spans="1:77" x14ac:dyDescent="0.2">
      <c r="A9" s="58" t="str">
        <f>CONCATENATE(Tabelle32[[#This Row],[Device ID]],".",Tabelle32[[#This Row],[Streamcounter]])</f>
        <v>378.01203</v>
      </c>
      <c r="B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VGW-103_SDI01_AUDsend_0003</v>
      </c>
      <c r="C9" s="67"/>
      <c r="D9" s="61"/>
      <c r="E9" s="67"/>
      <c r="F9" s="59" t="str">
        <f>IFERROR(VLOOKUP(Tabelle32[[#This Row],[Device ID]],BOM!$B$3:$BQ$35,16,FALSE),"")</f>
        <v>R401 HD1 Backup</v>
      </c>
      <c r="G9" s="63">
        <f>VLOOKUP(Tabelle32[[#This Row],[SDI Interface]],BOM!$A$4:$B$35,2,FALSE)</f>
        <v>378</v>
      </c>
      <c r="H9" s="59" t="str">
        <f>BOM!$C$4</f>
        <v>VGW-103</v>
      </c>
      <c r="I9" s="59" t="str">
        <f>IFERROR(VLOOKUP(Tabelle32[[#This Row],[Device ID]],BOM!$B$3:$BQ$35,12,FALSE),"")</f>
        <v>Videoserver</v>
      </c>
      <c r="J9" s="59" t="str">
        <f>IFERROR(VLOOKUP(Tabelle32[[#This Row],[Device ID]],BOM!$B$3:$BQ$35,13,FALSE),"")</f>
        <v>TC.U1.223 | MDC</v>
      </c>
      <c r="K9" s="59" t="str">
        <f>IFERROR(VLOOKUP(Tabelle32[[#This Row],[Device ID]],BOM!$B$3:$BQ$35,14,FALSE),"")</f>
        <v>Imagine Comunications</v>
      </c>
      <c r="L9" s="59" t="str">
        <f>IFERROR(VLOOKUP(Tabelle32[[#This Row],[Device ID]],BOM!$B$3:$BQ$35,16,FALSE),"")</f>
        <v>R401 HD1 Backup</v>
      </c>
      <c r="M9" s="63" t="str">
        <f>IFERROR(VLOOKUP(Tabelle32[[#This Row],[Device ID]],BOM!$B$3:$BQ$35,17,FALSE),"")</f>
        <v>R401</v>
      </c>
      <c r="N9" s="59" t="str">
        <f>IFERROR(VLOOKUP(Tabelle32[[#This Row],[Device ID]],BOM!$B$3:$BQ$35,18,FALSE),"")</f>
        <v>TC.00.104 | R401</v>
      </c>
      <c r="O9" s="64"/>
      <c r="P9" s="64">
        <f>IFERROR(VLOOKUP(Tabelle32[[#This Row],[Device ID]],BOM!$B$3:$BO$50,20,FALSE),"")</f>
        <v>0</v>
      </c>
      <c r="Q9" s="64">
        <f>IFERROR(VLOOKUP(Tabelle32[[#This Row],[Device ID]],BOM!$B$3:$BO$50,21,FALSE),"")</f>
        <v>1</v>
      </c>
      <c r="R9" s="64">
        <f>IFERROR(VLOOKUP(Tabelle32[[#This Row],[Device ID]],BOM!$B$3:$BO$50,22,FALSE),"")</f>
        <v>0</v>
      </c>
      <c r="S9" s="64"/>
      <c r="T9" s="64"/>
      <c r="U9" s="59" t="str">
        <f>IFERROR(VLOOKUP(Tabelle32[[#This Row],[Device ID]],BOM!$B$3:$BQ$35,25,FALSE),"")</f>
        <v>Luis/Ivo</v>
      </c>
      <c r="V9" s="59" t="str">
        <f>IFERROR(VLOOKUP(Tabelle32[[#This Row],[Device ID]],BOM!$B$3:$BQ$35,26,FALSE),"")</f>
        <v>tpco-megw-vgw103.rta.st-net.media.int</v>
      </c>
      <c r="W9" s="59" t="str">
        <f>IFERROR(VLOOKUP(Tabelle32[[#This Row],[Device ID]],BOM!$B$3:$BQ$35,27,FALSE),"")</f>
        <v>10.120.236.50</v>
      </c>
      <c r="X9" s="59" t="str">
        <f>IFERROR(VLOOKUP(Tabelle32[[#This Row],[Device ID]],BOM!$B$3:$BQ$35,28,FALSE),"")</f>
        <v>AVCoreA</v>
      </c>
      <c r="Y9" s="59" t="str">
        <f>IFERROR(VLOOKUP(Tabelle32[[#This Row],[Device ID]],BOM!$B$3:$BQ$35,29,FALSE),"")</f>
        <v>5_36_1</v>
      </c>
      <c r="Z9" s="59" t="str">
        <f>IFERROR(VLOOKUP(Tabelle32[[#This Row],[Device ID]],BOM!$B$3:$BQ$35,30,FALSE),"")</f>
        <v>tpco-megw-vgw103.rtb.st-net.media.int</v>
      </c>
      <c r="AA9" s="59" t="str">
        <f>IFERROR(VLOOKUP(Tabelle32[[#This Row],[Device ID]],BOM!$B$3:$BQ$35,31,FALSE),"")</f>
        <v>10.120.236.54</v>
      </c>
      <c r="AB9" s="59" t="str">
        <f>IFERROR(VLOOKUP(Tabelle32[[#This Row],[Device ID]],BOM!$B$3:$BQ$35,32,FALSE),"")</f>
        <v>AVCoreB</v>
      </c>
      <c r="AC9" s="59" t="str">
        <f>IFERROR(VLOOKUP(Tabelle32[[#This Row],[Device ID]],BOM!$B$3:$BQ$35,33,FALSE),"")</f>
        <v>5_36_1</v>
      </c>
      <c r="AD9" s="59" t="str">
        <f>IFERROR(VLOOKUP(Tabelle32[[#This Row],[Device ID]],BOM!$B$3:$BQ$35,34,FALSE),"")</f>
        <v>tpco-megw-vgw103.st-net.media.int</v>
      </c>
      <c r="AE9" s="59" t="str">
        <f>IFERROR(VLOOKUP(Tabelle32[[#This Row],[Device ID]],BOM!$B$3:$BQ$35,35,FALSE),"")</f>
        <v>10.120.67.141</v>
      </c>
      <c r="AF9" s="59">
        <f>IFERROR(VLOOKUP(Tabelle32[[#This Row],[Device ID]],BOM!$B$3:$BQ$35,36,FALSE),"")</f>
        <v>0</v>
      </c>
      <c r="AG9" s="59">
        <f>IFERROR(VLOOKUP(Tabelle32[[#This Row],[Device ID]],BOM!$B$3:$BQ$35,37,FALSE),"")</f>
        <v>0</v>
      </c>
      <c r="AH9" s="59"/>
      <c r="AI9" s="59"/>
      <c r="AJ9" s="59"/>
      <c r="AK9" s="59"/>
      <c r="AL9" s="59" t="str">
        <f>IFERROR(VLOOKUP(Tabelle32[[#This Row],[Device ID]],BOM!$B$3:$BQ$35,42,FALSE),"")</f>
        <v>Imagine Communications SNP</v>
      </c>
      <c r="AM9" s="59" t="str">
        <f>IFERROR(VLOOKUP(Tabelle32[[#This Row],[Device ID]],BOM!$B$3:$BQ$35,43,FALSE),"")</f>
        <v>no</v>
      </c>
      <c r="AN9" s="59" t="str">
        <f>IFERROR(VLOOKUP(Tabelle32[[#This Row],[Device ID]],BOM!$B$3:$BQ$35,44,FALSE),"")</f>
        <v>yes</v>
      </c>
      <c r="AO9" s="59" t="str">
        <f>IFERROR(VLOOKUP(Tabelle32[[#This Row],[Device ID]],BOM!$B$3:$BQ$35,45,FALSE),"")</f>
        <v>no</v>
      </c>
      <c r="AP9" s="59" t="str">
        <f>IFERROR(CONCATENATE(Tabelle32[[#This Row],[Family
GFX-Unit]]," | ",Tabelle32[[#This Row],[Label 1
GFX-Unit]]," | ",Tabelle32[[#This Row],[Attached Device if Gateway]]),"")</f>
        <v>PLAYOUT R401 | HD1 Backup-003 | R401 HD1 Backup</v>
      </c>
      <c r="AQ9" s="59"/>
      <c r="AR9" s="90"/>
      <c r="AS9" s="90"/>
      <c r="AT9" s="90"/>
      <c r="AU9" s="90"/>
      <c r="AV9" s="90"/>
      <c r="AW9" s="90" t="s">
        <v>97</v>
      </c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66" t="s">
        <v>199</v>
      </c>
      <c r="BI9" s="30" t="str">
        <f>IF(COUNTA(Tabelle32[[#This Row],[Type:Vid_1080i50]:[Type:Anc_Prot]])&gt;0,"x","")</f>
        <v>x</v>
      </c>
      <c r="BJ9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9" s="59"/>
      <c r="BL9" s="59"/>
      <c r="BM9" s="66"/>
      <c r="BN9" s="66"/>
      <c r="BO9" s="93" t="s">
        <v>200</v>
      </c>
      <c r="BP9" s="100" t="s">
        <v>221</v>
      </c>
      <c r="BQ9" s="63">
        <f>LEN(Tabelle32[[#This Row],[Label 1
GFX-Unit]])</f>
        <v>14</v>
      </c>
      <c r="BR9" s="66"/>
      <c r="BS9" s="66"/>
      <c r="BT9" s="59"/>
      <c r="BU9" s="59"/>
      <c r="BV9" s="68" t="s">
        <v>222</v>
      </c>
      <c r="BW9" s="68" t="s">
        <v>223</v>
      </c>
      <c r="BX9" s="68" t="s">
        <v>224</v>
      </c>
      <c r="BY9" s="68">
        <v>1</v>
      </c>
    </row>
    <row r="10" spans="1:77" x14ac:dyDescent="0.2">
      <c r="A10" s="58" t="str">
        <f>CONCATENATE(Tabelle32[[#This Row],[Device ID]],".",Tabelle32[[#This Row],[Streamcounter]])</f>
        <v>378.01204</v>
      </c>
      <c r="B1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VGW-103_SDI01_AUDsend_0004</v>
      </c>
      <c r="C10" s="60"/>
      <c r="D10" s="61"/>
      <c r="E10" s="62"/>
      <c r="F10" s="59" t="str">
        <f>IFERROR(VLOOKUP(Tabelle32[[#This Row],[Device ID]],BOM!$B$3:$BQ$35,16,FALSE),"")</f>
        <v>R401 HD1 Backup</v>
      </c>
      <c r="G10" s="63">
        <f>VLOOKUP(Tabelle32[[#This Row],[SDI Interface]],BOM!$A$4:$B$35,2,FALSE)</f>
        <v>378</v>
      </c>
      <c r="H10" s="59" t="str">
        <f>BOM!$C$4</f>
        <v>VGW-103</v>
      </c>
      <c r="I10" s="59" t="str">
        <f>IFERROR(VLOOKUP(Tabelle32[[#This Row],[Device ID]],BOM!$B$3:$BQ$35,12,FALSE),"")</f>
        <v>Videoserver</v>
      </c>
      <c r="J10" s="59" t="str">
        <f>IFERROR(VLOOKUP(Tabelle32[[#This Row],[Device ID]],BOM!$B$3:$BQ$35,13,FALSE),"")</f>
        <v>TC.U1.223 | MDC</v>
      </c>
      <c r="K10" s="59" t="str">
        <f>IFERROR(VLOOKUP(Tabelle32[[#This Row],[Device ID]],BOM!$B$3:$BQ$35,14,FALSE),"")</f>
        <v>Imagine Comunications</v>
      </c>
      <c r="L10" s="59" t="str">
        <f>IFERROR(VLOOKUP(Tabelle32[[#This Row],[Device ID]],BOM!$B$3:$BQ$35,16,FALSE),"")</f>
        <v>R401 HD1 Backup</v>
      </c>
      <c r="M10" s="63" t="str">
        <f>IFERROR(VLOOKUP(Tabelle32[[#This Row],[Device ID]],BOM!$B$3:$BQ$35,17,FALSE),"")</f>
        <v>R401</v>
      </c>
      <c r="N10" s="59" t="str">
        <f>IFERROR(VLOOKUP(Tabelle32[[#This Row],[Device ID]],BOM!$B$3:$BQ$35,18,FALSE),"")</f>
        <v>TC.00.104 | R401</v>
      </c>
      <c r="O10" s="64"/>
      <c r="P10" s="64">
        <f>IFERROR(VLOOKUP(Tabelle32[[#This Row],[Device ID]],BOM!$B$3:$BO$50,20,FALSE),"")</f>
        <v>0</v>
      </c>
      <c r="Q10" s="64">
        <f>IFERROR(VLOOKUP(Tabelle32[[#This Row],[Device ID]],BOM!$B$3:$BO$50,21,FALSE),"")</f>
        <v>1</v>
      </c>
      <c r="R10" s="64">
        <f>IFERROR(VLOOKUP(Tabelle32[[#This Row],[Device ID]],BOM!$B$3:$BO$50,22,FALSE),"")</f>
        <v>0</v>
      </c>
      <c r="S10" s="64"/>
      <c r="T10" s="64"/>
      <c r="U10" s="59" t="str">
        <f>IFERROR(VLOOKUP(Tabelle32[[#This Row],[Device ID]],BOM!$B$3:$BQ$35,25,FALSE),"")</f>
        <v>Luis/Ivo</v>
      </c>
      <c r="V10" s="59" t="str">
        <f>IFERROR(VLOOKUP(Tabelle32[[#This Row],[Device ID]],BOM!$B$3:$BQ$35,26,FALSE),"")</f>
        <v>tpco-megw-vgw103.rta.st-net.media.int</v>
      </c>
      <c r="W10" s="59" t="str">
        <f>IFERROR(VLOOKUP(Tabelle32[[#This Row],[Device ID]],BOM!$B$3:$BQ$35,27,FALSE),"")</f>
        <v>10.120.236.50</v>
      </c>
      <c r="X10" s="59" t="str">
        <f>IFERROR(VLOOKUP(Tabelle32[[#This Row],[Device ID]],BOM!$B$3:$BQ$35,28,FALSE),"")</f>
        <v>AVCoreA</v>
      </c>
      <c r="Y10" s="59" t="str">
        <f>IFERROR(VLOOKUP(Tabelle32[[#This Row],[Device ID]],BOM!$B$3:$BQ$35,29,FALSE),"")</f>
        <v>5_36_1</v>
      </c>
      <c r="Z10" s="59" t="str">
        <f>IFERROR(VLOOKUP(Tabelle32[[#This Row],[Device ID]],BOM!$B$3:$BQ$35,30,FALSE),"")</f>
        <v>tpco-megw-vgw103.rtb.st-net.media.int</v>
      </c>
      <c r="AA10" s="59" t="str">
        <f>IFERROR(VLOOKUP(Tabelle32[[#This Row],[Device ID]],BOM!$B$3:$BQ$35,31,FALSE),"")</f>
        <v>10.120.236.54</v>
      </c>
      <c r="AB10" s="59" t="str">
        <f>IFERROR(VLOOKUP(Tabelle32[[#This Row],[Device ID]],BOM!$B$3:$BQ$35,32,FALSE),"")</f>
        <v>AVCoreB</v>
      </c>
      <c r="AC10" s="59" t="str">
        <f>IFERROR(VLOOKUP(Tabelle32[[#This Row],[Device ID]],BOM!$B$3:$BQ$35,33,FALSE),"")</f>
        <v>5_36_1</v>
      </c>
      <c r="AD10" s="59" t="str">
        <f>IFERROR(VLOOKUP(Tabelle32[[#This Row],[Device ID]],BOM!$B$3:$BQ$35,34,FALSE),"")</f>
        <v>tpco-megw-vgw103.st-net.media.int</v>
      </c>
      <c r="AE10" s="59" t="str">
        <f>IFERROR(VLOOKUP(Tabelle32[[#This Row],[Device ID]],BOM!$B$3:$BQ$35,35,FALSE),"")</f>
        <v>10.120.67.141</v>
      </c>
      <c r="AF10" s="59">
        <f>IFERROR(VLOOKUP(Tabelle32[[#This Row],[Device ID]],BOM!$B$3:$BQ$35,36,FALSE),"")</f>
        <v>0</v>
      </c>
      <c r="AG10" s="59">
        <f>IFERROR(VLOOKUP(Tabelle32[[#This Row],[Device ID]],BOM!$B$3:$BQ$35,37,FALSE),"")</f>
        <v>0</v>
      </c>
      <c r="AH10" s="59"/>
      <c r="AI10" s="59"/>
      <c r="AJ10" s="59"/>
      <c r="AK10" s="59"/>
      <c r="AL10" s="59" t="str">
        <f>IFERROR(VLOOKUP(Tabelle32[[#This Row],[Device ID]],BOM!$B$3:$BQ$35,42,FALSE),"")</f>
        <v>Imagine Communications SNP</v>
      </c>
      <c r="AM10" s="59" t="str">
        <f>IFERROR(VLOOKUP(Tabelle32[[#This Row],[Device ID]],BOM!$B$3:$BQ$35,43,FALSE),"")</f>
        <v>no</v>
      </c>
      <c r="AN10" s="59" t="str">
        <f>IFERROR(VLOOKUP(Tabelle32[[#This Row],[Device ID]],BOM!$B$3:$BQ$35,44,FALSE),"")</f>
        <v>yes</v>
      </c>
      <c r="AO10" s="59" t="str">
        <f>IFERROR(VLOOKUP(Tabelle32[[#This Row],[Device ID]],BOM!$B$3:$BQ$35,45,FALSE),"")</f>
        <v>no</v>
      </c>
      <c r="AP10" s="59" t="str">
        <f>IFERROR(CONCATENATE(Tabelle32[[#This Row],[Family
GFX-Unit]]," | ",Tabelle32[[#This Row],[Label 1
GFX-Unit]]," | ",Tabelle32[[#This Row],[Attached Device if Gateway]]),"")</f>
        <v>PLAYOUT R401 | HD1 Backup-004 | R401 HD1 Backup</v>
      </c>
      <c r="AQ10" s="59"/>
      <c r="AR10" s="90"/>
      <c r="AS10" s="90"/>
      <c r="AT10" s="90"/>
      <c r="AU10" s="90"/>
      <c r="AV10" s="90"/>
      <c r="AW10" s="90"/>
      <c r="AX10" s="90"/>
      <c r="AY10" s="90"/>
      <c r="AZ10" s="90" t="s">
        <v>97</v>
      </c>
      <c r="BA10" s="90"/>
      <c r="BB10" s="90"/>
      <c r="BC10" s="90"/>
      <c r="BD10" s="90"/>
      <c r="BE10" s="90"/>
      <c r="BF10" s="90"/>
      <c r="BG10" s="90"/>
      <c r="BH10" s="66" t="s">
        <v>199</v>
      </c>
      <c r="BI10" s="30" t="str">
        <f>IF(COUNTA(Tabelle32[[#This Row],[Type:Vid_1080i50]:[Type:Anc_Prot]])&gt;0,"x","")</f>
        <v>x</v>
      </c>
      <c r="BJ10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0" s="59"/>
      <c r="BL10" s="59"/>
      <c r="BM10" s="66"/>
      <c r="BN10" s="66"/>
      <c r="BO10" s="93" t="s">
        <v>200</v>
      </c>
      <c r="BP10" s="100" t="s">
        <v>225</v>
      </c>
      <c r="BQ10" s="63">
        <f>LEN(Tabelle32[[#This Row],[Label 1
GFX-Unit]])</f>
        <v>14</v>
      </c>
      <c r="BR10" s="66"/>
      <c r="BS10" s="66"/>
      <c r="BT10" s="59"/>
      <c r="BU10" s="59"/>
      <c r="BV10" s="68" t="s">
        <v>226</v>
      </c>
      <c r="BW10" s="68" t="s">
        <v>227</v>
      </c>
      <c r="BX10" s="68" t="s">
        <v>228</v>
      </c>
      <c r="BY10" s="68">
        <v>1</v>
      </c>
    </row>
    <row r="11" spans="1:77" x14ac:dyDescent="0.2">
      <c r="A11" s="58" t="str">
        <f>CONCATENATE(Tabelle32[[#This Row],[Device ID]],".",Tabelle32[[#This Row],[Streamcounter]])</f>
        <v>378.01205</v>
      </c>
      <c r="B1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VGW-103_SDI01_AUDsend_0005</v>
      </c>
      <c r="C11" s="60"/>
      <c r="D11" s="61"/>
      <c r="E11" s="62"/>
      <c r="F11" s="59" t="str">
        <f>IFERROR(VLOOKUP(Tabelle32[[#This Row],[Device ID]],BOM!$B$3:$BQ$35,16,FALSE),"")</f>
        <v>R401 HD1 Backup</v>
      </c>
      <c r="G11" s="63">
        <f>VLOOKUP(Tabelle32[[#This Row],[SDI Interface]],BOM!$A$4:$B$35,2,FALSE)</f>
        <v>378</v>
      </c>
      <c r="H11" s="59" t="str">
        <f>BOM!$C$4</f>
        <v>VGW-103</v>
      </c>
      <c r="I11" s="59" t="str">
        <f>IFERROR(VLOOKUP(Tabelle32[[#This Row],[Device ID]],BOM!$B$3:$BQ$35,12,FALSE),"")</f>
        <v>Videoserver</v>
      </c>
      <c r="J11" s="59" t="str">
        <f>IFERROR(VLOOKUP(Tabelle32[[#This Row],[Device ID]],BOM!$B$3:$BQ$35,13,FALSE),"")</f>
        <v>TC.U1.223 | MDC</v>
      </c>
      <c r="K11" s="59" t="str">
        <f>IFERROR(VLOOKUP(Tabelle32[[#This Row],[Device ID]],BOM!$B$3:$BQ$35,14,FALSE),"")</f>
        <v>Imagine Comunications</v>
      </c>
      <c r="L11" s="59" t="str">
        <f>IFERROR(VLOOKUP(Tabelle32[[#This Row],[Device ID]],BOM!$B$3:$BQ$35,16,FALSE),"")</f>
        <v>R401 HD1 Backup</v>
      </c>
      <c r="M11" s="63" t="str">
        <f>IFERROR(VLOOKUP(Tabelle32[[#This Row],[Device ID]],BOM!$B$3:$BQ$35,17,FALSE),"")</f>
        <v>R401</v>
      </c>
      <c r="N11" s="59" t="str">
        <f>IFERROR(VLOOKUP(Tabelle32[[#This Row],[Device ID]],BOM!$B$3:$BQ$35,18,FALSE),"")</f>
        <v>TC.00.104 | R401</v>
      </c>
      <c r="O11" s="64"/>
      <c r="P11" s="64">
        <f>IFERROR(VLOOKUP(Tabelle32[[#This Row],[Device ID]],BOM!$B$3:$BO$50,20,FALSE),"")</f>
        <v>0</v>
      </c>
      <c r="Q11" s="64">
        <f>IFERROR(VLOOKUP(Tabelle32[[#This Row],[Device ID]],BOM!$B$3:$BO$50,21,FALSE),"")</f>
        <v>1</v>
      </c>
      <c r="R11" s="64">
        <f>IFERROR(VLOOKUP(Tabelle32[[#This Row],[Device ID]],BOM!$B$3:$BO$50,22,FALSE),"")</f>
        <v>0</v>
      </c>
      <c r="S11" s="64"/>
      <c r="T11" s="64"/>
      <c r="U11" s="59" t="str">
        <f>IFERROR(VLOOKUP(Tabelle32[[#This Row],[Device ID]],BOM!$B$3:$BQ$35,25,FALSE),"")</f>
        <v>Luis/Ivo</v>
      </c>
      <c r="V11" s="59" t="str">
        <f>IFERROR(VLOOKUP(Tabelle32[[#This Row],[Device ID]],BOM!$B$3:$BQ$35,26,FALSE),"")</f>
        <v>tpco-megw-vgw103.rta.st-net.media.int</v>
      </c>
      <c r="W11" s="59" t="str">
        <f>IFERROR(VLOOKUP(Tabelle32[[#This Row],[Device ID]],BOM!$B$3:$BQ$35,27,FALSE),"")</f>
        <v>10.120.236.50</v>
      </c>
      <c r="X11" s="59" t="str">
        <f>IFERROR(VLOOKUP(Tabelle32[[#This Row],[Device ID]],BOM!$B$3:$BQ$35,28,FALSE),"")</f>
        <v>AVCoreA</v>
      </c>
      <c r="Y11" s="59" t="str">
        <f>IFERROR(VLOOKUP(Tabelle32[[#This Row],[Device ID]],BOM!$B$3:$BQ$35,29,FALSE),"")</f>
        <v>5_36_1</v>
      </c>
      <c r="Z11" s="59" t="str">
        <f>IFERROR(VLOOKUP(Tabelle32[[#This Row],[Device ID]],BOM!$B$3:$BQ$35,30,FALSE),"")</f>
        <v>tpco-megw-vgw103.rtb.st-net.media.int</v>
      </c>
      <c r="AA11" s="59" t="str">
        <f>IFERROR(VLOOKUP(Tabelle32[[#This Row],[Device ID]],BOM!$B$3:$BQ$35,31,FALSE),"")</f>
        <v>10.120.236.54</v>
      </c>
      <c r="AB11" s="59" t="str">
        <f>IFERROR(VLOOKUP(Tabelle32[[#This Row],[Device ID]],BOM!$B$3:$BQ$35,32,FALSE),"")</f>
        <v>AVCoreB</v>
      </c>
      <c r="AC11" s="59" t="str">
        <f>IFERROR(VLOOKUP(Tabelle32[[#This Row],[Device ID]],BOM!$B$3:$BQ$35,33,FALSE),"")</f>
        <v>5_36_1</v>
      </c>
      <c r="AD11" s="59" t="str">
        <f>IFERROR(VLOOKUP(Tabelle32[[#This Row],[Device ID]],BOM!$B$3:$BQ$35,34,FALSE),"")</f>
        <v>tpco-megw-vgw103.st-net.media.int</v>
      </c>
      <c r="AE11" s="59" t="str">
        <f>IFERROR(VLOOKUP(Tabelle32[[#This Row],[Device ID]],BOM!$B$3:$BQ$35,35,FALSE),"")</f>
        <v>10.120.67.141</v>
      </c>
      <c r="AF11" s="59">
        <f>IFERROR(VLOOKUP(Tabelle32[[#This Row],[Device ID]],BOM!$B$3:$BQ$35,36,FALSE),"")</f>
        <v>0</v>
      </c>
      <c r="AG11" s="59">
        <f>IFERROR(VLOOKUP(Tabelle32[[#This Row],[Device ID]],BOM!$B$3:$BQ$35,37,FALSE),"")</f>
        <v>0</v>
      </c>
      <c r="AH11" s="59"/>
      <c r="AI11" s="59"/>
      <c r="AJ11" s="59"/>
      <c r="AK11" s="59"/>
      <c r="AL11" s="59" t="str">
        <f>IFERROR(VLOOKUP(Tabelle32[[#This Row],[Device ID]],BOM!$B$3:$BQ$35,42,FALSE),"")</f>
        <v>Imagine Communications SNP</v>
      </c>
      <c r="AM11" s="59" t="str">
        <f>IFERROR(VLOOKUP(Tabelle32[[#This Row],[Device ID]],BOM!$B$3:$BQ$35,43,FALSE),"")</f>
        <v>no</v>
      </c>
      <c r="AN11" s="59" t="str">
        <f>IFERROR(VLOOKUP(Tabelle32[[#This Row],[Device ID]],BOM!$B$3:$BQ$35,44,FALSE),"")</f>
        <v>yes</v>
      </c>
      <c r="AO11" s="59" t="str">
        <f>IFERROR(VLOOKUP(Tabelle32[[#This Row],[Device ID]],BOM!$B$3:$BQ$35,45,FALSE),"")</f>
        <v>no</v>
      </c>
      <c r="AP11" s="59" t="str">
        <f>IFERROR(CONCATENATE(Tabelle32[[#This Row],[Family
GFX-Unit]]," | ",Tabelle32[[#This Row],[Label 1
GFX-Unit]]," | ",Tabelle32[[#This Row],[Attached Device if Gateway]]),"")</f>
        <v>PLAYOUT R401 | HD1 Backup-005 | R401 HD1 Backup</v>
      </c>
      <c r="AQ11" s="59"/>
      <c r="AR11" s="90"/>
      <c r="AS11" s="90"/>
      <c r="AT11" s="90"/>
      <c r="AU11" s="90"/>
      <c r="AV11" s="90"/>
      <c r="AW11" s="90" t="s">
        <v>97</v>
      </c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66" t="s">
        <v>199</v>
      </c>
      <c r="BI11" s="30" t="str">
        <f>IF(COUNTA(Tabelle32[[#This Row],[Type:Vid_1080i50]:[Type:Anc_Prot]])&gt;0,"x","")</f>
        <v>x</v>
      </c>
      <c r="BJ11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1" s="59"/>
      <c r="BL11" s="59"/>
      <c r="BM11" s="66"/>
      <c r="BN11" s="66"/>
      <c r="BO11" s="93" t="s">
        <v>200</v>
      </c>
      <c r="BP11" s="100" t="s">
        <v>229</v>
      </c>
      <c r="BQ11" s="63">
        <f>LEN(Tabelle32[[#This Row],[Label 1
GFX-Unit]])</f>
        <v>14</v>
      </c>
      <c r="BR11" s="66"/>
      <c r="BS11" s="66"/>
      <c r="BT11" s="59"/>
      <c r="BU11" s="59"/>
      <c r="BV11" s="68" t="s">
        <v>230</v>
      </c>
      <c r="BW11" s="68" t="s">
        <v>231</v>
      </c>
      <c r="BX11" s="68" t="s">
        <v>232</v>
      </c>
      <c r="BY11" s="68">
        <v>1</v>
      </c>
    </row>
    <row r="12" spans="1:77" x14ac:dyDescent="0.2">
      <c r="A12" s="58" t="str">
        <f>CONCATENATE(Tabelle32[[#This Row],[Device ID]],".",Tabelle32[[#This Row],[Streamcounter]])</f>
        <v>378.01206</v>
      </c>
      <c r="B1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VGW-103_SDI01_AUDsend_0006</v>
      </c>
      <c r="C12" s="60"/>
      <c r="D12" s="61"/>
      <c r="E12" s="62"/>
      <c r="F12" s="59" t="str">
        <f>IFERROR(VLOOKUP(Tabelle32[[#This Row],[Device ID]],BOM!$B$3:$BQ$35,16,FALSE),"")</f>
        <v>R401 HD1 Backup</v>
      </c>
      <c r="G12" s="63">
        <f>VLOOKUP(Tabelle32[[#This Row],[SDI Interface]],BOM!$A$4:$B$35,2,FALSE)</f>
        <v>378</v>
      </c>
      <c r="H12" s="59" t="str">
        <f>BOM!$C$4</f>
        <v>VGW-103</v>
      </c>
      <c r="I12" s="59" t="str">
        <f>IFERROR(VLOOKUP(Tabelle32[[#This Row],[Device ID]],BOM!$B$3:$BQ$35,12,FALSE),"")</f>
        <v>Videoserver</v>
      </c>
      <c r="J12" s="59" t="str">
        <f>IFERROR(VLOOKUP(Tabelle32[[#This Row],[Device ID]],BOM!$B$3:$BQ$35,13,FALSE),"")</f>
        <v>TC.U1.223 | MDC</v>
      </c>
      <c r="K12" s="59" t="str">
        <f>IFERROR(VLOOKUP(Tabelle32[[#This Row],[Device ID]],BOM!$B$3:$BQ$35,14,FALSE),"")</f>
        <v>Imagine Comunications</v>
      </c>
      <c r="L12" s="59" t="str">
        <f>IFERROR(VLOOKUP(Tabelle32[[#This Row],[Device ID]],BOM!$B$3:$BQ$35,16,FALSE),"")</f>
        <v>R401 HD1 Backup</v>
      </c>
      <c r="M12" s="63" t="str">
        <f>IFERROR(VLOOKUP(Tabelle32[[#This Row],[Device ID]],BOM!$B$3:$BQ$35,17,FALSE),"")</f>
        <v>R401</v>
      </c>
      <c r="N12" s="59" t="str">
        <f>IFERROR(VLOOKUP(Tabelle32[[#This Row],[Device ID]],BOM!$B$3:$BQ$35,18,FALSE),"")</f>
        <v>TC.00.104 | R401</v>
      </c>
      <c r="O12" s="64"/>
      <c r="P12" s="64">
        <f>IFERROR(VLOOKUP(Tabelle32[[#This Row],[Device ID]],BOM!$B$3:$BO$50,20,FALSE),"")</f>
        <v>0</v>
      </c>
      <c r="Q12" s="64">
        <f>IFERROR(VLOOKUP(Tabelle32[[#This Row],[Device ID]],BOM!$B$3:$BO$50,21,FALSE),"")</f>
        <v>1</v>
      </c>
      <c r="R12" s="64">
        <f>IFERROR(VLOOKUP(Tabelle32[[#This Row],[Device ID]],BOM!$B$3:$BO$50,22,FALSE),"")</f>
        <v>0</v>
      </c>
      <c r="S12" s="64"/>
      <c r="T12" s="64"/>
      <c r="U12" s="59" t="str">
        <f>IFERROR(VLOOKUP(Tabelle32[[#This Row],[Device ID]],BOM!$B$3:$BQ$35,25,FALSE),"")</f>
        <v>Luis/Ivo</v>
      </c>
      <c r="V12" s="59" t="str">
        <f>IFERROR(VLOOKUP(Tabelle32[[#This Row],[Device ID]],BOM!$B$3:$BQ$35,26,FALSE),"")</f>
        <v>tpco-megw-vgw103.rta.st-net.media.int</v>
      </c>
      <c r="W12" s="59" t="str">
        <f>IFERROR(VLOOKUP(Tabelle32[[#This Row],[Device ID]],BOM!$B$3:$BQ$35,27,FALSE),"")</f>
        <v>10.120.236.50</v>
      </c>
      <c r="X12" s="59" t="str">
        <f>IFERROR(VLOOKUP(Tabelle32[[#This Row],[Device ID]],BOM!$B$3:$BQ$35,28,FALSE),"")</f>
        <v>AVCoreA</v>
      </c>
      <c r="Y12" s="59" t="str">
        <f>IFERROR(VLOOKUP(Tabelle32[[#This Row],[Device ID]],BOM!$B$3:$BQ$35,29,FALSE),"")</f>
        <v>5_36_1</v>
      </c>
      <c r="Z12" s="59" t="str">
        <f>IFERROR(VLOOKUP(Tabelle32[[#This Row],[Device ID]],BOM!$B$3:$BQ$35,30,FALSE),"")</f>
        <v>tpco-megw-vgw103.rtb.st-net.media.int</v>
      </c>
      <c r="AA12" s="59" t="str">
        <f>IFERROR(VLOOKUP(Tabelle32[[#This Row],[Device ID]],BOM!$B$3:$BQ$35,31,FALSE),"")</f>
        <v>10.120.236.54</v>
      </c>
      <c r="AB12" s="59" t="str">
        <f>IFERROR(VLOOKUP(Tabelle32[[#This Row],[Device ID]],BOM!$B$3:$BQ$35,32,FALSE),"")</f>
        <v>AVCoreB</v>
      </c>
      <c r="AC12" s="59" t="str">
        <f>IFERROR(VLOOKUP(Tabelle32[[#This Row],[Device ID]],BOM!$B$3:$BQ$35,33,FALSE),"")</f>
        <v>5_36_1</v>
      </c>
      <c r="AD12" s="59" t="str">
        <f>IFERROR(VLOOKUP(Tabelle32[[#This Row],[Device ID]],BOM!$B$3:$BQ$35,34,FALSE),"")</f>
        <v>tpco-megw-vgw103.st-net.media.int</v>
      </c>
      <c r="AE12" s="59" t="str">
        <f>IFERROR(VLOOKUP(Tabelle32[[#This Row],[Device ID]],BOM!$B$3:$BQ$35,35,FALSE),"")</f>
        <v>10.120.67.141</v>
      </c>
      <c r="AF12" s="59">
        <f>IFERROR(VLOOKUP(Tabelle32[[#This Row],[Device ID]],BOM!$B$3:$BQ$35,36,FALSE),"")</f>
        <v>0</v>
      </c>
      <c r="AG12" s="59">
        <f>IFERROR(VLOOKUP(Tabelle32[[#This Row],[Device ID]],BOM!$B$3:$BQ$35,37,FALSE),"")</f>
        <v>0</v>
      </c>
      <c r="AH12" s="59"/>
      <c r="AI12" s="59"/>
      <c r="AJ12" s="59"/>
      <c r="AK12" s="59"/>
      <c r="AL12" s="59" t="str">
        <f>IFERROR(VLOOKUP(Tabelle32[[#This Row],[Device ID]],BOM!$B$3:$BQ$35,42,FALSE),"")</f>
        <v>Imagine Communications SNP</v>
      </c>
      <c r="AM12" s="59" t="str">
        <f>IFERROR(VLOOKUP(Tabelle32[[#This Row],[Device ID]],BOM!$B$3:$BQ$35,43,FALSE),"")</f>
        <v>no</v>
      </c>
      <c r="AN12" s="59" t="str">
        <f>IFERROR(VLOOKUP(Tabelle32[[#This Row],[Device ID]],BOM!$B$3:$BQ$35,44,FALSE),"")</f>
        <v>yes</v>
      </c>
      <c r="AO12" s="59" t="str">
        <f>IFERROR(VLOOKUP(Tabelle32[[#This Row],[Device ID]],BOM!$B$3:$BQ$35,45,FALSE),"")</f>
        <v>no</v>
      </c>
      <c r="AP12" s="59" t="str">
        <f>IFERROR(CONCATENATE(Tabelle32[[#This Row],[Family
GFX-Unit]]," | ",Tabelle32[[#This Row],[Label 1
GFX-Unit]]," | ",Tabelle32[[#This Row],[Attached Device if Gateway]]),"")</f>
        <v>PLAYOUT R401 | HD1 Backup-006 | R401 HD1 Backup</v>
      </c>
      <c r="AQ12" s="59"/>
      <c r="AR12" s="90"/>
      <c r="AS12" s="90"/>
      <c r="AT12" s="90"/>
      <c r="AU12" s="90"/>
      <c r="AV12" s="90"/>
      <c r="AW12" s="90" t="s">
        <v>97</v>
      </c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66" t="s">
        <v>199</v>
      </c>
      <c r="BI12" s="30" t="str">
        <f>IF(COUNTA(Tabelle32[[#This Row],[Type:Vid_1080i50]:[Type:Anc_Prot]])&gt;0,"x","")</f>
        <v>x</v>
      </c>
      <c r="BJ12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2" s="59"/>
      <c r="BL12" s="59"/>
      <c r="BM12" s="63"/>
      <c r="BN12" s="63"/>
      <c r="BO12" s="93" t="s">
        <v>200</v>
      </c>
      <c r="BP12" s="100" t="s">
        <v>233</v>
      </c>
      <c r="BQ12" s="63">
        <f>LEN(Tabelle32[[#This Row],[Label 1
GFX-Unit]])</f>
        <v>14</v>
      </c>
      <c r="BR12" s="63"/>
      <c r="BS12" s="63"/>
      <c r="BT12" s="59"/>
      <c r="BU12" s="59"/>
      <c r="BV12" s="68" t="s">
        <v>234</v>
      </c>
      <c r="BW12" s="68" t="s">
        <v>235</v>
      </c>
      <c r="BX12" s="68" t="s">
        <v>236</v>
      </c>
      <c r="BY12" s="68">
        <v>1</v>
      </c>
    </row>
    <row r="13" spans="1:77" x14ac:dyDescent="0.2">
      <c r="A13" s="58" t="str">
        <f>CONCATENATE(Tabelle32[[#This Row],[Device ID]],".",Tabelle32[[#This Row],[Streamcounter]])</f>
        <v>378.01207</v>
      </c>
      <c r="B1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VGW-103_SDI01_AUDsend_0007</v>
      </c>
      <c r="C13" s="60"/>
      <c r="D13" s="61"/>
      <c r="E13" s="62"/>
      <c r="F13" s="59" t="str">
        <f>IFERROR(VLOOKUP(Tabelle32[[#This Row],[Device ID]],BOM!$B$3:$BQ$35,16,FALSE),"")</f>
        <v>R401 HD1 Backup</v>
      </c>
      <c r="G13" s="63">
        <f>VLOOKUP(Tabelle32[[#This Row],[SDI Interface]],BOM!$A$4:$B$35,2,FALSE)</f>
        <v>378</v>
      </c>
      <c r="H13" s="59" t="str">
        <f>BOM!$C$4</f>
        <v>VGW-103</v>
      </c>
      <c r="I13" s="59" t="str">
        <f>IFERROR(VLOOKUP(Tabelle32[[#This Row],[Device ID]],BOM!$B$3:$BQ$35,12,FALSE),"")</f>
        <v>Videoserver</v>
      </c>
      <c r="J13" s="59" t="str">
        <f>IFERROR(VLOOKUP(Tabelle32[[#This Row],[Device ID]],BOM!$B$3:$BQ$35,13,FALSE),"")</f>
        <v>TC.U1.223 | MDC</v>
      </c>
      <c r="K13" s="59" t="str">
        <f>IFERROR(VLOOKUP(Tabelle32[[#This Row],[Device ID]],BOM!$B$3:$BQ$35,14,FALSE),"")</f>
        <v>Imagine Comunications</v>
      </c>
      <c r="L13" s="59" t="str">
        <f>IFERROR(VLOOKUP(Tabelle32[[#This Row],[Device ID]],BOM!$B$3:$BQ$35,16,FALSE),"")</f>
        <v>R401 HD1 Backup</v>
      </c>
      <c r="M13" s="63" t="str">
        <f>IFERROR(VLOOKUP(Tabelle32[[#This Row],[Device ID]],BOM!$B$3:$BQ$35,17,FALSE),"")</f>
        <v>R401</v>
      </c>
      <c r="N13" s="59" t="str">
        <f>IFERROR(VLOOKUP(Tabelle32[[#This Row],[Device ID]],BOM!$B$3:$BQ$35,18,FALSE),"")</f>
        <v>TC.00.104 | R401</v>
      </c>
      <c r="O13" s="64"/>
      <c r="P13" s="64">
        <f>IFERROR(VLOOKUP(Tabelle32[[#This Row],[Device ID]],BOM!$B$3:$BO$50,20,FALSE),"")</f>
        <v>0</v>
      </c>
      <c r="Q13" s="64">
        <f>IFERROR(VLOOKUP(Tabelle32[[#This Row],[Device ID]],BOM!$B$3:$BO$50,21,FALSE),"")</f>
        <v>1</v>
      </c>
      <c r="R13" s="64">
        <f>IFERROR(VLOOKUP(Tabelle32[[#This Row],[Device ID]],BOM!$B$3:$BO$50,22,FALSE),"")</f>
        <v>0</v>
      </c>
      <c r="S13" s="64"/>
      <c r="T13" s="64"/>
      <c r="U13" s="59" t="str">
        <f>IFERROR(VLOOKUP(Tabelle32[[#This Row],[Device ID]],BOM!$B$3:$BQ$35,25,FALSE),"")</f>
        <v>Luis/Ivo</v>
      </c>
      <c r="V13" s="59" t="str">
        <f>IFERROR(VLOOKUP(Tabelle32[[#This Row],[Device ID]],BOM!$B$3:$BQ$35,26,FALSE),"")</f>
        <v>tpco-megw-vgw103.rta.st-net.media.int</v>
      </c>
      <c r="W13" s="59" t="str">
        <f>IFERROR(VLOOKUP(Tabelle32[[#This Row],[Device ID]],BOM!$B$3:$BQ$35,27,FALSE),"")</f>
        <v>10.120.236.50</v>
      </c>
      <c r="X13" s="59" t="str">
        <f>IFERROR(VLOOKUP(Tabelle32[[#This Row],[Device ID]],BOM!$B$3:$BQ$35,28,FALSE),"")</f>
        <v>AVCoreA</v>
      </c>
      <c r="Y13" s="59" t="str">
        <f>IFERROR(VLOOKUP(Tabelle32[[#This Row],[Device ID]],BOM!$B$3:$BQ$35,29,FALSE),"")</f>
        <v>5_36_1</v>
      </c>
      <c r="Z13" s="59" t="str">
        <f>IFERROR(VLOOKUP(Tabelle32[[#This Row],[Device ID]],BOM!$B$3:$BQ$35,30,FALSE),"")</f>
        <v>tpco-megw-vgw103.rtb.st-net.media.int</v>
      </c>
      <c r="AA13" s="59" t="str">
        <f>IFERROR(VLOOKUP(Tabelle32[[#This Row],[Device ID]],BOM!$B$3:$BQ$35,31,FALSE),"")</f>
        <v>10.120.236.54</v>
      </c>
      <c r="AB13" s="59" t="str">
        <f>IFERROR(VLOOKUP(Tabelle32[[#This Row],[Device ID]],BOM!$B$3:$BQ$35,32,FALSE),"")</f>
        <v>AVCoreB</v>
      </c>
      <c r="AC13" s="59" t="str">
        <f>IFERROR(VLOOKUP(Tabelle32[[#This Row],[Device ID]],BOM!$B$3:$BQ$35,33,FALSE),"")</f>
        <v>5_36_1</v>
      </c>
      <c r="AD13" s="59" t="str">
        <f>IFERROR(VLOOKUP(Tabelle32[[#This Row],[Device ID]],BOM!$B$3:$BQ$35,34,FALSE),"")</f>
        <v>tpco-megw-vgw103.st-net.media.int</v>
      </c>
      <c r="AE13" s="59" t="str">
        <f>IFERROR(VLOOKUP(Tabelle32[[#This Row],[Device ID]],BOM!$B$3:$BQ$35,35,FALSE),"")</f>
        <v>10.120.67.141</v>
      </c>
      <c r="AF13" s="59">
        <f>IFERROR(VLOOKUP(Tabelle32[[#This Row],[Device ID]],BOM!$B$3:$BQ$35,36,FALSE),"")</f>
        <v>0</v>
      </c>
      <c r="AG13" s="59">
        <f>IFERROR(VLOOKUP(Tabelle32[[#This Row],[Device ID]],BOM!$B$3:$BQ$35,37,FALSE),"")</f>
        <v>0</v>
      </c>
      <c r="AH13" s="59"/>
      <c r="AI13" s="59"/>
      <c r="AJ13" s="59"/>
      <c r="AK13" s="59"/>
      <c r="AL13" s="59" t="str">
        <f>IFERROR(VLOOKUP(Tabelle32[[#This Row],[Device ID]],BOM!$B$3:$BQ$35,42,FALSE),"")</f>
        <v>Imagine Communications SNP</v>
      </c>
      <c r="AM13" s="59" t="str">
        <f>IFERROR(VLOOKUP(Tabelle32[[#This Row],[Device ID]],BOM!$B$3:$BQ$35,43,FALSE),"")</f>
        <v>no</v>
      </c>
      <c r="AN13" s="59" t="str">
        <f>IFERROR(VLOOKUP(Tabelle32[[#This Row],[Device ID]],BOM!$B$3:$BQ$35,44,FALSE),"")</f>
        <v>yes</v>
      </c>
      <c r="AO13" s="59" t="str">
        <f>IFERROR(VLOOKUP(Tabelle32[[#This Row],[Device ID]],BOM!$B$3:$BQ$35,45,FALSE),"")</f>
        <v>no</v>
      </c>
      <c r="AP13" s="59" t="str">
        <f>IFERROR(CONCATENATE(Tabelle32[[#This Row],[Family
GFX-Unit]]," | ",Tabelle32[[#This Row],[Label 1
GFX-Unit]]," | ",Tabelle32[[#This Row],[Attached Device if Gateway]]),"")</f>
        <v>PLAYOUT R401 | HD1 Backup-007 | R401 HD1 Backup</v>
      </c>
      <c r="AQ13" s="59"/>
      <c r="AR13" s="90"/>
      <c r="AS13" s="90"/>
      <c r="AT13" s="90"/>
      <c r="AU13" s="90"/>
      <c r="AV13" s="90"/>
      <c r="AW13" s="90"/>
      <c r="AX13" s="90"/>
      <c r="AY13" s="90"/>
      <c r="AZ13" s="90" t="s">
        <v>97</v>
      </c>
      <c r="BA13" s="90"/>
      <c r="BB13" s="90"/>
      <c r="BC13" s="90"/>
      <c r="BD13" s="90"/>
      <c r="BE13" s="90"/>
      <c r="BF13" s="90"/>
      <c r="BG13" s="90"/>
      <c r="BH13" s="66" t="s">
        <v>199</v>
      </c>
      <c r="BI13" s="30" t="str">
        <f>IF(COUNTA(Tabelle32[[#This Row],[Type:Vid_1080i50]:[Type:Anc_Prot]])&gt;0,"x","")</f>
        <v>x</v>
      </c>
      <c r="BJ1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3" s="59"/>
      <c r="BL13" s="59"/>
      <c r="BM13" s="63"/>
      <c r="BN13" s="63"/>
      <c r="BO13" s="93" t="s">
        <v>200</v>
      </c>
      <c r="BP13" s="100" t="s">
        <v>237</v>
      </c>
      <c r="BQ13" s="63">
        <f>LEN(Tabelle32[[#This Row],[Label 1
GFX-Unit]])</f>
        <v>14</v>
      </c>
      <c r="BR13" s="63"/>
      <c r="BS13" s="63"/>
      <c r="BT13" s="59"/>
      <c r="BU13" s="59"/>
      <c r="BV13" s="68" t="s">
        <v>238</v>
      </c>
      <c r="BW13" s="68" t="s">
        <v>239</v>
      </c>
      <c r="BX13" s="68" t="s">
        <v>240</v>
      </c>
      <c r="BY13" s="68">
        <v>1</v>
      </c>
    </row>
    <row r="14" spans="1:77" x14ac:dyDescent="0.2">
      <c r="A14" s="58" t="str">
        <f>CONCATENATE(Tabelle32[[#This Row],[Device ID]],".",Tabelle32[[#This Row],[Streamcounter]])</f>
        <v>378.01208</v>
      </c>
      <c r="B1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VGW-103_SDI01_AUDsend_0008</v>
      </c>
      <c r="C14" s="60"/>
      <c r="D14" s="61"/>
      <c r="E14" s="62"/>
      <c r="F14" s="59" t="str">
        <f>IFERROR(VLOOKUP(Tabelle32[[#This Row],[Device ID]],BOM!$B$3:$BQ$35,16,FALSE),"")</f>
        <v>R401 HD1 Backup</v>
      </c>
      <c r="G14" s="63">
        <f>VLOOKUP(Tabelle32[[#This Row],[SDI Interface]],BOM!$A$4:$B$35,2,FALSE)</f>
        <v>378</v>
      </c>
      <c r="H14" s="59" t="str">
        <f>BOM!$C$4</f>
        <v>VGW-103</v>
      </c>
      <c r="I14" s="59" t="str">
        <f>IFERROR(VLOOKUP(Tabelle32[[#This Row],[Device ID]],BOM!$B$3:$BQ$35,12,FALSE),"")</f>
        <v>Videoserver</v>
      </c>
      <c r="J14" s="59" t="str">
        <f>IFERROR(VLOOKUP(Tabelle32[[#This Row],[Device ID]],BOM!$B$3:$BQ$35,13,FALSE),"")</f>
        <v>TC.U1.223 | MDC</v>
      </c>
      <c r="K14" s="59" t="str">
        <f>IFERROR(VLOOKUP(Tabelle32[[#This Row],[Device ID]],BOM!$B$3:$BQ$35,14,FALSE),"")</f>
        <v>Imagine Comunications</v>
      </c>
      <c r="L14" s="59" t="str">
        <f>IFERROR(VLOOKUP(Tabelle32[[#This Row],[Device ID]],BOM!$B$3:$BQ$35,16,FALSE),"")</f>
        <v>R401 HD1 Backup</v>
      </c>
      <c r="M14" s="63" t="str">
        <f>IFERROR(VLOOKUP(Tabelle32[[#This Row],[Device ID]],BOM!$B$3:$BQ$35,17,FALSE),"")</f>
        <v>R401</v>
      </c>
      <c r="N14" s="59" t="str">
        <f>IFERROR(VLOOKUP(Tabelle32[[#This Row],[Device ID]],BOM!$B$3:$BQ$35,18,FALSE),"")</f>
        <v>TC.00.104 | R401</v>
      </c>
      <c r="O14" s="64"/>
      <c r="P14" s="64">
        <f>IFERROR(VLOOKUP(Tabelle32[[#This Row],[Device ID]],BOM!$B$3:$BO$50,20,FALSE),"")</f>
        <v>0</v>
      </c>
      <c r="Q14" s="64">
        <f>IFERROR(VLOOKUP(Tabelle32[[#This Row],[Device ID]],BOM!$B$3:$BO$50,21,FALSE),"")</f>
        <v>1</v>
      </c>
      <c r="R14" s="64">
        <f>IFERROR(VLOOKUP(Tabelle32[[#This Row],[Device ID]],BOM!$B$3:$BO$50,22,FALSE),"")</f>
        <v>0</v>
      </c>
      <c r="S14" s="64"/>
      <c r="T14" s="64"/>
      <c r="U14" s="59" t="str">
        <f>IFERROR(VLOOKUP(Tabelle32[[#This Row],[Device ID]],BOM!$B$3:$BQ$35,25,FALSE),"")</f>
        <v>Luis/Ivo</v>
      </c>
      <c r="V14" s="59" t="str">
        <f>IFERROR(VLOOKUP(Tabelle32[[#This Row],[Device ID]],BOM!$B$3:$BQ$35,26,FALSE),"")</f>
        <v>tpco-megw-vgw103.rta.st-net.media.int</v>
      </c>
      <c r="W14" s="59" t="str">
        <f>IFERROR(VLOOKUP(Tabelle32[[#This Row],[Device ID]],BOM!$B$3:$BQ$35,27,FALSE),"")</f>
        <v>10.120.236.50</v>
      </c>
      <c r="X14" s="59" t="str">
        <f>IFERROR(VLOOKUP(Tabelle32[[#This Row],[Device ID]],BOM!$B$3:$BQ$35,28,FALSE),"")</f>
        <v>AVCoreA</v>
      </c>
      <c r="Y14" s="59" t="str">
        <f>IFERROR(VLOOKUP(Tabelle32[[#This Row],[Device ID]],BOM!$B$3:$BQ$35,29,FALSE),"")</f>
        <v>5_36_1</v>
      </c>
      <c r="Z14" s="59" t="str">
        <f>IFERROR(VLOOKUP(Tabelle32[[#This Row],[Device ID]],BOM!$B$3:$BQ$35,30,FALSE),"")</f>
        <v>tpco-megw-vgw103.rtb.st-net.media.int</v>
      </c>
      <c r="AA14" s="59" t="str">
        <f>IFERROR(VLOOKUP(Tabelle32[[#This Row],[Device ID]],BOM!$B$3:$BQ$35,31,FALSE),"")</f>
        <v>10.120.236.54</v>
      </c>
      <c r="AB14" s="59" t="str">
        <f>IFERROR(VLOOKUP(Tabelle32[[#This Row],[Device ID]],BOM!$B$3:$BQ$35,32,FALSE),"")</f>
        <v>AVCoreB</v>
      </c>
      <c r="AC14" s="59" t="str">
        <f>IFERROR(VLOOKUP(Tabelle32[[#This Row],[Device ID]],BOM!$B$3:$BQ$35,33,FALSE),"")</f>
        <v>5_36_1</v>
      </c>
      <c r="AD14" s="59" t="str">
        <f>IFERROR(VLOOKUP(Tabelle32[[#This Row],[Device ID]],BOM!$B$3:$BQ$35,34,FALSE),"")</f>
        <v>tpco-megw-vgw103.st-net.media.int</v>
      </c>
      <c r="AE14" s="59" t="str">
        <f>IFERROR(VLOOKUP(Tabelle32[[#This Row],[Device ID]],BOM!$B$3:$BQ$35,35,FALSE),"")</f>
        <v>10.120.67.141</v>
      </c>
      <c r="AF14" s="59">
        <f>IFERROR(VLOOKUP(Tabelle32[[#This Row],[Device ID]],BOM!$B$3:$BQ$35,36,FALSE),"")</f>
        <v>0</v>
      </c>
      <c r="AG14" s="59">
        <f>IFERROR(VLOOKUP(Tabelle32[[#This Row],[Device ID]],BOM!$B$3:$BQ$35,37,FALSE),"")</f>
        <v>0</v>
      </c>
      <c r="AH14" s="59"/>
      <c r="AI14" s="59"/>
      <c r="AJ14" s="59"/>
      <c r="AK14" s="59"/>
      <c r="AL14" s="59" t="str">
        <f>IFERROR(VLOOKUP(Tabelle32[[#This Row],[Device ID]],BOM!$B$3:$BQ$35,42,FALSE),"")</f>
        <v>Imagine Communications SNP</v>
      </c>
      <c r="AM14" s="59" t="str">
        <f>IFERROR(VLOOKUP(Tabelle32[[#This Row],[Device ID]],BOM!$B$3:$BQ$35,43,FALSE),"")</f>
        <v>no</v>
      </c>
      <c r="AN14" s="59" t="str">
        <f>IFERROR(VLOOKUP(Tabelle32[[#This Row],[Device ID]],BOM!$B$3:$BQ$35,44,FALSE),"")</f>
        <v>yes</v>
      </c>
      <c r="AO14" s="59" t="str">
        <f>IFERROR(VLOOKUP(Tabelle32[[#This Row],[Device ID]],BOM!$B$3:$BQ$35,45,FALSE),"")</f>
        <v>no</v>
      </c>
      <c r="AP14" s="59" t="str">
        <f>IFERROR(CONCATENATE(Tabelle32[[#This Row],[Family
GFX-Unit]]," | ",Tabelle32[[#This Row],[Label 1
GFX-Unit]]," | ",Tabelle32[[#This Row],[Attached Device if Gateway]]),"")</f>
        <v>PLAYOUT R401 | HD1 Backup-008 | R401 HD1 Backup</v>
      </c>
      <c r="AQ14" s="59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 t="s">
        <v>97</v>
      </c>
      <c r="BD14" s="90"/>
      <c r="BE14" s="90"/>
      <c r="BF14" s="90"/>
      <c r="BG14" s="90"/>
      <c r="BH14" s="66" t="s">
        <v>199</v>
      </c>
      <c r="BI14" s="30" t="str">
        <f>IF(COUNTA(Tabelle32[[#This Row],[Type:Vid_1080i50]:[Type:Anc_Prot]])&gt;0,"x","")</f>
        <v>x</v>
      </c>
      <c r="BJ1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14" s="59"/>
      <c r="BL14" s="59"/>
      <c r="BM14" s="63"/>
      <c r="BN14" s="63"/>
      <c r="BO14" s="93" t="s">
        <v>200</v>
      </c>
      <c r="BP14" s="100" t="s">
        <v>241</v>
      </c>
      <c r="BQ14" s="63">
        <f>LEN(Tabelle32[[#This Row],[Label 1
GFX-Unit]])</f>
        <v>14</v>
      </c>
      <c r="BR14" s="63"/>
      <c r="BS14" s="63"/>
      <c r="BT14" s="59"/>
      <c r="BU14" s="59"/>
      <c r="BV14" s="68" t="s">
        <v>242</v>
      </c>
      <c r="BW14" s="68" t="s">
        <v>243</v>
      </c>
      <c r="BX14" s="68" t="s">
        <v>244</v>
      </c>
      <c r="BY14" s="68">
        <v>1</v>
      </c>
    </row>
    <row r="15" spans="1:77" hidden="1" x14ac:dyDescent="0.2">
      <c r="A15" s="58" t="str">
        <f>CONCATENATE(Tabelle32[[#This Row],[Device ID]],".",Tabelle32[[#This Row],[Streamcounter]])</f>
        <v>378.01209</v>
      </c>
      <c r="B1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VGW-103_SDI01_AUDsend_0009</v>
      </c>
      <c r="C15" s="60"/>
      <c r="D15" s="61"/>
      <c r="E15" s="62"/>
      <c r="F15" s="59" t="str">
        <f>IFERROR(VLOOKUP(Tabelle32[[#This Row],[Device ID]],BOM!$B$3:$BQ$35,16,FALSE),"")</f>
        <v>R401 HD1 Backup</v>
      </c>
      <c r="G15" s="63">
        <f>VLOOKUP(Tabelle32[[#This Row],[SDI Interface]],BOM!$A$4:$B$35,2,FALSE)</f>
        <v>378</v>
      </c>
      <c r="H15" s="59" t="str">
        <f>BOM!$C$4</f>
        <v>VGW-103</v>
      </c>
      <c r="I15" s="59" t="str">
        <f>IFERROR(VLOOKUP(Tabelle32[[#This Row],[Device ID]],BOM!$B$3:$BQ$35,12,FALSE),"")</f>
        <v>Videoserver</v>
      </c>
      <c r="J15" s="59" t="str">
        <f>IFERROR(VLOOKUP(Tabelle32[[#This Row],[Device ID]],BOM!$B$3:$BQ$35,13,FALSE),"")</f>
        <v>TC.U1.223 | MDC</v>
      </c>
      <c r="K15" s="59" t="str">
        <f>IFERROR(VLOOKUP(Tabelle32[[#This Row],[Device ID]],BOM!$B$3:$BQ$35,14,FALSE),"")</f>
        <v>Imagine Comunications</v>
      </c>
      <c r="L15" s="59" t="str">
        <f>IFERROR(VLOOKUP(Tabelle32[[#This Row],[Device ID]],BOM!$B$3:$BQ$35,16,FALSE),"")</f>
        <v>R401 HD1 Backup</v>
      </c>
      <c r="M15" s="63" t="str">
        <f>IFERROR(VLOOKUP(Tabelle32[[#This Row],[Device ID]],BOM!$B$3:$BQ$35,17,FALSE),"")</f>
        <v>R401</v>
      </c>
      <c r="N15" s="59" t="str">
        <f>IFERROR(VLOOKUP(Tabelle32[[#This Row],[Device ID]],BOM!$B$3:$BQ$35,18,FALSE),"")</f>
        <v>TC.00.104 | R401</v>
      </c>
      <c r="O15" s="64"/>
      <c r="P15" s="64">
        <f>IFERROR(VLOOKUP(Tabelle32[[#This Row],[Device ID]],BOM!$B$3:$BO$50,20,FALSE),"")</f>
        <v>0</v>
      </c>
      <c r="Q15" s="64">
        <f>IFERROR(VLOOKUP(Tabelle32[[#This Row],[Device ID]],BOM!$B$3:$BO$50,21,FALSE),"")</f>
        <v>1</v>
      </c>
      <c r="R15" s="64">
        <f>IFERROR(VLOOKUP(Tabelle32[[#This Row],[Device ID]],BOM!$B$3:$BO$50,22,FALSE),"")</f>
        <v>0</v>
      </c>
      <c r="S15" s="64"/>
      <c r="T15" s="64"/>
      <c r="U15" s="59" t="str">
        <f>IFERROR(VLOOKUP(Tabelle32[[#This Row],[Device ID]],BOM!$B$3:$BQ$35,25,FALSE),"")</f>
        <v>Luis/Ivo</v>
      </c>
      <c r="V15" s="59" t="str">
        <f>IFERROR(VLOOKUP(Tabelle32[[#This Row],[Device ID]],BOM!$B$3:$BQ$35,26,FALSE),"")</f>
        <v>tpco-megw-vgw103.rta.st-net.media.int</v>
      </c>
      <c r="W15" s="59" t="str">
        <f>IFERROR(VLOOKUP(Tabelle32[[#This Row],[Device ID]],BOM!$B$3:$BQ$35,27,FALSE),"")</f>
        <v>10.120.236.50</v>
      </c>
      <c r="X15" s="59" t="str">
        <f>IFERROR(VLOOKUP(Tabelle32[[#This Row],[Device ID]],BOM!$B$3:$BQ$35,28,FALSE),"")</f>
        <v>AVCoreA</v>
      </c>
      <c r="Y15" s="59" t="str">
        <f>IFERROR(VLOOKUP(Tabelle32[[#This Row],[Device ID]],BOM!$B$3:$BQ$35,29,FALSE),"")</f>
        <v>5_36_1</v>
      </c>
      <c r="Z15" s="59" t="str">
        <f>IFERROR(VLOOKUP(Tabelle32[[#This Row],[Device ID]],BOM!$B$3:$BQ$35,30,FALSE),"")</f>
        <v>tpco-megw-vgw103.rtb.st-net.media.int</v>
      </c>
      <c r="AA15" s="59" t="str">
        <f>IFERROR(VLOOKUP(Tabelle32[[#This Row],[Device ID]],BOM!$B$3:$BQ$35,31,FALSE),"")</f>
        <v>10.120.236.54</v>
      </c>
      <c r="AB15" s="59" t="str">
        <f>IFERROR(VLOOKUP(Tabelle32[[#This Row],[Device ID]],BOM!$B$3:$BQ$35,32,FALSE),"")</f>
        <v>AVCoreB</v>
      </c>
      <c r="AC15" s="59" t="str">
        <f>IFERROR(VLOOKUP(Tabelle32[[#This Row],[Device ID]],BOM!$B$3:$BQ$35,33,FALSE),"")</f>
        <v>5_36_1</v>
      </c>
      <c r="AD15" s="59" t="str">
        <f>IFERROR(VLOOKUP(Tabelle32[[#This Row],[Device ID]],BOM!$B$3:$BQ$35,34,FALSE),"")</f>
        <v>tpco-megw-vgw103.st-net.media.int</v>
      </c>
      <c r="AE15" s="59" t="str">
        <f>IFERROR(VLOOKUP(Tabelle32[[#This Row],[Device ID]],BOM!$B$3:$BQ$35,35,FALSE),"")</f>
        <v>10.120.67.141</v>
      </c>
      <c r="AF15" s="59">
        <f>IFERROR(VLOOKUP(Tabelle32[[#This Row],[Device ID]],BOM!$B$3:$BQ$35,36,FALSE),"")</f>
        <v>0</v>
      </c>
      <c r="AG15" s="59">
        <f>IFERROR(VLOOKUP(Tabelle32[[#This Row],[Device ID]],BOM!$B$3:$BQ$35,37,FALSE),"")</f>
        <v>0</v>
      </c>
      <c r="AH15" s="59"/>
      <c r="AI15" s="59"/>
      <c r="AJ15" s="59"/>
      <c r="AK15" s="59"/>
      <c r="AL15" s="59" t="str">
        <f>IFERROR(VLOOKUP(Tabelle32[[#This Row],[Device ID]],BOM!$B$3:$BQ$35,42,FALSE),"")</f>
        <v>Imagine Communications SNP</v>
      </c>
      <c r="AM15" s="59" t="str">
        <f>IFERROR(VLOOKUP(Tabelle32[[#This Row],[Device ID]],BOM!$B$3:$BQ$35,43,FALSE),"")</f>
        <v>no</v>
      </c>
      <c r="AN15" s="59" t="str">
        <f>IFERROR(VLOOKUP(Tabelle32[[#This Row],[Device ID]],BOM!$B$3:$BQ$35,44,FALSE),"")</f>
        <v>yes</v>
      </c>
      <c r="AO15" s="59" t="str">
        <f>IFERROR(VLOOKUP(Tabelle32[[#This Row],[Device ID]],BOM!$B$3:$BQ$35,45,FALSE),"")</f>
        <v>no</v>
      </c>
      <c r="AP15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15" s="59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66" t="s">
        <v>199</v>
      </c>
      <c r="BI15" s="30" t="str">
        <f>IF(COUNTA(Tabelle32[[#This Row],[Type:Vid_1080i50]:[Type:Anc_Prot]])&gt;0,"x","")</f>
        <v/>
      </c>
      <c r="BJ1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5" s="59"/>
      <c r="BL15" s="59"/>
      <c r="BM15" s="63"/>
      <c r="BN15" s="63"/>
      <c r="BO15" s="105"/>
      <c r="BP15" s="99"/>
      <c r="BQ15" s="63">
        <f>LEN(Tabelle32[[#This Row],[Label 1
GFX-Unit]])</f>
        <v>0</v>
      </c>
      <c r="BR15" s="63"/>
      <c r="BS15" s="63"/>
      <c r="BT15" s="59"/>
      <c r="BU15" s="59"/>
      <c r="BV15" s="68" t="s">
        <v>245</v>
      </c>
      <c r="BW15" s="68" t="s">
        <v>246</v>
      </c>
      <c r="BX15" s="68" t="s">
        <v>247</v>
      </c>
      <c r="BY15" s="68">
        <v>1</v>
      </c>
    </row>
    <row r="16" spans="1:77" hidden="1" x14ac:dyDescent="0.2">
      <c r="A16" s="58" t="str">
        <f>CONCATENATE(Tabelle32[[#This Row],[Device ID]],".",Tabelle32[[#This Row],[Streamcounter]])</f>
        <v>378.01210</v>
      </c>
      <c r="B1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VGW-103_SDI01_AUDsend_0010</v>
      </c>
      <c r="C16" s="60"/>
      <c r="D16" s="61"/>
      <c r="E16" s="62"/>
      <c r="F16" s="59" t="str">
        <f>IFERROR(VLOOKUP(Tabelle32[[#This Row],[Device ID]],BOM!$B$3:$BQ$35,16,FALSE),"")</f>
        <v>R401 HD1 Backup</v>
      </c>
      <c r="G16" s="63">
        <f>VLOOKUP(Tabelle32[[#This Row],[SDI Interface]],BOM!$A$4:$B$35,2,FALSE)</f>
        <v>378</v>
      </c>
      <c r="H16" s="59" t="str">
        <f>BOM!$C$4</f>
        <v>VGW-103</v>
      </c>
      <c r="I16" s="59" t="str">
        <f>IFERROR(VLOOKUP(Tabelle32[[#This Row],[Device ID]],BOM!$B$3:$BQ$35,12,FALSE),"")</f>
        <v>Videoserver</v>
      </c>
      <c r="J16" s="59" t="str">
        <f>IFERROR(VLOOKUP(Tabelle32[[#This Row],[Device ID]],BOM!$B$3:$BQ$35,13,FALSE),"")</f>
        <v>TC.U1.223 | MDC</v>
      </c>
      <c r="K16" s="59" t="str">
        <f>IFERROR(VLOOKUP(Tabelle32[[#This Row],[Device ID]],BOM!$B$3:$BQ$35,14,FALSE),"")</f>
        <v>Imagine Comunications</v>
      </c>
      <c r="L16" s="59" t="str">
        <f>IFERROR(VLOOKUP(Tabelle32[[#This Row],[Device ID]],BOM!$B$3:$BQ$35,16,FALSE),"")</f>
        <v>R401 HD1 Backup</v>
      </c>
      <c r="M16" s="63" t="str">
        <f>IFERROR(VLOOKUP(Tabelle32[[#This Row],[Device ID]],BOM!$B$3:$BQ$35,17,FALSE),"")</f>
        <v>R401</v>
      </c>
      <c r="N16" s="59" t="str">
        <f>IFERROR(VLOOKUP(Tabelle32[[#This Row],[Device ID]],BOM!$B$3:$BQ$35,18,FALSE),"")</f>
        <v>TC.00.104 | R401</v>
      </c>
      <c r="O16" s="64"/>
      <c r="P16" s="64">
        <f>IFERROR(VLOOKUP(Tabelle32[[#This Row],[Device ID]],BOM!$B$3:$BO$50,20,FALSE),"")</f>
        <v>0</v>
      </c>
      <c r="Q16" s="64">
        <f>IFERROR(VLOOKUP(Tabelle32[[#This Row],[Device ID]],BOM!$B$3:$BO$50,21,FALSE),"")</f>
        <v>1</v>
      </c>
      <c r="R16" s="64">
        <f>IFERROR(VLOOKUP(Tabelle32[[#This Row],[Device ID]],BOM!$B$3:$BO$50,22,FALSE),"")</f>
        <v>0</v>
      </c>
      <c r="S16" s="64"/>
      <c r="T16" s="64"/>
      <c r="U16" s="59" t="str">
        <f>IFERROR(VLOOKUP(Tabelle32[[#This Row],[Device ID]],BOM!$B$3:$BQ$35,25,FALSE),"")</f>
        <v>Luis/Ivo</v>
      </c>
      <c r="V16" s="59" t="str">
        <f>IFERROR(VLOOKUP(Tabelle32[[#This Row],[Device ID]],BOM!$B$3:$BQ$35,26,FALSE),"")</f>
        <v>tpco-megw-vgw103.rta.st-net.media.int</v>
      </c>
      <c r="W16" s="59" t="str">
        <f>IFERROR(VLOOKUP(Tabelle32[[#This Row],[Device ID]],BOM!$B$3:$BQ$35,27,FALSE),"")</f>
        <v>10.120.236.50</v>
      </c>
      <c r="X16" s="59" t="str">
        <f>IFERROR(VLOOKUP(Tabelle32[[#This Row],[Device ID]],BOM!$B$3:$BQ$35,28,FALSE),"")</f>
        <v>AVCoreA</v>
      </c>
      <c r="Y16" s="59" t="str">
        <f>IFERROR(VLOOKUP(Tabelle32[[#This Row],[Device ID]],BOM!$B$3:$BQ$35,29,FALSE),"")</f>
        <v>5_36_1</v>
      </c>
      <c r="Z16" s="59" t="str">
        <f>IFERROR(VLOOKUP(Tabelle32[[#This Row],[Device ID]],BOM!$B$3:$BQ$35,30,FALSE),"")</f>
        <v>tpco-megw-vgw103.rtb.st-net.media.int</v>
      </c>
      <c r="AA16" s="59" t="str">
        <f>IFERROR(VLOOKUP(Tabelle32[[#This Row],[Device ID]],BOM!$B$3:$BQ$35,31,FALSE),"")</f>
        <v>10.120.236.54</v>
      </c>
      <c r="AB16" s="59" t="str">
        <f>IFERROR(VLOOKUP(Tabelle32[[#This Row],[Device ID]],BOM!$B$3:$BQ$35,32,FALSE),"")</f>
        <v>AVCoreB</v>
      </c>
      <c r="AC16" s="59" t="str">
        <f>IFERROR(VLOOKUP(Tabelle32[[#This Row],[Device ID]],BOM!$B$3:$BQ$35,33,FALSE),"")</f>
        <v>5_36_1</v>
      </c>
      <c r="AD16" s="59" t="str">
        <f>IFERROR(VLOOKUP(Tabelle32[[#This Row],[Device ID]],BOM!$B$3:$BQ$35,34,FALSE),"")</f>
        <v>tpco-megw-vgw103.st-net.media.int</v>
      </c>
      <c r="AE16" s="59" t="str">
        <f>IFERROR(VLOOKUP(Tabelle32[[#This Row],[Device ID]],BOM!$B$3:$BQ$35,35,FALSE),"")</f>
        <v>10.120.67.141</v>
      </c>
      <c r="AF16" s="59">
        <f>IFERROR(VLOOKUP(Tabelle32[[#This Row],[Device ID]],BOM!$B$3:$BQ$35,36,FALSE),"")</f>
        <v>0</v>
      </c>
      <c r="AG16" s="59">
        <f>IFERROR(VLOOKUP(Tabelle32[[#This Row],[Device ID]],BOM!$B$3:$BQ$35,37,FALSE),"")</f>
        <v>0</v>
      </c>
      <c r="AH16" s="59"/>
      <c r="AI16" s="59"/>
      <c r="AJ16" s="59"/>
      <c r="AK16" s="59"/>
      <c r="AL16" s="59" t="str">
        <f>IFERROR(VLOOKUP(Tabelle32[[#This Row],[Device ID]],BOM!$B$3:$BQ$35,42,FALSE),"")</f>
        <v>Imagine Communications SNP</v>
      </c>
      <c r="AM16" s="59" t="str">
        <f>IFERROR(VLOOKUP(Tabelle32[[#This Row],[Device ID]],BOM!$B$3:$BQ$35,43,FALSE),"")</f>
        <v>no</v>
      </c>
      <c r="AN16" s="59" t="str">
        <f>IFERROR(VLOOKUP(Tabelle32[[#This Row],[Device ID]],BOM!$B$3:$BQ$35,44,FALSE),"")</f>
        <v>yes</v>
      </c>
      <c r="AO16" s="59" t="str">
        <f>IFERROR(VLOOKUP(Tabelle32[[#This Row],[Device ID]],BOM!$B$3:$BQ$35,45,FALSE),"")</f>
        <v>no</v>
      </c>
      <c r="AP16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16" s="59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66" t="s">
        <v>199</v>
      </c>
      <c r="BI16" s="30" t="str">
        <f>IF(COUNTA(Tabelle32[[#This Row],[Type:Vid_1080i50]:[Type:Anc_Prot]])&gt;0,"x","")</f>
        <v/>
      </c>
      <c r="BJ1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6" s="59"/>
      <c r="BL16" s="59"/>
      <c r="BM16" s="63"/>
      <c r="BN16" s="63"/>
      <c r="BO16" s="105"/>
      <c r="BP16" s="99"/>
      <c r="BQ16" s="63">
        <f>LEN(Tabelle32[[#This Row],[Label 1
GFX-Unit]])</f>
        <v>0</v>
      </c>
      <c r="BR16" s="63"/>
      <c r="BS16" s="63"/>
      <c r="BT16" s="59"/>
      <c r="BU16" s="59"/>
      <c r="BV16" s="68" t="s">
        <v>248</v>
      </c>
      <c r="BW16" s="68" t="s">
        <v>249</v>
      </c>
      <c r="BX16" s="68" t="s">
        <v>250</v>
      </c>
      <c r="BY16" s="68">
        <v>1</v>
      </c>
    </row>
    <row r="17" spans="1:77" hidden="1" x14ac:dyDescent="0.2">
      <c r="A17" s="58" t="str">
        <f>CONCATENATE(Tabelle32[[#This Row],[Device ID]],".",Tabelle32[[#This Row],[Streamcounter]])</f>
        <v>378.01211</v>
      </c>
      <c r="B1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VGW-103_SDI01_AUDsend_0011</v>
      </c>
      <c r="C17" s="60"/>
      <c r="D17" s="61"/>
      <c r="E17" s="62"/>
      <c r="F17" s="59" t="str">
        <f>IFERROR(VLOOKUP(Tabelle32[[#This Row],[Device ID]],BOM!$B$3:$BQ$35,16,FALSE),"")</f>
        <v>R401 HD1 Backup</v>
      </c>
      <c r="G17" s="63">
        <f>VLOOKUP(Tabelle32[[#This Row],[SDI Interface]],BOM!$A$4:$B$35,2,FALSE)</f>
        <v>378</v>
      </c>
      <c r="H17" s="59" t="str">
        <f>BOM!$C$4</f>
        <v>VGW-103</v>
      </c>
      <c r="I17" s="59" t="str">
        <f>IFERROR(VLOOKUP(Tabelle32[[#This Row],[Device ID]],BOM!$B$3:$BQ$35,12,FALSE),"")</f>
        <v>Videoserver</v>
      </c>
      <c r="J17" s="59" t="str">
        <f>IFERROR(VLOOKUP(Tabelle32[[#This Row],[Device ID]],BOM!$B$3:$BQ$35,13,FALSE),"")</f>
        <v>TC.U1.223 | MDC</v>
      </c>
      <c r="K17" s="59" t="str">
        <f>IFERROR(VLOOKUP(Tabelle32[[#This Row],[Device ID]],BOM!$B$3:$BQ$35,14,FALSE),"")</f>
        <v>Imagine Comunications</v>
      </c>
      <c r="L17" s="59" t="str">
        <f>IFERROR(VLOOKUP(Tabelle32[[#This Row],[Device ID]],BOM!$B$3:$BQ$35,16,FALSE),"")</f>
        <v>R401 HD1 Backup</v>
      </c>
      <c r="M17" s="63" t="str">
        <f>IFERROR(VLOOKUP(Tabelle32[[#This Row],[Device ID]],BOM!$B$3:$BQ$35,17,FALSE),"")</f>
        <v>R401</v>
      </c>
      <c r="N17" s="59" t="str">
        <f>IFERROR(VLOOKUP(Tabelle32[[#This Row],[Device ID]],BOM!$B$3:$BQ$35,18,FALSE),"")</f>
        <v>TC.00.104 | R401</v>
      </c>
      <c r="O17" s="64"/>
      <c r="P17" s="64">
        <f>IFERROR(VLOOKUP(Tabelle32[[#This Row],[Device ID]],BOM!$B$3:$BO$50,20,FALSE),"")</f>
        <v>0</v>
      </c>
      <c r="Q17" s="64">
        <f>IFERROR(VLOOKUP(Tabelle32[[#This Row],[Device ID]],BOM!$B$3:$BO$50,21,FALSE),"")</f>
        <v>1</v>
      </c>
      <c r="R17" s="64">
        <f>IFERROR(VLOOKUP(Tabelle32[[#This Row],[Device ID]],BOM!$B$3:$BO$50,22,FALSE),"")</f>
        <v>0</v>
      </c>
      <c r="S17" s="64"/>
      <c r="T17" s="64"/>
      <c r="U17" s="59" t="str">
        <f>IFERROR(VLOOKUP(Tabelle32[[#This Row],[Device ID]],BOM!$B$3:$BQ$35,25,FALSE),"")</f>
        <v>Luis/Ivo</v>
      </c>
      <c r="V17" s="59" t="str">
        <f>IFERROR(VLOOKUP(Tabelle32[[#This Row],[Device ID]],BOM!$B$3:$BQ$35,26,FALSE),"")</f>
        <v>tpco-megw-vgw103.rta.st-net.media.int</v>
      </c>
      <c r="W17" s="59" t="str">
        <f>IFERROR(VLOOKUP(Tabelle32[[#This Row],[Device ID]],BOM!$B$3:$BQ$35,27,FALSE),"")</f>
        <v>10.120.236.50</v>
      </c>
      <c r="X17" s="59" t="str">
        <f>IFERROR(VLOOKUP(Tabelle32[[#This Row],[Device ID]],BOM!$B$3:$BQ$35,28,FALSE),"")</f>
        <v>AVCoreA</v>
      </c>
      <c r="Y17" s="59" t="str">
        <f>IFERROR(VLOOKUP(Tabelle32[[#This Row],[Device ID]],BOM!$B$3:$BQ$35,29,FALSE),"")</f>
        <v>5_36_1</v>
      </c>
      <c r="Z17" s="59" t="str">
        <f>IFERROR(VLOOKUP(Tabelle32[[#This Row],[Device ID]],BOM!$B$3:$BQ$35,30,FALSE),"")</f>
        <v>tpco-megw-vgw103.rtb.st-net.media.int</v>
      </c>
      <c r="AA17" s="59" t="str">
        <f>IFERROR(VLOOKUP(Tabelle32[[#This Row],[Device ID]],BOM!$B$3:$BQ$35,31,FALSE),"")</f>
        <v>10.120.236.54</v>
      </c>
      <c r="AB17" s="59" t="str">
        <f>IFERROR(VLOOKUP(Tabelle32[[#This Row],[Device ID]],BOM!$B$3:$BQ$35,32,FALSE),"")</f>
        <v>AVCoreB</v>
      </c>
      <c r="AC17" s="59" t="str">
        <f>IFERROR(VLOOKUP(Tabelle32[[#This Row],[Device ID]],BOM!$B$3:$BQ$35,33,FALSE),"")</f>
        <v>5_36_1</v>
      </c>
      <c r="AD17" s="59" t="str">
        <f>IFERROR(VLOOKUP(Tabelle32[[#This Row],[Device ID]],BOM!$B$3:$BQ$35,34,FALSE),"")</f>
        <v>tpco-megw-vgw103.st-net.media.int</v>
      </c>
      <c r="AE17" s="59" t="str">
        <f>IFERROR(VLOOKUP(Tabelle32[[#This Row],[Device ID]],BOM!$B$3:$BQ$35,35,FALSE),"")</f>
        <v>10.120.67.141</v>
      </c>
      <c r="AF17" s="59">
        <f>IFERROR(VLOOKUP(Tabelle32[[#This Row],[Device ID]],BOM!$B$3:$BQ$35,36,FALSE),"")</f>
        <v>0</v>
      </c>
      <c r="AG17" s="59">
        <f>IFERROR(VLOOKUP(Tabelle32[[#This Row],[Device ID]],BOM!$B$3:$BQ$35,37,FALSE),"")</f>
        <v>0</v>
      </c>
      <c r="AH17" s="59"/>
      <c r="AI17" s="59"/>
      <c r="AJ17" s="59"/>
      <c r="AK17" s="59"/>
      <c r="AL17" s="59" t="str">
        <f>IFERROR(VLOOKUP(Tabelle32[[#This Row],[Device ID]],BOM!$B$3:$BQ$35,42,FALSE),"")</f>
        <v>Imagine Communications SNP</v>
      </c>
      <c r="AM17" s="59" t="str">
        <f>IFERROR(VLOOKUP(Tabelle32[[#This Row],[Device ID]],BOM!$B$3:$BQ$35,43,FALSE),"")</f>
        <v>no</v>
      </c>
      <c r="AN17" s="59" t="str">
        <f>IFERROR(VLOOKUP(Tabelle32[[#This Row],[Device ID]],BOM!$B$3:$BQ$35,44,FALSE),"")</f>
        <v>yes</v>
      </c>
      <c r="AO17" s="59" t="str">
        <f>IFERROR(VLOOKUP(Tabelle32[[#This Row],[Device ID]],BOM!$B$3:$BQ$35,45,FALSE),"")</f>
        <v>no</v>
      </c>
      <c r="AP17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17" s="59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66" t="s">
        <v>199</v>
      </c>
      <c r="BI17" s="30" t="str">
        <f>IF(COUNTA(Tabelle32[[#This Row],[Type:Vid_1080i50]:[Type:Anc_Prot]])&gt;0,"x","")</f>
        <v/>
      </c>
      <c r="BJ1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7" s="59"/>
      <c r="BL17" s="59"/>
      <c r="BM17" s="63"/>
      <c r="BN17" s="63"/>
      <c r="BO17" s="105"/>
      <c r="BP17" s="99"/>
      <c r="BQ17" s="63">
        <f>LEN(Tabelle32[[#This Row],[Label 1
GFX-Unit]])</f>
        <v>0</v>
      </c>
      <c r="BR17" s="63"/>
      <c r="BS17" s="63"/>
      <c r="BT17" s="59"/>
      <c r="BU17" s="59"/>
      <c r="BV17" s="68" t="s">
        <v>251</v>
      </c>
      <c r="BW17" s="68" t="s">
        <v>252</v>
      </c>
      <c r="BX17" s="68" t="s">
        <v>253</v>
      </c>
      <c r="BY17" s="68">
        <v>1</v>
      </c>
    </row>
    <row r="18" spans="1:77" hidden="1" x14ac:dyDescent="0.2">
      <c r="A18" s="58" t="str">
        <f>CONCATENATE(Tabelle32[[#This Row],[Device ID]],".",Tabelle32[[#This Row],[Streamcounter]])</f>
        <v>378.01212</v>
      </c>
      <c r="B1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VGW-103_SDI01_AUDsend_0012</v>
      </c>
      <c r="C18" s="60"/>
      <c r="D18" s="61"/>
      <c r="E18" s="62"/>
      <c r="F18" s="59" t="str">
        <f>IFERROR(VLOOKUP(Tabelle32[[#This Row],[Device ID]],BOM!$B$3:$BQ$35,16,FALSE),"")</f>
        <v>R401 HD1 Backup</v>
      </c>
      <c r="G18" s="63">
        <f>VLOOKUP(Tabelle32[[#This Row],[SDI Interface]],BOM!$A$4:$B$35,2,FALSE)</f>
        <v>378</v>
      </c>
      <c r="H18" s="59" t="str">
        <f>BOM!$C$4</f>
        <v>VGW-103</v>
      </c>
      <c r="I18" s="59" t="str">
        <f>IFERROR(VLOOKUP(Tabelle32[[#This Row],[Device ID]],BOM!$B$3:$BQ$35,12,FALSE),"")</f>
        <v>Videoserver</v>
      </c>
      <c r="J18" s="59" t="str">
        <f>IFERROR(VLOOKUP(Tabelle32[[#This Row],[Device ID]],BOM!$B$3:$BQ$35,13,FALSE),"")</f>
        <v>TC.U1.223 | MDC</v>
      </c>
      <c r="K18" s="59" t="str">
        <f>IFERROR(VLOOKUP(Tabelle32[[#This Row],[Device ID]],BOM!$B$3:$BQ$35,14,FALSE),"")</f>
        <v>Imagine Comunications</v>
      </c>
      <c r="L18" s="59" t="str">
        <f>IFERROR(VLOOKUP(Tabelle32[[#This Row],[Device ID]],BOM!$B$3:$BQ$35,16,FALSE),"")</f>
        <v>R401 HD1 Backup</v>
      </c>
      <c r="M18" s="63" t="str">
        <f>IFERROR(VLOOKUP(Tabelle32[[#This Row],[Device ID]],BOM!$B$3:$BQ$35,17,FALSE),"")</f>
        <v>R401</v>
      </c>
      <c r="N18" s="59" t="str">
        <f>IFERROR(VLOOKUP(Tabelle32[[#This Row],[Device ID]],BOM!$B$3:$BQ$35,18,FALSE),"")</f>
        <v>TC.00.104 | R401</v>
      </c>
      <c r="O18" s="64"/>
      <c r="P18" s="64">
        <f>IFERROR(VLOOKUP(Tabelle32[[#This Row],[Device ID]],BOM!$B$3:$BO$50,20,FALSE),"")</f>
        <v>0</v>
      </c>
      <c r="Q18" s="64">
        <f>IFERROR(VLOOKUP(Tabelle32[[#This Row],[Device ID]],BOM!$B$3:$BO$50,21,FALSE),"")</f>
        <v>1</v>
      </c>
      <c r="R18" s="64">
        <f>IFERROR(VLOOKUP(Tabelle32[[#This Row],[Device ID]],BOM!$B$3:$BO$50,22,FALSE),"")</f>
        <v>0</v>
      </c>
      <c r="S18" s="64"/>
      <c r="T18" s="64"/>
      <c r="U18" s="59" t="str">
        <f>IFERROR(VLOOKUP(Tabelle32[[#This Row],[Device ID]],BOM!$B$3:$BQ$35,25,FALSE),"")</f>
        <v>Luis/Ivo</v>
      </c>
      <c r="V18" s="59" t="str">
        <f>IFERROR(VLOOKUP(Tabelle32[[#This Row],[Device ID]],BOM!$B$3:$BQ$35,26,FALSE),"")</f>
        <v>tpco-megw-vgw103.rta.st-net.media.int</v>
      </c>
      <c r="W18" s="59" t="str">
        <f>IFERROR(VLOOKUP(Tabelle32[[#This Row],[Device ID]],BOM!$B$3:$BQ$35,27,FALSE),"")</f>
        <v>10.120.236.50</v>
      </c>
      <c r="X18" s="59" t="str">
        <f>IFERROR(VLOOKUP(Tabelle32[[#This Row],[Device ID]],BOM!$B$3:$BQ$35,28,FALSE),"")</f>
        <v>AVCoreA</v>
      </c>
      <c r="Y18" s="59" t="str">
        <f>IFERROR(VLOOKUP(Tabelle32[[#This Row],[Device ID]],BOM!$B$3:$BQ$35,29,FALSE),"")</f>
        <v>5_36_1</v>
      </c>
      <c r="Z18" s="59" t="str">
        <f>IFERROR(VLOOKUP(Tabelle32[[#This Row],[Device ID]],BOM!$B$3:$BQ$35,30,FALSE),"")</f>
        <v>tpco-megw-vgw103.rtb.st-net.media.int</v>
      </c>
      <c r="AA18" s="59" t="str">
        <f>IFERROR(VLOOKUP(Tabelle32[[#This Row],[Device ID]],BOM!$B$3:$BQ$35,31,FALSE),"")</f>
        <v>10.120.236.54</v>
      </c>
      <c r="AB18" s="59" t="str">
        <f>IFERROR(VLOOKUP(Tabelle32[[#This Row],[Device ID]],BOM!$B$3:$BQ$35,32,FALSE),"")</f>
        <v>AVCoreB</v>
      </c>
      <c r="AC18" s="59" t="str">
        <f>IFERROR(VLOOKUP(Tabelle32[[#This Row],[Device ID]],BOM!$B$3:$BQ$35,33,FALSE),"")</f>
        <v>5_36_1</v>
      </c>
      <c r="AD18" s="59" t="str">
        <f>IFERROR(VLOOKUP(Tabelle32[[#This Row],[Device ID]],BOM!$B$3:$BQ$35,34,FALSE),"")</f>
        <v>tpco-megw-vgw103.st-net.media.int</v>
      </c>
      <c r="AE18" s="59" t="str">
        <f>IFERROR(VLOOKUP(Tabelle32[[#This Row],[Device ID]],BOM!$B$3:$BQ$35,35,FALSE),"")</f>
        <v>10.120.67.141</v>
      </c>
      <c r="AF18" s="59">
        <f>IFERROR(VLOOKUP(Tabelle32[[#This Row],[Device ID]],BOM!$B$3:$BQ$35,36,FALSE),"")</f>
        <v>0</v>
      </c>
      <c r="AG18" s="59">
        <f>IFERROR(VLOOKUP(Tabelle32[[#This Row],[Device ID]],BOM!$B$3:$BQ$35,37,FALSE),"")</f>
        <v>0</v>
      </c>
      <c r="AH18" s="59"/>
      <c r="AI18" s="59"/>
      <c r="AJ18" s="59"/>
      <c r="AK18" s="59"/>
      <c r="AL18" s="59" t="str">
        <f>IFERROR(VLOOKUP(Tabelle32[[#This Row],[Device ID]],BOM!$B$3:$BQ$35,42,FALSE),"")</f>
        <v>Imagine Communications SNP</v>
      </c>
      <c r="AM18" s="59" t="str">
        <f>IFERROR(VLOOKUP(Tabelle32[[#This Row],[Device ID]],BOM!$B$3:$BQ$35,43,FALSE),"")</f>
        <v>no</v>
      </c>
      <c r="AN18" s="59" t="str">
        <f>IFERROR(VLOOKUP(Tabelle32[[#This Row],[Device ID]],BOM!$B$3:$BQ$35,44,FALSE),"")</f>
        <v>yes</v>
      </c>
      <c r="AO18" s="59" t="str">
        <f>IFERROR(VLOOKUP(Tabelle32[[#This Row],[Device ID]],BOM!$B$3:$BQ$35,45,FALSE),"")</f>
        <v>no</v>
      </c>
      <c r="AP18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18" s="59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66" t="s">
        <v>199</v>
      </c>
      <c r="BI18" s="30" t="str">
        <f>IF(COUNTA(Tabelle32[[#This Row],[Type:Vid_1080i50]:[Type:Anc_Prot]])&gt;0,"x","")</f>
        <v/>
      </c>
      <c r="BJ18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8" s="59"/>
      <c r="BL18" s="59"/>
      <c r="BM18" s="63"/>
      <c r="BN18" s="63"/>
      <c r="BO18" s="105"/>
      <c r="BP18" s="99"/>
      <c r="BQ18" s="63">
        <f>LEN(Tabelle32[[#This Row],[Label 1
GFX-Unit]])</f>
        <v>0</v>
      </c>
      <c r="BR18" s="63"/>
      <c r="BS18" s="63"/>
      <c r="BT18" s="59"/>
      <c r="BU18" s="59"/>
      <c r="BV18" s="68" t="s">
        <v>254</v>
      </c>
      <c r="BW18" s="68" t="s">
        <v>255</v>
      </c>
      <c r="BX18" s="68" t="s">
        <v>256</v>
      </c>
      <c r="BY18" s="68">
        <v>1</v>
      </c>
    </row>
    <row r="19" spans="1:77" s="29" customFormat="1" hidden="1" x14ac:dyDescent="0.2">
      <c r="A19" s="58" t="str">
        <f>CONCATENATE(Tabelle32[[#This Row],[Device ID]],".",Tabelle32[[#This Row],[Streamcounter]])</f>
        <v>378.01213</v>
      </c>
      <c r="B1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VGW-103_SDI01_AUDsend_0013</v>
      </c>
      <c r="C19" s="60"/>
      <c r="D19" s="61"/>
      <c r="E19" s="62"/>
      <c r="F19" s="59" t="str">
        <f>IFERROR(VLOOKUP(Tabelle32[[#This Row],[Device ID]],BOM!$B$3:$BQ$35,16,FALSE),"")</f>
        <v>R401 HD1 Backup</v>
      </c>
      <c r="G19" s="63">
        <f>VLOOKUP(Tabelle32[[#This Row],[SDI Interface]],BOM!$A$4:$B$35,2,FALSE)</f>
        <v>378</v>
      </c>
      <c r="H19" s="59" t="str">
        <f>BOM!$C$4</f>
        <v>VGW-103</v>
      </c>
      <c r="I19" s="59" t="str">
        <f>IFERROR(VLOOKUP(Tabelle32[[#This Row],[Device ID]],BOM!$B$3:$BQ$35,12,FALSE),"")</f>
        <v>Videoserver</v>
      </c>
      <c r="J19" s="59" t="str">
        <f>IFERROR(VLOOKUP(Tabelle32[[#This Row],[Device ID]],BOM!$B$3:$BQ$35,13,FALSE),"")</f>
        <v>TC.U1.223 | MDC</v>
      </c>
      <c r="K19" s="59" t="str">
        <f>IFERROR(VLOOKUP(Tabelle32[[#This Row],[Device ID]],BOM!$B$3:$BQ$35,14,FALSE),"")</f>
        <v>Imagine Comunications</v>
      </c>
      <c r="L19" s="59" t="str">
        <f>IFERROR(VLOOKUP(Tabelle32[[#This Row],[Device ID]],BOM!$B$3:$BQ$35,16,FALSE),"")</f>
        <v>R401 HD1 Backup</v>
      </c>
      <c r="M19" s="63" t="str">
        <f>IFERROR(VLOOKUP(Tabelle32[[#This Row],[Device ID]],BOM!$B$3:$BQ$35,17,FALSE),"")</f>
        <v>R401</v>
      </c>
      <c r="N19" s="59" t="str">
        <f>IFERROR(VLOOKUP(Tabelle32[[#This Row],[Device ID]],BOM!$B$3:$BQ$35,18,FALSE),"")</f>
        <v>TC.00.104 | R401</v>
      </c>
      <c r="O19" s="64"/>
      <c r="P19" s="64">
        <f>IFERROR(VLOOKUP(Tabelle32[[#This Row],[Device ID]],BOM!$B$3:$BO$50,20,FALSE),"")</f>
        <v>0</v>
      </c>
      <c r="Q19" s="64">
        <f>IFERROR(VLOOKUP(Tabelle32[[#This Row],[Device ID]],BOM!$B$3:$BO$50,21,FALSE),"")</f>
        <v>1</v>
      </c>
      <c r="R19" s="64">
        <f>IFERROR(VLOOKUP(Tabelle32[[#This Row],[Device ID]],BOM!$B$3:$BO$50,22,FALSE),"")</f>
        <v>0</v>
      </c>
      <c r="S19" s="64"/>
      <c r="T19" s="64"/>
      <c r="U19" s="59" t="str">
        <f>IFERROR(VLOOKUP(Tabelle32[[#This Row],[Device ID]],BOM!$B$3:$BQ$35,25,FALSE),"")</f>
        <v>Luis/Ivo</v>
      </c>
      <c r="V19" s="59" t="str">
        <f>IFERROR(VLOOKUP(Tabelle32[[#This Row],[Device ID]],BOM!$B$3:$BQ$35,26,FALSE),"")</f>
        <v>tpco-megw-vgw103.rta.st-net.media.int</v>
      </c>
      <c r="W19" s="59" t="str">
        <f>IFERROR(VLOOKUP(Tabelle32[[#This Row],[Device ID]],BOM!$B$3:$BQ$35,27,FALSE),"")</f>
        <v>10.120.236.50</v>
      </c>
      <c r="X19" s="59" t="str">
        <f>IFERROR(VLOOKUP(Tabelle32[[#This Row],[Device ID]],BOM!$B$3:$BQ$35,28,FALSE),"")</f>
        <v>AVCoreA</v>
      </c>
      <c r="Y19" s="59" t="str">
        <f>IFERROR(VLOOKUP(Tabelle32[[#This Row],[Device ID]],BOM!$B$3:$BQ$35,29,FALSE),"")</f>
        <v>5_36_1</v>
      </c>
      <c r="Z19" s="59" t="str">
        <f>IFERROR(VLOOKUP(Tabelle32[[#This Row],[Device ID]],BOM!$B$3:$BQ$35,30,FALSE),"")</f>
        <v>tpco-megw-vgw103.rtb.st-net.media.int</v>
      </c>
      <c r="AA19" s="59" t="str">
        <f>IFERROR(VLOOKUP(Tabelle32[[#This Row],[Device ID]],BOM!$B$3:$BQ$35,31,FALSE),"")</f>
        <v>10.120.236.54</v>
      </c>
      <c r="AB19" s="59" t="str">
        <f>IFERROR(VLOOKUP(Tabelle32[[#This Row],[Device ID]],BOM!$B$3:$BQ$35,32,FALSE),"")</f>
        <v>AVCoreB</v>
      </c>
      <c r="AC19" s="59" t="str">
        <f>IFERROR(VLOOKUP(Tabelle32[[#This Row],[Device ID]],BOM!$B$3:$BQ$35,33,FALSE),"")</f>
        <v>5_36_1</v>
      </c>
      <c r="AD19" s="59" t="str">
        <f>IFERROR(VLOOKUP(Tabelle32[[#This Row],[Device ID]],BOM!$B$3:$BQ$35,34,FALSE),"")</f>
        <v>tpco-megw-vgw103.st-net.media.int</v>
      </c>
      <c r="AE19" s="59" t="str">
        <f>IFERROR(VLOOKUP(Tabelle32[[#This Row],[Device ID]],BOM!$B$3:$BQ$35,35,FALSE),"")</f>
        <v>10.120.67.141</v>
      </c>
      <c r="AF19" s="59">
        <f>IFERROR(VLOOKUP(Tabelle32[[#This Row],[Device ID]],BOM!$B$3:$BQ$35,36,FALSE),"")</f>
        <v>0</v>
      </c>
      <c r="AG19" s="59">
        <f>IFERROR(VLOOKUP(Tabelle32[[#This Row],[Device ID]],BOM!$B$3:$BQ$35,37,FALSE),"")</f>
        <v>0</v>
      </c>
      <c r="AH19" s="59"/>
      <c r="AI19" s="59"/>
      <c r="AJ19" s="59"/>
      <c r="AK19" s="59"/>
      <c r="AL19" s="59" t="str">
        <f>IFERROR(VLOOKUP(Tabelle32[[#This Row],[Device ID]],BOM!$B$3:$BQ$35,42,FALSE),"")</f>
        <v>Imagine Communications SNP</v>
      </c>
      <c r="AM19" s="59" t="str">
        <f>IFERROR(VLOOKUP(Tabelle32[[#This Row],[Device ID]],BOM!$B$3:$BQ$35,43,FALSE),"")</f>
        <v>no</v>
      </c>
      <c r="AN19" s="59" t="str">
        <f>IFERROR(VLOOKUP(Tabelle32[[#This Row],[Device ID]],BOM!$B$3:$BQ$35,44,FALSE),"")</f>
        <v>yes</v>
      </c>
      <c r="AO19" s="59" t="str">
        <f>IFERROR(VLOOKUP(Tabelle32[[#This Row],[Device ID]],BOM!$B$3:$BQ$35,45,FALSE),"")</f>
        <v>no</v>
      </c>
      <c r="AP19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19" s="59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66" t="s">
        <v>199</v>
      </c>
      <c r="BI19" s="30" t="str">
        <f>IF(COUNTA(Tabelle32[[#This Row],[Type:Vid_1080i50]:[Type:Anc_Prot]])&gt;0,"x","")</f>
        <v/>
      </c>
      <c r="BJ19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9" s="59"/>
      <c r="BL19" s="59"/>
      <c r="BM19" s="63"/>
      <c r="BN19" s="63"/>
      <c r="BO19" s="105"/>
      <c r="BP19" s="99"/>
      <c r="BQ19" s="63">
        <f>LEN(Tabelle32[[#This Row],[Label 1
GFX-Unit]])</f>
        <v>0</v>
      </c>
      <c r="BR19" s="63"/>
      <c r="BS19" s="63"/>
      <c r="BT19" s="59"/>
      <c r="BU19" s="59"/>
      <c r="BV19" s="68" t="s">
        <v>257</v>
      </c>
      <c r="BW19" s="68" t="s">
        <v>258</v>
      </c>
      <c r="BX19" s="68" t="s">
        <v>259</v>
      </c>
      <c r="BY19" s="68">
        <v>1</v>
      </c>
    </row>
    <row r="20" spans="1:77" hidden="1" x14ac:dyDescent="0.2">
      <c r="A20" s="58" t="str">
        <f>CONCATENATE(Tabelle32[[#This Row],[Device ID]],".",Tabelle32[[#This Row],[Streamcounter]])</f>
        <v>378.01214</v>
      </c>
      <c r="B2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VGW-103_SDI01_AUDsend_0014</v>
      </c>
      <c r="C20" s="60"/>
      <c r="D20" s="61"/>
      <c r="E20" s="62"/>
      <c r="F20" s="59" t="str">
        <f>IFERROR(VLOOKUP(Tabelle32[[#This Row],[Device ID]],BOM!$B$3:$BQ$35,16,FALSE),"")</f>
        <v>R401 HD1 Backup</v>
      </c>
      <c r="G20" s="63">
        <f>VLOOKUP(Tabelle32[[#This Row],[SDI Interface]],BOM!$A$4:$B$35,2,FALSE)</f>
        <v>378</v>
      </c>
      <c r="H20" s="59" t="str">
        <f>BOM!$C$4</f>
        <v>VGW-103</v>
      </c>
      <c r="I20" s="59" t="str">
        <f>IFERROR(VLOOKUP(Tabelle32[[#This Row],[Device ID]],BOM!$B$3:$BQ$35,12,FALSE),"")</f>
        <v>Videoserver</v>
      </c>
      <c r="J20" s="59" t="str">
        <f>IFERROR(VLOOKUP(Tabelle32[[#This Row],[Device ID]],BOM!$B$3:$BQ$35,13,FALSE),"")</f>
        <v>TC.U1.223 | MDC</v>
      </c>
      <c r="K20" s="59" t="str">
        <f>IFERROR(VLOOKUP(Tabelle32[[#This Row],[Device ID]],BOM!$B$3:$BQ$35,14,FALSE),"")</f>
        <v>Imagine Comunications</v>
      </c>
      <c r="L20" s="59" t="str">
        <f>IFERROR(VLOOKUP(Tabelle32[[#This Row],[Device ID]],BOM!$B$3:$BQ$35,16,FALSE),"")</f>
        <v>R401 HD1 Backup</v>
      </c>
      <c r="M20" s="63" t="str">
        <f>IFERROR(VLOOKUP(Tabelle32[[#This Row],[Device ID]],BOM!$B$3:$BQ$35,17,FALSE),"")</f>
        <v>R401</v>
      </c>
      <c r="N20" s="59" t="str">
        <f>IFERROR(VLOOKUP(Tabelle32[[#This Row],[Device ID]],BOM!$B$3:$BQ$35,18,FALSE),"")</f>
        <v>TC.00.104 | R401</v>
      </c>
      <c r="O20" s="64"/>
      <c r="P20" s="64">
        <f>IFERROR(VLOOKUP(Tabelle32[[#This Row],[Device ID]],BOM!$B$3:$BO$50,20,FALSE),"")</f>
        <v>0</v>
      </c>
      <c r="Q20" s="64">
        <f>IFERROR(VLOOKUP(Tabelle32[[#This Row],[Device ID]],BOM!$B$3:$BO$50,21,FALSE),"")</f>
        <v>1</v>
      </c>
      <c r="R20" s="64">
        <f>IFERROR(VLOOKUP(Tabelle32[[#This Row],[Device ID]],BOM!$B$3:$BO$50,22,FALSE),"")</f>
        <v>0</v>
      </c>
      <c r="S20" s="64"/>
      <c r="T20" s="64"/>
      <c r="U20" s="59" t="str">
        <f>IFERROR(VLOOKUP(Tabelle32[[#This Row],[Device ID]],BOM!$B$3:$BQ$35,25,FALSE),"")</f>
        <v>Luis/Ivo</v>
      </c>
      <c r="V20" s="59" t="str">
        <f>IFERROR(VLOOKUP(Tabelle32[[#This Row],[Device ID]],BOM!$B$3:$BQ$35,26,FALSE),"")</f>
        <v>tpco-megw-vgw103.rta.st-net.media.int</v>
      </c>
      <c r="W20" s="59" t="str">
        <f>IFERROR(VLOOKUP(Tabelle32[[#This Row],[Device ID]],BOM!$B$3:$BQ$35,27,FALSE),"")</f>
        <v>10.120.236.50</v>
      </c>
      <c r="X20" s="59" t="str">
        <f>IFERROR(VLOOKUP(Tabelle32[[#This Row],[Device ID]],BOM!$B$3:$BQ$35,28,FALSE),"")</f>
        <v>AVCoreA</v>
      </c>
      <c r="Y20" s="59" t="str">
        <f>IFERROR(VLOOKUP(Tabelle32[[#This Row],[Device ID]],BOM!$B$3:$BQ$35,29,FALSE),"")</f>
        <v>5_36_1</v>
      </c>
      <c r="Z20" s="59" t="str">
        <f>IFERROR(VLOOKUP(Tabelle32[[#This Row],[Device ID]],BOM!$B$3:$BQ$35,30,FALSE),"")</f>
        <v>tpco-megw-vgw103.rtb.st-net.media.int</v>
      </c>
      <c r="AA20" s="59" t="str">
        <f>IFERROR(VLOOKUP(Tabelle32[[#This Row],[Device ID]],BOM!$B$3:$BQ$35,31,FALSE),"")</f>
        <v>10.120.236.54</v>
      </c>
      <c r="AB20" s="59" t="str">
        <f>IFERROR(VLOOKUP(Tabelle32[[#This Row],[Device ID]],BOM!$B$3:$BQ$35,32,FALSE),"")</f>
        <v>AVCoreB</v>
      </c>
      <c r="AC20" s="59" t="str">
        <f>IFERROR(VLOOKUP(Tabelle32[[#This Row],[Device ID]],BOM!$B$3:$BQ$35,33,FALSE),"")</f>
        <v>5_36_1</v>
      </c>
      <c r="AD20" s="59" t="str">
        <f>IFERROR(VLOOKUP(Tabelle32[[#This Row],[Device ID]],BOM!$B$3:$BQ$35,34,FALSE),"")</f>
        <v>tpco-megw-vgw103.st-net.media.int</v>
      </c>
      <c r="AE20" s="59" t="str">
        <f>IFERROR(VLOOKUP(Tabelle32[[#This Row],[Device ID]],BOM!$B$3:$BQ$35,35,FALSE),"")</f>
        <v>10.120.67.141</v>
      </c>
      <c r="AF20" s="59">
        <f>IFERROR(VLOOKUP(Tabelle32[[#This Row],[Device ID]],BOM!$B$3:$BQ$35,36,FALSE),"")</f>
        <v>0</v>
      </c>
      <c r="AG20" s="59">
        <f>IFERROR(VLOOKUP(Tabelle32[[#This Row],[Device ID]],BOM!$B$3:$BQ$35,37,FALSE),"")</f>
        <v>0</v>
      </c>
      <c r="AH20" s="59"/>
      <c r="AI20" s="59"/>
      <c r="AJ20" s="59"/>
      <c r="AK20" s="59"/>
      <c r="AL20" s="59" t="str">
        <f>IFERROR(VLOOKUP(Tabelle32[[#This Row],[Device ID]],BOM!$B$3:$BQ$35,42,FALSE),"")</f>
        <v>Imagine Communications SNP</v>
      </c>
      <c r="AM20" s="59" t="str">
        <f>IFERROR(VLOOKUP(Tabelle32[[#This Row],[Device ID]],BOM!$B$3:$BQ$35,43,FALSE),"")</f>
        <v>no</v>
      </c>
      <c r="AN20" s="59" t="str">
        <f>IFERROR(VLOOKUP(Tabelle32[[#This Row],[Device ID]],BOM!$B$3:$BQ$35,44,FALSE),"")</f>
        <v>yes</v>
      </c>
      <c r="AO20" s="59" t="str">
        <f>IFERROR(VLOOKUP(Tabelle32[[#This Row],[Device ID]],BOM!$B$3:$BQ$35,45,FALSE),"")</f>
        <v>no</v>
      </c>
      <c r="AP20" s="59" t="str">
        <f>IFERROR(CONCATENATE(Tabelle32[[#This Row],[Family
GFX-Unit]]," | ",Tabelle32[[#This Row],[Label 1
GFX-Unit]]," | ",Tabelle32[[#This Row],[Attached Device if Gateway]]),"")</f>
        <v xml:space="preserve"> |  | R401 HD1 Backup</v>
      </c>
      <c r="AQ20" s="59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66" t="s">
        <v>199</v>
      </c>
      <c r="BI20" s="30" t="str">
        <f>IF(COUNTA(Tabelle32[[#This Row],[Type:Vid_1080i50]:[Type:Anc_Prot]])&gt;0,"x","")</f>
        <v/>
      </c>
      <c r="BJ20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0" s="59"/>
      <c r="BL20" s="59"/>
      <c r="BM20" s="63"/>
      <c r="BN20" s="63"/>
      <c r="BO20" s="105"/>
      <c r="BP20" s="99"/>
      <c r="BQ20" s="63">
        <f>LEN(Tabelle32[[#This Row],[Label 1
GFX-Unit]])</f>
        <v>0</v>
      </c>
      <c r="BR20" s="63"/>
      <c r="BS20" s="63"/>
      <c r="BT20" s="59"/>
      <c r="BU20" s="59"/>
      <c r="BV20" s="68" t="s">
        <v>260</v>
      </c>
      <c r="BW20" s="68" t="s">
        <v>261</v>
      </c>
      <c r="BX20" s="68" t="s">
        <v>262</v>
      </c>
      <c r="BY20" s="68">
        <v>1</v>
      </c>
    </row>
    <row r="21" spans="1:77" x14ac:dyDescent="0.2">
      <c r="A21" s="58" t="str">
        <f>CONCATENATE(Tabelle32[[#This Row],[Device ID]],".",Tabelle32[[#This Row],[Streamcounter]])</f>
        <v>378.01215</v>
      </c>
      <c r="B2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VGW-103_SDI01_AUDsend_0015</v>
      </c>
      <c r="C21" s="60"/>
      <c r="D21" s="61"/>
      <c r="E21" s="62"/>
      <c r="F21" s="59" t="str">
        <f>IFERROR(VLOOKUP(Tabelle32[[#This Row],[Device ID]],BOM!$B$3:$BQ$35,16,FALSE),"")</f>
        <v>R401 HD1 Backup</v>
      </c>
      <c r="G21" s="63">
        <f>VLOOKUP(Tabelle32[[#This Row],[SDI Interface]],BOM!$A$4:$B$35,2,FALSE)</f>
        <v>378</v>
      </c>
      <c r="H21" s="59" t="str">
        <f>BOM!$C$4</f>
        <v>VGW-103</v>
      </c>
      <c r="I21" s="59" t="str">
        <f>IFERROR(VLOOKUP(Tabelle32[[#This Row],[Device ID]],BOM!$B$3:$BQ$35,12,FALSE),"")</f>
        <v>Videoserver</v>
      </c>
      <c r="J21" s="59" t="str">
        <f>IFERROR(VLOOKUP(Tabelle32[[#This Row],[Device ID]],BOM!$B$3:$BQ$35,13,FALSE),"")</f>
        <v>TC.U1.223 | MDC</v>
      </c>
      <c r="K21" s="59" t="str">
        <f>IFERROR(VLOOKUP(Tabelle32[[#This Row],[Device ID]],BOM!$B$3:$BQ$35,14,FALSE),"")</f>
        <v>Imagine Comunications</v>
      </c>
      <c r="L21" s="59" t="str">
        <f>IFERROR(VLOOKUP(Tabelle32[[#This Row],[Device ID]],BOM!$B$3:$BQ$35,16,FALSE),"")</f>
        <v>R401 HD1 Backup</v>
      </c>
      <c r="M21" s="63" t="str">
        <f>IFERROR(VLOOKUP(Tabelle32[[#This Row],[Device ID]],BOM!$B$3:$BQ$35,17,FALSE),"")</f>
        <v>R401</v>
      </c>
      <c r="N21" s="59" t="str">
        <f>IFERROR(VLOOKUP(Tabelle32[[#This Row],[Device ID]],BOM!$B$3:$BQ$35,18,FALSE),"")</f>
        <v>TC.00.104 | R401</v>
      </c>
      <c r="O21" s="64"/>
      <c r="P21" s="64">
        <f>IFERROR(VLOOKUP(Tabelle32[[#This Row],[Device ID]],BOM!$B$3:$BO$50,20,FALSE),"")</f>
        <v>0</v>
      </c>
      <c r="Q21" s="64">
        <f>IFERROR(VLOOKUP(Tabelle32[[#This Row],[Device ID]],BOM!$B$3:$BO$50,21,FALSE),"")</f>
        <v>1</v>
      </c>
      <c r="R21" s="64">
        <f>IFERROR(VLOOKUP(Tabelle32[[#This Row],[Device ID]],BOM!$B$3:$BO$50,22,FALSE),"")</f>
        <v>0</v>
      </c>
      <c r="S21" s="64"/>
      <c r="T21" s="64"/>
      <c r="U21" s="59" t="str">
        <f>IFERROR(VLOOKUP(Tabelle32[[#This Row],[Device ID]],BOM!$B$3:$BQ$35,25,FALSE),"")</f>
        <v>Luis/Ivo</v>
      </c>
      <c r="V21" s="59" t="str">
        <f>IFERROR(VLOOKUP(Tabelle32[[#This Row],[Device ID]],BOM!$B$3:$BQ$35,26,FALSE),"")</f>
        <v>tpco-megw-vgw103.rta.st-net.media.int</v>
      </c>
      <c r="W21" s="59" t="str">
        <f>IFERROR(VLOOKUP(Tabelle32[[#This Row],[Device ID]],BOM!$B$3:$BQ$35,27,FALSE),"")</f>
        <v>10.120.236.50</v>
      </c>
      <c r="X21" s="59" t="str">
        <f>IFERROR(VLOOKUP(Tabelle32[[#This Row],[Device ID]],BOM!$B$3:$BQ$35,28,FALSE),"")</f>
        <v>AVCoreA</v>
      </c>
      <c r="Y21" s="59" t="str">
        <f>IFERROR(VLOOKUP(Tabelle32[[#This Row],[Device ID]],BOM!$B$3:$BQ$35,29,FALSE),"")</f>
        <v>5_36_1</v>
      </c>
      <c r="Z21" s="59" t="str">
        <f>IFERROR(VLOOKUP(Tabelle32[[#This Row],[Device ID]],BOM!$B$3:$BQ$35,30,FALSE),"")</f>
        <v>tpco-megw-vgw103.rtb.st-net.media.int</v>
      </c>
      <c r="AA21" s="59" t="str">
        <f>IFERROR(VLOOKUP(Tabelle32[[#This Row],[Device ID]],BOM!$B$3:$BQ$35,31,FALSE),"")</f>
        <v>10.120.236.54</v>
      </c>
      <c r="AB21" s="59" t="str">
        <f>IFERROR(VLOOKUP(Tabelle32[[#This Row],[Device ID]],BOM!$B$3:$BQ$35,32,FALSE),"")</f>
        <v>AVCoreB</v>
      </c>
      <c r="AC21" s="59" t="str">
        <f>IFERROR(VLOOKUP(Tabelle32[[#This Row],[Device ID]],BOM!$B$3:$BQ$35,33,FALSE),"")</f>
        <v>5_36_1</v>
      </c>
      <c r="AD21" s="59" t="str">
        <f>IFERROR(VLOOKUP(Tabelle32[[#This Row],[Device ID]],BOM!$B$3:$BQ$35,34,FALSE),"")</f>
        <v>tpco-megw-vgw103.st-net.media.int</v>
      </c>
      <c r="AE21" s="59" t="str">
        <f>IFERROR(VLOOKUP(Tabelle32[[#This Row],[Device ID]],BOM!$B$3:$BQ$35,35,FALSE),"")</f>
        <v>10.120.67.141</v>
      </c>
      <c r="AF21" s="59">
        <f>IFERROR(VLOOKUP(Tabelle32[[#This Row],[Device ID]],BOM!$B$3:$BQ$35,36,FALSE),"")</f>
        <v>0</v>
      </c>
      <c r="AG21" s="59">
        <f>IFERROR(VLOOKUP(Tabelle32[[#This Row],[Device ID]],BOM!$B$3:$BQ$35,37,FALSE),"")</f>
        <v>0</v>
      </c>
      <c r="AH21" s="59"/>
      <c r="AI21" s="59"/>
      <c r="AJ21" s="59"/>
      <c r="AK21" s="59"/>
      <c r="AL21" s="59" t="str">
        <f>IFERROR(VLOOKUP(Tabelle32[[#This Row],[Device ID]],BOM!$B$3:$BQ$35,42,FALSE),"")</f>
        <v>Imagine Communications SNP</v>
      </c>
      <c r="AM21" s="59" t="str">
        <f>IFERROR(VLOOKUP(Tabelle32[[#This Row],[Device ID]],BOM!$B$3:$BQ$35,43,FALSE),"")</f>
        <v>no</v>
      </c>
      <c r="AN21" s="59" t="str">
        <f>IFERROR(VLOOKUP(Tabelle32[[#This Row],[Device ID]],BOM!$B$3:$BQ$35,44,FALSE),"")</f>
        <v>yes</v>
      </c>
      <c r="AO21" s="59" t="str">
        <f>IFERROR(VLOOKUP(Tabelle32[[#This Row],[Device ID]],BOM!$B$3:$BQ$35,45,FALSE),"")</f>
        <v>no</v>
      </c>
      <c r="AP21" s="59" t="str">
        <f>IFERROR(CONCATENATE(Tabelle32[[#This Row],[Family
GFX-Unit]]," | ",Tabelle32[[#This Row],[Label 1
GFX-Unit]]," | ",Tabelle32[[#This Row],[Attached Device if Gateway]]),"")</f>
        <v>PLAYOUT R401 | HD1 Backup-015 | R401 HD1 Backup</v>
      </c>
      <c r="AQ21" s="59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 t="s">
        <v>97</v>
      </c>
      <c r="BE21" s="90"/>
      <c r="BF21" s="90"/>
      <c r="BG21" s="90"/>
      <c r="BH21" s="66" t="s">
        <v>199</v>
      </c>
      <c r="BI21" s="30" t="str">
        <f>IF(COUNTA(Tabelle32[[#This Row],[Type:Vid_1080i50]:[Type:Anc_Prot]])&gt;0,"x","")</f>
        <v>x</v>
      </c>
      <c r="BJ21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21" s="59"/>
      <c r="BL21" s="59"/>
      <c r="BM21" s="63"/>
      <c r="BN21" s="63"/>
      <c r="BO21" s="93" t="s">
        <v>200</v>
      </c>
      <c r="BP21" s="100" t="s">
        <v>263</v>
      </c>
      <c r="BQ21" s="63">
        <f>LEN(Tabelle32[[#This Row],[Label 1
GFX-Unit]])</f>
        <v>14</v>
      </c>
      <c r="BR21" s="63"/>
      <c r="BS21" s="63"/>
      <c r="BT21" s="59"/>
      <c r="BU21" s="59"/>
      <c r="BV21" s="68" t="s">
        <v>264</v>
      </c>
      <c r="BW21" s="68" t="s">
        <v>265</v>
      </c>
      <c r="BX21" s="68" t="s">
        <v>266</v>
      </c>
      <c r="BY21" s="68">
        <v>1</v>
      </c>
    </row>
    <row r="22" spans="1:77" x14ac:dyDescent="0.2">
      <c r="A22" s="58" t="str">
        <f>CONCATENATE(Tabelle32[[#This Row],[Device ID]],".",Tabelle32[[#This Row],[Streamcounter]])</f>
        <v>378.01216</v>
      </c>
      <c r="B2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VGW-103_SDI01_AUDsend_0016</v>
      </c>
      <c r="C22" s="69"/>
      <c r="D22" s="70"/>
      <c r="E22" s="71"/>
      <c r="F22" s="59" t="str">
        <f>IFERROR(VLOOKUP(Tabelle32[[#This Row],[Device ID]],BOM!$B$3:$BQ$35,16,FALSE),"")</f>
        <v>R401 HD1 Backup</v>
      </c>
      <c r="G22" s="63">
        <f>VLOOKUP(Tabelle32[[#This Row],[SDI Interface]],BOM!$A$4:$B$35,2,FALSE)</f>
        <v>378</v>
      </c>
      <c r="H22" s="59" t="str">
        <f>BOM!$C$4</f>
        <v>VGW-103</v>
      </c>
      <c r="I22" s="59" t="str">
        <f>IFERROR(VLOOKUP(Tabelle32[[#This Row],[Device ID]],BOM!$B$3:$BQ$35,12,FALSE),"")</f>
        <v>Videoserver</v>
      </c>
      <c r="J22" s="59" t="str">
        <f>IFERROR(VLOOKUP(Tabelle32[[#This Row],[Device ID]],BOM!$B$3:$BQ$35,13,FALSE),"")</f>
        <v>TC.U1.223 | MDC</v>
      </c>
      <c r="K22" s="59" t="str">
        <f>IFERROR(VLOOKUP(Tabelle32[[#This Row],[Device ID]],BOM!$B$3:$BQ$35,14,FALSE),"")</f>
        <v>Imagine Comunications</v>
      </c>
      <c r="L22" s="59" t="str">
        <f>IFERROR(VLOOKUP(Tabelle32[[#This Row],[Device ID]],BOM!$B$3:$BQ$35,16,FALSE),"")</f>
        <v>R401 HD1 Backup</v>
      </c>
      <c r="M22" s="63" t="str">
        <f>IFERROR(VLOOKUP(Tabelle32[[#This Row],[Device ID]],BOM!$B$3:$BQ$35,17,FALSE),"")</f>
        <v>R401</v>
      </c>
      <c r="N22" s="59" t="str">
        <f>IFERROR(VLOOKUP(Tabelle32[[#This Row],[Device ID]],BOM!$B$3:$BQ$35,18,FALSE),"")</f>
        <v>TC.00.104 | R401</v>
      </c>
      <c r="O22" s="64"/>
      <c r="P22" s="64">
        <f>IFERROR(VLOOKUP(Tabelle32[[#This Row],[Device ID]],BOM!$B$3:$BO$50,20,FALSE),"")</f>
        <v>0</v>
      </c>
      <c r="Q22" s="64">
        <f>IFERROR(VLOOKUP(Tabelle32[[#This Row],[Device ID]],BOM!$B$3:$BO$50,21,FALSE),"")</f>
        <v>1</v>
      </c>
      <c r="R22" s="64">
        <f>IFERROR(VLOOKUP(Tabelle32[[#This Row],[Device ID]],BOM!$B$3:$BO$50,22,FALSE),"")</f>
        <v>0</v>
      </c>
      <c r="S22" s="64"/>
      <c r="T22" s="64"/>
      <c r="U22" s="59" t="str">
        <f>IFERROR(VLOOKUP(Tabelle32[[#This Row],[Device ID]],BOM!$B$3:$BQ$35,25,FALSE),"")</f>
        <v>Luis/Ivo</v>
      </c>
      <c r="V22" s="59" t="str">
        <f>IFERROR(VLOOKUP(Tabelle32[[#This Row],[Device ID]],BOM!$B$3:$BQ$35,26,FALSE),"")</f>
        <v>tpco-megw-vgw103.rta.st-net.media.int</v>
      </c>
      <c r="W22" s="59" t="str">
        <f>IFERROR(VLOOKUP(Tabelle32[[#This Row],[Device ID]],BOM!$B$3:$BQ$35,27,FALSE),"")</f>
        <v>10.120.236.50</v>
      </c>
      <c r="X22" s="59" t="str">
        <f>IFERROR(VLOOKUP(Tabelle32[[#This Row],[Device ID]],BOM!$B$3:$BQ$35,28,FALSE),"")</f>
        <v>AVCoreA</v>
      </c>
      <c r="Y22" s="59" t="str">
        <f>IFERROR(VLOOKUP(Tabelle32[[#This Row],[Device ID]],BOM!$B$3:$BQ$35,29,FALSE),"")</f>
        <v>5_36_1</v>
      </c>
      <c r="Z22" s="59" t="str">
        <f>IFERROR(VLOOKUP(Tabelle32[[#This Row],[Device ID]],BOM!$B$3:$BQ$35,30,FALSE),"")</f>
        <v>tpco-megw-vgw103.rtb.st-net.media.int</v>
      </c>
      <c r="AA22" s="59" t="str">
        <f>IFERROR(VLOOKUP(Tabelle32[[#This Row],[Device ID]],BOM!$B$3:$BQ$35,31,FALSE),"")</f>
        <v>10.120.236.54</v>
      </c>
      <c r="AB22" s="59" t="str">
        <f>IFERROR(VLOOKUP(Tabelle32[[#This Row],[Device ID]],BOM!$B$3:$BQ$35,32,FALSE),"")</f>
        <v>AVCoreB</v>
      </c>
      <c r="AC22" s="59" t="str">
        <f>IFERROR(VLOOKUP(Tabelle32[[#This Row],[Device ID]],BOM!$B$3:$BQ$35,33,FALSE),"")</f>
        <v>5_36_1</v>
      </c>
      <c r="AD22" s="59" t="str">
        <f>IFERROR(VLOOKUP(Tabelle32[[#This Row],[Device ID]],BOM!$B$3:$BQ$35,34,FALSE),"")</f>
        <v>tpco-megw-vgw103.st-net.media.int</v>
      </c>
      <c r="AE22" s="59" t="str">
        <f>IFERROR(VLOOKUP(Tabelle32[[#This Row],[Device ID]],BOM!$B$3:$BQ$35,35,FALSE),"")</f>
        <v>10.120.67.141</v>
      </c>
      <c r="AF22" s="59">
        <f>IFERROR(VLOOKUP(Tabelle32[[#This Row],[Device ID]],BOM!$B$3:$BQ$35,36,FALSE),"")</f>
        <v>0</v>
      </c>
      <c r="AG22" s="59">
        <f>IFERROR(VLOOKUP(Tabelle32[[#This Row],[Device ID]],BOM!$B$3:$BQ$35,37,FALSE),"")</f>
        <v>0</v>
      </c>
      <c r="AH22" s="59"/>
      <c r="AI22" s="59"/>
      <c r="AJ22" s="59"/>
      <c r="AK22" s="59"/>
      <c r="AL22" s="59" t="str">
        <f>IFERROR(VLOOKUP(Tabelle32[[#This Row],[Device ID]],BOM!$B$3:$BQ$35,42,FALSE),"")</f>
        <v>Imagine Communications SNP</v>
      </c>
      <c r="AM22" s="59" t="str">
        <f>IFERROR(VLOOKUP(Tabelle32[[#This Row],[Device ID]],BOM!$B$3:$BQ$35,43,FALSE),"")</f>
        <v>no</v>
      </c>
      <c r="AN22" s="59" t="str">
        <f>IFERROR(VLOOKUP(Tabelle32[[#This Row],[Device ID]],BOM!$B$3:$BQ$35,44,FALSE),"")</f>
        <v>yes</v>
      </c>
      <c r="AO22" s="59" t="str">
        <f>IFERROR(VLOOKUP(Tabelle32[[#This Row],[Device ID]],BOM!$B$3:$BQ$35,45,FALSE),"")</f>
        <v>no</v>
      </c>
      <c r="AP22" s="59" t="str">
        <f>IFERROR(CONCATENATE(Tabelle32[[#This Row],[Family
GFX-Unit]]," | ",Tabelle32[[#This Row],[Label 1
GFX-Unit]]," | ",Tabelle32[[#This Row],[Attached Device if Gateway]]),"")</f>
        <v>PLAYOUT R401 | HD1 Backup-016 | R401 HD1 Backup</v>
      </c>
      <c r="AQ22" s="57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 t="s">
        <v>97</v>
      </c>
      <c r="BE22" s="90"/>
      <c r="BF22" s="90"/>
      <c r="BG22" s="90"/>
      <c r="BH22" s="65" t="s">
        <v>199</v>
      </c>
      <c r="BI22" s="30" t="str">
        <f>IF(COUNTA(Tabelle32[[#This Row],[Type:Vid_1080i50]:[Type:Anc_Prot]])&gt;0,"x","")</f>
        <v>x</v>
      </c>
      <c r="BJ22" s="72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22" s="57"/>
      <c r="BL22" s="57"/>
      <c r="BM22" s="30"/>
      <c r="BN22" s="30"/>
      <c r="BO22" s="93" t="s">
        <v>200</v>
      </c>
      <c r="BP22" s="100" t="s">
        <v>267</v>
      </c>
      <c r="BQ22" s="30">
        <f>LEN(Tabelle32[[#This Row],[Label 1
GFX-Unit]])</f>
        <v>14</v>
      </c>
      <c r="BR22" s="30"/>
      <c r="BS22" s="30"/>
      <c r="BT22" s="57"/>
      <c r="BU22" s="57"/>
      <c r="BV22" s="68" t="s">
        <v>268</v>
      </c>
      <c r="BW22" s="68" t="s">
        <v>269</v>
      </c>
      <c r="BX22" s="68" t="s">
        <v>270</v>
      </c>
      <c r="BY22" s="68">
        <v>1</v>
      </c>
    </row>
    <row r="23" spans="1:77" s="41" customFormat="1" ht="13.5" thickBot="1" x14ac:dyDescent="0.25">
      <c r="A23" s="58" t="str">
        <f>CONCATENATE(Tabelle32[[#This Row],[Device ID]],".",Tabelle32[[#This Row],[Streamcounter]])</f>
        <v>378.01101</v>
      </c>
      <c r="B2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VGW-103_SDI01_VIDsend_0001</v>
      </c>
      <c r="C23" s="60"/>
      <c r="D23" s="61"/>
      <c r="E23" s="62"/>
      <c r="F23" s="59" t="str">
        <f>IFERROR(VLOOKUP(Tabelle32[[#This Row],[Device ID]],BOM!$B$3:$BQ$35,16,FALSE),"")</f>
        <v>R401 HD1 Backup</v>
      </c>
      <c r="G23" s="63">
        <f>VLOOKUP(Tabelle32[[#This Row],[SDI Interface]],BOM!$A$4:$B$35,2,FALSE)</f>
        <v>378</v>
      </c>
      <c r="H23" s="59" t="str">
        <f>BOM!$C$4</f>
        <v>VGW-103</v>
      </c>
      <c r="I23" s="59" t="str">
        <f>IFERROR(VLOOKUP(Tabelle32[[#This Row],[Device ID]],BOM!$B$3:$BQ$35,12,FALSE),"")</f>
        <v>Videoserver</v>
      </c>
      <c r="J23" s="59" t="str">
        <f>IFERROR(VLOOKUP(Tabelle32[[#This Row],[Device ID]],BOM!$B$3:$BQ$35,13,FALSE),"")</f>
        <v>TC.U1.223 | MDC</v>
      </c>
      <c r="K23" s="59" t="str">
        <f>IFERROR(VLOOKUP(Tabelle32[[#This Row],[Device ID]],BOM!$B$3:$BQ$35,14,FALSE),"")</f>
        <v>Imagine Comunications</v>
      </c>
      <c r="L23" s="59" t="str">
        <f>IFERROR(VLOOKUP(Tabelle32[[#This Row],[Device ID]],BOM!$B$3:$BQ$35,16,FALSE),"")</f>
        <v>R401 HD1 Backup</v>
      </c>
      <c r="M23" s="63" t="str">
        <f>IFERROR(VLOOKUP(Tabelle32[[#This Row],[Device ID]],BOM!$B$3:$BQ$35,17,FALSE),"")</f>
        <v>R401</v>
      </c>
      <c r="N23" s="59" t="str">
        <f>IFERROR(VLOOKUP(Tabelle32[[#This Row],[Device ID]],BOM!$B$3:$BQ$35,18,FALSE),"")</f>
        <v>TC.00.104 | R401</v>
      </c>
      <c r="O23" s="64"/>
      <c r="P23" s="64">
        <f>IFERROR(VLOOKUP(Tabelle32[[#This Row],[Device ID]],BOM!$B$3:$BO$50,20,FALSE),"")</f>
        <v>0</v>
      </c>
      <c r="Q23" s="64">
        <f>IFERROR(VLOOKUP(Tabelle32[[#This Row],[Device ID]],BOM!$B$3:$BO$50,21,FALSE),"")</f>
        <v>1</v>
      </c>
      <c r="R23" s="64">
        <f>IFERROR(VLOOKUP(Tabelle32[[#This Row],[Device ID]],BOM!$B$3:$BO$50,22,FALSE),"")</f>
        <v>0</v>
      </c>
      <c r="S23" s="64"/>
      <c r="T23" s="64"/>
      <c r="U23" s="59" t="str">
        <f>IFERROR(VLOOKUP(Tabelle32[[#This Row],[Device ID]],BOM!$B$3:$BQ$35,25,FALSE),"")</f>
        <v>Luis/Ivo</v>
      </c>
      <c r="V23" s="59" t="str">
        <f>IFERROR(VLOOKUP(Tabelle32[[#This Row],[Device ID]],BOM!$B$3:$BQ$35,26,FALSE),"")</f>
        <v>tpco-megw-vgw103.rta.st-net.media.int</v>
      </c>
      <c r="W23" s="59" t="str">
        <f>IFERROR(VLOOKUP(Tabelle32[[#This Row],[Device ID]],BOM!$B$3:$BQ$35,27,FALSE),"")</f>
        <v>10.120.236.50</v>
      </c>
      <c r="X23" s="59" t="str">
        <f>IFERROR(VLOOKUP(Tabelle32[[#This Row],[Device ID]],BOM!$B$3:$BQ$35,28,FALSE),"")</f>
        <v>AVCoreA</v>
      </c>
      <c r="Y23" s="59" t="str">
        <f>IFERROR(VLOOKUP(Tabelle32[[#This Row],[Device ID]],BOM!$B$3:$BQ$35,29,FALSE),"")</f>
        <v>5_36_1</v>
      </c>
      <c r="Z23" s="59" t="str">
        <f>IFERROR(VLOOKUP(Tabelle32[[#This Row],[Device ID]],BOM!$B$3:$BQ$35,30,FALSE),"")</f>
        <v>tpco-megw-vgw103.rtb.st-net.media.int</v>
      </c>
      <c r="AA23" s="59" t="str">
        <f>IFERROR(VLOOKUP(Tabelle32[[#This Row],[Device ID]],BOM!$B$3:$BQ$35,31,FALSE),"")</f>
        <v>10.120.236.54</v>
      </c>
      <c r="AB23" s="59" t="str">
        <f>IFERROR(VLOOKUP(Tabelle32[[#This Row],[Device ID]],BOM!$B$3:$BQ$35,32,FALSE),"")</f>
        <v>AVCoreB</v>
      </c>
      <c r="AC23" s="59" t="str">
        <f>IFERROR(VLOOKUP(Tabelle32[[#This Row],[Device ID]],BOM!$B$3:$BQ$35,33,FALSE),"")</f>
        <v>5_36_1</v>
      </c>
      <c r="AD23" s="59" t="str">
        <f>IFERROR(VLOOKUP(Tabelle32[[#This Row],[Device ID]],BOM!$B$3:$BQ$35,34,FALSE),"")</f>
        <v>tpco-megw-vgw103.st-net.media.int</v>
      </c>
      <c r="AE23" s="59" t="str">
        <f>IFERROR(VLOOKUP(Tabelle32[[#This Row],[Device ID]],BOM!$B$3:$BQ$35,35,FALSE),"")</f>
        <v>10.120.67.141</v>
      </c>
      <c r="AF23" s="59">
        <f>IFERROR(VLOOKUP(Tabelle32[[#This Row],[Device ID]],BOM!$B$3:$BQ$35,36,FALSE),"")</f>
        <v>0</v>
      </c>
      <c r="AG23" s="59">
        <f>IFERROR(VLOOKUP(Tabelle32[[#This Row],[Device ID]],BOM!$B$3:$BQ$35,37,FALSE),"")</f>
        <v>0</v>
      </c>
      <c r="AH23" s="59"/>
      <c r="AI23" s="59"/>
      <c r="AJ23" s="59"/>
      <c r="AK23" s="59"/>
      <c r="AL23" s="59" t="str">
        <f>IFERROR(VLOOKUP(Tabelle32[[#This Row],[Device ID]],BOM!$B$3:$BQ$35,42,FALSE),"")</f>
        <v>Imagine Communications SNP</v>
      </c>
      <c r="AM23" s="59" t="str">
        <f>IFERROR(VLOOKUP(Tabelle32[[#This Row],[Device ID]],BOM!$B$3:$BQ$35,43,FALSE),"")</f>
        <v>no</v>
      </c>
      <c r="AN23" s="59" t="str">
        <f>IFERROR(VLOOKUP(Tabelle32[[#This Row],[Device ID]],BOM!$B$3:$BQ$35,44,FALSE),"")</f>
        <v>yes</v>
      </c>
      <c r="AO23" s="59" t="str">
        <f>IFERROR(VLOOKUP(Tabelle32[[#This Row],[Device ID]],BOM!$B$3:$BQ$35,45,FALSE),"")</f>
        <v>no</v>
      </c>
      <c r="AP23" s="59" t="str">
        <f>IFERROR(CONCATENATE(Tabelle32[[#This Row],[Family
GFX-Unit]]," | ",Tabelle32[[#This Row],[Label 1
GFX-Unit]]," | ",Tabelle32[[#This Row],[Attached Device if Gateway]]),"")</f>
        <v>PLAYOUT R401 | HD1 Backup | R401 HD1 Backup</v>
      </c>
      <c r="AQ23" s="59"/>
      <c r="AR23" s="90" t="s">
        <v>97</v>
      </c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66"/>
      <c r="BI23" s="30" t="str">
        <f>IF(COUNTA(Tabelle32[[#This Row],[Type:Vid_1080i50]:[Type:Anc_Prot]])&gt;0,"x","")</f>
        <v>x</v>
      </c>
      <c r="BJ2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23" s="59"/>
      <c r="BL23" s="59"/>
      <c r="BM23" s="66"/>
      <c r="BN23" s="66"/>
      <c r="BO23" s="93" t="s">
        <v>200</v>
      </c>
      <c r="BP23" s="100" t="s">
        <v>271</v>
      </c>
      <c r="BQ23" s="63">
        <f>LEN(Tabelle32[[#This Row],[Label 1
GFX-Unit]])</f>
        <v>10</v>
      </c>
      <c r="BR23" s="66"/>
      <c r="BS23" s="66"/>
      <c r="BT23" s="59"/>
      <c r="BU23" s="59"/>
      <c r="BV23" s="68" t="s">
        <v>272</v>
      </c>
      <c r="BW23" s="68" t="s">
        <v>273</v>
      </c>
      <c r="BX23" s="68" t="s">
        <v>274</v>
      </c>
      <c r="BY23" s="68">
        <v>1</v>
      </c>
    </row>
    <row r="24" spans="1:77" ht="13.5" thickTop="1" x14ac:dyDescent="0.2">
      <c r="A24" s="58" t="str">
        <f>CONCATENATE(Tabelle32[[#This Row],[Device ID]],".",Tabelle32[[#This Row],[Streamcounter]])</f>
        <v>379.02301</v>
      </c>
      <c r="B2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VGW-103_SDI02_ANCsend_0001</v>
      </c>
      <c r="C24" s="60"/>
      <c r="D24" s="61"/>
      <c r="E24" s="62"/>
      <c r="F24" s="59" t="str">
        <f>IFERROR(VLOOKUP(Tabelle32[[#This Row],[Device ID]],BOM!$B$3:$BQ$35,16,FALSE),"")</f>
        <v>R401 HD2 Backup</v>
      </c>
      <c r="G24" s="63">
        <f>VLOOKUP(Tabelle32[[#This Row],[SDI Interface]],BOM!$A$4:$B$35,2,FALSE)</f>
        <v>379</v>
      </c>
      <c r="H24" s="59" t="str">
        <f>BOM!$C$4</f>
        <v>VGW-103</v>
      </c>
      <c r="I24" s="59" t="str">
        <f>IFERROR(VLOOKUP(Tabelle32[[#This Row],[Device ID]],BOM!$B$3:$BQ$35,12,FALSE),"")</f>
        <v>Videoserver</v>
      </c>
      <c r="J24" s="59" t="str">
        <f>IFERROR(VLOOKUP(Tabelle32[[#This Row],[Device ID]],BOM!$B$3:$BQ$35,13,FALSE),"")</f>
        <v>TC.U1.223 | MDC</v>
      </c>
      <c r="K24" s="59" t="str">
        <f>IFERROR(VLOOKUP(Tabelle32[[#This Row],[Device ID]],BOM!$B$3:$BQ$35,14,FALSE),"")</f>
        <v>Imagine Comunications</v>
      </c>
      <c r="L24" s="59" t="str">
        <f>IFERROR(VLOOKUP(Tabelle32[[#This Row],[Device ID]],BOM!$B$3:$BQ$35,16,FALSE),"")</f>
        <v>R401 HD2 Backup</v>
      </c>
      <c r="M24" s="63" t="str">
        <f>IFERROR(VLOOKUP(Tabelle32[[#This Row],[Device ID]],BOM!$B$3:$BQ$35,17,FALSE),"")</f>
        <v>R401</v>
      </c>
      <c r="N24" s="59" t="str">
        <f>IFERROR(VLOOKUP(Tabelle32[[#This Row],[Device ID]],BOM!$B$3:$BQ$35,18,FALSE),"")</f>
        <v>TC.00.104 | R401</v>
      </c>
      <c r="O24" s="64"/>
      <c r="P24" s="64">
        <f>IFERROR(VLOOKUP(Tabelle32[[#This Row],[Device ID]],BOM!$B$3:$BO$50,20,FALSE),"")</f>
        <v>0</v>
      </c>
      <c r="Q24" s="64">
        <f>IFERROR(VLOOKUP(Tabelle32[[#This Row],[Device ID]],BOM!$B$3:$BO$50,21,FALSE),"")</f>
        <v>1</v>
      </c>
      <c r="R24" s="64">
        <f>IFERROR(VLOOKUP(Tabelle32[[#This Row],[Device ID]],BOM!$B$3:$BO$50,22,FALSE),"")</f>
        <v>0</v>
      </c>
      <c r="S24" s="64"/>
      <c r="T24" s="64"/>
      <c r="U24" s="59" t="str">
        <f>IFERROR(VLOOKUP(Tabelle32[[#This Row],[Device ID]],BOM!$B$3:$BQ$35,25,FALSE),"")</f>
        <v>Luis/Ivo</v>
      </c>
      <c r="V24" s="59" t="str">
        <f>IFERROR(VLOOKUP(Tabelle32[[#This Row],[Device ID]],BOM!$B$3:$BQ$35,26,FALSE),"")</f>
        <v>tpco-megw-vgw103.rta.st-net.media.int</v>
      </c>
      <c r="W24" s="59" t="str">
        <f>IFERROR(VLOOKUP(Tabelle32[[#This Row],[Device ID]],BOM!$B$3:$BQ$35,27,FALSE),"")</f>
        <v>10.120.236.50</v>
      </c>
      <c r="X24" s="59" t="str">
        <f>IFERROR(VLOOKUP(Tabelle32[[#This Row],[Device ID]],BOM!$B$3:$BQ$35,28,FALSE),"")</f>
        <v>AVCoreA</v>
      </c>
      <c r="Y24" s="59" t="str">
        <f>IFERROR(VLOOKUP(Tabelle32[[#This Row],[Device ID]],BOM!$B$3:$BQ$35,29,FALSE),"")</f>
        <v>5_36_1</v>
      </c>
      <c r="Z24" s="59" t="str">
        <f>IFERROR(VLOOKUP(Tabelle32[[#This Row],[Device ID]],BOM!$B$3:$BQ$35,30,FALSE),"")</f>
        <v>tpco-megw-vgw103.rtb.st-net.media.int</v>
      </c>
      <c r="AA24" s="59" t="str">
        <f>IFERROR(VLOOKUP(Tabelle32[[#This Row],[Device ID]],BOM!$B$3:$BQ$35,31,FALSE),"")</f>
        <v>10.120.236.54</v>
      </c>
      <c r="AB24" s="59" t="str">
        <f>IFERROR(VLOOKUP(Tabelle32[[#This Row],[Device ID]],BOM!$B$3:$BQ$35,32,FALSE),"")</f>
        <v>AVCoreB</v>
      </c>
      <c r="AC24" s="59" t="str">
        <f>IFERROR(VLOOKUP(Tabelle32[[#This Row],[Device ID]],BOM!$B$3:$BQ$35,33,FALSE),"")</f>
        <v>5_36_1</v>
      </c>
      <c r="AD24" s="59" t="str">
        <f>IFERROR(VLOOKUP(Tabelle32[[#This Row],[Device ID]],BOM!$B$3:$BQ$35,34,FALSE),"")</f>
        <v>tpco-megw-vgw103.st-net.media.int</v>
      </c>
      <c r="AE24" s="59" t="str">
        <f>IFERROR(VLOOKUP(Tabelle32[[#This Row],[Device ID]],BOM!$B$3:$BQ$35,35,FALSE),"")</f>
        <v>10.120.67.141</v>
      </c>
      <c r="AF24" s="59">
        <f>IFERROR(VLOOKUP(Tabelle32[[#This Row],[Device ID]],BOM!$B$3:$BQ$35,36,FALSE),"")</f>
        <v>0</v>
      </c>
      <c r="AG24" s="59">
        <f>IFERROR(VLOOKUP(Tabelle32[[#This Row],[Device ID]],BOM!$B$3:$BQ$35,37,FALSE),"")</f>
        <v>0</v>
      </c>
      <c r="AH24" s="59"/>
      <c r="AI24" s="59"/>
      <c r="AJ24" s="59"/>
      <c r="AK24" s="59"/>
      <c r="AL24" s="59" t="str">
        <f>IFERROR(VLOOKUP(Tabelle32[[#This Row],[Device ID]],BOM!$B$3:$BQ$35,42,FALSE),"")</f>
        <v>Imagine Communications SNP</v>
      </c>
      <c r="AM24" s="59" t="str">
        <f>IFERROR(VLOOKUP(Tabelle32[[#This Row],[Device ID]],BOM!$B$3:$BQ$35,43,FALSE),"")</f>
        <v>no</v>
      </c>
      <c r="AN24" s="59" t="str">
        <f>IFERROR(VLOOKUP(Tabelle32[[#This Row],[Device ID]],BOM!$B$3:$BQ$35,44,FALSE),"")</f>
        <v>yes</v>
      </c>
      <c r="AO24" s="59" t="str">
        <f>IFERROR(VLOOKUP(Tabelle32[[#This Row],[Device ID]],BOM!$B$3:$BQ$35,45,FALSE),"")</f>
        <v>no</v>
      </c>
      <c r="AP24" s="59" t="str">
        <f>IFERROR(CONCATENATE(Tabelle32[[#This Row],[Family
GFX-Unit]]," | ",Tabelle32[[#This Row],[Label 1
GFX-Unit]]," | ",Tabelle32[[#This Row],[Attached Device if Gateway]]),"")</f>
        <v>PLAYOUT R401 | HD2 Backup-001 | R401 HD2 Backup</v>
      </c>
      <c r="AQ24" s="59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 t="s">
        <v>97</v>
      </c>
      <c r="BH24" s="73" t="s">
        <v>199</v>
      </c>
      <c r="BI24" s="30" t="str">
        <f>IF(COUNTA(Tabelle32[[#This Row],[Type:Vid_1080i50]:[Type:Anc_Prot]])&gt;0,"x","")</f>
        <v>x</v>
      </c>
      <c r="BJ2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24" s="59"/>
      <c r="BL24" s="59"/>
      <c r="BM24" s="63"/>
      <c r="BN24" s="63"/>
      <c r="BO24" s="100" t="s">
        <v>200</v>
      </c>
      <c r="BP24" s="100" t="s">
        <v>275</v>
      </c>
      <c r="BQ24" s="63">
        <f>LEN(Tabelle32[[#This Row],[Label 1
GFX-Unit]])</f>
        <v>14</v>
      </c>
      <c r="BR24" s="63"/>
      <c r="BS24" s="63"/>
      <c r="BT24" s="59"/>
      <c r="BU24" s="59"/>
      <c r="BV24" s="59" t="s">
        <v>202</v>
      </c>
      <c r="BW24" s="59" t="s">
        <v>203</v>
      </c>
      <c r="BX24" s="59" t="s">
        <v>276</v>
      </c>
      <c r="BY24" s="59">
        <v>2</v>
      </c>
    </row>
    <row r="25" spans="1:77" hidden="1" x14ac:dyDescent="0.2">
      <c r="A25" s="58" t="str">
        <f>CONCATENATE(Tabelle32[[#This Row],[Device ID]],".",Tabelle32[[#This Row],[Streamcounter]])</f>
        <v>379.02302</v>
      </c>
      <c r="B2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VGW-103_SDI02_ANCsend_0002</v>
      </c>
      <c r="C25" s="60"/>
      <c r="D25" s="61"/>
      <c r="E25" s="62"/>
      <c r="F25" s="59" t="str">
        <f>IFERROR(VLOOKUP(Tabelle32[[#This Row],[Device ID]],BOM!$B$3:$BQ$35,16,FALSE),"")</f>
        <v>R401 HD2 Backup</v>
      </c>
      <c r="G25" s="63">
        <f>VLOOKUP(Tabelle32[[#This Row],[SDI Interface]],BOM!$A$4:$B$35,2,FALSE)</f>
        <v>379</v>
      </c>
      <c r="H25" s="59" t="str">
        <f>BOM!$C$4</f>
        <v>VGW-103</v>
      </c>
      <c r="I25" s="59" t="str">
        <f>IFERROR(VLOOKUP(Tabelle32[[#This Row],[Device ID]],BOM!$B$3:$BQ$35,12,FALSE),"")</f>
        <v>Videoserver</v>
      </c>
      <c r="J25" s="59" t="str">
        <f>IFERROR(VLOOKUP(Tabelle32[[#This Row],[Device ID]],BOM!$B$3:$BQ$35,13,FALSE),"")</f>
        <v>TC.U1.223 | MDC</v>
      </c>
      <c r="K25" s="59" t="str">
        <f>IFERROR(VLOOKUP(Tabelle32[[#This Row],[Device ID]],BOM!$B$3:$BQ$35,14,FALSE),"")</f>
        <v>Imagine Comunications</v>
      </c>
      <c r="L25" s="59" t="str">
        <f>IFERROR(VLOOKUP(Tabelle32[[#This Row],[Device ID]],BOM!$B$3:$BQ$35,16,FALSE),"")</f>
        <v>R401 HD2 Backup</v>
      </c>
      <c r="M25" s="63" t="str">
        <f>IFERROR(VLOOKUP(Tabelle32[[#This Row],[Device ID]],BOM!$B$3:$BQ$35,17,FALSE),"")</f>
        <v>R401</v>
      </c>
      <c r="N25" s="59" t="str">
        <f>IFERROR(VLOOKUP(Tabelle32[[#This Row],[Device ID]],BOM!$B$3:$BQ$35,18,FALSE),"")</f>
        <v>TC.00.104 | R401</v>
      </c>
      <c r="O25" s="64"/>
      <c r="P25" s="64">
        <f>IFERROR(VLOOKUP(Tabelle32[[#This Row],[Device ID]],BOM!$B$3:$BO$50,20,FALSE),"")</f>
        <v>0</v>
      </c>
      <c r="Q25" s="64">
        <f>IFERROR(VLOOKUP(Tabelle32[[#This Row],[Device ID]],BOM!$B$3:$BO$50,21,FALSE),"")</f>
        <v>1</v>
      </c>
      <c r="R25" s="64">
        <f>IFERROR(VLOOKUP(Tabelle32[[#This Row],[Device ID]],BOM!$B$3:$BO$50,22,FALSE),"")</f>
        <v>0</v>
      </c>
      <c r="S25" s="64"/>
      <c r="T25" s="64"/>
      <c r="U25" s="59" t="str">
        <f>IFERROR(VLOOKUP(Tabelle32[[#This Row],[Device ID]],BOM!$B$3:$BQ$35,25,FALSE),"")</f>
        <v>Luis/Ivo</v>
      </c>
      <c r="V25" s="59" t="str">
        <f>IFERROR(VLOOKUP(Tabelle32[[#This Row],[Device ID]],BOM!$B$3:$BQ$35,26,FALSE),"")</f>
        <v>tpco-megw-vgw103.rta.st-net.media.int</v>
      </c>
      <c r="W25" s="59" t="str">
        <f>IFERROR(VLOOKUP(Tabelle32[[#This Row],[Device ID]],BOM!$B$3:$BQ$35,27,FALSE),"")</f>
        <v>10.120.236.50</v>
      </c>
      <c r="X25" s="59" t="str">
        <f>IFERROR(VLOOKUP(Tabelle32[[#This Row],[Device ID]],BOM!$B$3:$BQ$35,28,FALSE),"")</f>
        <v>AVCoreA</v>
      </c>
      <c r="Y25" s="59" t="str">
        <f>IFERROR(VLOOKUP(Tabelle32[[#This Row],[Device ID]],BOM!$B$3:$BQ$35,29,FALSE),"")</f>
        <v>5_36_1</v>
      </c>
      <c r="Z25" s="59" t="str">
        <f>IFERROR(VLOOKUP(Tabelle32[[#This Row],[Device ID]],BOM!$B$3:$BQ$35,30,FALSE),"")</f>
        <v>tpco-megw-vgw103.rtb.st-net.media.int</v>
      </c>
      <c r="AA25" s="59" t="str">
        <f>IFERROR(VLOOKUP(Tabelle32[[#This Row],[Device ID]],BOM!$B$3:$BQ$35,31,FALSE),"")</f>
        <v>10.120.236.54</v>
      </c>
      <c r="AB25" s="59" t="str">
        <f>IFERROR(VLOOKUP(Tabelle32[[#This Row],[Device ID]],BOM!$B$3:$BQ$35,32,FALSE),"")</f>
        <v>AVCoreB</v>
      </c>
      <c r="AC25" s="59" t="str">
        <f>IFERROR(VLOOKUP(Tabelle32[[#This Row],[Device ID]],BOM!$B$3:$BQ$35,33,FALSE),"")</f>
        <v>5_36_1</v>
      </c>
      <c r="AD25" s="59" t="str">
        <f>IFERROR(VLOOKUP(Tabelle32[[#This Row],[Device ID]],BOM!$B$3:$BQ$35,34,FALSE),"")</f>
        <v>tpco-megw-vgw103.st-net.media.int</v>
      </c>
      <c r="AE25" s="59" t="str">
        <f>IFERROR(VLOOKUP(Tabelle32[[#This Row],[Device ID]],BOM!$B$3:$BQ$35,35,FALSE),"")</f>
        <v>10.120.67.141</v>
      </c>
      <c r="AF25" s="59">
        <f>IFERROR(VLOOKUP(Tabelle32[[#This Row],[Device ID]],BOM!$B$3:$BQ$35,36,FALSE),"")</f>
        <v>0</v>
      </c>
      <c r="AG25" s="59">
        <f>IFERROR(VLOOKUP(Tabelle32[[#This Row],[Device ID]],BOM!$B$3:$BQ$35,37,FALSE),"")</f>
        <v>0</v>
      </c>
      <c r="AH25" s="59"/>
      <c r="AI25" s="59"/>
      <c r="AJ25" s="59"/>
      <c r="AK25" s="59"/>
      <c r="AL25" s="59" t="str">
        <f>IFERROR(VLOOKUP(Tabelle32[[#This Row],[Device ID]],BOM!$B$3:$BQ$35,42,FALSE),"")</f>
        <v>Imagine Communications SNP</v>
      </c>
      <c r="AM25" s="59" t="str">
        <f>IFERROR(VLOOKUP(Tabelle32[[#This Row],[Device ID]],BOM!$B$3:$BQ$35,43,FALSE),"")</f>
        <v>no</v>
      </c>
      <c r="AN25" s="59" t="str">
        <f>IFERROR(VLOOKUP(Tabelle32[[#This Row],[Device ID]],BOM!$B$3:$BQ$35,44,FALSE),"")</f>
        <v>yes</v>
      </c>
      <c r="AO25" s="59" t="str">
        <f>IFERROR(VLOOKUP(Tabelle32[[#This Row],[Device ID]],BOM!$B$3:$BQ$35,45,FALSE),"")</f>
        <v>no</v>
      </c>
      <c r="AP25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25" s="59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73" t="s">
        <v>199</v>
      </c>
      <c r="BI25" s="30" t="str">
        <f>IF(COUNTA(Tabelle32[[#This Row],[Type:Vid_1080i50]:[Type:Anc_Prot]])&gt;0,"x","")</f>
        <v/>
      </c>
      <c r="BJ2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5" s="59"/>
      <c r="BL25" s="59"/>
      <c r="BM25" s="63"/>
      <c r="BN25" s="63"/>
      <c r="BO25" s="99"/>
      <c r="BP25" s="106"/>
      <c r="BQ25" s="63">
        <f>LEN(Tabelle32[[#This Row],[Label 1
GFX-Unit]])</f>
        <v>0</v>
      </c>
      <c r="BR25" s="63"/>
      <c r="BS25" s="63"/>
      <c r="BT25" s="59"/>
      <c r="BU25" s="59"/>
      <c r="BV25" s="59" t="s">
        <v>205</v>
      </c>
      <c r="BW25" s="59" t="s">
        <v>206</v>
      </c>
      <c r="BX25" s="59" t="s">
        <v>277</v>
      </c>
      <c r="BY25" s="59">
        <v>2</v>
      </c>
    </row>
    <row r="26" spans="1:77" hidden="1" x14ac:dyDescent="0.2">
      <c r="A26" s="58" t="str">
        <f>CONCATENATE(Tabelle32[[#This Row],[Device ID]],".",Tabelle32[[#This Row],[Streamcounter]])</f>
        <v>379.02303</v>
      </c>
      <c r="B2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VGW-103_SDI02_ANCsend_0003</v>
      </c>
      <c r="C26" s="60"/>
      <c r="D26" s="61"/>
      <c r="E26" s="62"/>
      <c r="F26" s="59" t="str">
        <f>IFERROR(VLOOKUP(Tabelle32[[#This Row],[Device ID]],BOM!$B$3:$BQ$35,16,FALSE),"")</f>
        <v>R401 HD2 Backup</v>
      </c>
      <c r="G26" s="63">
        <f>VLOOKUP(Tabelle32[[#This Row],[SDI Interface]],BOM!$A$4:$B$35,2,FALSE)</f>
        <v>379</v>
      </c>
      <c r="H26" s="59" t="str">
        <f>BOM!$C$4</f>
        <v>VGW-103</v>
      </c>
      <c r="I26" s="59" t="str">
        <f>IFERROR(VLOOKUP(Tabelle32[[#This Row],[Device ID]],BOM!$B$3:$BQ$35,12,FALSE),"")</f>
        <v>Videoserver</v>
      </c>
      <c r="J26" s="59" t="str">
        <f>IFERROR(VLOOKUP(Tabelle32[[#This Row],[Device ID]],BOM!$B$3:$BQ$35,13,FALSE),"")</f>
        <v>TC.U1.223 | MDC</v>
      </c>
      <c r="K26" s="59" t="str">
        <f>IFERROR(VLOOKUP(Tabelle32[[#This Row],[Device ID]],BOM!$B$3:$BQ$35,14,FALSE),"")</f>
        <v>Imagine Comunications</v>
      </c>
      <c r="L26" s="59" t="str">
        <f>IFERROR(VLOOKUP(Tabelle32[[#This Row],[Device ID]],BOM!$B$3:$BQ$35,16,FALSE),"")</f>
        <v>R401 HD2 Backup</v>
      </c>
      <c r="M26" s="63" t="str">
        <f>IFERROR(VLOOKUP(Tabelle32[[#This Row],[Device ID]],BOM!$B$3:$BQ$35,17,FALSE),"")</f>
        <v>R401</v>
      </c>
      <c r="N26" s="59" t="str">
        <f>IFERROR(VLOOKUP(Tabelle32[[#This Row],[Device ID]],BOM!$B$3:$BQ$35,18,FALSE),"")</f>
        <v>TC.00.104 | R401</v>
      </c>
      <c r="O26" s="64"/>
      <c r="P26" s="64">
        <f>IFERROR(VLOOKUP(Tabelle32[[#This Row],[Device ID]],BOM!$B$3:$BO$50,20,FALSE),"")</f>
        <v>0</v>
      </c>
      <c r="Q26" s="64">
        <f>IFERROR(VLOOKUP(Tabelle32[[#This Row],[Device ID]],BOM!$B$3:$BO$50,21,FALSE),"")</f>
        <v>1</v>
      </c>
      <c r="R26" s="64">
        <f>IFERROR(VLOOKUP(Tabelle32[[#This Row],[Device ID]],BOM!$B$3:$BO$50,22,FALSE),"")</f>
        <v>0</v>
      </c>
      <c r="S26" s="64"/>
      <c r="T26" s="64"/>
      <c r="U26" s="59" t="str">
        <f>IFERROR(VLOOKUP(Tabelle32[[#This Row],[Device ID]],BOM!$B$3:$BQ$35,25,FALSE),"")</f>
        <v>Luis/Ivo</v>
      </c>
      <c r="V26" s="59" t="str">
        <f>IFERROR(VLOOKUP(Tabelle32[[#This Row],[Device ID]],BOM!$B$3:$BQ$35,26,FALSE),"")</f>
        <v>tpco-megw-vgw103.rta.st-net.media.int</v>
      </c>
      <c r="W26" s="59" t="str">
        <f>IFERROR(VLOOKUP(Tabelle32[[#This Row],[Device ID]],BOM!$B$3:$BQ$35,27,FALSE),"")</f>
        <v>10.120.236.50</v>
      </c>
      <c r="X26" s="59" t="str">
        <f>IFERROR(VLOOKUP(Tabelle32[[#This Row],[Device ID]],BOM!$B$3:$BQ$35,28,FALSE),"")</f>
        <v>AVCoreA</v>
      </c>
      <c r="Y26" s="59" t="str">
        <f>IFERROR(VLOOKUP(Tabelle32[[#This Row],[Device ID]],BOM!$B$3:$BQ$35,29,FALSE),"")</f>
        <v>5_36_1</v>
      </c>
      <c r="Z26" s="59" t="str">
        <f>IFERROR(VLOOKUP(Tabelle32[[#This Row],[Device ID]],BOM!$B$3:$BQ$35,30,FALSE),"")</f>
        <v>tpco-megw-vgw103.rtb.st-net.media.int</v>
      </c>
      <c r="AA26" s="59" t="str">
        <f>IFERROR(VLOOKUP(Tabelle32[[#This Row],[Device ID]],BOM!$B$3:$BQ$35,31,FALSE),"")</f>
        <v>10.120.236.54</v>
      </c>
      <c r="AB26" s="59" t="str">
        <f>IFERROR(VLOOKUP(Tabelle32[[#This Row],[Device ID]],BOM!$B$3:$BQ$35,32,FALSE),"")</f>
        <v>AVCoreB</v>
      </c>
      <c r="AC26" s="59" t="str">
        <f>IFERROR(VLOOKUP(Tabelle32[[#This Row],[Device ID]],BOM!$B$3:$BQ$35,33,FALSE),"")</f>
        <v>5_36_1</v>
      </c>
      <c r="AD26" s="59" t="str">
        <f>IFERROR(VLOOKUP(Tabelle32[[#This Row],[Device ID]],BOM!$B$3:$BQ$35,34,FALSE),"")</f>
        <v>tpco-megw-vgw103.st-net.media.int</v>
      </c>
      <c r="AE26" s="59" t="str">
        <f>IFERROR(VLOOKUP(Tabelle32[[#This Row],[Device ID]],BOM!$B$3:$BQ$35,35,FALSE),"")</f>
        <v>10.120.67.141</v>
      </c>
      <c r="AF26" s="59">
        <f>IFERROR(VLOOKUP(Tabelle32[[#This Row],[Device ID]],BOM!$B$3:$BQ$35,36,FALSE),"")</f>
        <v>0</v>
      </c>
      <c r="AG26" s="59">
        <f>IFERROR(VLOOKUP(Tabelle32[[#This Row],[Device ID]],BOM!$B$3:$BQ$35,37,FALSE),"")</f>
        <v>0</v>
      </c>
      <c r="AH26" s="59"/>
      <c r="AI26" s="59"/>
      <c r="AJ26" s="59"/>
      <c r="AK26" s="59"/>
      <c r="AL26" s="59" t="str">
        <f>IFERROR(VLOOKUP(Tabelle32[[#This Row],[Device ID]],BOM!$B$3:$BQ$35,42,FALSE),"")</f>
        <v>Imagine Communications SNP</v>
      </c>
      <c r="AM26" s="59" t="str">
        <f>IFERROR(VLOOKUP(Tabelle32[[#This Row],[Device ID]],BOM!$B$3:$BQ$35,43,FALSE),"")</f>
        <v>no</v>
      </c>
      <c r="AN26" s="59" t="str">
        <f>IFERROR(VLOOKUP(Tabelle32[[#This Row],[Device ID]],BOM!$B$3:$BQ$35,44,FALSE),"")</f>
        <v>yes</v>
      </c>
      <c r="AO26" s="59" t="str">
        <f>IFERROR(VLOOKUP(Tabelle32[[#This Row],[Device ID]],BOM!$B$3:$BQ$35,45,FALSE),"")</f>
        <v>no</v>
      </c>
      <c r="AP26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26" s="59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73" t="s">
        <v>199</v>
      </c>
      <c r="BI26" s="30" t="str">
        <f>IF(COUNTA(Tabelle32[[#This Row],[Type:Vid_1080i50]:[Type:Anc_Prot]])&gt;0,"x","")</f>
        <v/>
      </c>
      <c r="BJ2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6" s="59"/>
      <c r="BL26" s="59"/>
      <c r="BM26" s="63"/>
      <c r="BN26" s="63"/>
      <c r="BO26" s="99"/>
      <c r="BP26" s="106"/>
      <c r="BQ26" s="63">
        <f>LEN(Tabelle32[[#This Row],[Label 1
GFX-Unit]])</f>
        <v>0</v>
      </c>
      <c r="BR26" s="63"/>
      <c r="BS26" s="63"/>
      <c r="BT26" s="59"/>
      <c r="BU26" s="59"/>
      <c r="BV26" s="59" t="s">
        <v>208</v>
      </c>
      <c r="BW26" s="59" t="s">
        <v>209</v>
      </c>
      <c r="BX26" s="59" t="s">
        <v>278</v>
      </c>
      <c r="BY26" s="59">
        <v>2</v>
      </c>
    </row>
    <row r="27" spans="1:77" hidden="1" x14ac:dyDescent="0.2">
      <c r="A27" s="58" t="str">
        <f>CONCATENATE(Tabelle32[[#This Row],[Device ID]],".",Tabelle32[[#This Row],[Streamcounter]])</f>
        <v>379.02304</v>
      </c>
      <c r="B2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VGW-103_SDI02_ANCsend_0004</v>
      </c>
      <c r="C27" s="60"/>
      <c r="D27" s="61"/>
      <c r="E27" s="62"/>
      <c r="F27" s="59" t="str">
        <f>IFERROR(VLOOKUP(Tabelle32[[#This Row],[Device ID]],BOM!$B$3:$BQ$35,16,FALSE),"")</f>
        <v>R401 HD2 Backup</v>
      </c>
      <c r="G27" s="63">
        <f>VLOOKUP(Tabelle32[[#This Row],[SDI Interface]],BOM!$A$4:$B$35,2,FALSE)</f>
        <v>379</v>
      </c>
      <c r="H27" s="59" t="str">
        <f>BOM!$C$4</f>
        <v>VGW-103</v>
      </c>
      <c r="I27" s="59" t="str">
        <f>IFERROR(VLOOKUP(Tabelle32[[#This Row],[Device ID]],BOM!$B$3:$BQ$35,12,FALSE),"")</f>
        <v>Videoserver</v>
      </c>
      <c r="J27" s="59" t="str">
        <f>IFERROR(VLOOKUP(Tabelle32[[#This Row],[Device ID]],BOM!$B$3:$BQ$35,13,FALSE),"")</f>
        <v>TC.U1.223 | MDC</v>
      </c>
      <c r="K27" s="59" t="str">
        <f>IFERROR(VLOOKUP(Tabelle32[[#This Row],[Device ID]],BOM!$B$3:$BQ$35,14,FALSE),"")</f>
        <v>Imagine Comunications</v>
      </c>
      <c r="L27" s="59" t="str">
        <f>IFERROR(VLOOKUP(Tabelle32[[#This Row],[Device ID]],BOM!$B$3:$BQ$35,16,FALSE),"")</f>
        <v>R401 HD2 Backup</v>
      </c>
      <c r="M27" s="63" t="str">
        <f>IFERROR(VLOOKUP(Tabelle32[[#This Row],[Device ID]],BOM!$B$3:$BQ$35,17,FALSE),"")</f>
        <v>R401</v>
      </c>
      <c r="N27" s="59" t="str">
        <f>IFERROR(VLOOKUP(Tabelle32[[#This Row],[Device ID]],BOM!$B$3:$BQ$35,18,FALSE),"")</f>
        <v>TC.00.104 | R401</v>
      </c>
      <c r="O27" s="64"/>
      <c r="P27" s="64">
        <f>IFERROR(VLOOKUP(Tabelle32[[#This Row],[Device ID]],BOM!$B$3:$BO$50,20,FALSE),"")</f>
        <v>0</v>
      </c>
      <c r="Q27" s="64">
        <f>IFERROR(VLOOKUP(Tabelle32[[#This Row],[Device ID]],BOM!$B$3:$BO$50,21,FALSE),"")</f>
        <v>1</v>
      </c>
      <c r="R27" s="64">
        <f>IFERROR(VLOOKUP(Tabelle32[[#This Row],[Device ID]],BOM!$B$3:$BO$50,22,FALSE),"")</f>
        <v>0</v>
      </c>
      <c r="S27" s="64"/>
      <c r="T27" s="64"/>
      <c r="U27" s="59" t="str">
        <f>IFERROR(VLOOKUP(Tabelle32[[#This Row],[Device ID]],BOM!$B$3:$BQ$35,25,FALSE),"")</f>
        <v>Luis/Ivo</v>
      </c>
      <c r="V27" s="59" t="str">
        <f>IFERROR(VLOOKUP(Tabelle32[[#This Row],[Device ID]],BOM!$B$3:$BQ$35,26,FALSE),"")</f>
        <v>tpco-megw-vgw103.rta.st-net.media.int</v>
      </c>
      <c r="W27" s="59" t="str">
        <f>IFERROR(VLOOKUP(Tabelle32[[#This Row],[Device ID]],BOM!$B$3:$BQ$35,27,FALSE),"")</f>
        <v>10.120.236.50</v>
      </c>
      <c r="X27" s="59" t="str">
        <f>IFERROR(VLOOKUP(Tabelle32[[#This Row],[Device ID]],BOM!$B$3:$BQ$35,28,FALSE),"")</f>
        <v>AVCoreA</v>
      </c>
      <c r="Y27" s="59" t="str">
        <f>IFERROR(VLOOKUP(Tabelle32[[#This Row],[Device ID]],BOM!$B$3:$BQ$35,29,FALSE),"")</f>
        <v>5_36_1</v>
      </c>
      <c r="Z27" s="59" t="str">
        <f>IFERROR(VLOOKUP(Tabelle32[[#This Row],[Device ID]],BOM!$B$3:$BQ$35,30,FALSE),"")</f>
        <v>tpco-megw-vgw103.rtb.st-net.media.int</v>
      </c>
      <c r="AA27" s="59" t="str">
        <f>IFERROR(VLOOKUP(Tabelle32[[#This Row],[Device ID]],BOM!$B$3:$BQ$35,31,FALSE),"")</f>
        <v>10.120.236.54</v>
      </c>
      <c r="AB27" s="59" t="str">
        <f>IFERROR(VLOOKUP(Tabelle32[[#This Row],[Device ID]],BOM!$B$3:$BQ$35,32,FALSE),"")</f>
        <v>AVCoreB</v>
      </c>
      <c r="AC27" s="59" t="str">
        <f>IFERROR(VLOOKUP(Tabelle32[[#This Row],[Device ID]],BOM!$B$3:$BQ$35,33,FALSE),"")</f>
        <v>5_36_1</v>
      </c>
      <c r="AD27" s="59" t="str">
        <f>IFERROR(VLOOKUP(Tabelle32[[#This Row],[Device ID]],BOM!$B$3:$BQ$35,34,FALSE),"")</f>
        <v>tpco-megw-vgw103.st-net.media.int</v>
      </c>
      <c r="AE27" s="59" t="str">
        <f>IFERROR(VLOOKUP(Tabelle32[[#This Row],[Device ID]],BOM!$B$3:$BQ$35,35,FALSE),"")</f>
        <v>10.120.67.141</v>
      </c>
      <c r="AF27" s="59">
        <f>IFERROR(VLOOKUP(Tabelle32[[#This Row],[Device ID]],BOM!$B$3:$BQ$35,36,FALSE),"")</f>
        <v>0</v>
      </c>
      <c r="AG27" s="59">
        <f>IFERROR(VLOOKUP(Tabelle32[[#This Row],[Device ID]],BOM!$B$3:$BQ$35,37,FALSE),"")</f>
        <v>0</v>
      </c>
      <c r="AH27" s="59"/>
      <c r="AI27" s="59"/>
      <c r="AJ27" s="59"/>
      <c r="AK27" s="59"/>
      <c r="AL27" s="59" t="str">
        <f>IFERROR(VLOOKUP(Tabelle32[[#This Row],[Device ID]],BOM!$B$3:$BQ$35,42,FALSE),"")</f>
        <v>Imagine Communications SNP</v>
      </c>
      <c r="AM27" s="59" t="str">
        <f>IFERROR(VLOOKUP(Tabelle32[[#This Row],[Device ID]],BOM!$B$3:$BQ$35,43,FALSE),"")</f>
        <v>no</v>
      </c>
      <c r="AN27" s="59" t="str">
        <f>IFERROR(VLOOKUP(Tabelle32[[#This Row],[Device ID]],BOM!$B$3:$BQ$35,44,FALSE),"")</f>
        <v>yes</v>
      </c>
      <c r="AO27" s="59" t="str">
        <f>IFERROR(VLOOKUP(Tabelle32[[#This Row],[Device ID]],BOM!$B$3:$BQ$35,45,FALSE),"")</f>
        <v>no</v>
      </c>
      <c r="AP27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27" s="59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73" t="s">
        <v>199</v>
      </c>
      <c r="BI27" s="30" t="str">
        <f>IF(COUNTA(Tabelle32[[#This Row],[Type:Vid_1080i50]:[Type:Anc_Prot]])&gt;0,"x","")</f>
        <v/>
      </c>
      <c r="BJ2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7" s="59"/>
      <c r="BL27" s="59"/>
      <c r="BM27" s="63"/>
      <c r="BN27" s="63"/>
      <c r="BO27" s="99"/>
      <c r="BP27" s="106"/>
      <c r="BQ27" s="63">
        <f>LEN(Tabelle32[[#This Row],[Label 1
GFX-Unit]])</f>
        <v>0</v>
      </c>
      <c r="BR27" s="63"/>
      <c r="BS27" s="63"/>
      <c r="BT27" s="59"/>
      <c r="BU27" s="59"/>
      <c r="BV27" s="59" t="s">
        <v>211</v>
      </c>
      <c r="BW27" s="59" t="s">
        <v>212</v>
      </c>
      <c r="BX27" s="59" t="s">
        <v>279</v>
      </c>
      <c r="BY27" s="59">
        <v>2</v>
      </c>
    </row>
    <row r="28" spans="1:77" x14ac:dyDescent="0.2">
      <c r="A28" s="58" t="str">
        <f>CONCATENATE(Tabelle32[[#This Row],[Device ID]],".",Tabelle32[[#This Row],[Streamcounter]])</f>
        <v>379.02201</v>
      </c>
      <c r="B2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VGW-103_SDI02_AUDsend_0001</v>
      </c>
      <c r="C28" s="67"/>
      <c r="D28" s="61"/>
      <c r="E28" s="67"/>
      <c r="F28" s="59" t="str">
        <f>IFERROR(VLOOKUP(Tabelle32[[#This Row],[Device ID]],BOM!$B$3:$BQ$35,16,FALSE),"")</f>
        <v>R401 HD2 Backup</v>
      </c>
      <c r="G28" s="63">
        <f>VLOOKUP(Tabelle32[[#This Row],[SDI Interface]],BOM!$A$4:$B$35,2,FALSE)</f>
        <v>379</v>
      </c>
      <c r="H28" s="59" t="str">
        <f>BOM!$C$4</f>
        <v>VGW-103</v>
      </c>
      <c r="I28" s="59" t="str">
        <f>IFERROR(VLOOKUP(Tabelle32[[#This Row],[Device ID]],BOM!$B$3:$BQ$35,12,FALSE),"")</f>
        <v>Videoserver</v>
      </c>
      <c r="J28" s="59" t="str">
        <f>IFERROR(VLOOKUP(Tabelle32[[#This Row],[Device ID]],BOM!$B$3:$BQ$35,13,FALSE),"")</f>
        <v>TC.U1.223 | MDC</v>
      </c>
      <c r="K28" s="59" t="str">
        <f>IFERROR(VLOOKUP(Tabelle32[[#This Row],[Device ID]],BOM!$B$3:$BQ$35,14,FALSE),"")</f>
        <v>Imagine Comunications</v>
      </c>
      <c r="L28" s="59" t="str">
        <f>IFERROR(VLOOKUP(Tabelle32[[#This Row],[Device ID]],BOM!$B$3:$BQ$35,16,FALSE),"")</f>
        <v>R401 HD2 Backup</v>
      </c>
      <c r="M28" s="63" t="str">
        <f>IFERROR(VLOOKUP(Tabelle32[[#This Row],[Device ID]],BOM!$B$3:$BQ$35,17,FALSE),"")</f>
        <v>R401</v>
      </c>
      <c r="N28" s="59" t="str">
        <f>IFERROR(VLOOKUP(Tabelle32[[#This Row],[Device ID]],BOM!$B$3:$BQ$35,18,FALSE),"")</f>
        <v>TC.00.104 | R401</v>
      </c>
      <c r="O28" s="64"/>
      <c r="P28" s="64">
        <f>IFERROR(VLOOKUP(Tabelle32[[#This Row],[Device ID]],BOM!$B$3:$BO$50,20,FALSE),"")</f>
        <v>0</v>
      </c>
      <c r="Q28" s="64">
        <f>IFERROR(VLOOKUP(Tabelle32[[#This Row],[Device ID]],BOM!$B$3:$BO$50,21,FALSE),"")</f>
        <v>1</v>
      </c>
      <c r="R28" s="64">
        <f>IFERROR(VLOOKUP(Tabelle32[[#This Row],[Device ID]],BOM!$B$3:$BO$50,22,FALSE),"")</f>
        <v>0</v>
      </c>
      <c r="S28" s="64"/>
      <c r="T28" s="64"/>
      <c r="U28" s="59" t="str">
        <f>IFERROR(VLOOKUP(Tabelle32[[#This Row],[Device ID]],BOM!$B$3:$BQ$35,25,FALSE),"")</f>
        <v>Luis/Ivo</v>
      </c>
      <c r="V28" s="59" t="str">
        <f>IFERROR(VLOOKUP(Tabelle32[[#This Row],[Device ID]],BOM!$B$3:$BQ$35,26,FALSE),"")</f>
        <v>tpco-megw-vgw103.rta.st-net.media.int</v>
      </c>
      <c r="W28" s="59" t="str">
        <f>IFERROR(VLOOKUP(Tabelle32[[#This Row],[Device ID]],BOM!$B$3:$BQ$35,27,FALSE),"")</f>
        <v>10.120.236.50</v>
      </c>
      <c r="X28" s="59" t="str">
        <f>IFERROR(VLOOKUP(Tabelle32[[#This Row],[Device ID]],BOM!$B$3:$BQ$35,28,FALSE),"")</f>
        <v>AVCoreA</v>
      </c>
      <c r="Y28" s="59" t="str">
        <f>IFERROR(VLOOKUP(Tabelle32[[#This Row],[Device ID]],BOM!$B$3:$BQ$35,29,FALSE),"")</f>
        <v>5_36_1</v>
      </c>
      <c r="Z28" s="59" t="str">
        <f>IFERROR(VLOOKUP(Tabelle32[[#This Row],[Device ID]],BOM!$B$3:$BQ$35,30,FALSE),"")</f>
        <v>tpco-megw-vgw103.rtb.st-net.media.int</v>
      </c>
      <c r="AA28" s="59" t="str">
        <f>IFERROR(VLOOKUP(Tabelle32[[#This Row],[Device ID]],BOM!$B$3:$BQ$35,31,FALSE),"")</f>
        <v>10.120.236.54</v>
      </c>
      <c r="AB28" s="59" t="str">
        <f>IFERROR(VLOOKUP(Tabelle32[[#This Row],[Device ID]],BOM!$B$3:$BQ$35,32,FALSE),"")</f>
        <v>AVCoreB</v>
      </c>
      <c r="AC28" s="59" t="str">
        <f>IFERROR(VLOOKUP(Tabelle32[[#This Row],[Device ID]],BOM!$B$3:$BQ$35,33,FALSE),"")</f>
        <v>5_36_1</v>
      </c>
      <c r="AD28" s="59" t="str">
        <f>IFERROR(VLOOKUP(Tabelle32[[#This Row],[Device ID]],BOM!$B$3:$BQ$35,34,FALSE),"")</f>
        <v>tpco-megw-vgw103.st-net.media.int</v>
      </c>
      <c r="AE28" s="59" t="str">
        <f>IFERROR(VLOOKUP(Tabelle32[[#This Row],[Device ID]],BOM!$B$3:$BQ$35,35,FALSE),"")</f>
        <v>10.120.67.141</v>
      </c>
      <c r="AF28" s="59">
        <f>IFERROR(VLOOKUP(Tabelle32[[#This Row],[Device ID]],BOM!$B$3:$BQ$35,36,FALSE),"")</f>
        <v>0</v>
      </c>
      <c r="AG28" s="59">
        <f>IFERROR(VLOOKUP(Tabelle32[[#This Row],[Device ID]],BOM!$B$3:$BQ$35,37,FALSE),"")</f>
        <v>0</v>
      </c>
      <c r="AH28" s="59"/>
      <c r="AI28" s="59"/>
      <c r="AJ28" s="59"/>
      <c r="AK28" s="59"/>
      <c r="AL28" s="59" t="str">
        <f>IFERROR(VLOOKUP(Tabelle32[[#This Row],[Device ID]],BOM!$B$3:$BQ$35,42,FALSE),"")</f>
        <v>Imagine Communications SNP</v>
      </c>
      <c r="AM28" s="59" t="str">
        <f>IFERROR(VLOOKUP(Tabelle32[[#This Row],[Device ID]],BOM!$B$3:$BQ$35,43,FALSE),"")</f>
        <v>no</v>
      </c>
      <c r="AN28" s="59" t="str">
        <f>IFERROR(VLOOKUP(Tabelle32[[#This Row],[Device ID]],BOM!$B$3:$BQ$35,44,FALSE),"")</f>
        <v>yes</v>
      </c>
      <c r="AO28" s="59" t="str">
        <f>IFERROR(VLOOKUP(Tabelle32[[#This Row],[Device ID]],BOM!$B$3:$BQ$35,45,FALSE),"")</f>
        <v>no</v>
      </c>
      <c r="AP28" s="59" t="str">
        <f>IFERROR(CONCATENATE(Tabelle32[[#This Row],[Family
GFX-Unit]]," | ",Tabelle32[[#This Row],[Label 1
GFX-Unit]]," | ",Tabelle32[[#This Row],[Attached Device if Gateway]]),"")</f>
        <v>PLAYOUT R401 | HD2 Backup-001 | R401 HD2 Backup</v>
      </c>
      <c r="AQ28" s="59"/>
      <c r="AR28" s="90"/>
      <c r="AS28" s="90"/>
      <c r="AT28" s="90"/>
      <c r="AU28" s="90"/>
      <c r="AV28" s="90"/>
      <c r="AW28" s="90"/>
      <c r="AX28" s="90"/>
      <c r="AY28" s="90"/>
      <c r="AZ28" s="90" t="s">
        <v>97</v>
      </c>
      <c r="BA28" s="90"/>
      <c r="BB28" s="90"/>
      <c r="BC28" s="90"/>
      <c r="BD28" s="90"/>
      <c r="BE28" s="90"/>
      <c r="BF28" s="90"/>
      <c r="BG28" s="90"/>
      <c r="BH28" s="73" t="s">
        <v>199</v>
      </c>
      <c r="BI28" s="30" t="str">
        <f>IF(COUNTA(Tabelle32[[#This Row],[Type:Vid_1080i50]:[Type:Anc_Prot]])&gt;0,"x","")</f>
        <v>x</v>
      </c>
      <c r="BJ28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28" s="59"/>
      <c r="BL28" s="59"/>
      <c r="BM28" s="63"/>
      <c r="BN28" s="63"/>
      <c r="BO28" s="93" t="s">
        <v>200</v>
      </c>
      <c r="BP28" s="94" t="s">
        <v>275</v>
      </c>
      <c r="BQ28" s="63">
        <f>LEN(Tabelle32[[#This Row],[Label 1
GFX-Unit]])</f>
        <v>14</v>
      </c>
      <c r="BR28" s="63"/>
      <c r="BS28" s="63"/>
      <c r="BT28" s="59"/>
      <c r="BU28" s="59"/>
      <c r="BV28" s="59" t="s">
        <v>214</v>
      </c>
      <c r="BW28" s="59" t="s">
        <v>215</v>
      </c>
      <c r="BX28" s="59" t="s">
        <v>280</v>
      </c>
      <c r="BY28" s="59">
        <v>2</v>
      </c>
    </row>
    <row r="29" spans="1:77" x14ac:dyDescent="0.2">
      <c r="A29" s="58" t="str">
        <f>CONCATENATE(Tabelle32[[#This Row],[Device ID]],".",Tabelle32[[#This Row],[Streamcounter]])</f>
        <v>379.02202</v>
      </c>
      <c r="B2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VGW-103_SDI02_AUDsend_0002</v>
      </c>
      <c r="C29" s="67"/>
      <c r="D29" s="61"/>
      <c r="E29" s="67"/>
      <c r="F29" s="59" t="str">
        <f>IFERROR(VLOOKUP(Tabelle32[[#This Row],[Device ID]],BOM!$B$3:$BQ$35,16,FALSE),"")</f>
        <v>R401 HD2 Backup</v>
      </c>
      <c r="G29" s="63">
        <f>VLOOKUP(Tabelle32[[#This Row],[SDI Interface]],BOM!$A$4:$B$35,2,FALSE)</f>
        <v>379</v>
      </c>
      <c r="H29" s="59" t="str">
        <f>BOM!$C$4</f>
        <v>VGW-103</v>
      </c>
      <c r="I29" s="59" t="str">
        <f>IFERROR(VLOOKUP(Tabelle32[[#This Row],[Device ID]],BOM!$B$3:$BQ$35,12,FALSE),"")</f>
        <v>Videoserver</v>
      </c>
      <c r="J29" s="59" t="str">
        <f>IFERROR(VLOOKUP(Tabelle32[[#This Row],[Device ID]],BOM!$B$3:$BQ$35,13,FALSE),"")</f>
        <v>TC.U1.223 | MDC</v>
      </c>
      <c r="K29" s="59" t="str">
        <f>IFERROR(VLOOKUP(Tabelle32[[#This Row],[Device ID]],BOM!$B$3:$BQ$35,14,FALSE),"")</f>
        <v>Imagine Comunications</v>
      </c>
      <c r="L29" s="59" t="str">
        <f>IFERROR(VLOOKUP(Tabelle32[[#This Row],[Device ID]],BOM!$B$3:$BQ$35,16,FALSE),"")</f>
        <v>R401 HD2 Backup</v>
      </c>
      <c r="M29" s="63" t="str">
        <f>IFERROR(VLOOKUP(Tabelle32[[#This Row],[Device ID]],BOM!$B$3:$BQ$35,17,FALSE),"")</f>
        <v>R401</v>
      </c>
      <c r="N29" s="59" t="str">
        <f>IFERROR(VLOOKUP(Tabelle32[[#This Row],[Device ID]],BOM!$B$3:$BQ$35,18,FALSE),"")</f>
        <v>TC.00.104 | R401</v>
      </c>
      <c r="O29" s="64"/>
      <c r="P29" s="64">
        <f>IFERROR(VLOOKUP(Tabelle32[[#This Row],[Device ID]],BOM!$B$3:$BO$50,20,FALSE),"")</f>
        <v>0</v>
      </c>
      <c r="Q29" s="64">
        <f>IFERROR(VLOOKUP(Tabelle32[[#This Row],[Device ID]],BOM!$B$3:$BO$50,21,FALSE),"")</f>
        <v>1</v>
      </c>
      <c r="R29" s="64">
        <f>IFERROR(VLOOKUP(Tabelle32[[#This Row],[Device ID]],BOM!$B$3:$BO$50,22,FALSE),"")</f>
        <v>0</v>
      </c>
      <c r="S29" s="64"/>
      <c r="T29" s="64"/>
      <c r="U29" s="59" t="str">
        <f>IFERROR(VLOOKUP(Tabelle32[[#This Row],[Device ID]],BOM!$B$3:$BQ$35,25,FALSE),"")</f>
        <v>Luis/Ivo</v>
      </c>
      <c r="V29" s="59" t="str">
        <f>IFERROR(VLOOKUP(Tabelle32[[#This Row],[Device ID]],BOM!$B$3:$BQ$35,26,FALSE),"")</f>
        <v>tpco-megw-vgw103.rta.st-net.media.int</v>
      </c>
      <c r="W29" s="59" t="str">
        <f>IFERROR(VLOOKUP(Tabelle32[[#This Row],[Device ID]],BOM!$B$3:$BQ$35,27,FALSE),"")</f>
        <v>10.120.236.50</v>
      </c>
      <c r="X29" s="59" t="str">
        <f>IFERROR(VLOOKUP(Tabelle32[[#This Row],[Device ID]],BOM!$B$3:$BQ$35,28,FALSE),"")</f>
        <v>AVCoreA</v>
      </c>
      <c r="Y29" s="59" t="str">
        <f>IFERROR(VLOOKUP(Tabelle32[[#This Row],[Device ID]],BOM!$B$3:$BQ$35,29,FALSE),"")</f>
        <v>5_36_1</v>
      </c>
      <c r="Z29" s="59" t="str">
        <f>IFERROR(VLOOKUP(Tabelle32[[#This Row],[Device ID]],BOM!$B$3:$BQ$35,30,FALSE),"")</f>
        <v>tpco-megw-vgw103.rtb.st-net.media.int</v>
      </c>
      <c r="AA29" s="59" t="str">
        <f>IFERROR(VLOOKUP(Tabelle32[[#This Row],[Device ID]],BOM!$B$3:$BQ$35,31,FALSE),"")</f>
        <v>10.120.236.54</v>
      </c>
      <c r="AB29" s="59" t="str">
        <f>IFERROR(VLOOKUP(Tabelle32[[#This Row],[Device ID]],BOM!$B$3:$BQ$35,32,FALSE),"")</f>
        <v>AVCoreB</v>
      </c>
      <c r="AC29" s="59" t="str">
        <f>IFERROR(VLOOKUP(Tabelle32[[#This Row],[Device ID]],BOM!$B$3:$BQ$35,33,FALSE),"")</f>
        <v>5_36_1</v>
      </c>
      <c r="AD29" s="59" t="str">
        <f>IFERROR(VLOOKUP(Tabelle32[[#This Row],[Device ID]],BOM!$B$3:$BQ$35,34,FALSE),"")</f>
        <v>tpco-megw-vgw103.st-net.media.int</v>
      </c>
      <c r="AE29" s="59" t="str">
        <f>IFERROR(VLOOKUP(Tabelle32[[#This Row],[Device ID]],BOM!$B$3:$BQ$35,35,FALSE),"")</f>
        <v>10.120.67.141</v>
      </c>
      <c r="AF29" s="59">
        <f>IFERROR(VLOOKUP(Tabelle32[[#This Row],[Device ID]],BOM!$B$3:$BQ$35,36,FALSE),"")</f>
        <v>0</v>
      </c>
      <c r="AG29" s="59">
        <f>IFERROR(VLOOKUP(Tabelle32[[#This Row],[Device ID]],BOM!$B$3:$BQ$35,37,FALSE),"")</f>
        <v>0</v>
      </c>
      <c r="AH29" s="59"/>
      <c r="AI29" s="59"/>
      <c r="AJ29" s="59"/>
      <c r="AK29" s="59"/>
      <c r="AL29" s="59" t="str">
        <f>IFERROR(VLOOKUP(Tabelle32[[#This Row],[Device ID]],BOM!$B$3:$BQ$35,42,FALSE),"")</f>
        <v>Imagine Communications SNP</v>
      </c>
      <c r="AM29" s="59" t="str">
        <f>IFERROR(VLOOKUP(Tabelle32[[#This Row],[Device ID]],BOM!$B$3:$BQ$35,43,FALSE),"")</f>
        <v>no</v>
      </c>
      <c r="AN29" s="59" t="str">
        <f>IFERROR(VLOOKUP(Tabelle32[[#This Row],[Device ID]],BOM!$B$3:$BQ$35,44,FALSE),"")</f>
        <v>yes</v>
      </c>
      <c r="AO29" s="59" t="str">
        <f>IFERROR(VLOOKUP(Tabelle32[[#This Row],[Device ID]],BOM!$B$3:$BQ$35,45,FALSE),"")</f>
        <v>no</v>
      </c>
      <c r="AP29" s="59" t="str">
        <f>IFERROR(CONCATENATE(Tabelle32[[#This Row],[Family
GFX-Unit]]," | ",Tabelle32[[#This Row],[Label 1
GFX-Unit]]," | ",Tabelle32[[#This Row],[Attached Device if Gateway]]),"")</f>
        <v>PLAYOUT R401 | HD2 Backup-002 | R401 HD2 Backup</v>
      </c>
      <c r="AQ29" s="59"/>
      <c r="AR29" s="90"/>
      <c r="AS29" s="90"/>
      <c r="AT29" s="90"/>
      <c r="AU29" s="90"/>
      <c r="AV29" s="90"/>
      <c r="AW29" s="90" t="s">
        <v>97</v>
      </c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73" t="s">
        <v>199</v>
      </c>
      <c r="BI29" s="30" t="str">
        <f>IF(COUNTA(Tabelle32[[#This Row],[Type:Vid_1080i50]:[Type:Anc_Prot]])&gt;0,"x","")</f>
        <v>x</v>
      </c>
      <c r="BJ29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29" s="59"/>
      <c r="BL29" s="59"/>
      <c r="BM29" s="63"/>
      <c r="BN29" s="63"/>
      <c r="BO29" s="93" t="s">
        <v>200</v>
      </c>
      <c r="BP29" s="94" t="s">
        <v>281</v>
      </c>
      <c r="BQ29" s="63">
        <f>LEN(Tabelle32[[#This Row],[Label 1
GFX-Unit]])</f>
        <v>14</v>
      </c>
      <c r="BR29" s="63"/>
      <c r="BS29" s="63"/>
      <c r="BT29" s="59"/>
      <c r="BU29" s="59"/>
      <c r="BV29" s="59" t="s">
        <v>218</v>
      </c>
      <c r="BW29" s="59" t="s">
        <v>219</v>
      </c>
      <c r="BX29" s="59" t="s">
        <v>282</v>
      </c>
      <c r="BY29" s="59">
        <v>2</v>
      </c>
    </row>
    <row r="30" spans="1:77" x14ac:dyDescent="0.2">
      <c r="A30" s="58" t="str">
        <f>CONCATENATE(Tabelle32[[#This Row],[Device ID]],".",Tabelle32[[#This Row],[Streamcounter]])</f>
        <v>379.02203</v>
      </c>
      <c r="B3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VGW-103_SDI02_AUDsend_0003</v>
      </c>
      <c r="C30" s="67"/>
      <c r="D30" s="61"/>
      <c r="E30" s="67"/>
      <c r="F30" s="59" t="str">
        <f>IFERROR(VLOOKUP(Tabelle32[[#This Row],[Device ID]],BOM!$B$3:$BQ$35,16,FALSE),"")</f>
        <v>R401 HD2 Backup</v>
      </c>
      <c r="G30" s="63">
        <f>VLOOKUP(Tabelle32[[#This Row],[SDI Interface]],BOM!$A$4:$B$35,2,FALSE)</f>
        <v>379</v>
      </c>
      <c r="H30" s="59" t="str">
        <f>BOM!$C$4</f>
        <v>VGW-103</v>
      </c>
      <c r="I30" s="59" t="str">
        <f>IFERROR(VLOOKUP(Tabelle32[[#This Row],[Device ID]],BOM!$B$3:$BQ$35,12,FALSE),"")</f>
        <v>Videoserver</v>
      </c>
      <c r="J30" s="59" t="str">
        <f>IFERROR(VLOOKUP(Tabelle32[[#This Row],[Device ID]],BOM!$B$3:$BQ$35,13,FALSE),"")</f>
        <v>TC.U1.223 | MDC</v>
      </c>
      <c r="K30" s="59" t="str">
        <f>IFERROR(VLOOKUP(Tabelle32[[#This Row],[Device ID]],BOM!$B$3:$BQ$35,14,FALSE),"")</f>
        <v>Imagine Comunications</v>
      </c>
      <c r="L30" s="59" t="str">
        <f>IFERROR(VLOOKUP(Tabelle32[[#This Row],[Device ID]],BOM!$B$3:$BQ$35,16,FALSE),"")</f>
        <v>R401 HD2 Backup</v>
      </c>
      <c r="M30" s="63" t="str">
        <f>IFERROR(VLOOKUP(Tabelle32[[#This Row],[Device ID]],BOM!$B$3:$BQ$35,17,FALSE),"")</f>
        <v>R401</v>
      </c>
      <c r="N30" s="59" t="str">
        <f>IFERROR(VLOOKUP(Tabelle32[[#This Row],[Device ID]],BOM!$B$3:$BQ$35,18,FALSE),"")</f>
        <v>TC.00.104 | R401</v>
      </c>
      <c r="O30" s="64"/>
      <c r="P30" s="64">
        <f>IFERROR(VLOOKUP(Tabelle32[[#This Row],[Device ID]],BOM!$B$3:$BO$50,20,FALSE),"")</f>
        <v>0</v>
      </c>
      <c r="Q30" s="64">
        <f>IFERROR(VLOOKUP(Tabelle32[[#This Row],[Device ID]],BOM!$B$3:$BO$50,21,FALSE),"")</f>
        <v>1</v>
      </c>
      <c r="R30" s="64">
        <f>IFERROR(VLOOKUP(Tabelle32[[#This Row],[Device ID]],BOM!$B$3:$BO$50,22,FALSE),"")</f>
        <v>0</v>
      </c>
      <c r="S30" s="64"/>
      <c r="T30" s="64"/>
      <c r="U30" s="59" t="str">
        <f>IFERROR(VLOOKUP(Tabelle32[[#This Row],[Device ID]],BOM!$B$3:$BQ$35,25,FALSE),"")</f>
        <v>Luis/Ivo</v>
      </c>
      <c r="V30" s="59" t="str">
        <f>IFERROR(VLOOKUP(Tabelle32[[#This Row],[Device ID]],BOM!$B$3:$BQ$35,26,FALSE),"")</f>
        <v>tpco-megw-vgw103.rta.st-net.media.int</v>
      </c>
      <c r="W30" s="59" t="str">
        <f>IFERROR(VLOOKUP(Tabelle32[[#This Row],[Device ID]],BOM!$B$3:$BQ$35,27,FALSE),"")</f>
        <v>10.120.236.50</v>
      </c>
      <c r="X30" s="59" t="str">
        <f>IFERROR(VLOOKUP(Tabelle32[[#This Row],[Device ID]],BOM!$B$3:$BQ$35,28,FALSE),"")</f>
        <v>AVCoreA</v>
      </c>
      <c r="Y30" s="59" t="str">
        <f>IFERROR(VLOOKUP(Tabelle32[[#This Row],[Device ID]],BOM!$B$3:$BQ$35,29,FALSE),"")</f>
        <v>5_36_1</v>
      </c>
      <c r="Z30" s="59" t="str">
        <f>IFERROR(VLOOKUP(Tabelle32[[#This Row],[Device ID]],BOM!$B$3:$BQ$35,30,FALSE),"")</f>
        <v>tpco-megw-vgw103.rtb.st-net.media.int</v>
      </c>
      <c r="AA30" s="59" t="str">
        <f>IFERROR(VLOOKUP(Tabelle32[[#This Row],[Device ID]],BOM!$B$3:$BQ$35,31,FALSE),"")</f>
        <v>10.120.236.54</v>
      </c>
      <c r="AB30" s="59" t="str">
        <f>IFERROR(VLOOKUP(Tabelle32[[#This Row],[Device ID]],BOM!$B$3:$BQ$35,32,FALSE),"")</f>
        <v>AVCoreB</v>
      </c>
      <c r="AC30" s="59" t="str">
        <f>IFERROR(VLOOKUP(Tabelle32[[#This Row],[Device ID]],BOM!$B$3:$BQ$35,33,FALSE),"")</f>
        <v>5_36_1</v>
      </c>
      <c r="AD30" s="59" t="str">
        <f>IFERROR(VLOOKUP(Tabelle32[[#This Row],[Device ID]],BOM!$B$3:$BQ$35,34,FALSE),"")</f>
        <v>tpco-megw-vgw103.st-net.media.int</v>
      </c>
      <c r="AE30" s="59" t="str">
        <f>IFERROR(VLOOKUP(Tabelle32[[#This Row],[Device ID]],BOM!$B$3:$BQ$35,35,FALSE),"")</f>
        <v>10.120.67.141</v>
      </c>
      <c r="AF30" s="59">
        <f>IFERROR(VLOOKUP(Tabelle32[[#This Row],[Device ID]],BOM!$B$3:$BQ$35,36,FALSE),"")</f>
        <v>0</v>
      </c>
      <c r="AG30" s="59">
        <f>IFERROR(VLOOKUP(Tabelle32[[#This Row],[Device ID]],BOM!$B$3:$BQ$35,37,FALSE),"")</f>
        <v>0</v>
      </c>
      <c r="AH30" s="59"/>
      <c r="AI30" s="59"/>
      <c r="AJ30" s="59"/>
      <c r="AK30" s="59"/>
      <c r="AL30" s="59" t="str">
        <f>IFERROR(VLOOKUP(Tabelle32[[#This Row],[Device ID]],BOM!$B$3:$BQ$35,42,FALSE),"")</f>
        <v>Imagine Communications SNP</v>
      </c>
      <c r="AM30" s="59" t="str">
        <f>IFERROR(VLOOKUP(Tabelle32[[#This Row],[Device ID]],BOM!$B$3:$BQ$35,43,FALSE),"")</f>
        <v>no</v>
      </c>
      <c r="AN30" s="59" t="str">
        <f>IFERROR(VLOOKUP(Tabelle32[[#This Row],[Device ID]],BOM!$B$3:$BQ$35,44,FALSE),"")</f>
        <v>yes</v>
      </c>
      <c r="AO30" s="59" t="str">
        <f>IFERROR(VLOOKUP(Tabelle32[[#This Row],[Device ID]],BOM!$B$3:$BQ$35,45,FALSE),"")</f>
        <v>no</v>
      </c>
      <c r="AP30" s="59" t="str">
        <f>IFERROR(CONCATENATE(Tabelle32[[#This Row],[Family
GFX-Unit]]," | ",Tabelle32[[#This Row],[Label 1
GFX-Unit]]," | ",Tabelle32[[#This Row],[Attached Device if Gateway]]),"")</f>
        <v>PLAYOUT R401 | HD2 Backup-003 | R401 HD2 Backup</v>
      </c>
      <c r="AQ30" s="59"/>
      <c r="AR30" s="90"/>
      <c r="AS30" s="90"/>
      <c r="AT30" s="90"/>
      <c r="AU30" s="90"/>
      <c r="AV30" s="90"/>
      <c r="AW30" s="90" t="s">
        <v>97</v>
      </c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73" t="s">
        <v>199</v>
      </c>
      <c r="BI30" s="30" t="str">
        <f>IF(COUNTA(Tabelle32[[#This Row],[Type:Vid_1080i50]:[Type:Anc_Prot]])&gt;0,"x","")</f>
        <v>x</v>
      </c>
      <c r="BJ30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0" s="59"/>
      <c r="BL30" s="59"/>
      <c r="BM30" s="63"/>
      <c r="BN30" s="63"/>
      <c r="BO30" s="93" t="s">
        <v>200</v>
      </c>
      <c r="BP30" s="94" t="s">
        <v>283</v>
      </c>
      <c r="BQ30" s="63">
        <f>LEN(Tabelle32[[#This Row],[Label 1
GFX-Unit]])</f>
        <v>14</v>
      </c>
      <c r="BR30" s="63"/>
      <c r="BS30" s="63"/>
      <c r="BT30" s="59"/>
      <c r="BU30" s="59"/>
      <c r="BV30" s="59" t="s">
        <v>222</v>
      </c>
      <c r="BW30" s="59" t="s">
        <v>223</v>
      </c>
      <c r="BX30" s="59" t="s">
        <v>284</v>
      </c>
      <c r="BY30" s="59">
        <v>2</v>
      </c>
    </row>
    <row r="31" spans="1:77" x14ac:dyDescent="0.2">
      <c r="A31" s="58" t="str">
        <f>CONCATENATE(Tabelle32[[#This Row],[Device ID]],".",Tabelle32[[#This Row],[Streamcounter]])</f>
        <v>379.02204</v>
      </c>
      <c r="B3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VGW-103_SDI02_AUDsend_0004</v>
      </c>
      <c r="C31" s="60"/>
      <c r="D31" s="61"/>
      <c r="E31" s="62"/>
      <c r="F31" s="59" t="str">
        <f>IFERROR(VLOOKUP(Tabelle32[[#This Row],[Device ID]],BOM!$B$3:$BQ$35,16,FALSE),"")</f>
        <v>R401 HD2 Backup</v>
      </c>
      <c r="G31" s="63">
        <f>VLOOKUP(Tabelle32[[#This Row],[SDI Interface]],BOM!$A$4:$B$35,2,FALSE)</f>
        <v>379</v>
      </c>
      <c r="H31" s="59" t="str">
        <f>BOM!$C$4</f>
        <v>VGW-103</v>
      </c>
      <c r="I31" s="59" t="str">
        <f>IFERROR(VLOOKUP(Tabelle32[[#This Row],[Device ID]],BOM!$B$3:$BQ$35,12,FALSE),"")</f>
        <v>Videoserver</v>
      </c>
      <c r="J31" s="59" t="str">
        <f>IFERROR(VLOOKUP(Tabelle32[[#This Row],[Device ID]],BOM!$B$3:$BQ$35,13,FALSE),"")</f>
        <v>TC.U1.223 | MDC</v>
      </c>
      <c r="K31" s="59" t="str">
        <f>IFERROR(VLOOKUP(Tabelle32[[#This Row],[Device ID]],BOM!$B$3:$BQ$35,14,FALSE),"")</f>
        <v>Imagine Comunications</v>
      </c>
      <c r="L31" s="59" t="str">
        <f>IFERROR(VLOOKUP(Tabelle32[[#This Row],[Device ID]],BOM!$B$3:$BQ$35,16,FALSE),"")</f>
        <v>R401 HD2 Backup</v>
      </c>
      <c r="M31" s="63" t="str">
        <f>IFERROR(VLOOKUP(Tabelle32[[#This Row],[Device ID]],BOM!$B$3:$BQ$35,17,FALSE),"")</f>
        <v>R401</v>
      </c>
      <c r="N31" s="59" t="str">
        <f>IFERROR(VLOOKUP(Tabelle32[[#This Row],[Device ID]],BOM!$B$3:$BQ$35,18,FALSE),"")</f>
        <v>TC.00.104 | R401</v>
      </c>
      <c r="O31" s="64"/>
      <c r="P31" s="64">
        <f>IFERROR(VLOOKUP(Tabelle32[[#This Row],[Device ID]],BOM!$B$3:$BO$50,20,FALSE),"")</f>
        <v>0</v>
      </c>
      <c r="Q31" s="64">
        <f>IFERROR(VLOOKUP(Tabelle32[[#This Row],[Device ID]],BOM!$B$3:$BO$50,21,FALSE),"")</f>
        <v>1</v>
      </c>
      <c r="R31" s="64">
        <f>IFERROR(VLOOKUP(Tabelle32[[#This Row],[Device ID]],BOM!$B$3:$BO$50,22,FALSE),"")</f>
        <v>0</v>
      </c>
      <c r="S31" s="64"/>
      <c r="T31" s="64"/>
      <c r="U31" s="59" t="str">
        <f>IFERROR(VLOOKUP(Tabelle32[[#This Row],[Device ID]],BOM!$B$3:$BQ$35,25,FALSE),"")</f>
        <v>Luis/Ivo</v>
      </c>
      <c r="V31" s="59" t="str">
        <f>IFERROR(VLOOKUP(Tabelle32[[#This Row],[Device ID]],BOM!$B$3:$BQ$35,26,FALSE),"")</f>
        <v>tpco-megw-vgw103.rta.st-net.media.int</v>
      </c>
      <c r="W31" s="59" t="str">
        <f>IFERROR(VLOOKUP(Tabelle32[[#This Row],[Device ID]],BOM!$B$3:$BQ$35,27,FALSE),"")</f>
        <v>10.120.236.50</v>
      </c>
      <c r="X31" s="59" t="str">
        <f>IFERROR(VLOOKUP(Tabelle32[[#This Row],[Device ID]],BOM!$B$3:$BQ$35,28,FALSE),"")</f>
        <v>AVCoreA</v>
      </c>
      <c r="Y31" s="59" t="str">
        <f>IFERROR(VLOOKUP(Tabelle32[[#This Row],[Device ID]],BOM!$B$3:$BQ$35,29,FALSE),"")</f>
        <v>5_36_1</v>
      </c>
      <c r="Z31" s="59" t="str">
        <f>IFERROR(VLOOKUP(Tabelle32[[#This Row],[Device ID]],BOM!$B$3:$BQ$35,30,FALSE),"")</f>
        <v>tpco-megw-vgw103.rtb.st-net.media.int</v>
      </c>
      <c r="AA31" s="59" t="str">
        <f>IFERROR(VLOOKUP(Tabelle32[[#This Row],[Device ID]],BOM!$B$3:$BQ$35,31,FALSE),"")</f>
        <v>10.120.236.54</v>
      </c>
      <c r="AB31" s="59" t="str">
        <f>IFERROR(VLOOKUP(Tabelle32[[#This Row],[Device ID]],BOM!$B$3:$BQ$35,32,FALSE),"")</f>
        <v>AVCoreB</v>
      </c>
      <c r="AC31" s="59" t="str">
        <f>IFERROR(VLOOKUP(Tabelle32[[#This Row],[Device ID]],BOM!$B$3:$BQ$35,33,FALSE),"")</f>
        <v>5_36_1</v>
      </c>
      <c r="AD31" s="59" t="str">
        <f>IFERROR(VLOOKUP(Tabelle32[[#This Row],[Device ID]],BOM!$B$3:$BQ$35,34,FALSE),"")</f>
        <v>tpco-megw-vgw103.st-net.media.int</v>
      </c>
      <c r="AE31" s="59" t="str">
        <f>IFERROR(VLOOKUP(Tabelle32[[#This Row],[Device ID]],BOM!$B$3:$BQ$35,35,FALSE),"")</f>
        <v>10.120.67.141</v>
      </c>
      <c r="AF31" s="59">
        <f>IFERROR(VLOOKUP(Tabelle32[[#This Row],[Device ID]],BOM!$B$3:$BQ$35,36,FALSE),"")</f>
        <v>0</v>
      </c>
      <c r="AG31" s="59">
        <f>IFERROR(VLOOKUP(Tabelle32[[#This Row],[Device ID]],BOM!$B$3:$BQ$35,37,FALSE),"")</f>
        <v>0</v>
      </c>
      <c r="AH31" s="59"/>
      <c r="AI31" s="59"/>
      <c r="AJ31" s="59"/>
      <c r="AK31" s="59"/>
      <c r="AL31" s="59" t="str">
        <f>IFERROR(VLOOKUP(Tabelle32[[#This Row],[Device ID]],BOM!$B$3:$BQ$35,42,FALSE),"")</f>
        <v>Imagine Communications SNP</v>
      </c>
      <c r="AM31" s="59" t="str">
        <f>IFERROR(VLOOKUP(Tabelle32[[#This Row],[Device ID]],BOM!$B$3:$BQ$35,43,FALSE),"")</f>
        <v>no</v>
      </c>
      <c r="AN31" s="59" t="str">
        <f>IFERROR(VLOOKUP(Tabelle32[[#This Row],[Device ID]],BOM!$B$3:$BQ$35,44,FALSE),"")</f>
        <v>yes</v>
      </c>
      <c r="AO31" s="59" t="str">
        <f>IFERROR(VLOOKUP(Tabelle32[[#This Row],[Device ID]],BOM!$B$3:$BQ$35,45,FALSE),"")</f>
        <v>no</v>
      </c>
      <c r="AP31" s="59" t="str">
        <f>IFERROR(CONCATENATE(Tabelle32[[#This Row],[Family
GFX-Unit]]," | ",Tabelle32[[#This Row],[Label 1
GFX-Unit]]," | ",Tabelle32[[#This Row],[Attached Device if Gateway]]),"")</f>
        <v>PLAYOUT R401 | HD2 Backup-004 | R401 HD2 Backup</v>
      </c>
      <c r="AQ31" s="59"/>
      <c r="AR31" s="90"/>
      <c r="AS31" s="90"/>
      <c r="AT31" s="90"/>
      <c r="AU31" s="90"/>
      <c r="AV31" s="90"/>
      <c r="AW31" s="90"/>
      <c r="AX31" s="90"/>
      <c r="AY31" s="90"/>
      <c r="AZ31" s="90" t="s">
        <v>97</v>
      </c>
      <c r="BA31" s="90"/>
      <c r="BB31" s="90"/>
      <c r="BC31" s="90"/>
      <c r="BD31" s="90"/>
      <c r="BE31" s="90"/>
      <c r="BF31" s="90"/>
      <c r="BG31" s="90"/>
      <c r="BH31" s="73" t="s">
        <v>199</v>
      </c>
      <c r="BI31" s="30" t="str">
        <f>IF(COUNTA(Tabelle32[[#This Row],[Type:Vid_1080i50]:[Type:Anc_Prot]])&gt;0,"x","")</f>
        <v>x</v>
      </c>
      <c r="BJ31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1" s="59"/>
      <c r="BL31" s="59"/>
      <c r="BM31" s="63"/>
      <c r="BN31" s="63"/>
      <c r="BO31" s="93" t="s">
        <v>200</v>
      </c>
      <c r="BP31" s="94" t="s">
        <v>285</v>
      </c>
      <c r="BQ31" s="63">
        <f>LEN(Tabelle32[[#This Row],[Label 1
GFX-Unit]])</f>
        <v>14</v>
      </c>
      <c r="BR31" s="63"/>
      <c r="BS31" s="63"/>
      <c r="BT31" s="59"/>
      <c r="BU31" s="59"/>
      <c r="BV31" s="59" t="s">
        <v>226</v>
      </c>
      <c r="BW31" s="59" t="s">
        <v>227</v>
      </c>
      <c r="BX31" s="59" t="s">
        <v>286</v>
      </c>
      <c r="BY31" s="59">
        <v>2</v>
      </c>
    </row>
    <row r="32" spans="1:77" x14ac:dyDescent="0.2">
      <c r="A32" s="58" t="str">
        <f>CONCATENATE(Tabelle32[[#This Row],[Device ID]],".",Tabelle32[[#This Row],[Streamcounter]])</f>
        <v>379.02205</v>
      </c>
      <c r="B3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VGW-103_SDI02_AUDsend_0005</v>
      </c>
      <c r="C32" s="60"/>
      <c r="D32" s="61"/>
      <c r="E32" s="62"/>
      <c r="F32" s="59" t="str">
        <f>IFERROR(VLOOKUP(Tabelle32[[#This Row],[Device ID]],BOM!$B$3:$BQ$35,16,FALSE),"")</f>
        <v>R401 HD2 Backup</v>
      </c>
      <c r="G32" s="63">
        <f>VLOOKUP(Tabelle32[[#This Row],[SDI Interface]],BOM!$A$4:$B$35,2,FALSE)</f>
        <v>379</v>
      </c>
      <c r="H32" s="59" t="str">
        <f>BOM!$C$4</f>
        <v>VGW-103</v>
      </c>
      <c r="I32" s="59" t="str">
        <f>IFERROR(VLOOKUP(Tabelle32[[#This Row],[Device ID]],BOM!$B$3:$BQ$35,12,FALSE),"")</f>
        <v>Videoserver</v>
      </c>
      <c r="J32" s="59" t="str">
        <f>IFERROR(VLOOKUP(Tabelle32[[#This Row],[Device ID]],BOM!$B$3:$BQ$35,13,FALSE),"")</f>
        <v>TC.U1.223 | MDC</v>
      </c>
      <c r="K32" s="59" t="str">
        <f>IFERROR(VLOOKUP(Tabelle32[[#This Row],[Device ID]],BOM!$B$3:$BQ$35,14,FALSE),"")</f>
        <v>Imagine Comunications</v>
      </c>
      <c r="L32" s="59" t="str">
        <f>IFERROR(VLOOKUP(Tabelle32[[#This Row],[Device ID]],BOM!$B$3:$BQ$35,16,FALSE),"")</f>
        <v>R401 HD2 Backup</v>
      </c>
      <c r="M32" s="63" t="str">
        <f>IFERROR(VLOOKUP(Tabelle32[[#This Row],[Device ID]],BOM!$B$3:$BQ$35,17,FALSE),"")</f>
        <v>R401</v>
      </c>
      <c r="N32" s="59" t="str">
        <f>IFERROR(VLOOKUP(Tabelle32[[#This Row],[Device ID]],BOM!$B$3:$BQ$35,18,FALSE),"")</f>
        <v>TC.00.104 | R401</v>
      </c>
      <c r="O32" s="64"/>
      <c r="P32" s="64">
        <f>IFERROR(VLOOKUP(Tabelle32[[#This Row],[Device ID]],BOM!$B$3:$BO$50,20,FALSE),"")</f>
        <v>0</v>
      </c>
      <c r="Q32" s="64">
        <f>IFERROR(VLOOKUP(Tabelle32[[#This Row],[Device ID]],BOM!$B$3:$BO$50,21,FALSE),"")</f>
        <v>1</v>
      </c>
      <c r="R32" s="64">
        <f>IFERROR(VLOOKUP(Tabelle32[[#This Row],[Device ID]],BOM!$B$3:$BO$50,22,FALSE),"")</f>
        <v>0</v>
      </c>
      <c r="S32" s="64"/>
      <c r="T32" s="64"/>
      <c r="U32" s="59" t="str">
        <f>IFERROR(VLOOKUP(Tabelle32[[#This Row],[Device ID]],BOM!$B$3:$BQ$35,25,FALSE),"")</f>
        <v>Luis/Ivo</v>
      </c>
      <c r="V32" s="59" t="str">
        <f>IFERROR(VLOOKUP(Tabelle32[[#This Row],[Device ID]],BOM!$B$3:$BQ$35,26,FALSE),"")</f>
        <v>tpco-megw-vgw103.rta.st-net.media.int</v>
      </c>
      <c r="W32" s="59" t="str">
        <f>IFERROR(VLOOKUP(Tabelle32[[#This Row],[Device ID]],BOM!$B$3:$BQ$35,27,FALSE),"")</f>
        <v>10.120.236.50</v>
      </c>
      <c r="X32" s="59" t="str">
        <f>IFERROR(VLOOKUP(Tabelle32[[#This Row],[Device ID]],BOM!$B$3:$BQ$35,28,FALSE),"")</f>
        <v>AVCoreA</v>
      </c>
      <c r="Y32" s="59" t="str">
        <f>IFERROR(VLOOKUP(Tabelle32[[#This Row],[Device ID]],BOM!$B$3:$BQ$35,29,FALSE),"")</f>
        <v>5_36_1</v>
      </c>
      <c r="Z32" s="59" t="str">
        <f>IFERROR(VLOOKUP(Tabelle32[[#This Row],[Device ID]],BOM!$B$3:$BQ$35,30,FALSE),"")</f>
        <v>tpco-megw-vgw103.rtb.st-net.media.int</v>
      </c>
      <c r="AA32" s="59" t="str">
        <f>IFERROR(VLOOKUP(Tabelle32[[#This Row],[Device ID]],BOM!$B$3:$BQ$35,31,FALSE),"")</f>
        <v>10.120.236.54</v>
      </c>
      <c r="AB32" s="59" t="str">
        <f>IFERROR(VLOOKUP(Tabelle32[[#This Row],[Device ID]],BOM!$B$3:$BQ$35,32,FALSE),"")</f>
        <v>AVCoreB</v>
      </c>
      <c r="AC32" s="59" t="str">
        <f>IFERROR(VLOOKUP(Tabelle32[[#This Row],[Device ID]],BOM!$B$3:$BQ$35,33,FALSE),"")</f>
        <v>5_36_1</v>
      </c>
      <c r="AD32" s="59" t="str">
        <f>IFERROR(VLOOKUP(Tabelle32[[#This Row],[Device ID]],BOM!$B$3:$BQ$35,34,FALSE),"")</f>
        <v>tpco-megw-vgw103.st-net.media.int</v>
      </c>
      <c r="AE32" s="59" t="str">
        <f>IFERROR(VLOOKUP(Tabelle32[[#This Row],[Device ID]],BOM!$B$3:$BQ$35,35,FALSE),"")</f>
        <v>10.120.67.141</v>
      </c>
      <c r="AF32" s="59">
        <f>IFERROR(VLOOKUP(Tabelle32[[#This Row],[Device ID]],BOM!$B$3:$BQ$35,36,FALSE),"")</f>
        <v>0</v>
      </c>
      <c r="AG32" s="59">
        <f>IFERROR(VLOOKUP(Tabelle32[[#This Row],[Device ID]],BOM!$B$3:$BQ$35,37,FALSE),"")</f>
        <v>0</v>
      </c>
      <c r="AH32" s="59"/>
      <c r="AI32" s="59"/>
      <c r="AJ32" s="59"/>
      <c r="AK32" s="59"/>
      <c r="AL32" s="59" t="str">
        <f>IFERROR(VLOOKUP(Tabelle32[[#This Row],[Device ID]],BOM!$B$3:$BQ$35,42,FALSE),"")</f>
        <v>Imagine Communications SNP</v>
      </c>
      <c r="AM32" s="59" t="str">
        <f>IFERROR(VLOOKUP(Tabelle32[[#This Row],[Device ID]],BOM!$B$3:$BQ$35,43,FALSE),"")</f>
        <v>no</v>
      </c>
      <c r="AN32" s="59" t="str">
        <f>IFERROR(VLOOKUP(Tabelle32[[#This Row],[Device ID]],BOM!$B$3:$BQ$35,44,FALSE),"")</f>
        <v>yes</v>
      </c>
      <c r="AO32" s="59" t="str">
        <f>IFERROR(VLOOKUP(Tabelle32[[#This Row],[Device ID]],BOM!$B$3:$BQ$35,45,FALSE),"")</f>
        <v>no</v>
      </c>
      <c r="AP32" s="59" t="str">
        <f>IFERROR(CONCATENATE(Tabelle32[[#This Row],[Family
GFX-Unit]]," | ",Tabelle32[[#This Row],[Label 1
GFX-Unit]]," | ",Tabelle32[[#This Row],[Attached Device if Gateway]]),"")</f>
        <v>PLAYOUT R401 | HD2 Backup-005 | R401 HD2 Backup</v>
      </c>
      <c r="AQ32" s="59"/>
      <c r="AR32" s="90"/>
      <c r="AS32" s="90"/>
      <c r="AT32" s="90"/>
      <c r="AU32" s="90"/>
      <c r="AV32" s="90"/>
      <c r="AW32" s="90" t="s">
        <v>97</v>
      </c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73" t="s">
        <v>199</v>
      </c>
      <c r="BI32" s="30" t="str">
        <f>IF(COUNTA(Tabelle32[[#This Row],[Type:Vid_1080i50]:[Type:Anc_Prot]])&gt;0,"x","")</f>
        <v>x</v>
      </c>
      <c r="BJ32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2" s="59"/>
      <c r="BL32" s="59"/>
      <c r="BM32" s="63"/>
      <c r="BN32" s="63"/>
      <c r="BO32" s="93" t="s">
        <v>200</v>
      </c>
      <c r="BP32" s="94" t="s">
        <v>287</v>
      </c>
      <c r="BQ32" s="63">
        <f>LEN(Tabelle32[[#This Row],[Label 1
GFX-Unit]])</f>
        <v>14</v>
      </c>
      <c r="BR32" s="63"/>
      <c r="BS32" s="63"/>
      <c r="BT32" s="59"/>
      <c r="BU32" s="59"/>
      <c r="BV32" s="59" t="s">
        <v>230</v>
      </c>
      <c r="BW32" s="59" t="s">
        <v>231</v>
      </c>
      <c r="BX32" s="59" t="s">
        <v>288</v>
      </c>
      <c r="BY32" s="59">
        <v>2</v>
      </c>
    </row>
    <row r="33" spans="1:77" x14ac:dyDescent="0.2">
      <c r="A33" s="58" t="str">
        <f>CONCATENATE(Tabelle32[[#This Row],[Device ID]],".",Tabelle32[[#This Row],[Streamcounter]])</f>
        <v>379.02206</v>
      </c>
      <c r="B3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VGW-103_SDI02_AUDsend_0006</v>
      </c>
      <c r="C33" s="60"/>
      <c r="D33" s="61"/>
      <c r="E33" s="62"/>
      <c r="F33" s="59" t="str">
        <f>IFERROR(VLOOKUP(Tabelle32[[#This Row],[Device ID]],BOM!$B$3:$BQ$35,16,FALSE),"")</f>
        <v>R401 HD2 Backup</v>
      </c>
      <c r="G33" s="63">
        <f>VLOOKUP(Tabelle32[[#This Row],[SDI Interface]],BOM!$A$4:$B$35,2,FALSE)</f>
        <v>379</v>
      </c>
      <c r="H33" s="59" t="str">
        <f>BOM!$C$4</f>
        <v>VGW-103</v>
      </c>
      <c r="I33" s="59" t="str">
        <f>IFERROR(VLOOKUP(Tabelle32[[#This Row],[Device ID]],BOM!$B$3:$BQ$35,12,FALSE),"")</f>
        <v>Videoserver</v>
      </c>
      <c r="J33" s="59" t="str">
        <f>IFERROR(VLOOKUP(Tabelle32[[#This Row],[Device ID]],BOM!$B$3:$BQ$35,13,FALSE),"")</f>
        <v>TC.U1.223 | MDC</v>
      </c>
      <c r="K33" s="59" t="str">
        <f>IFERROR(VLOOKUP(Tabelle32[[#This Row],[Device ID]],BOM!$B$3:$BQ$35,14,FALSE),"")</f>
        <v>Imagine Comunications</v>
      </c>
      <c r="L33" s="59" t="str">
        <f>IFERROR(VLOOKUP(Tabelle32[[#This Row],[Device ID]],BOM!$B$3:$BQ$35,16,FALSE),"")</f>
        <v>R401 HD2 Backup</v>
      </c>
      <c r="M33" s="63" t="str">
        <f>IFERROR(VLOOKUP(Tabelle32[[#This Row],[Device ID]],BOM!$B$3:$BQ$35,17,FALSE),"")</f>
        <v>R401</v>
      </c>
      <c r="N33" s="59" t="str">
        <f>IFERROR(VLOOKUP(Tabelle32[[#This Row],[Device ID]],BOM!$B$3:$BQ$35,18,FALSE),"")</f>
        <v>TC.00.104 | R401</v>
      </c>
      <c r="O33" s="64"/>
      <c r="P33" s="64">
        <f>IFERROR(VLOOKUP(Tabelle32[[#This Row],[Device ID]],BOM!$B$3:$BO$50,20,FALSE),"")</f>
        <v>0</v>
      </c>
      <c r="Q33" s="64">
        <f>IFERROR(VLOOKUP(Tabelle32[[#This Row],[Device ID]],BOM!$B$3:$BO$50,21,FALSE),"")</f>
        <v>1</v>
      </c>
      <c r="R33" s="64">
        <f>IFERROR(VLOOKUP(Tabelle32[[#This Row],[Device ID]],BOM!$B$3:$BO$50,22,FALSE),"")</f>
        <v>0</v>
      </c>
      <c r="S33" s="64"/>
      <c r="T33" s="64"/>
      <c r="U33" s="59" t="str">
        <f>IFERROR(VLOOKUP(Tabelle32[[#This Row],[Device ID]],BOM!$B$3:$BQ$35,25,FALSE),"")</f>
        <v>Luis/Ivo</v>
      </c>
      <c r="V33" s="59" t="str">
        <f>IFERROR(VLOOKUP(Tabelle32[[#This Row],[Device ID]],BOM!$B$3:$BQ$35,26,FALSE),"")</f>
        <v>tpco-megw-vgw103.rta.st-net.media.int</v>
      </c>
      <c r="W33" s="59" t="str">
        <f>IFERROR(VLOOKUP(Tabelle32[[#This Row],[Device ID]],BOM!$B$3:$BQ$35,27,FALSE),"")</f>
        <v>10.120.236.50</v>
      </c>
      <c r="X33" s="59" t="str">
        <f>IFERROR(VLOOKUP(Tabelle32[[#This Row],[Device ID]],BOM!$B$3:$BQ$35,28,FALSE),"")</f>
        <v>AVCoreA</v>
      </c>
      <c r="Y33" s="59" t="str">
        <f>IFERROR(VLOOKUP(Tabelle32[[#This Row],[Device ID]],BOM!$B$3:$BQ$35,29,FALSE),"")</f>
        <v>5_36_1</v>
      </c>
      <c r="Z33" s="59" t="str">
        <f>IFERROR(VLOOKUP(Tabelle32[[#This Row],[Device ID]],BOM!$B$3:$BQ$35,30,FALSE),"")</f>
        <v>tpco-megw-vgw103.rtb.st-net.media.int</v>
      </c>
      <c r="AA33" s="59" t="str">
        <f>IFERROR(VLOOKUP(Tabelle32[[#This Row],[Device ID]],BOM!$B$3:$BQ$35,31,FALSE),"")</f>
        <v>10.120.236.54</v>
      </c>
      <c r="AB33" s="59" t="str">
        <f>IFERROR(VLOOKUP(Tabelle32[[#This Row],[Device ID]],BOM!$B$3:$BQ$35,32,FALSE),"")</f>
        <v>AVCoreB</v>
      </c>
      <c r="AC33" s="59" t="str">
        <f>IFERROR(VLOOKUP(Tabelle32[[#This Row],[Device ID]],BOM!$B$3:$BQ$35,33,FALSE),"")</f>
        <v>5_36_1</v>
      </c>
      <c r="AD33" s="59" t="str">
        <f>IFERROR(VLOOKUP(Tabelle32[[#This Row],[Device ID]],BOM!$B$3:$BQ$35,34,FALSE),"")</f>
        <v>tpco-megw-vgw103.st-net.media.int</v>
      </c>
      <c r="AE33" s="59" t="str">
        <f>IFERROR(VLOOKUP(Tabelle32[[#This Row],[Device ID]],BOM!$B$3:$BQ$35,35,FALSE),"")</f>
        <v>10.120.67.141</v>
      </c>
      <c r="AF33" s="59">
        <f>IFERROR(VLOOKUP(Tabelle32[[#This Row],[Device ID]],BOM!$B$3:$BQ$35,36,FALSE),"")</f>
        <v>0</v>
      </c>
      <c r="AG33" s="59">
        <f>IFERROR(VLOOKUP(Tabelle32[[#This Row],[Device ID]],BOM!$B$3:$BQ$35,37,FALSE),"")</f>
        <v>0</v>
      </c>
      <c r="AH33" s="59"/>
      <c r="AI33" s="59"/>
      <c r="AJ33" s="59"/>
      <c r="AK33" s="59"/>
      <c r="AL33" s="59" t="str">
        <f>IFERROR(VLOOKUP(Tabelle32[[#This Row],[Device ID]],BOM!$B$3:$BQ$35,42,FALSE),"")</f>
        <v>Imagine Communications SNP</v>
      </c>
      <c r="AM33" s="59" t="str">
        <f>IFERROR(VLOOKUP(Tabelle32[[#This Row],[Device ID]],BOM!$B$3:$BQ$35,43,FALSE),"")</f>
        <v>no</v>
      </c>
      <c r="AN33" s="59" t="str">
        <f>IFERROR(VLOOKUP(Tabelle32[[#This Row],[Device ID]],BOM!$B$3:$BQ$35,44,FALSE),"")</f>
        <v>yes</v>
      </c>
      <c r="AO33" s="59" t="str">
        <f>IFERROR(VLOOKUP(Tabelle32[[#This Row],[Device ID]],BOM!$B$3:$BQ$35,45,FALSE),"")</f>
        <v>no</v>
      </c>
      <c r="AP33" s="59" t="str">
        <f>IFERROR(CONCATENATE(Tabelle32[[#This Row],[Family
GFX-Unit]]," | ",Tabelle32[[#This Row],[Label 1
GFX-Unit]]," | ",Tabelle32[[#This Row],[Attached Device if Gateway]]),"")</f>
        <v>PLAYOUT R401 | HD2 Backup-006 | R401 HD2 Backup</v>
      </c>
      <c r="AQ33" s="59"/>
      <c r="AR33" s="90"/>
      <c r="AS33" s="90"/>
      <c r="AT33" s="90"/>
      <c r="AU33" s="90"/>
      <c r="AV33" s="90"/>
      <c r="AW33" s="90" t="s">
        <v>97</v>
      </c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73" t="s">
        <v>199</v>
      </c>
      <c r="BI33" s="30" t="str">
        <f>IF(COUNTA(Tabelle32[[#This Row],[Type:Vid_1080i50]:[Type:Anc_Prot]])&gt;0,"x","")</f>
        <v>x</v>
      </c>
      <c r="BJ3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3" s="59"/>
      <c r="BL33" s="59"/>
      <c r="BM33" s="63"/>
      <c r="BN33" s="63"/>
      <c r="BO33" s="93" t="s">
        <v>200</v>
      </c>
      <c r="BP33" s="94" t="s">
        <v>289</v>
      </c>
      <c r="BQ33" s="63">
        <f>LEN(Tabelle32[[#This Row],[Label 1
GFX-Unit]])</f>
        <v>14</v>
      </c>
      <c r="BR33" s="63"/>
      <c r="BS33" s="63"/>
      <c r="BT33" s="59"/>
      <c r="BU33" s="59"/>
      <c r="BV33" s="59" t="s">
        <v>234</v>
      </c>
      <c r="BW33" s="59" t="s">
        <v>235</v>
      </c>
      <c r="BX33" s="59" t="s">
        <v>290</v>
      </c>
      <c r="BY33" s="59">
        <v>2</v>
      </c>
    </row>
    <row r="34" spans="1:77" x14ac:dyDescent="0.2">
      <c r="A34" s="58" t="str">
        <f>CONCATENATE(Tabelle32[[#This Row],[Device ID]],".",Tabelle32[[#This Row],[Streamcounter]])</f>
        <v>379.02207</v>
      </c>
      <c r="B3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VGW-103_SDI02_AUDsend_0007</v>
      </c>
      <c r="C34" s="60"/>
      <c r="D34" s="61"/>
      <c r="E34" s="62"/>
      <c r="F34" s="59" t="str">
        <f>IFERROR(VLOOKUP(Tabelle32[[#This Row],[Device ID]],BOM!$B$3:$BQ$35,16,FALSE),"")</f>
        <v>R401 HD2 Backup</v>
      </c>
      <c r="G34" s="63">
        <f>VLOOKUP(Tabelle32[[#This Row],[SDI Interface]],BOM!$A$4:$B$35,2,FALSE)</f>
        <v>379</v>
      </c>
      <c r="H34" s="59" t="str">
        <f>BOM!$C$4</f>
        <v>VGW-103</v>
      </c>
      <c r="I34" s="59" t="str">
        <f>IFERROR(VLOOKUP(Tabelle32[[#This Row],[Device ID]],BOM!$B$3:$BQ$35,12,FALSE),"")</f>
        <v>Videoserver</v>
      </c>
      <c r="J34" s="59" t="str">
        <f>IFERROR(VLOOKUP(Tabelle32[[#This Row],[Device ID]],BOM!$B$3:$BQ$35,13,FALSE),"")</f>
        <v>TC.U1.223 | MDC</v>
      </c>
      <c r="K34" s="59" t="str">
        <f>IFERROR(VLOOKUP(Tabelle32[[#This Row],[Device ID]],BOM!$B$3:$BQ$35,14,FALSE),"")</f>
        <v>Imagine Comunications</v>
      </c>
      <c r="L34" s="59" t="str">
        <f>IFERROR(VLOOKUP(Tabelle32[[#This Row],[Device ID]],BOM!$B$3:$BQ$35,16,FALSE),"")</f>
        <v>R401 HD2 Backup</v>
      </c>
      <c r="M34" s="63" t="str">
        <f>IFERROR(VLOOKUP(Tabelle32[[#This Row],[Device ID]],BOM!$B$3:$BQ$35,17,FALSE),"")</f>
        <v>R401</v>
      </c>
      <c r="N34" s="59" t="str">
        <f>IFERROR(VLOOKUP(Tabelle32[[#This Row],[Device ID]],BOM!$B$3:$BQ$35,18,FALSE),"")</f>
        <v>TC.00.104 | R401</v>
      </c>
      <c r="O34" s="64"/>
      <c r="P34" s="64">
        <f>IFERROR(VLOOKUP(Tabelle32[[#This Row],[Device ID]],BOM!$B$3:$BO$50,20,FALSE),"")</f>
        <v>0</v>
      </c>
      <c r="Q34" s="64">
        <f>IFERROR(VLOOKUP(Tabelle32[[#This Row],[Device ID]],BOM!$B$3:$BO$50,21,FALSE),"")</f>
        <v>1</v>
      </c>
      <c r="R34" s="64">
        <f>IFERROR(VLOOKUP(Tabelle32[[#This Row],[Device ID]],BOM!$B$3:$BO$50,22,FALSE),"")</f>
        <v>0</v>
      </c>
      <c r="S34" s="64"/>
      <c r="T34" s="64"/>
      <c r="U34" s="59" t="str">
        <f>IFERROR(VLOOKUP(Tabelle32[[#This Row],[Device ID]],BOM!$B$3:$BQ$35,25,FALSE),"")</f>
        <v>Luis/Ivo</v>
      </c>
      <c r="V34" s="59" t="str">
        <f>IFERROR(VLOOKUP(Tabelle32[[#This Row],[Device ID]],BOM!$B$3:$BQ$35,26,FALSE),"")</f>
        <v>tpco-megw-vgw103.rta.st-net.media.int</v>
      </c>
      <c r="W34" s="59" t="str">
        <f>IFERROR(VLOOKUP(Tabelle32[[#This Row],[Device ID]],BOM!$B$3:$BQ$35,27,FALSE),"")</f>
        <v>10.120.236.50</v>
      </c>
      <c r="X34" s="59" t="str">
        <f>IFERROR(VLOOKUP(Tabelle32[[#This Row],[Device ID]],BOM!$B$3:$BQ$35,28,FALSE),"")</f>
        <v>AVCoreA</v>
      </c>
      <c r="Y34" s="59" t="str">
        <f>IFERROR(VLOOKUP(Tabelle32[[#This Row],[Device ID]],BOM!$B$3:$BQ$35,29,FALSE),"")</f>
        <v>5_36_1</v>
      </c>
      <c r="Z34" s="59" t="str">
        <f>IFERROR(VLOOKUP(Tabelle32[[#This Row],[Device ID]],BOM!$B$3:$BQ$35,30,FALSE),"")</f>
        <v>tpco-megw-vgw103.rtb.st-net.media.int</v>
      </c>
      <c r="AA34" s="59" t="str">
        <f>IFERROR(VLOOKUP(Tabelle32[[#This Row],[Device ID]],BOM!$B$3:$BQ$35,31,FALSE),"")</f>
        <v>10.120.236.54</v>
      </c>
      <c r="AB34" s="59" t="str">
        <f>IFERROR(VLOOKUP(Tabelle32[[#This Row],[Device ID]],BOM!$B$3:$BQ$35,32,FALSE),"")</f>
        <v>AVCoreB</v>
      </c>
      <c r="AC34" s="59" t="str">
        <f>IFERROR(VLOOKUP(Tabelle32[[#This Row],[Device ID]],BOM!$B$3:$BQ$35,33,FALSE),"")</f>
        <v>5_36_1</v>
      </c>
      <c r="AD34" s="59" t="str">
        <f>IFERROR(VLOOKUP(Tabelle32[[#This Row],[Device ID]],BOM!$B$3:$BQ$35,34,FALSE),"")</f>
        <v>tpco-megw-vgw103.st-net.media.int</v>
      </c>
      <c r="AE34" s="59" t="str">
        <f>IFERROR(VLOOKUP(Tabelle32[[#This Row],[Device ID]],BOM!$B$3:$BQ$35,35,FALSE),"")</f>
        <v>10.120.67.141</v>
      </c>
      <c r="AF34" s="59">
        <f>IFERROR(VLOOKUP(Tabelle32[[#This Row],[Device ID]],BOM!$B$3:$BQ$35,36,FALSE),"")</f>
        <v>0</v>
      </c>
      <c r="AG34" s="59">
        <f>IFERROR(VLOOKUP(Tabelle32[[#This Row],[Device ID]],BOM!$B$3:$BQ$35,37,FALSE),"")</f>
        <v>0</v>
      </c>
      <c r="AH34" s="59"/>
      <c r="AI34" s="59"/>
      <c r="AJ34" s="59"/>
      <c r="AK34" s="59"/>
      <c r="AL34" s="59" t="str">
        <f>IFERROR(VLOOKUP(Tabelle32[[#This Row],[Device ID]],BOM!$B$3:$BQ$35,42,FALSE),"")</f>
        <v>Imagine Communications SNP</v>
      </c>
      <c r="AM34" s="59" t="str">
        <f>IFERROR(VLOOKUP(Tabelle32[[#This Row],[Device ID]],BOM!$B$3:$BQ$35,43,FALSE),"")</f>
        <v>no</v>
      </c>
      <c r="AN34" s="59" t="str">
        <f>IFERROR(VLOOKUP(Tabelle32[[#This Row],[Device ID]],BOM!$B$3:$BQ$35,44,FALSE),"")</f>
        <v>yes</v>
      </c>
      <c r="AO34" s="59" t="str">
        <f>IFERROR(VLOOKUP(Tabelle32[[#This Row],[Device ID]],BOM!$B$3:$BQ$35,45,FALSE),"")</f>
        <v>no</v>
      </c>
      <c r="AP34" s="59" t="str">
        <f>IFERROR(CONCATENATE(Tabelle32[[#This Row],[Family
GFX-Unit]]," | ",Tabelle32[[#This Row],[Label 1
GFX-Unit]]," | ",Tabelle32[[#This Row],[Attached Device if Gateway]]),"")</f>
        <v>PLAYOUT R401 | HD2 Backup-007 | R401 HD2 Backup</v>
      </c>
      <c r="AQ34" s="59"/>
      <c r="AR34" s="90"/>
      <c r="AS34" s="90"/>
      <c r="AT34" s="90"/>
      <c r="AU34" s="90"/>
      <c r="AV34" s="90"/>
      <c r="AW34" s="90"/>
      <c r="AX34" s="90"/>
      <c r="AY34" s="90"/>
      <c r="AZ34" s="90" t="s">
        <v>97</v>
      </c>
      <c r="BA34" s="90"/>
      <c r="BB34" s="90"/>
      <c r="BC34" s="90"/>
      <c r="BD34" s="90"/>
      <c r="BE34" s="90"/>
      <c r="BF34" s="90"/>
      <c r="BG34" s="90"/>
      <c r="BH34" s="73" t="s">
        <v>199</v>
      </c>
      <c r="BI34" s="30" t="str">
        <f>IF(COUNTA(Tabelle32[[#This Row],[Type:Vid_1080i50]:[Type:Anc_Prot]])&gt;0,"x","")</f>
        <v>x</v>
      </c>
      <c r="BJ3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4" s="59"/>
      <c r="BL34" s="59"/>
      <c r="BM34" s="63"/>
      <c r="BN34" s="63"/>
      <c r="BO34" s="93" t="s">
        <v>200</v>
      </c>
      <c r="BP34" s="94" t="s">
        <v>291</v>
      </c>
      <c r="BQ34" s="63">
        <f>LEN(Tabelle32[[#This Row],[Label 1
GFX-Unit]])</f>
        <v>14</v>
      </c>
      <c r="BR34" s="63"/>
      <c r="BS34" s="63"/>
      <c r="BT34" s="59"/>
      <c r="BU34" s="59"/>
      <c r="BV34" s="59" t="s">
        <v>238</v>
      </c>
      <c r="BW34" s="59" t="s">
        <v>239</v>
      </c>
      <c r="BX34" s="59" t="s">
        <v>292</v>
      </c>
      <c r="BY34" s="59">
        <v>2</v>
      </c>
    </row>
    <row r="35" spans="1:77" x14ac:dyDescent="0.2">
      <c r="A35" s="58" t="str">
        <f>CONCATENATE(Tabelle32[[#This Row],[Device ID]],".",Tabelle32[[#This Row],[Streamcounter]])</f>
        <v>379.02208</v>
      </c>
      <c r="B3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VGW-103_SDI02_AUDsend_0008</v>
      </c>
      <c r="C35" s="60"/>
      <c r="D35" s="61"/>
      <c r="E35" s="62"/>
      <c r="F35" s="59" t="str">
        <f>IFERROR(VLOOKUP(Tabelle32[[#This Row],[Device ID]],BOM!$B$3:$BQ$35,16,FALSE),"")</f>
        <v>R401 HD2 Backup</v>
      </c>
      <c r="G35" s="63">
        <f>VLOOKUP(Tabelle32[[#This Row],[SDI Interface]],BOM!$A$4:$B$35,2,FALSE)</f>
        <v>379</v>
      </c>
      <c r="H35" s="59" t="str">
        <f>BOM!$C$4</f>
        <v>VGW-103</v>
      </c>
      <c r="I35" s="59" t="str">
        <f>IFERROR(VLOOKUP(Tabelle32[[#This Row],[Device ID]],BOM!$B$3:$BQ$35,12,FALSE),"")</f>
        <v>Videoserver</v>
      </c>
      <c r="J35" s="59" t="str">
        <f>IFERROR(VLOOKUP(Tabelle32[[#This Row],[Device ID]],BOM!$B$3:$BQ$35,13,FALSE),"")</f>
        <v>TC.U1.223 | MDC</v>
      </c>
      <c r="K35" s="59" t="str">
        <f>IFERROR(VLOOKUP(Tabelle32[[#This Row],[Device ID]],BOM!$B$3:$BQ$35,14,FALSE),"")</f>
        <v>Imagine Comunications</v>
      </c>
      <c r="L35" s="59" t="str">
        <f>IFERROR(VLOOKUP(Tabelle32[[#This Row],[Device ID]],BOM!$B$3:$BQ$35,16,FALSE),"")</f>
        <v>R401 HD2 Backup</v>
      </c>
      <c r="M35" s="63" t="str">
        <f>IFERROR(VLOOKUP(Tabelle32[[#This Row],[Device ID]],BOM!$B$3:$BQ$35,17,FALSE),"")</f>
        <v>R401</v>
      </c>
      <c r="N35" s="59" t="str">
        <f>IFERROR(VLOOKUP(Tabelle32[[#This Row],[Device ID]],BOM!$B$3:$BQ$35,18,FALSE),"")</f>
        <v>TC.00.104 | R401</v>
      </c>
      <c r="O35" s="64"/>
      <c r="P35" s="64">
        <f>IFERROR(VLOOKUP(Tabelle32[[#This Row],[Device ID]],BOM!$B$3:$BO$50,20,FALSE),"")</f>
        <v>0</v>
      </c>
      <c r="Q35" s="64">
        <f>IFERROR(VLOOKUP(Tabelle32[[#This Row],[Device ID]],BOM!$B$3:$BO$50,21,FALSE),"")</f>
        <v>1</v>
      </c>
      <c r="R35" s="64">
        <f>IFERROR(VLOOKUP(Tabelle32[[#This Row],[Device ID]],BOM!$B$3:$BO$50,22,FALSE),"")</f>
        <v>0</v>
      </c>
      <c r="S35" s="64"/>
      <c r="T35" s="64"/>
      <c r="U35" s="59" t="str">
        <f>IFERROR(VLOOKUP(Tabelle32[[#This Row],[Device ID]],BOM!$B$3:$BQ$35,25,FALSE),"")</f>
        <v>Luis/Ivo</v>
      </c>
      <c r="V35" s="59" t="str">
        <f>IFERROR(VLOOKUP(Tabelle32[[#This Row],[Device ID]],BOM!$B$3:$BQ$35,26,FALSE),"")</f>
        <v>tpco-megw-vgw103.rta.st-net.media.int</v>
      </c>
      <c r="W35" s="59" t="str">
        <f>IFERROR(VLOOKUP(Tabelle32[[#This Row],[Device ID]],BOM!$B$3:$BQ$35,27,FALSE),"")</f>
        <v>10.120.236.50</v>
      </c>
      <c r="X35" s="59" t="str">
        <f>IFERROR(VLOOKUP(Tabelle32[[#This Row],[Device ID]],BOM!$B$3:$BQ$35,28,FALSE),"")</f>
        <v>AVCoreA</v>
      </c>
      <c r="Y35" s="59" t="str">
        <f>IFERROR(VLOOKUP(Tabelle32[[#This Row],[Device ID]],BOM!$B$3:$BQ$35,29,FALSE),"")</f>
        <v>5_36_1</v>
      </c>
      <c r="Z35" s="59" t="str">
        <f>IFERROR(VLOOKUP(Tabelle32[[#This Row],[Device ID]],BOM!$B$3:$BQ$35,30,FALSE),"")</f>
        <v>tpco-megw-vgw103.rtb.st-net.media.int</v>
      </c>
      <c r="AA35" s="59" t="str">
        <f>IFERROR(VLOOKUP(Tabelle32[[#This Row],[Device ID]],BOM!$B$3:$BQ$35,31,FALSE),"")</f>
        <v>10.120.236.54</v>
      </c>
      <c r="AB35" s="59" t="str">
        <f>IFERROR(VLOOKUP(Tabelle32[[#This Row],[Device ID]],BOM!$B$3:$BQ$35,32,FALSE),"")</f>
        <v>AVCoreB</v>
      </c>
      <c r="AC35" s="59" t="str">
        <f>IFERROR(VLOOKUP(Tabelle32[[#This Row],[Device ID]],BOM!$B$3:$BQ$35,33,FALSE),"")</f>
        <v>5_36_1</v>
      </c>
      <c r="AD35" s="59" t="str">
        <f>IFERROR(VLOOKUP(Tabelle32[[#This Row],[Device ID]],BOM!$B$3:$BQ$35,34,FALSE),"")</f>
        <v>tpco-megw-vgw103.st-net.media.int</v>
      </c>
      <c r="AE35" s="59" t="str">
        <f>IFERROR(VLOOKUP(Tabelle32[[#This Row],[Device ID]],BOM!$B$3:$BQ$35,35,FALSE),"")</f>
        <v>10.120.67.141</v>
      </c>
      <c r="AF35" s="59">
        <f>IFERROR(VLOOKUP(Tabelle32[[#This Row],[Device ID]],BOM!$B$3:$BQ$35,36,FALSE),"")</f>
        <v>0</v>
      </c>
      <c r="AG35" s="59">
        <f>IFERROR(VLOOKUP(Tabelle32[[#This Row],[Device ID]],BOM!$B$3:$BQ$35,37,FALSE),"")</f>
        <v>0</v>
      </c>
      <c r="AH35" s="59"/>
      <c r="AI35" s="59"/>
      <c r="AJ35" s="59"/>
      <c r="AK35" s="59"/>
      <c r="AL35" s="59" t="str">
        <f>IFERROR(VLOOKUP(Tabelle32[[#This Row],[Device ID]],BOM!$B$3:$BQ$35,42,FALSE),"")</f>
        <v>Imagine Communications SNP</v>
      </c>
      <c r="AM35" s="59" t="str">
        <f>IFERROR(VLOOKUP(Tabelle32[[#This Row],[Device ID]],BOM!$B$3:$BQ$35,43,FALSE),"")</f>
        <v>no</v>
      </c>
      <c r="AN35" s="59" t="str">
        <f>IFERROR(VLOOKUP(Tabelle32[[#This Row],[Device ID]],BOM!$B$3:$BQ$35,44,FALSE),"")</f>
        <v>yes</v>
      </c>
      <c r="AO35" s="59" t="str">
        <f>IFERROR(VLOOKUP(Tabelle32[[#This Row],[Device ID]],BOM!$B$3:$BQ$35,45,FALSE),"")</f>
        <v>no</v>
      </c>
      <c r="AP35" s="59" t="str">
        <f>IFERROR(CONCATENATE(Tabelle32[[#This Row],[Family
GFX-Unit]]," | ",Tabelle32[[#This Row],[Label 1
GFX-Unit]]," | ",Tabelle32[[#This Row],[Attached Device if Gateway]]),"")</f>
        <v>PLAYOUT R401 | HD2 Backup-008 | R401 HD2 Backup</v>
      </c>
      <c r="AQ35" s="59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 t="s">
        <v>97</v>
      </c>
      <c r="BD35" s="90"/>
      <c r="BE35" s="90"/>
      <c r="BF35" s="90"/>
      <c r="BG35" s="90"/>
      <c r="BH35" s="73" t="s">
        <v>199</v>
      </c>
      <c r="BI35" s="30" t="str">
        <f>IF(COUNTA(Tabelle32[[#This Row],[Type:Vid_1080i50]:[Type:Anc_Prot]])&gt;0,"x","")</f>
        <v>x</v>
      </c>
      <c r="BJ3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35" s="59"/>
      <c r="BL35" s="59"/>
      <c r="BM35" s="63"/>
      <c r="BN35" s="63"/>
      <c r="BO35" s="93" t="s">
        <v>200</v>
      </c>
      <c r="BP35" s="94" t="s">
        <v>293</v>
      </c>
      <c r="BQ35" s="63">
        <f>LEN(Tabelle32[[#This Row],[Label 1
GFX-Unit]])</f>
        <v>14</v>
      </c>
      <c r="BR35" s="63"/>
      <c r="BS35" s="63"/>
      <c r="BT35" s="59"/>
      <c r="BU35" s="59"/>
      <c r="BV35" s="59" t="s">
        <v>242</v>
      </c>
      <c r="BW35" s="59" t="s">
        <v>243</v>
      </c>
      <c r="BX35" s="59" t="s">
        <v>294</v>
      </c>
      <c r="BY35" s="59">
        <v>2</v>
      </c>
    </row>
    <row r="36" spans="1:77" hidden="1" x14ac:dyDescent="0.2">
      <c r="A36" s="58" t="str">
        <f>CONCATENATE(Tabelle32[[#This Row],[Device ID]],".",Tabelle32[[#This Row],[Streamcounter]])</f>
        <v>379.02209</v>
      </c>
      <c r="B3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VGW-103_SDI02_AUDsend_0009</v>
      </c>
      <c r="C36" s="60"/>
      <c r="D36" s="61"/>
      <c r="E36" s="62"/>
      <c r="F36" s="59" t="str">
        <f>IFERROR(VLOOKUP(Tabelle32[[#This Row],[Device ID]],BOM!$B$3:$BQ$35,16,FALSE),"")</f>
        <v>R401 HD2 Backup</v>
      </c>
      <c r="G36" s="63">
        <f>VLOOKUP(Tabelle32[[#This Row],[SDI Interface]],BOM!$A$4:$B$35,2,FALSE)</f>
        <v>379</v>
      </c>
      <c r="H36" s="59" t="str">
        <f>BOM!$C$4</f>
        <v>VGW-103</v>
      </c>
      <c r="I36" s="59" t="str">
        <f>IFERROR(VLOOKUP(Tabelle32[[#This Row],[Device ID]],BOM!$B$3:$BQ$35,12,FALSE),"")</f>
        <v>Videoserver</v>
      </c>
      <c r="J36" s="59" t="str">
        <f>IFERROR(VLOOKUP(Tabelle32[[#This Row],[Device ID]],BOM!$B$3:$BQ$35,13,FALSE),"")</f>
        <v>TC.U1.223 | MDC</v>
      </c>
      <c r="K36" s="59" t="str">
        <f>IFERROR(VLOOKUP(Tabelle32[[#This Row],[Device ID]],BOM!$B$3:$BQ$35,14,FALSE),"")</f>
        <v>Imagine Comunications</v>
      </c>
      <c r="L36" s="59" t="str">
        <f>IFERROR(VLOOKUP(Tabelle32[[#This Row],[Device ID]],BOM!$B$3:$BQ$35,16,FALSE),"")</f>
        <v>R401 HD2 Backup</v>
      </c>
      <c r="M36" s="63" t="str">
        <f>IFERROR(VLOOKUP(Tabelle32[[#This Row],[Device ID]],BOM!$B$3:$BQ$35,17,FALSE),"")</f>
        <v>R401</v>
      </c>
      <c r="N36" s="59" t="str">
        <f>IFERROR(VLOOKUP(Tabelle32[[#This Row],[Device ID]],BOM!$B$3:$BQ$35,18,FALSE),"")</f>
        <v>TC.00.104 | R401</v>
      </c>
      <c r="O36" s="64"/>
      <c r="P36" s="64">
        <f>IFERROR(VLOOKUP(Tabelle32[[#This Row],[Device ID]],BOM!$B$3:$BO$50,20,FALSE),"")</f>
        <v>0</v>
      </c>
      <c r="Q36" s="64">
        <f>IFERROR(VLOOKUP(Tabelle32[[#This Row],[Device ID]],BOM!$B$3:$BO$50,21,FALSE),"")</f>
        <v>1</v>
      </c>
      <c r="R36" s="64">
        <f>IFERROR(VLOOKUP(Tabelle32[[#This Row],[Device ID]],BOM!$B$3:$BO$50,22,FALSE),"")</f>
        <v>0</v>
      </c>
      <c r="S36" s="64"/>
      <c r="T36" s="64"/>
      <c r="U36" s="59" t="str">
        <f>IFERROR(VLOOKUP(Tabelle32[[#This Row],[Device ID]],BOM!$B$3:$BQ$35,25,FALSE),"")</f>
        <v>Luis/Ivo</v>
      </c>
      <c r="V36" s="59" t="str">
        <f>IFERROR(VLOOKUP(Tabelle32[[#This Row],[Device ID]],BOM!$B$3:$BQ$35,26,FALSE),"")</f>
        <v>tpco-megw-vgw103.rta.st-net.media.int</v>
      </c>
      <c r="W36" s="59" t="str">
        <f>IFERROR(VLOOKUP(Tabelle32[[#This Row],[Device ID]],BOM!$B$3:$BQ$35,27,FALSE),"")</f>
        <v>10.120.236.50</v>
      </c>
      <c r="X36" s="59" t="str">
        <f>IFERROR(VLOOKUP(Tabelle32[[#This Row],[Device ID]],BOM!$B$3:$BQ$35,28,FALSE),"")</f>
        <v>AVCoreA</v>
      </c>
      <c r="Y36" s="59" t="str">
        <f>IFERROR(VLOOKUP(Tabelle32[[#This Row],[Device ID]],BOM!$B$3:$BQ$35,29,FALSE),"")</f>
        <v>5_36_1</v>
      </c>
      <c r="Z36" s="59" t="str">
        <f>IFERROR(VLOOKUP(Tabelle32[[#This Row],[Device ID]],BOM!$B$3:$BQ$35,30,FALSE),"")</f>
        <v>tpco-megw-vgw103.rtb.st-net.media.int</v>
      </c>
      <c r="AA36" s="59" t="str">
        <f>IFERROR(VLOOKUP(Tabelle32[[#This Row],[Device ID]],BOM!$B$3:$BQ$35,31,FALSE),"")</f>
        <v>10.120.236.54</v>
      </c>
      <c r="AB36" s="59" t="str">
        <f>IFERROR(VLOOKUP(Tabelle32[[#This Row],[Device ID]],BOM!$B$3:$BQ$35,32,FALSE),"")</f>
        <v>AVCoreB</v>
      </c>
      <c r="AC36" s="59" t="str">
        <f>IFERROR(VLOOKUP(Tabelle32[[#This Row],[Device ID]],BOM!$B$3:$BQ$35,33,FALSE),"")</f>
        <v>5_36_1</v>
      </c>
      <c r="AD36" s="59" t="str">
        <f>IFERROR(VLOOKUP(Tabelle32[[#This Row],[Device ID]],BOM!$B$3:$BQ$35,34,FALSE),"")</f>
        <v>tpco-megw-vgw103.st-net.media.int</v>
      </c>
      <c r="AE36" s="59" t="str">
        <f>IFERROR(VLOOKUP(Tabelle32[[#This Row],[Device ID]],BOM!$B$3:$BQ$35,35,FALSE),"")</f>
        <v>10.120.67.141</v>
      </c>
      <c r="AF36" s="59">
        <f>IFERROR(VLOOKUP(Tabelle32[[#This Row],[Device ID]],BOM!$B$3:$BQ$35,36,FALSE),"")</f>
        <v>0</v>
      </c>
      <c r="AG36" s="59">
        <f>IFERROR(VLOOKUP(Tabelle32[[#This Row],[Device ID]],BOM!$B$3:$BQ$35,37,FALSE),"")</f>
        <v>0</v>
      </c>
      <c r="AH36" s="59"/>
      <c r="AI36" s="59"/>
      <c r="AJ36" s="59"/>
      <c r="AK36" s="59"/>
      <c r="AL36" s="59" t="str">
        <f>IFERROR(VLOOKUP(Tabelle32[[#This Row],[Device ID]],BOM!$B$3:$BQ$35,42,FALSE),"")</f>
        <v>Imagine Communications SNP</v>
      </c>
      <c r="AM36" s="59" t="str">
        <f>IFERROR(VLOOKUP(Tabelle32[[#This Row],[Device ID]],BOM!$B$3:$BQ$35,43,FALSE),"")</f>
        <v>no</v>
      </c>
      <c r="AN36" s="59" t="str">
        <f>IFERROR(VLOOKUP(Tabelle32[[#This Row],[Device ID]],BOM!$B$3:$BQ$35,44,FALSE),"")</f>
        <v>yes</v>
      </c>
      <c r="AO36" s="59" t="str">
        <f>IFERROR(VLOOKUP(Tabelle32[[#This Row],[Device ID]],BOM!$B$3:$BQ$35,45,FALSE),"")</f>
        <v>no</v>
      </c>
      <c r="AP36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36" s="59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73" t="s">
        <v>199</v>
      </c>
      <c r="BI36" s="30" t="str">
        <f>IF(COUNTA(Tabelle32[[#This Row],[Type:Vid_1080i50]:[Type:Anc_Prot]])&gt;0,"x","")</f>
        <v/>
      </c>
      <c r="BJ3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6" s="59"/>
      <c r="BL36" s="59"/>
      <c r="BM36" s="63"/>
      <c r="BN36" s="63"/>
      <c r="BO36" s="105"/>
      <c r="BP36" s="106"/>
      <c r="BQ36" s="63">
        <f>LEN(Tabelle32[[#This Row],[Label 1
GFX-Unit]])</f>
        <v>0</v>
      </c>
      <c r="BR36" s="63"/>
      <c r="BS36" s="63"/>
      <c r="BT36" s="59"/>
      <c r="BU36" s="59"/>
      <c r="BV36" s="59" t="s">
        <v>245</v>
      </c>
      <c r="BW36" s="59" t="s">
        <v>246</v>
      </c>
      <c r="BX36" s="59" t="s">
        <v>295</v>
      </c>
      <c r="BY36" s="59">
        <v>2</v>
      </c>
    </row>
    <row r="37" spans="1:77" hidden="1" x14ac:dyDescent="0.2">
      <c r="A37" s="58" t="str">
        <f>CONCATENATE(Tabelle32[[#This Row],[Device ID]],".",Tabelle32[[#This Row],[Streamcounter]])</f>
        <v>379.02210</v>
      </c>
      <c r="B3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VGW-103_SDI02_AUDsend_0010</v>
      </c>
      <c r="C37" s="60"/>
      <c r="D37" s="61"/>
      <c r="E37" s="62"/>
      <c r="F37" s="59" t="str">
        <f>IFERROR(VLOOKUP(Tabelle32[[#This Row],[Device ID]],BOM!$B$3:$BQ$35,16,FALSE),"")</f>
        <v>R401 HD2 Backup</v>
      </c>
      <c r="G37" s="63">
        <f>VLOOKUP(Tabelle32[[#This Row],[SDI Interface]],BOM!$A$4:$B$35,2,FALSE)</f>
        <v>379</v>
      </c>
      <c r="H37" s="59" t="str">
        <f>BOM!$C$4</f>
        <v>VGW-103</v>
      </c>
      <c r="I37" s="59" t="str">
        <f>IFERROR(VLOOKUP(Tabelle32[[#This Row],[Device ID]],BOM!$B$3:$BQ$35,12,FALSE),"")</f>
        <v>Videoserver</v>
      </c>
      <c r="J37" s="59" t="str">
        <f>IFERROR(VLOOKUP(Tabelle32[[#This Row],[Device ID]],BOM!$B$3:$BQ$35,13,FALSE),"")</f>
        <v>TC.U1.223 | MDC</v>
      </c>
      <c r="K37" s="59" t="str">
        <f>IFERROR(VLOOKUP(Tabelle32[[#This Row],[Device ID]],BOM!$B$3:$BQ$35,14,FALSE),"")</f>
        <v>Imagine Comunications</v>
      </c>
      <c r="L37" s="59" t="str">
        <f>IFERROR(VLOOKUP(Tabelle32[[#This Row],[Device ID]],BOM!$B$3:$BQ$35,16,FALSE),"")</f>
        <v>R401 HD2 Backup</v>
      </c>
      <c r="M37" s="63" t="str">
        <f>IFERROR(VLOOKUP(Tabelle32[[#This Row],[Device ID]],BOM!$B$3:$BQ$35,17,FALSE),"")</f>
        <v>R401</v>
      </c>
      <c r="N37" s="59" t="str">
        <f>IFERROR(VLOOKUP(Tabelle32[[#This Row],[Device ID]],BOM!$B$3:$BQ$35,18,FALSE),"")</f>
        <v>TC.00.104 | R401</v>
      </c>
      <c r="O37" s="64"/>
      <c r="P37" s="64">
        <f>IFERROR(VLOOKUP(Tabelle32[[#This Row],[Device ID]],BOM!$B$3:$BO$50,20,FALSE),"")</f>
        <v>0</v>
      </c>
      <c r="Q37" s="64">
        <f>IFERROR(VLOOKUP(Tabelle32[[#This Row],[Device ID]],BOM!$B$3:$BO$50,21,FALSE),"")</f>
        <v>1</v>
      </c>
      <c r="R37" s="64">
        <f>IFERROR(VLOOKUP(Tabelle32[[#This Row],[Device ID]],BOM!$B$3:$BO$50,22,FALSE),"")</f>
        <v>0</v>
      </c>
      <c r="S37" s="64"/>
      <c r="T37" s="64"/>
      <c r="U37" s="59" t="str">
        <f>IFERROR(VLOOKUP(Tabelle32[[#This Row],[Device ID]],BOM!$B$3:$BQ$35,25,FALSE),"")</f>
        <v>Luis/Ivo</v>
      </c>
      <c r="V37" s="59" t="str">
        <f>IFERROR(VLOOKUP(Tabelle32[[#This Row],[Device ID]],BOM!$B$3:$BQ$35,26,FALSE),"")</f>
        <v>tpco-megw-vgw103.rta.st-net.media.int</v>
      </c>
      <c r="W37" s="59" t="str">
        <f>IFERROR(VLOOKUP(Tabelle32[[#This Row],[Device ID]],BOM!$B$3:$BQ$35,27,FALSE),"")</f>
        <v>10.120.236.50</v>
      </c>
      <c r="X37" s="59" t="str">
        <f>IFERROR(VLOOKUP(Tabelle32[[#This Row],[Device ID]],BOM!$B$3:$BQ$35,28,FALSE),"")</f>
        <v>AVCoreA</v>
      </c>
      <c r="Y37" s="59" t="str">
        <f>IFERROR(VLOOKUP(Tabelle32[[#This Row],[Device ID]],BOM!$B$3:$BQ$35,29,FALSE),"")</f>
        <v>5_36_1</v>
      </c>
      <c r="Z37" s="59" t="str">
        <f>IFERROR(VLOOKUP(Tabelle32[[#This Row],[Device ID]],BOM!$B$3:$BQ$35,30,FALSE),"")</f>
        <v>tpco-megw-vgw103.rtb.st-net.media.int</v>
      </c>
      <c r="AA37" s="59" t="str">
        <f>IFERROR(VLOOKUP(Tabelle32[[#This Row],[Device ID]],BOM!$B$3:$BQ$35,31,FALSE),"")</f>
        <v>10.120.236.54</v>
      </c>
      <c r="AB37" s="59" t="str">
        <f>IFERROR(VLOOKUP(Tabelle32[[#This Row],[Device ID]],BOM!$B$3:$BQ$35,32,FALSE),"")</f>
        <v>AVCoreB</v>
      </c>
      <c r="AC37" s="59" t="str">
        <f>IFERROR(VLOOKUP(Tabelle32[[#This Row],[Device ID]],BOM!$B$3:$BQ$35,33,FALSE),"")</f>
        <v>5_36_1</v>
      </c>
      <c r="AD37" s="59" t="str">
        <f>IFERROR(VLOOKUP(Tabelle32[[#This Row],[Device ID]],BOM!$B$3:$BQ$35,34,FALSE),"")</f>
        <v>tpco-megw-vgw103.st-net.media.int</v>
      </c>
      <c r="AE37" s="59" t="str">
        <f>IFERROR(VLOOKUP(Tabelle32[[#This Row],[Device ID]],BOM!$B$3:$BQ$35,35,FALSE),"")</f>
        <v>10.120.67.141</v>
      </c>
      <c r="AF37" s="59">
        <f>IFERROR(VLOOKUP(Tabelle32[[#This Row],[Device ID]],BOM!$B$3:$BQ$35,36,FALSE),"")</f>
        <v>0</v>
      </c>
      <c r="AG37" s="59">
        <f>IFERROR(VLOOKUP(Tabelle32[[#This Row],[Device ID]],BOM!$B$3:$BQ$35,37,FALSE),"")</f>
        <v>0</v>
      </c>
      <c r="AH37" s="59"/>
      <c r="AI37" s="59"/>
      <c r="AJ37" s="59"/>
      <c r="AK37" s="59"/>
      <c r="AL37" s="59" t="str">
        <f>IFERROR(VLOOKUP(Tabelle32[[#This Row],[Device ID]],BOM!$B$3:$BQ$35,42,FALSE),"")</f>
        <v>Imagine Communications SNP</v>
      </c>
      <c r="AM37" s="59" t="str">
        <f>IFERROR(VLOOKUP(Tabelle32[[#This Row],[Device ID]],BOM!$B$3:$BQ$35,43,FALSE),"")</f>
        <v>no</v>
      </c>
      <c r="AN37" s="59" t="str">
        <f>IFERROR(VLOOKUP(Tabelle32[[#This Row],[Device ID]],BOM!$B$3:$BQ$35,44,FALSE),"")</f>
        <v>yes</v>
      </c>
      <c r="AO37" s="59" t="str">
        <f>IFERROR(VLOOKUP(Tabelle32[[#This Row],[Device ID]],BOM!$B$3:$BQ$35,45,FALSE),"")</f>
        <v>no</v>
      </c>
      <c r="AP37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37" s="59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73" t="s">
        <v>199</v>
      </c>
      <c r="BI37" s="30" t="str">
        <f>IF(COUNTA(Tabelle32[[#This Row],[Type:Vid_1080i50]:[Type:Anc_Prot]])&gt;0,"x","")</f>
        <v/>
      </c>
      <c r="BJ3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7" s="59"/>
      <c r="BL37" s="59"/>
      <c r="BM37" s="63"/>
      <c r="BN37" s="63"/>
      <c r="BO37" s="105"/>
      <c r="BP37" s="106"/>
      <c r="BQ37" s="63">
        <f>LEN(Tabelle32[[#This Row],[Label 1
GFX-Unit]])</f>
        <v>0</v>
      </c>
      <c r="BR37" s="63"/>
      <c r="BS37" s="63"/>
      <c r="BT37" s="59"/>
      <c r="BU37" s="59"/>
      <c r="BV37" s="59" t="s">
        <v>248</v>
      </c>
      <c r="BW37" s="59" t="s">
        <v>249</v>
      </c>
      <c r="BX37" s="59" t="s">
        <v>296</v>
      </c>
      <c r="BY37" s="59">
        <v>2</v>
      </c>
    </row>
    <row r="38" spans="1:77" hidden="1" x14ac:dyDescent="0.2">
      <c r="A38" s="58" t="str">
        <f>CONCATENATE(Tabelle32[[#This Row],[Device ID]],".",Tabelle32[[#This Row],[Streamcounter]])</f>
        <v>379.02211</v>
      </c>
      <c r="B3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VGW-103_SDI02_AUDsend_0011</v>
      </c>
      <c r="C38" s="60"/>
      <c r="D38" s="61"/>
      <c r="E38" s="62"/>
      <c r="F38" s="59" t="str">
        <f>IFERROR(VLOOKUP(Tabelle32[[#This Row],[Device ID]],BOM!$B$3:$BQ$35,16,FALSE),"")</f>
        <v>R401 HD2 Backup</v>
      </c>
      <c r="G38" s="63">
        <f>VLOOKUP(Tabelle32[[#This Row],[SDI Interface]],BOM!$A$4:$B$35,2,FALSE)</f>
        <v>379</v>
      </c>
      <c r="H38" s="59" t="str">
        <f>BOM!$C$4</f>
        <v>VGW-103</v>
      </c>
      <c r="I38" s="59" t="str">
        <f>IFERROR(VLOOKUP(Tabelle32[[#This Row],[Device ID]],BOM!$B$3:$BQ$35,12,FALSE),"")</f>
        <v>Videoserver</v>
      </c>
      <c r="J38" s="59" t="str">
        <f>IFERROR(VLOOKUP(Tabelle32[[#This Row],[Device ID]],BOM!$B$3:$BQ$35,13,FALSE),"")</f>
        <v>TC.U1.223 | MDC</v>
      </c>
      <c r="K38" s="59" t="str">
        <f>IFERROR(VLOOKUP(Tabelle32[[#This Row],[Device ID]],BOM!$B$3:$BQ$35,14,FALSE),"")</f>
        <v>Imagine Comunications</v>
      </c>
      <c r="L38" s="59" t="str">
        <f>IFERROR(VLOOKUP(Tabelle32[[#This Row],[Device ID]],BOM!$B$3:$BQ$35,16,FALSE),"")</f>
        <v>R401 HD2 Backup</v>
      </c>
      <c r="M38" s="63" t="str">
        <f>IFERROR(VLOOKUP(Tabelle32[[#This Row],[Device ID]],BOM!$B$3:$BQ$35,17,FALSE),"")</f>
        <v>R401</v>
      </c>
      <c r="N38" s="59" t="str">
        <f>IFERROR(VLOOKUP(Tabelle32[[#This Row],[Device ID]],BOM!$B$3:$BQ$35,18,FALSE),"")</f>
        <v>TC.00.104 | R401</v>
      </c>
      <c r="O38" s="64"/>
      <c r="P38" s="64">
        <f>IFERROR(VLOOKUP(Tabelle32[[#This Row],[Device ID]],BOM!$B$3:$BO$50,20,FALSE),"")</f>
        <v>0</v>
      </c>
      <c r="Q38" s="64">
        <f>IFERROR(VLOOKUP(Tabelle32[[#This Row],[Device ID]],BOM!$B$3:$BO$50,21,FALSE),"")</f>
        <v>1</v>
      </c>
      <c r="R38" s="64">
        <f>IFERROR(VLOOKUP(Tabelle32[[#This Row],[Device ID]],BOM!$B$3:$BO$50,22,FALSE),"")</f>
        <v>0</v>
      </c>
      <c r="S38" s="64"/>
      <c r="T38" s="64"/>
      <c r="U38" s="59" t="str">
        <f>IFERROR(VLOOKUP(Tabelle32[[#This Row],[Device ID]],BOM!$B$3:$BQ$35,25,FALSE),"")</f>
        <v>Luis/Ivo</v>
      </c>
      <c r="V38" s="59" t="str">
        <f>IFERROR(VLOOKUP(Tabelle32[[#This Row],[Device ID]],BOM!$B$3:$BQ$35,26,FALSE),"")</f>
        <v>tpco-megw-vgw103.rta.st-net.media.int</v>
      </c>
      <c r="W38" s="59" t="str">
        <f>IFERROR(VLOOKUP(Tabelle32[[#This Row],[Device ID]],BOM!$B$3:$BQ$35,27,FALSE),"")</f>
        <v>10.120.236.50</v>
      </c>
      <c r="X38" s="59" t="str">
        <f>IFERROR(VLOOKUP(Tabelle32[[#This Row],[Device ID]],BOM!$B$3:$BQ$35,28,FALSE),"")</f>
        <v>AVCoreA</v>
      </c>
      <c r="Y38" s="59" t="str">
        <f>IFERROR(VLOOKUP(Tabelle32[[#This Row],[Device ID]],BOM!$B$3:$BQ$35,29,FALSE),"")</f>
        <v>5_36_1</v>
      </c>
      <c r="Z38" s="59" t="str">
        <f>IFERROR(VLOOKUP(Tabelle32[[#This Row],[Device ID]],BOM!$B$3:$BQ$35,30,FALSE),"")</f>
        <v>tpco-megw-vgw103.rtb.st-net.media.int</v>
      </c>
      <c r="AA38" s="59" t="str">
        <f>IFERROR(VLOOKUP(Tabelle32[[#This Row],[Device ID]],BOM!$B$3:$BQ$35,31,FALSE),"")</f>
        <v>10.120.236.54</v>
      </c>
      <c r="AB38" s="59" t="str">
        <f>IFERROR(VLOOKUP(Tabelle32[[#This Row],[Device ID]],BOM!$B$3:$BQ$35,32,FALSE),"")</f>
        <v>AVCoreB</v>
      </c>
      <c r="AC38" s="59" t="str">
        <f>IFERROR(VLOOKUP(Tabelle32[[#This Row],[Device ID]],BOM!$B$3:$BQ$35,33,FALSE),"")</f>
        <v>5_36_1</v>
      </c>
      <c r="AD38" s="59" t="str">
        <f>IFERROR(VLOOKUP(Tabelle32[[#This Row],[Device ID]],BOM!$B$3:$BQ$35,34,FALSE),"")</f>
        <v>tpco-megw-vgw103.st-net.media.int</v>
      </c>
      <c r="AE38" s="59" t="str">
        <f>IFERROR(VLOOKUP(Tabelle32[[#This Row],[Device ID]],BOM!$B$3:$BQ$35,35,FALSE),"")</f>
        <v>10.120.67.141</v>
      </c>
      <c r="AF38" s="59">
        <f>IFERROR(VLOOKUP(Tabelle32[[#This Row],[Device ID]],BOM!$B$3:$BQ$35,36,FALSE),"")</f>
        <v>0</v>
      </c>
      <c r="AG38" s="59">
        <f>IFERROR(VLOOKUP(Tabelle32[[#This Row],[Device ID]],BOM!$B$3:$BQ$35,37,FALSE),"")</f>
        <v>0</v>
      </c>
      <c r="AH38" s="59"/>
      <c r="AI38" s="59"/>
      <c r="AJ38" s="59"/>
      <c r="AK38" s="59"/>
      <c r="AL38" s="59" t="str">
        <f>IFERROR(VLOOKUP(Tabelle32[[#This Row],[Device ID]],BOM!$B$3:$BQ$35,42,FALSE),"")</f>
        <v>Imagine Communications SNP</v>
      </c>
      <c r="AM38" s="59" t="str">
        <f>IFERROR(VLOOKUP(Tabelle32[[#This Row],[Device ID]],BOM!$B$3:$BQ$35,43,FALSE),"")</f>
        <v>no</v>
      </c>
      <c r="AN38" s="59" t="str">
        <f>IFERROR(VLOOKUP(Tabelle32[[#This Row],[Device ID]],BOM!$B$3:$BQ$35,44,FALSE),"")</f>
        <v>yes</v>
      </c>
      <c r="AO38" s="59" t="str">
        <f>IFERROR(VLOOKUP(Tabelle32[[#This Row],[Device ID]],BOM!$B$3:$BQ$35,45,FALSE),"")</f>
        <v>no</v>
      </c>
      <c r="AP38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38" s="59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73" t="s">
        <v>199</v>
      </c>
      <c r="BI38" s="30" t="str">
        <f>IF(COUNTA(Tabelle32[[#This Row],[Type:Vid_1080i50]:[Type:Anc_Prot]])&gt;0,"x","")</f>
        <v/>
      </c>
      <c r="BJ38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8" s="59"/>
      <c r="BL38" s="59"/>
      <c r="BM38" s="63"/>
      <c r="BN38" s="63"/>
      <c r="BO38" s="105"/>
      <c r="BP38" s="106"/>
      <c r="BQ38" s="63">
        <f>LEN(Tabelle32[[#This Row],[Label 1
GFX-Unit]])</f>
        <v>0</v>
      </c>
      <c r="BR38" s="63"/>
      <c r="BS38" s="63"/>
      <c r="BT38" s="59"/>
      <c r="BU38" s="59"/>
      <c r="BV38" s="59" t="s">
        <v>251</v>
      </c>
      <c r="BW38" s="59" t="s">
        <v>252</v>
      </c>
      <c r="BX38" s="59" t="s">
        <v>297</v>
      </c>
      <c r="BY38" s="59">
        <v>2</v>
      </c>
    </row>
    <row r="39" spans="1:77" hidden="1" x14ac:dyDescent="0.2">
      <c r="A39" s="58" t="str">
        <f>CONCATENATE(Tabelle32[[#This Row],[Device ID]],".",Tabelle32[[#This Row],[Streamcounter]])</f>
        <v>379.02212</v>
      </c>
      <c r="B3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VGW-103_SDI02_AUDsend_0012</v>
      </c>
      <c r="C39" s="60"/>
      <c r="D39" s="61"/>
      <c r="E39" s="62"/>
      <c r="F39" s="59" t="str">
        <f>IFERROR(VLOOKUP(Tabelle32[[#This Row],[Device ID]],BOM!$B$3:$BQ$35,16,FALSE),"")</f>
        <v>R401 HD2 Backup</v>
      </c>
      <c r="G39" s="63">
        <f>VLOOKUP(Tabelle32[[#This Row],[SDI Interface]],BOM!$A$4:$B$35,2,FALSE)</f>
        <v>379</v>
      </c>
      <c r="H39" s="59" t="str">
        <f>BOM!$C$4</f>
        <v>VGW-103</v>
      </c>
      <c r="I39" s="59" t="str">
        <f>IFERROR(VLOOKUP(Tabelle32[[#This Row],[Device ID]],BOM!$B$3:$BQ$35,12,FALSE),"")</f>
        <v>Videoserver</v>
      </c>
      <c r="J39" s="59" t="str">
        <f>IFERROR(VLOOKUP(Tabelle32[[#This Row],[Device ID]],BOM!$B$3:$BQ$35,13,FALSE),"")</f>
        <v>TC.U1.223 | MDC</v>
      </c>
      <c r="K39" s="59" t="str">
        <f>IFERROR(VLOOKUP(Tabelle32[[#This Row],[Device ID]],BOM!$B$3:$BQ$35,14,FALSE),"")</f>
        <v>Imagine Comunications</v>
      </c>
      <c r="L39" s="59" t="str">
        <f>IFERROR(VLOOKUP(Tabelle32[[#This Row],[Device ID]],BOM!$B$3:$BQ$35,16,FALSE),"")</f>
        <v>R401 HD2 Backup</v>
      </c>
      <c r="M39" s="63" t="str">
        <f>IFERROR(VLOOKUP(Tabelle32[[#This Row],[Device ID]],BOM!$B$3:$BQ$35,17,FALSE),"")</f>
        <v>R401</v>
      </c>
      <c r="N39" s="59" t="str">
        <f>IFERROR(VLOOKUP(Tabelle32[[#This Row],[Device ID]],BOM!$B$3:$BQ$35,18,FALSE),"")</f>
        <v>TC.00.104 | R401</v>
      </c>
      <c r="O39" s="64"/>
      <c r="P39" s="64">
        <f>IFERROR(VLOOKUP(Tabelle32[[#This Row],[Device ID]],BOM!$B$3:$BO$50,20,FALSE),"")</f>
        <v>0</v>
      </c>
      <c r="Q39" s="64">
        <f>IFERROR(VLOOKUP(Tabelle32[[#This Row],[Device ID]],BOM!$B$3:$BO$50,21,FALSE),"")</f>
        <v>1</v>
      </c>
      <c r="R39" s="64">
        <f>IFERROR(VLOOKUP(Tabelle32[[#This Row],[Device ID]],BOM!$B$3:$BO$50,22,FALSE),"")</f>
        <v>0</v>
      </c>
      <c r="S39" s="64"/>
      <c r="T39" s="64"/>
      <c r="U39" s="59" t="str">
        <f>IFERROR(VLOOKUP(Tabelle32[[#This Row],[Device ID]],BOM!$B$3:$BQ$35,25,FALSE),"")</f>
        <v>Luis/Ivo</v>
      </c>
      <c r="V39" s="59" t="str">
        <f>IFERROR(VLOOKUP(Tabelle32[[#This Row],[Device ID]],BOM!$B$3:$BQ$35,26,FALSE),"")</f>
        <v>tpco-megw-vgw103.rta.st-net.media.int</v>
      </c>
      <c r="W39" s="59" t="str">
        <f>IFERROR(VLOOKUP(Tabelle32[[#This Row],[Device ID]],BOM!$B$3:$BQ$35,27,FALSE),"")</f>
        <v>10.120.236.50</v>
      </c>
      <c r="X39" s="59" t="str">
        <f>IFERROR(VLOOKUP(Tabelle32[[#This Row],[Device ID]],BOM!$B$3:$BQ$35,28,FALSE),"")</f>
        <v>AVCoreA</v>
      </c>
      <c r="Y39" s="59" t="str">
        <f>IFERROR(VLOOKUP(Tabelle32[[#This Row],[Device ID]],BOM!$B$3:$BQ$35,29,FALSE),"")</f>
        <v>5_36_1</v>
      </c>
      <c r="Z39" s="59" t="str">
        <f>IFERROR(VLOOKUP(Tabelle32[[#This Row],[Device ID]],BOM!$B$3:$BQ$35,30,FALSE),"")</f>
        <v>tpco-megw-vgw103.rtb.st-net.media.int</v>
      </c>
      <c r="AA39" s="59" t="str">
        <f>IFERROR(VLOOKUP(Tabelle32[[#This Row],[Device ID]],BOM!$B$3:$BQ$35,31,FALSE),"")</f>
        <v>10.120.236.54</v>
      </c>
      <c r="AB39" s="59" t="str">
        <f>IFERROR(VLOOKUP(Tabelle32[[#This Row],[Device ID]],BOM!$B$3:$BQ$35,32,FALSE),"")</f>
        <v>AVCoreB</v>
      </c>
      <c r="AC39" s="59" t="str">
        <f>IFERROR(VLOOKUP(Tabelle32[[#This Row],[Device ID]],BOM!$B$3:$BQ$35,33,FALSE),"")</f>
        <v>5_36_1</v>
      </c>
      <c r="AD39" s="59" t="str">
        <f>IFERROR(VLOOKUP(Tabelle32[[#This Row],[Device ID]],BOM!$B$3:$BQ$35,34,FALSE),"")</f>
        <v>tpco-megw-vgw103.st-net.media.int</v>
      </c>
      <c r="AE39" s="59" t="str">
        <f>IFERROR(VLOOKUP(Tabelle32[[#This Row],[Device ID]],BOM!$B$3:$BQ$35,35,FALSE),"")</f>
        <v>10.120.67.141</v>
      </c>
      <c r="AF39" s="59">
        <f>IFERROR(VLOOKUP(Tabelle32[[#This Row],[Device ID]],BOM!$B$3:$BQ$35,36,FALSE),"")</f>
        <v>0</v>
      </c>
      <c r="AG39" s="59">
        <f>IFERROR(VLOOKUP(Tabelle32[[#This Row],[Device ID]],BOM!$B$3:$BQ$35,37,FALSE),"")</f>
        <v>0</v>
      </c>
      <c r="AH39" s="59"/>
      <c r="AI39" s="59"/>
      <c r="AJ39" s="59"/>
      <c r="AK39" s="59"/>
      <c r="AL39" s="59" t="str">
        <f>IFERROR(VLOOKUP(Tabelle32[[#This Row],[Device ID]],BOM!$B$3:$BQ$35,42,FALSE),"")</f>
        <v>Imagine Communications SNP</v>
      </c>
      <c r="AM39" s="59" t="str">
        <f>IFERROR(VLOOKUP(Tabelle32[[#This Row],[Device ID]],BOM!$B$3:$BQ$35,43,FALSE),"")</f>
        <v>no</v>
      </c>
      <c r="AN39" s="59" t="str">
        <f>IFERROR(VLOOKUP(Tabelle32[[#This Row],[Device ID]],BOM!$B$3:$BQ$35,44,FALSE),"")</f>
        <v>yes</v>
      </c>
      <c r="AO39" s="59" t="str">
        <f>IFERROR(VLOOKUP(Tabelle32[[#This Row],[Device ID]],BOM!$B$3:$BQ$35,45,FALSE),"")</f>
        <v>no</v>
      </c>
      <c r="AP39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39" s="59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73" t="s">
        <v>199</v>
      </c>
      <c r="BI39" s="30" t="str">
        <f>IF(COUNTA(Tabelle32[[#This Row],[Type:Vid_1080i50]:[Type:Anc_Prot]])&gt;0,"x","")</f>
        <v/>
      </c>
      <c r="BJ39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9" s="59"/>
      <c r="BL39" s="59"/>
      <c r="BM39" s="63"/>
      <c r="BN39" s="63"/>
      <c r="BO39" s="105"/>
      <c r="BP39" s="106"/>
      <c r="BQ39" s="63">
        <f>LEN(Tabelle32[[#This Row],[Label 1
GFX-Unit]])</f>
        <v>0</v>
      </c>
      <c r="BR39" s="63"/>
      <c r="BS39" s="63"/>
      <c r="BT39" s="59"/>
      <c r="BU39" s="59"/>
      <c r="BV39" s="59" t="s">
        <v>254</v>
      </c>
      <c r="BW39" s="59" t="s">
        <v>255</v>
      </c>
      <c r="BX39" s="59" t="s">
        <v>298</v>
      </c>
      <c r="BY39" s="59">
        <v>2</v>
      </c>
    </row>
    <row r="40" spans="1:77" hidden="1" x14ac:dyDescent="0.2">
      <c r="A40" s="58" t="str">
        <f>CONCATENATE(Tabelle32[[#This Row],[Device ID]],".",Tabelle32[[#This Row],[Streamcounter]])</f>
        <v>379.02213</v>
      </c>
      <c r="B4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VGW-103_SDI02_AUDsend_0013</v>
      </c>
      <c r="C40" s="60"/>
      <c r="D40" s="61"/>
      <c r="E40" s="62"/>
      <c r="F40" s="59" t="str">
        <f>IFERROR(VLOOKUP(Tabelle32[[#This Row],[Device ID]],BOM!$B$3:$BQ$35,16,FALSE),"")</f>
        <v>R401 HD2 Backup</v>
      </c>
      <c r="G40" s="63">
        <f>VLOOKUP(Tabelle32[[#This Row],[SDI Interface]],BOM!$A$4:$B$35,2,FALSE)</f>
        <v>379</v>
      </c>
      <c r="H40" s="59" t="str">
        <f>BOM!$C$4</f>
        <v>VGW-103</v>
      </c>
      <c r="I40" s="59" t="str">
        <f>IFERROR(VLOOKUP(Tabelle32[[#This Row],[Device ID]],BOM!$B$3:$BQ$35,12,FALSE),"")</f>
        <v>Videoserver</v>
      </c>
      <c r="J40" s="59" t="str">
        <f>IFERROR(VLOOKUP(Tabelle32[[#This Row],[Device ID]],BOM!$B$3:$BQ$35,13,FALSE),"")</f>
        <v>TC.U1.223 | MDC</v>
      </c>
      <c r="K40" s="59" t="str">
        <f>IFERROR(VLOOKUP(Tabelle32[[#This Row],[Device ID]],BOM!$B$3:$BQ$35,14,FALSE),"")</f>
        <v>Imagine Comunications</v>
      </c>
      <c r="L40" s="59" t="str">
        <f>IFERROR(VLOOKUP(Tabelle32[[#This Row],[Device ID]],BOM!$B$3:$BQ$35,16,FALSE),"")</f>
        <v>R401 HD2 Backup</v>
      </c>
      <c r="M40" s="63" t="str">
        <f>IFERROR(VLOOKUP(Tabelle32[[#This Row],[Device ID]],BOM!$B$3:$BQ$35,17,FALSE),"")</f>
        <v>R401</v>
      </c>
      <c r="N40" s="59" t="str">
        <f>IFERROR(VLOOKUP(Tabelle32[[#This Row],[Device ID]],BOM!$B$3:$BQ$35,18,FALSE),"")</f>
        <v>TC.00.104 | R401</v>
      </c>
      <c r="O40" s="64"/>
      <c r="P40" s="64">
        <f>IFERROR(VLOOKUP(Tabelle32[[#This Row],[Device ID]],BOM!$B$3:$BO$50,20,FALSE),"")</f>
        <v>0</v>
      </c>
      <c r="Q40" s="64">
        <f>IFERROR(VLOOKUP(Tabelle32[[#This Row],[Device ID]],BOM!$B$3:$BO$50,21,FALSE),"")</f>
        <v>1</v>
      </c>
      <c r="R40" s="64">
        <f>IFERROR(VLOOKUP(Tabelle32[[#This Row],[Device ID]],BOM!$B$3:$BO$50,22,FALSE),"")</f>
        <v>0</v>
      </c>
      <c r="S40" s="64"/>
      <c r="T40" s="64"/>
      <c r="U40" s="59" t="str">
        <f>IFERROR(VLOOKUP(Tabelle32[[#This Row],[Device ID]],BOM!$B$3:$BQ$35,25,FALSE),"")</f>
        <v>Luis/Ivo</v>
      </c>
      <c r="V40" s="59" t="str">
        <f>IFERROR(VLOOKUP(Tabelle32[[#This Row],[Device ID]],BOM!$B$3:$BQ$35,26,FALSE),"")</f>
        <v>tpco-megw-vgw103.rta.st-net.media.int</v>
      </c>
      <c r="W40" s="59" t="str">
        <f>IFERROR(VLOOKUP(Tabelle32[[#This Row],[Device ID]],BOM!$B$3:$BQ$35,27,FALSE),"")</f>
        <v>10.120.236.50</v>
      </c>
      <c r="X40" s="59" t="str">
        <f>IFERROR(VLOOKUP(Tabelle32[[#This Row],[Device ID]],BOM!$B$3:$BQ$35,28,FALSE),"")</f>
        <v>AVCoreA</v>
      </c>
      <c r="Y40" s="59" t="str">
        <f>IFERROR(VLOOKUP(Tabelle32[[#This Row],[Device ID]],BOM!$B$3:$BQ$35,29,FALSE),"")</f>
        <v>5_36_1</v>
      </c>
      <c r="Z40" s="59" t="str">
        <f>IFERROR(VLOOKUP(Tabelle32[[#This Row],[Device ID]],BOM!$B$3:$BQ$35,30,FALSE),"")</f>
        <v>tpco-megw-vgw103.rtb.st-net.media.int</v>
      </c>
      <c r="AA40" s="59" t="str">
        <f>IFERROR(VLOOKUP(Tabelle32[[#This Row],[Device ID]],BOM!$B$3:$BQ$35,31,FALSE),"")</f>
        <v>10.120.236.54</v>
      </c>
      <c r="AB40" s="59" t="str">
        <f>IFERROR(VLOOKUP(Tabelle32[[#This Row],[Device ID]],BOM!$B$3:$BQ$35,32,FALSE),"")</f>
        <v>AVCoreB</v>
      </c>
      <c r="AC40" s="59" t="str">
        <f>IFERROR(VLOOKUP(Tabelle32[[#This Row],[Device ID]],BOM!$B$3:$BQ$35,33,FALSE),"")</f>
        <v>5_36_1</v>
      </c>
      <c r="AD40" s="59" t="str">
        <f>IFERROR(VLOOKUP(Tabelle32[[#This Row],[Device ID]],BOM!$B$3:$BQ$35,34,FALSE),"")</f>
        <v>tpco-megw-vgw103.st-net.media.int</v>
      </c>
      <c r="AE40" s="59" t="str">
        <f>IFERROR(VLOOKUP(Tabelle32[[#This Row],[Device ID]],BOM!$B$3:$BQ$35,35,FALSE),"")</f>
        <v>10.120.67.141</v>
      </c>
      <c r="AF40" s="59">
        <f>IFERROR(VLOOKUP(Tabelle32[[#This Row],[Device ID]],BOM!$B$3:$BQ$35,36,FALSE),"")</f>
        <v>0</v>
      </c>
      <c r="AG40" s="59">
        <f>IFERROR(VLOOKUP(Tabelle32[[#This Row],[Device ID]],BOM!$B$3:$BQ$35,37,FALSE),"")</f>
        <v>0</v>
      </c>
      <c r="AH40" s="59"/>
      <c r="AI40" s="59"/>
      <c r="AJ40" s="59"/>
      <c r="AK40" s="59"/>
      <c r="AL40" s="59" t="str">
        <f>IFERROR(VLOOKUP(Tabelle32[[#This Row],[Device ID]],BOM!$B$3:$BQ$35,42,FALSE),"")</f>
        <v>Imagine Communications SNP</v>
      </c>
      <c r="AM40" s="59" t="str">
        <f>IFERROR(VLOOKUP(Tabelle32[[#This Row],[Device ID]],BOM!$B$3:$BQ$35,43,FALSE),"")</f>
        <v>no</v>
      </c>
      <c r="AN40" s="59" t="str">
        <f>IFERROR(VLOOKUP(Tabelle32[[#This Row],[Device ID]],BOM!$B$3:$BQ$35,44,FALSE),"")</f>
        <v>yes</v>
      </c>
      <c r="AO40" s="59" t="str">
        <f>IFERROR(VLOOKUP(Tabelle32[[#This Row],[Device ID]],BOM!$B$3:$BQ$35,45,FALSE),"")</f>
        <v>no</v>
      </c>
      <c r="AP40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40" s="59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73" t="s">
        <v>199</v>
      </c>
      <c r="BI40" s="30" t="str">
        <f>IF(COUNTA(Tabelle32[[#This Row],[Type:Vid_1080i50]:[Type:Anc_Prot]])&gt;0,"x","")</f>
        <v/>
      </c>
      <c r="BJ40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0" s="59"/>
      <c r="BL40" s="59"/>
      <c r="BM40" s="63"/>
      <c r="BN40" s="63"/>
      <c r="BO40" s="105"/>
      <c r="BP40" s="106"/>
      <c r="BQ40" s="63">
        <f>LEN(Tabelle32[[#This Row],[Label 1
GFX-Unit]])</f>
        <v>0</v>
      </c>
      <c r="BR40" s="63"/>
      <c r="BS40" s="63"/>
      <c r="BT40" s="59"/>
      <c r="BU40" s="59"/>
      <c r="BV40" s="59" t="s">
        <v>257</v>
      </c>
      <c r="BW40" s="59" t="s">
        <v>258</v>
      </c>
      <c r="BX40" s="59" t="s">
        <v>299</v>
      </c>
      <c r="BY40" s="59">
        <v>2</v>
      </c>
    </row>
    <row r="41" spans="1:77" hidden="1" x14ac:dyDescent="0.2">
      <c r="A41" s="58" t="str">
        <f>CONCATENATE(Tabelle32[[#This Row],[Device ID]],".",Tabelle32[[#This Row],[Streamcounter]])</f>
        <v>379.02214</v>
      </c>
      <c r="B4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VGW-103_SDI02_AUDsend_0014</v>
      </c>
      <c r="C41" s="60"/>
      <c r="D41" s="61"/>
      <c r="E41" s="62"/>
      <c r="F41" s="59" t="str">
        <f>IFERROR(VLOOKUP(Tabelle32[[#This Row],[Device ID]],BOM!$B$3:$BQ$35,16,FALSE),"")</f>
        <v>R401 HD2 Backup</v>
      </c>
      <c r="G41" s="63">
        <f>VLOOKUP(Tabelle32[[#This Row],[SDI Interface]],BOM!$A$4:$B$35,2,FALSE)</f>
        <v>379</v>
      </c>
      <c r="H41" s="59" t="str">
        <f>BOM!$C$4</f>
        <v>VGW-103</v>
      </c>
      <c r="I41" s="59" t="str">
        <f>IFERROR(VLOOKUP(Tabelle32[[#This Row],[Device ID]],BOM!$B$3:$BQ$35,12,FALSE),"")</f>
        <v>Videoserver</v>
      </c>
      <c r="J41" s="59" t="str">
        <f>IFERROR(VLOOKUP(Tabelle32[[#This Row],[Device ID]],BOM!$B$3:$BQ$35,13,FALSE),"")</f>
        <v>TC.U1.223 | MDC</v>
      </c>
      <c r="K41" s="59" t="str">
        <f>IFERROR(VLOOKUP(Tabelle32[[#This Row],[Device ID]],BOM!$B$3:$BQ$35,14,FALSE),"")</f>
        <v>Imagine Comunications</v>
      </c>
      <c r="L41" s="59" t="str">
        <f>IFERROR(VLOOKUP(Tabelle32[[#This Row],[Device ID]],BOM!$B$3:$BQ$35,16,FALSE),"")</f>
        <v>R401 HD2 Backup</v>
      </c>
      <c r="M41" s="63" t="str">
        <f>IFERROR(VLOOKUP(Tabelle32[[#This Row],[Device ID]],BOM!$B$3:$BQ$35,17,FALSE),"")</f>
        <v>R401</v>
      </c>
      <c r="N41" s="59" t="str">
        <f>IFERROR(VLOOKUP(Tabelle32[[#This Row],[Device ID]],BOM!$B$3:$BQ$35,18,FALSE),"")</f>
        <v>TC.00.104 | R401</v>
      </c>
      <c r="O41" s="64"/>
      <c r="P41" s="64">
        <f>IFERROR(VLOOKUP(Tabelle32[[#This Row],[Device ID]],BOM!$B$3:$BO$50,20,FALSE),"")</f>
        <v>0</v>
      </c>
      <c r="Q41" s="64">
        <f>IFERROR(VLOOKUP(Tabelle32[[#This Row],[Device ID]],BOM!$B$3:$BO$50,21,FALSE),"")</f>
        <v>1</v>
      </c>
      <c r="R41" s="64">
        <f>IFERROR(VLOOKUP(Tabelle32[[#This Row],[Device ID]],BOM!$B$3:$BO$50,22,FALSE),"")</f>
        <v>0</v>
      </c>
      <c r="S41" s="64"/>
      <c r="T41" s="64"/>
      <c r="U41" s="59" t="str">
        <f>IFERROR(VLOOKUP(Tabelle32[[#This Row],[Device ID]],BOM!$B$3:$BQ$35,25,FALSE),"")</f>
        <v>Luis/Ivo</v>
      </c>
      <c r="V41" s="59" t="str">
        <f>IFERROR(VLOOKUP(Tabelle32[[#This Row],[Device ID]],BOM!$B$3:$BQ$35,26,FALSE),"")</f>
        <v>tpco-megw-vgw103.rta.st-net.media.int</v>
      </c>
      <c r="W41" s="59" t="str">
        <f>IFERROR(VLOOKUP(Tabelle32[[#This Row],[Device ID]],BOM!$B$3:$BQ$35,27,FALSE),"")</f>
        <v>10.120.236.50</v>
      </c>
      <c r="X41" s="59" t="str">
        <f>IFERROR(VLOOKUP(Tabelle32[[#This Row],[Device ID]],BOM!$B$3:$BQ$35,28,FALSE),"")</f>
        <v>AVCoreA</v>
      </c>
      <c r="Y41" s="59" t="str">
        <f>IFERROR(VLOOKUP(Tabelle32[[#This Row],[Device ID]],BOM!$B$3:$BQ$35,29,FALSE),"")</f>
        <v>5_36_1</v>
      </c>
      <c r="Z41" s="59" t="str">
        <f>IFERROR(VLOOKUP(Tabelle32[[#This Row],[Device ID]],BOM!$B$3:$BQ$35,30,FALSE),"")</f>
        <v>tpco-megw-vgw103.rtb.st-net.media.int</v>
      </c>
      <c r="AA41" s="59" t="str">
        <f>IFERROR(VLOOKUP(Tabelle32[[#This Row],[Device ID]],BOM!$B$3:$BQ$35,31,FALSE),"")</f>
        <v>10.120.236.54</v>
      </c>
      <c r="AB41" s="59" t="str">
        <f>IFERROR(VLOOKUP(Tabelle32[[#This Row],[Device ID]],BOM!$B$3:$BQ$35,32,FALSE),"")</f>
        <v>AVCoreB</v>
      </c>
      <c r="AC41" s="59" t="str">
        <f>IFERROR(VLOOKUP(Tabelle32[[#This Row],[Device ID]],BOM!$B$3:$BQ$35,33,FALSE),"")</f>
        <v>5_36_1</v>
      </c>
      <c r="AD41" s="59" t="str">
        <f>IFERROR(VLOOKUP(Tabelle32[[#This Row],[Device ID]],BOM!$B$3:$BQ$35,34,FALSE),"")</f>
        <v>tpco-megw-vgw103.st-net.media.int</v>
      </c>
      <c r="AE41" s="59" t="str">
        <f>IFERROR(VLOOKUP(Tabelle32[[#This Row],[Device ID]],BOM!$B$3:$BQ$35,35,FALSE),"")</f>
        <v>10.120.67.141</v>
      </c>
      <c r="AF41" s="59">
        <f>IFERROR(VLOOKUP(Tabelle32[[#This Row],[Device ID]],BOM!$B$3:$BQ$35,36,FALSE),"")</f>
        <v>0</v>
      </c>
      <c r="AG41" s="59">
        <f>IFERROR(VLOOKUP(Tabelle32[[#This Row],[Device ID]],BOM!$B$3:$BQ$35,37,FALSE),"")</f>
        <v>0</v>
      </c>
      <c r="AH41" s="59"/>
      <c r="AI41" s="59"/>
      <c r="AJ41" s="59"/>
      <c r="AK41" s="59"/>
      <c r="AL41" s="59" t="str">
        <f>IFERROR(VLOOKUP(Tabelle32[[#This Row],[Device ID]],BOM!$B$3:$BQ$35,42,FALSE),"")</f>
        <v>Imagine Communications SNP</v>
      </c>
      <c r="AM41" s="59" t="str">
        <f>IFERROR(VLOOKUP(Tabelle32[[#This Row],[Device ID]],BOM!$B$3:$BQ$35,43,FALSE),"")</f>
        <v>no</v>
      </c>
      <c r="AN41" s="59" t="str">
        <f>IFERROR(VLOOKUP(Tabelle32[[#This Row],[Device ID]],BOM!$B$3:$BQ$35,44,FALSE),"")</f>
        <v>yes</v>
      </c>
      <c r="AO41" s="59" t="str">
        <f>IFERROR(VLOOKUP(Tabelle32[[#This Row],[Device ID]],BOM!$B$3:$BQ$35,45,FALSE),"")</f>
        <v>no</v>
      </c>
      <c r="AP41" s="59" t="str">
        <f>IFERROR(CONCATENATE(Tabelle32[[#This Row],[Family
GFX-Unit]]," | ",Tabelle32[[#This Row],[Label 1
GFX-Unit]]," | ",Tabelle32[[#This Row],[Attached Device if Gateway]]),"")</f>
        <v xml:space="preserve"> |  | R401 HD2 Backup</v>
      </c>
      <c r="AQ41" s="59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73" t="s">
        <v>199</v>
      </c>
      <c r="BI41" s="30" t="str">
        <f>IF(COUNTA(Tabelle32[[#This Row],[Type:Vid_1080i50]:[Type:Anc_Prot]])&gt;0,"x","")</f>
        <v/>
      </c>
      <c r="BJ41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1" s="59"/>
      <c r="BL41" s="59"/>
      <c r="BM41" s="63"/>
      <c r="BN41" s="63"/>
      <c r="BO41" s="105"/>
      <c r="BP41" s="106"/>
      <c r="BQ41" s="63">
        <f>LEN(Tabelle32[[#This Row],[Label 1
GFX-Unit]])</f>
        <v>0</v>
      </c>
      <c r="BR41" s="63"/>
      <c r="BS41" s="63"/>
      <c r="BT41" s="59"/>
      <c r="BU41" s="59"/>
      <c r="BV41" s="59" t="s">
        <v>260</v>
      </c>
      <c r="BW41" s="59" t="s">
        <v>261</v>
      </c>
      <c r="BX41" s="59" t="s">
        <v>300</v>
      </c>
      <c r="BY41" s="59">
        <v>2</v>
      </c>
    </row>
    <row r="42" spans="1:77" x14ac:dyDescent="0.2">
      <c r="A42" s="58" t="str">
        <f>CONCATENATE(Tabelle32[[#This Row],[Device ID]],".",Tabelle32[[#This Row],[Streamcounter]])</f>
        <v>379.02215</v>
      </c>
      <c r="B4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VGW-103_SDI02_AUDsend_0015</v>
      </c>
      <c r="C42" s="60"/>
      <c r="D42" s="61"/>
      <c r="E42" s="62"/>
      <c r="F42" s="59" t="str">
        <f>IFERROR(VLOOKUP(Tabelle32[[#This Row],[Device ID]],BOM!$B$3:$BQ$35,16,FALSE),"")</f>
        <v>R401 HD2 Backup</v>
      </c>
      <c r="G42" s="63">
        <f>VLOOKUP(Tabelle32[[#This Row],[SDI Interface]],BOM!$A$4:$B$35,2,FALSE)</f>
        <v>379</v>
      </c>
      <c r="H42" s="59" t="str">
        <f>BOM!$C$4</f>
        <v>VGW-103</v>
      </c>
      <c r="I42" s="59" t="str">
        <f>IFERROR(VLOOKUP(Tabelle32[[#This Row],[Device ID]],BOM!$B$3:$BQ$35,12,FALSE),"")</f>
        <v>Videoserver</v>
      </c>
      <c r="J42" s="59" t="str">
        <f>IFERROR(VLOOKUP(Tabelle32[[#This Row],[Device ID]],BOM!$B$3:$BQ$35,13,FALSE),"")</f>
        <v>TC.U1.223 | MDC</v>
      </c>
      <c r="K42" s="59" t="str">
        <f>IFERROR(VLOOKUP(Tabelle32[[#This Row],[Device ID]],BOM!$B$3:$BQ$35,14,FALSE),"")</f>
        <v>Imagine Comunications</v>
      </c>
      <c r="L42" s="59" t="str">
        <f>IFERROR(VLOOKUP(Tabelle32[[#This Row],[Device ID]],BOM!$B$3:$BQ$35,16,FALSE),"")</f>
        <v>R401 HD2 Backup</v>
      </c>
      <c r="M42" s="63" t="str">
        <f>IFERROR(VLOOKUP(Tabelle32[[#This Row],[Device ID]],BOM!$B$3:$BQ$35,17,FALSE),"")</f>
        <v>R401</v>
      </c>
      <c r="N42" s="59" t="str">
        <f>IFERROR(VLOOKUP(Tabelle32[[#This Row],[Device ID]],BOM!$B$3:$BQ$35,18,FALSE),"")</f>
        <v>TC.00.104 | R401</v>
      </c>
      <c r="O42" s="64"/>
      <c r="P42" s="64">
        <f>IFERROR(VLOOKUP(Tabelle32[[#This Row],[Device ID]],BOM!$B$3:$BO$50,20,FALSE),"")</f>
        <v>0</v>
      </c>
      <c r="Q42" s="64">
        <f>IFERROR(VLOOKUP(Tabelle32[[#This Row],[Device ID]],BOM!$B$3:$BO$50,21,FALSE),"")</f>
        <v>1</v>
      </c>
      <c r="R42" s="64">
        <f>IFERROR(VLOOKUP(Tabelle32[[#This Row],[Device ID]],BOM!$B$3:$BO$50,22,FALSE),"")</f>
        <v>0</v>
      </c>
      <c r="S42" s="64"/>
      <c r="T42" s="64"/>
      <c r="U42" s="59" t="str">
        <f>IFERROR(VLOOKUP(Tabelle32[[#This Row],[Device ID]],BOM!$B$3:$BQ$35,25,FALSE),"")</f>
        <v>Luis/Ivo</v>
      </c>
      <c r="V42" s="59" t="str">
        <f>IFERROR(VLOOKUP(Tabelle32[[#This Row],[Device ID]],BOM!$B$3:$BQ$35,26,FALSE),"")</f>
        <v>tpco-megw-vgw103.rta.st-net.media.int</v>
      </c>
      <c r="W42" s="59" t="str">
        <f>IFERROR(VLOOKUP(Tabelle32[[#This Row],[Device ID]],BOM!$B$3:$BQ$35,27,FALSE),"")</f>
        <v>10.120.236.50</v>
      </c>
      <c r="X42" s="59" t="str">
        <f>IFERROR(VLOOKUP(Tabelle32[[#This Row],[Device ID]],BOM!$B$3:$BQ$35,28,FALSE),"")</f>
        <v>AVCoreA</v>
      </c>
      <c r="Y42" s="59" t="str">
        <f>IFERROR(VLOOKUP(Tabelle32[[#This Row],[Device ID]],BOM!$B$3:$BQ$35,29,FALSE),"")</f>
        <v>5_36_1</v>
      </c>
      <c r="Z42" s="59" t="str">
        <f>IFERROR(VLOOKUP(Tabelle32[[#This Row],[Device ID]],BOM!$B$3:$BQ$35,30,FALSE),"")</f>
        <v>tpco-megw-vgw103.rtb.st-net.media.int</v>
      </c>
      <c r="AA42" s="59" t="str">
        <f>IFERROR(VLOOKUP(Tabelle32[[#This Row],[Device ID]],BOM!$B$3:$BQ$35,31,FALSE),"")</f>
        <v>10.120.236.54</v>
      </c>
      <c r="AB42" s="59" t="str">
        <f>IFERROR(VLOOKUP(Tabelle32[[#This Row],[Device ID]],BOM!$B$3:$BQ$35,32,FALSE),"")</f>
        <v>AVCoreB</v>
      </c>
      <c r="AC42" s="59" t="str">
        <f>IFERROR(VLOOKUP(Tabelle32[[#This Row],[Device ID]],BOM!$B$3:$BQ$35,33,FALSE),"")</f>
        <v>5_36_1</v>
      </c>
      <c r="AD42" s="59" t="str">
        <f>IFERROR(VLOOKUP(Tabelle32[[#This Row],[Device ID]],BOM!$B$3:$BQ$35,34,FALSE),"")</f>
        <v>tpco-megw-vgw103.st-net.media.int</v>
      </c>
      <c r="AE42" s="59" t="str">
        <f>IFERROR(VLOOKUP(Tabelle32[[#This Row],[Device ID]],BOM!$B$3:$BQ$35,35,FALSE),"")</f>
        <v>10.120.67.141</v>
      </c>
      <c r="AF42" s="59">
        <f>IFERROR(VLOOKUP(Tabelle32[[#This Row],[Device ID]],BOM!$B$3:$BQ$35,36,FALSE),"")</f>
        <v>0</v>
      </c>
      <c r="AG42" s="59">
        <f>IFERROR(VLOOKUP(Tabelle32[[#This Row],[Device ID]],BOM!$B$3:$BQ$35,37,FALSE),"")</f>
        <v>0</v>
      </c>
      <c r="AH42" s="59"/>
      <c r="AI42" s="59"/>
      <c r="AJ42" s="59"/>
      <c r="AK42" s="59"/>
      <c r="AL42" s="59" t="str">
        <f>IFERROR(VLOOKUP(Tabelle32[[#This Row],[Device ID]],BOM!$B$3:$BQ$35,42,FALSE),"")</f>
        <v>Imagine Communications SNP</v>
      </c>
      <c r="AM42" s="59" t="str">
        <f>IFERROR(VLOOKUP(Tabelle32[[#This Row],[Device ID]],BOM!$B$3:$BQ$35,43,FALSE),"")</f>
        <v>no</v>
      </c>
      <c r="AN42" s="59" t="str">
        <f>IFERROR(VLOOKUP(Tabelle32[[#This Row],[Device ID]],BOM!$B$3:$BQ$35,44,FALSE),"")</f>
        <v>yes</v>
      </c>
      <c r="AO42" s="59" t="str">
        <f>IFERROR(VLOOKUP(Tabelle32[[#This Row],[Device ID]],BOM!$B$3:$BQ$35,45,FALSE),"")</f>
        <v>no</v>
      </c>
      <c r="AP42" s="59" t="str">
        <f>IFERROR(CONCATENATE(Tabelle32[[#This Row],[Family
GFX-Unit]]," | ",Tabelle32[[#This Row],[Label 1
GFX-Unit]]," | ",Tabelle32[[#This Row],[Attached Device if Gateway]]),"")</f>
        <v>PLAYOUT R401 | HD2 Backup-015 | R401 HD2 Backup</v>
      </c>
      <c r="AQ42" s="59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 t="s">
        <v>97</v>
      </c>
      <c r="BE42" s="90"/>
      <c r="BF42" s="90"/>
      <c r="BG42" s="90"/>
      <c r="BH42" s="73" t="s">
        <v>199</v>
      </c>
      <c r="BI42" s="30" t="str">
        <f>IF(COUNTA(Tabelle32[[#This Row],[Type:Vid_1080i50]:[Type:Anc_Prot]])&gt;0,"x","")</f>
        <v>x</v>
      </c>
      <c r="BJ42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42" s="59"/>
      <c r="BL42" s="59"/>
      <c r="BM42" s="63"/>
      <c r="BN42" s="63"/>
      <c r="BO42" s="93" t="s">
        <v>200</v>
      </c>
      <c r="BP42" s="94" t="s">
        <v>301</v>
      </c>
      <c r="BQ42" s="63">
        <f>LEN(Tabelle32[[#This Row],[Label 1
GFX-Unit]])</f>
        <v>14</v>
      </c>
      <c r="BR42" s="63"/>
      <c r="BS42" s="63"/>
      <c r="BT42" s="59"/>
      <c r="BU42" s="59"/>
      <c r="BV42" s="59" t="s">
        <v>264</v>
      </c>
      <c r="BW42" s="59" t="s">
        <v>265</v>
      </c>
      <c r="BX42" s="59" t="s">
        <v>302</v>
      </c>
      <c r="BY42" s="59">
        <v>2</v>
      </c>
    </row>
    <row r="43" spans="1:77" x14ac:dyDescent="0.2">
      <c r="A43" s="58" t="str">
        <f>CONCATENATE(Tabelle32[[#This Row],[Device ID]],".",Tabelle32[[#This Row],[Streamcounter]])</f>
        <v>379.02216</v>
      </c>
      <c r="B4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VGW-103_SDI02_AUDsend_0016</v>
      </c>
      <c r="C43" s="60"/>
      <c r="D43" s="61"/>
      <c r="E43" s="62"/>
      <c r="F43" s="59" t="str">
        <f>IFERROR(VLOOKUP(Tabelle32[[#This Row],[Device ID]],BOM!$B$3:$BQ$35,16,FALSE),"")</f>
        <v>R401 HD2 Backup</v>
      </c>
      <c r="G43" s="63">
        <f>VLOOKUP(Tabelle32[[#This Row],[SDI Interface]],BOM!$A$4:$B$35,2,FALSE)</f>
        <v>379</v>
      </c>
      <c r="H43" s="59" t="str">
        <f>BOM!$C$4</f>
        <v>VGW-103</v>
      </c>
      <c r="I43" s="59" t="str">
        <f>IFERROR(VLOOKUP(Tabelle32[[#This Row],[Device ID]],BOM!$B$3:$BQ$35,12,FALSE),"")</f>
        <v>Videoserver</v>
      </c>
      <c r="J43" s="59" t="str">
        <f>IFERROR(VLOOKUP(Tabelle32[[#This Row],[Device ID]],BOM!$B$3:$BQ$35,13,FALSE),"")</f>
        <v>TC.U1.223 | MDC</v>
      </c>
      <c r="K43" s="59" t="str">
        <f>IFERROR(VLOOKUP(Tabelle32[[#This Row],[Device ID]],BOM!$B$3:$BQ$35,14,FALSE),"")</f>
        <v>Imagine Comunications</v>
      </c>
      <c r="L43" s="59" t="str">
        <f>IFERROR(VLOOKUP(Tabelle32[[#This Row],[Device ID]],BOM!$B$3:$BQ$35,16,FALSE),"")</f>
        <v>R401 HD2 Backup</v>
      </c>
      <c r="M43" s="63" t="str">
        <f>IFERROR(VLOOKUP(Tabelle32[[#This Row],[Device ID]],BOM!$B$3:$BQ$35,17,FALSE),"")</f>
        <v>R401</v>
      </c>
      <c r="N43" s="59" t="str">
        <f>IFERROR(VLOOKUP(Tabelle32[[#This Row],[Device ID]],BOM!$B$3:$BQ$35,18,FALSE),"")</f>
        <v>TC.00.104 | R401</v>
      </c>
      <c r="O43" s="64"/>
      <c r="P43" s="64">
        <f>IFERROR(VLOOKUP(Tabelle32[[#This Row],[Device ID]],BOM!$B$3:$BO$50,20,FALSE),"")</f>
        <v>0</v>
      </c>
      <c r="Q43" s="64">
        <f>IFERROR(VLOOKUP(Tabelle32[[#This Row],[Device ID]],BOM!$B$3:$BO$50,21,FALSE),"")</f>
        <v>1</v>
      </c>
      <c r="R43" s="64">
        <f>IFERROR(VLOOKUP(Tabelle32[[#This Row],[Device ID]],BOM!$B$3:$BO$50,22,FALSE),"")</f>
        <v>0</v>
      </c>
      <c r="S43" s="64"/>
      <c r="T43" s="64"/>
      <c r="U43" s="59" t="str">
        <f>IFERROR(VLOOKUP(Tabelle32[[#This Row],[Device ID]],BOM!$B$3:$BQ$35,25,FALSE),"")</f>
        <v>Luis/Ivo</v>
      </c>
      <c r="V43" s="59" t="str">
        <f>IFERROR(VLOOKUP(Tabelle32[[#This Row],[Device ID]],BOM!$B$3:$BQ$35,26,FALSE),"")</f>
        <v>tpco-megw-vgw103.rta.st-net.media.int</v>
      </c>
      <c r="W43" s="59" t="str">
        <f>IFERROR(VLOOKUP(Tabelle32[[#This Row],[Device ID]],BOM!$B$3:$BQ$35,27,FALSE),"")</f>
        <v>10.120.236.50</v>
      </c>
      <c r="X43" s="59" t="str">
        <f>IFERROR(VLOOKUP(Tabelle32[[#This Row],[Device ID]],BOM!$B$3:$BQ$35,28,FALSE),"")</f>
        <v>AVCoreA</v>
      </c>
      <c r="Y43" s="59" t="str">
        <f>IFERROR(VLOOKUP(Tabelle32[[#This Row],[Device ID]],BOM!$B$3:$BQ$35,29,FALSE),"")</f>
        <v>5_36_1</v>
      </c>
      <c r="Z43" s="59" t="str">
        <f>IFERROR(VLOOKUP(Tabelle32[[#This Row],[Device ID]],BOM!$B$3:$BQ$35,30,FALSE),"")</f>
        <v>tpco-megw-vgw103.rtb.st-net.media.int</v>
      </c>
      <c r="AA43" s="59" t="str">
        <f>IFERROR(VLOOKUP(Tabelle32[[#This Row],[Device ID]],BOM!$B$3:$BQ$35,31,FALSE),"")</f>
        <v>10.120.236.54</v>
      </c>
      <c r="AB43" s="59" t="str">
        <f>IFERROR(VLOOKUP(Tabelle32[[#This Row],[Device ID]],BOM!$B$3:$BQ$35,32,FALSE),"")</f>
        <v>AVCoreB</v>
      </c>
      <c r="AC43" s="59" t="str">
        <f>IFERROR(VLOOKUP(Tabelle32[[#This Row],[Device ID]],BOM!$B$3:$BQ$35,33,FALSE),"")</f>
        <v>5_36_1</v>
      </c>
      <c r="AD43" s="59" t="str">
        <f>IFERROR(VLOOKUP(Tabelle32[[#This Row],[Device ID]],BOM!$B$3:$BQ$35,34,FALSE),"")</f>
        <v>tpco-megw-vgw103.st-net.media.int</v>
      </c>
      <c r="AE43" s="59" t="str">
        <f>IFERROR(VLOOKUP(Tabelle32[[#This Row],[Device ID]],BOM!$B$3:$BQ$35,35,FALSE),"")</f>
        <v>10.120.67.141</v>
      </c>
      <c r="AF43" s="59">
        <f>IFERROR(VLOOKUP(Tabelle32[[#This Row],[Device ID]],BOM!$B$3:$BQ$35,36,FALSE),"")</f>
        <v>0</v>
      </c>
      <c r="AG43" s="59">
        <f>IFERROR(VLOOKUP(Tabelle32[[#This Row],[Device ID]],BOM!$B$3:$BQ$35,37,FALSE),"")</f>
        <v>0</v>
      </c>
      <c r="AH43" s="59"/>
      <c r="AI43" s="59"/>
      <c r="AJ43" s="59"/>
      <c r="AK43" s="59"/>
      <c r="AL43" s="59" t="str">
        <f>IFERROR(VLOOKUP(Tabelle32[[#This Row],[Device ID]],BOM!$B$3:$BQ$35,42,FALSE),"")</f>
        <v>Imagine Communications SNP</v>
      </c>
      <c r="AM43" s="59" t="str">
        <f>IFERROR(VLOOKUP(Tabelle32[[#This Row],[Device ID]],BOM!$B$3:$BQ$35,43,FALSE),"")</f>
        <v>no</v>
      </c>
      <c r="AN43" s="59" t="str">
        <f>IFERROR(VLOOKUP(Tabelle32[[#This Row],[Device ID]],BOM!$B$3:$BQ$35,44,FALSE),"")</f>
        <v>yes</v>
      </c>
      <c r="AO43" s="59" t="str">
        <f>IFERROR(VLOOKUP(Tabelle32[[#This Row],[Device ID]],BOM!$B$3:$BQ$35,45,FALSE),"")</f>
        <v>no</v>
      </c>
      <c r="AP43" s="59" t="str">
        <f>IFERROR(CONCATENATE(Tabelle32[[#This Row],[Family
GFX-Unit]]," | ",Tabelle32[[#This Row],[Label 1
GFX-Unit]]," | ",Tabelle32[[#This Row],[Attached Device if Gateway]]),"")</f>
        <v>PLAYOUT R401 | HD2 Backup-016 | R401 HD2 Backup</v>
      </c>
      <c r="AQ43" s="59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 t="s">
        <v>97</v>
      </c>
      <c r="BE43" s="90"/>
      <c r="BF43" s="90"/>
      <c r="BG43" s="90"/>
      <c r="BH43" s="73" t="s">
        <v>199</v>
      </c>
      <c r="BI43" s="30" t="str">
        <f>IF(COUNTA(Tabelle32[[#This Row],[Type:Vid_1080i50]:[Type:Anc_Prot]])&gt;0,"x","")</f>
        <v>x</v>
      </c>
      <c r="BJ4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43" s="59"/>
      <c r="BL43" s="59"/>
      <c r="BM43" s="63"/>
      <c r="BN43" s="63"/>
      <c r="BO43" s="93" t="s">
        <v>200</v>
      </c>
      <c r="BP43" s="94" t="s">
        <v>303</v>
      </c>
      <c r="BQ43" s="63">
        <f>LEN(Tabelle32[[#This Row],[Label 1
GFX-Unit]])</f>
        <v>14</v>
      </c>
      <c r="BR43" s="63"/>
      <c r="BS43" s="63"/>
      <c r="BT43" s="59"/>
      <c r="BU43" s="59"/>
      <c r="BV43" s="59" t="s">
        <v>268</v>
      </c>
      <c r="BW43" s="59" t="s">
        <v>269</v>
      </c>
      <c r="BX43" s="59" t="s">
        <v>304</v>
      </c>
      <c r="BY43" s="59">
        <v>2</v>
      </c>
    </row>
    <row r="44" spans="1:77" s="41" customFormat="1" ht="13.5" thickBot="1" x14ac:dyDescent="0.25">
      <c r="A44" s="58" t="str">
        <f>CONCATENATE(Tabelle32[[#This Row],[Device ID]],".",Tabelle32[[#This Row],[Streamcounter]])</f>
        <v>379.02101</v>
      </c>
      <c r="B4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VGW-103_SDI02_VIDsend_0001</v>
      </c>
      <c r="C44" s="60"/>
      <c r="D44" s="61"/>
      <c r="E44" s="62"/>
      <c r="F44" s="59" t="str">
        <f>IFERROR(VLOOKUP(Tabelle32[[#This Row],[Device ID]],BOM!$B$3:$BQ$35,16,FALSE),"")</f>
        <v>R401 HD2 Backup</v>
      </c>
      <c r="G44" s="63">
        <f>VLOOKUP(Tabelle32[[#This Row],[SDI Interface]],BOM!$A$4:$B$35,2,FALSE)</f>
        <v>379</v>
      </c>
      <c r="H44" s="59" t="str">
        <f>BOM!$C$4</f>
        <v>VGW-103</v>
      </c>
      <c r="I44" s="59" t="str">
        <f>IFERROR(VLOOKUP(Tabelle32[[#This Row],[Device ID]],BOM!$B$3:$BQ$35,12,FALSE),"")</f>
        <v>Videoserver</v>
      </c>
      <c r="J44" s="59" t="str">
        <f>IFERROR(VLOOKUP(Tabelle32[[#This Row],[Device ID]],BOM!$B$3:$BQ$35,13,FALSE),"")</f>
        <v>TC.U1.223 | MDC</v>
      </c>
      <c r="K44" s="59" t="str">
        <f>IFERROR(VLOOKUP(Tabelle32[[#This Row],[Device ID]],BOM!$B$3:$BQ$35,14,FALSE),"")</f>
        <v>Imagine Comunications</v>
      </c>
      <c r="L44" s="59" t="str">
        <f>IFERROR(VLOOKUP(Tabelle32[[#This Row],[Device ID]],BOM!$B$3:$BQ$35,16,FALSE),"")</f>
        <v>R401 HD2 Backup</v>
      </c>
      <c r="M44" s="63" t="str">
        <f>IFERROR(VLOOKUP(Tabelle32[[#This Row],[Device ID]],BOM!$B$3:$BQ$35,17,FALSE),"")</f>
        <v>R401</v>
      </c>
      <c r="N44" s="59" t="str">
        <f>IFERROR(VLOOKUP(Tabelle32[[#This Row],[Device ID]],BOM!$B$3:$BQ$35,18,FALSE),"")</f>
        <v>TC.00.104 | R401</v>
      </c>
      <c r="O44" s="64"/>
      <c r="P44" s="64">
        <f>IFERROR(VLOOKUP(Tabelle32[[#This Row],[Device ID]],BOM!$B$3:$BO$50,20,FALSE),"")</f>
        <v>0</v>
      </c>
      <c r="Q44" s="64">
        <f>IFERROR(VLOOKUP(Tabelle32[[#This Row],[Device ID]],BOM!$B$3:$BO$50,21,FALSE),"")</f>
        <v>1</v>
      </c>
      <c r="R44" s="64">
        <f>IFERROR(VLOOKUP(Tabelle32[[#This Row],[Device ID]],BOM!$B$3:$BO$50,22,FALSE),"")</f>
        <v>0</v>
      </c>
      <c r="S44" s="64"/>
      <c r="T44" s="64"/>
      <c r="U44" s="59" t="str">
        <f>IFERROR(VLOOKUP(Tabelle32[[#This Row],[Device ID]],BOM!$B$3:$BQ$35,25,FALSE),"")</f>
        <v>Luis/Ivo</v>
      </c>
      <c r="V44" s="59" t="str">
        <f>IFERROR(VLOOKUP(Tabelle32[[#This Row],[Device ID]],BOM!$B$3:$BQ$35,26,FALSE),"")</f>
        <v>tpco-megw-vgw103.rta.st-net.media.int</v>
      </c>
      <c r="W44" s="59" t="str">
        <f>IFERROR(VLOOKUP(Tabelle32[[#This Row],[Device ID]],BOM!$B$3:$BQ$35,27,FALSE),"")</f>
        <v>10.120.236.50</v>
      </c>
      <c r="X44" s="59" t="str">
        <f>IFERROR(VLOOKUP(Tabelle32[[#This Row],[Device ID]],BOM!$B$3:$BQ$35,28,FALSE),"")</f>
        <v>AVCoreA</v>
      </c>
      <c r="Y44" s="59" t="str">
        <f>IFERROR(VLOOKUP(Tabelle32[[#This Row],[Device ID]],BOM!$B$3:$BQ$35,29,FALSE),"")</f>
        <v>5_36_1</v>
      </c>
      <c r="Z44" s="59" t="str">
        <f>IFERROR(VLOOKUP(Tabelle32[[#This Row],[Device ID]],BOM!$B$3:$BQ$35,30,FALSE),"")</f>
        <v>tpco-megw-vgw103.rtb.st-net.media.int</v>
      </c>
      <c r="AA44" s="59" t="str">
        <f>IFERROR(VLOOKUP(Tabelle32[[#This Row],[Device ID]],BOM!$B$3:$BQ$35,31,FALSE),"")</f>
        <v>10.120.236.54</v>
      </c>
      <c r="AB44" s="59" t="str">
        <f>IFERROR(VLOOKUP(Tabelle32[[#This Row],[Device ID]],BOM!$B$3:$BQ$35,32,FALSE),"")</f>
        <v>AVCoreB</v>
      </c>
      <c r="AC44" s="59" t="str">
        <f>IFERROR(VLOOKUP(Tabelle32[[#This Row],[Device ID]],BOM!$B$3:$BQ$35,33,FALSE),"")</f>
        <v>5_36_1</v>
      </c>
      <c r="AD44" s="59" t="str">
        <f>IFERROR(VLOOKUP(Tabelle32[[#This Row],[Device ID]],BOM!$B$3:$BQ$35,34,FALSE),"")</f>
        <v>tpco-megw-vgw103.st-net.media.int</v>
      </c>
      <c r="AE44" s="59" t="str">
        <f>IFERROR(VLOOKUP(Tabelle32[[#This Row],[Device ID]],BOM!$B$3:$BQ$35,35,FALSE),"")</f>
        <v>10.120.67.141</v>
      </c>
      <c r="AF44" s="59">
        <f>IFERROR(VLOOKUP(Tabelle32[[#This Row],[Device ID]],BOM!$B$3:$BQ$35,36,FALSE),"")</f>
        <v>0</v>
      </c>
      <c r="AG44" s="59">
        <f>IFERROR(VLOOKUP(Tabelle32[[#This Row],[Device ID]],BOM!$B$3:$BQ$35,37,FALSE),"")</f>
        <v>0</v>
      </c>
      <c r="AH44" s="59"/>
      <c r="AI44" s="59"/>
      <c r="AJ44" s="59"/>
      <c r="AK44" s="59"/>
      <c r="AL44" s="59" t="str">
        <f>IFERROR(VLOOKUP(Tabelle32[[#This Row],[Device ID]],BOM!$B$3:$BQ$35,42,FALSE),"")</f>
        <v>Imagine Communications SNP</v>
      </c>
      <c r="AM44" s="59" t="str">
        <f>IFERROR(VLOOKUP(Tabelle32[[#This Row],[Device ID]],BOM!$B$3:$BQ$35,43,FALSE),"")</f>
        <v>no</v>
      </c>
      <c r="AN44" s="59" t="str">
        <f>IFERROR(VLOOKUP(Tabelle32[[#This Row],[Device ID]],BOM!$B$3:$BQ$35,44,FALSE),"")</f>
        <v>yes</v>
      </c>
      <c r="AO44" s="59" t="str">
        <f>IFERROR(VLOOKUP(Tabelle32[[#This Row],[Device ID]],BOM!$B$3:$BQ$35,45,FALSE),"")</f>
        <v>no</v>
      </c>
      <c r="AP44" s="59" t="str">
        <f>IFERROR(CONCATENATE(Tabelle32[[#This Row],[Family
GFX-Unit]]," | ",Tabelle32[[#This Row],[Label 1
GFX-Unit]]," | ",Tabelle32[[#This Row],[Attached Device if Gateway]]),"")</f>
        <v>PLAYOUT R401 | HD2 Backup | R401 HD2 Backup</v>
      </c>
      <c r="AQ44" s="59"/>
      <c r="AR44" s="90" t="s">
        <v>97</v>
      </c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73" t="s">
        <v>199</v>
      </c>
      <c r="BI44" s="30" t="str">
        <f>IF(COUNTA(Tabelle32[[#This Row],[Type:Vid_1080i50]:[Type:Anc_Prot]])&gt;0,"x","")</f>
        <v>x</v>
      </c>
      <c r="BJ4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44" s="59"/>
      <c r="BL44" s="59"/>
      <c r="BM44" s="63"/>
      <c r="BN44" s="63"/>
      <c r="BO44" s="93" t="s">
        <v>200</v>
      </c>
      <c r="BP44" s="94" t="s">
        <v>305</v>
      </c>
      <c r="BQ44" s="63">
        <f>LEN(Tabelle32[[#This Row],[Label 1
GFX-Unit]])</f>
        <v>10</v>
      </c>
      <c r="BR44" s="63"/>
      <c r="BS44" s="63"/>
      <c r="BT44" s="59"/>
      <c r="BU44" s="59"/>
      <c r="BV44" s="59" t="s">
        <v>272</v>
      </c>
      <c r="BW44" s="59" t="s">
        <v>273</v>
      </c>
      <c r="BX44" s="59" t="s">
        <v>306</v>
      </c>
      <c r="BY44" s="59">
        <v>2</v>
      </c>
    </row>
    <row r="45" spans="1:77" ht="13.5" thickTop="1" x14ac:dyDescent="0.2">
      <c r="A45" s="58" t="str">
        <f>CONCATENATE(Tabelle32[[#This Row],[Device ID]],".",Tabelle32[[#This Row],[Streamcounter]])</f>
        <v>380.03301</v>
      </c>
      <c r="B4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VGW-103_SDI03_ANCsend_0001</v>
      </c>
      <c r="C45" s="60"/>
      <c r="D45" s="61"/>
      <c r="E45" s="62"/>
      <c r="F45" s="59" t="str">
        <f>IFERROR(VLOOKUP(Tabelle32[[#This Row],[Device ID]],BOM!$B$3:$BQ$35,16,FALSE),"")</f>
        <v>MPA 421 HD1</v>
      </c>
      <c r="G45" s="63">
        <f>VLOOKUP(Tabelle32[[#This Row],[SDI Interface]],BOM!$A$4:$B$35,2,FALSE)</f>
        <v>380</v>
      </c>
      <c r="H45" s="59" t="str">
        <f>BOM!$C$4</f>
        <v>VGW-103</v>
      </c>
      <c r="I45" s="59" t="str">
        <f>IFERROR(VLOOKUP(Tabelle32[[#This Row],[Device ID]],BOM!$B$3:$BQ$35,12,FALSE),"")</f>
        <v>Videoserver</v>
      </c>
      <c r="J45" s="59" t="str">
        <f>IFERROR(VLOOKUP(Tabelle32[[#This Row],[Device ID]],BOM!$B$3:$BQ$35,13,FALSE),"")</f>
        <v>TC.U1.223 | MDC</v>
      </c>
      <c r="K45" s="59" t="str">
        <f>IFERROR(VLOOKUP(Tabelle32[[#This Row],[Device ID]],BOM!$B$3:$BQ$35,14,FALSE),"")</f>
        <v>Imagine Comunications</v>
      </c>
      <c r="L45" s="59" t="str">
        <f>IFERROR(VLOOKUP(Tabelle32[[#This Row],[Device ID]],BOM!$B$3:$BQ$35,16,FALSE),"")</f>
        <v>MPA 421 HD1</v>
      </c>
      <c r="M45" s="63" t="str">
        <f>IFERROR(VLOOKUP(Tabelle32[[#This Row],[Device ID]],BOM!$B$3:$BQ$35,17,FALSE),"")</f>
        <v>MPA 421</v>
      </c>
      <c r="N45" s="59" t="str">
        <f>IFERROR(VLOOKUP(Tabelle32[[#This Row],[Device ID]],BOM!$B$3:$BQ$35,18,FALSE),"")</f>
        <v>TC.02.296 | MPA421</v>
      </c>
      <c r="O45" s="64"/>
      <c r="P45" s="64">
        <f>IFERROR(VLOOKUP(Tabelle32[[#This Row],[Device ID]],BOM!$B$3:$BO$50,20,FALSE),"")</f>
        <v>0</v>
      </c>
      <c r="Q45" s="64">
        <f>IFERROR(VLOOKUP(Tabelle32[[#This Row],[Device ID]],BOM!$B$3:$BO$50,21,FALSE),"")</f>
        <v>1</v>
      </c>
      <c r="R45" s="64">
        <f>IFERROR(VLOOKUP(Tabelle32[[#This Row],[Device ID]],BOM!$B$3:$BO$50,22,FALSE),"")</f>
        <v>0</v>
      </c>
      <c r="S45" s="64"/>
      <c r="T45" s="64"/>
      <c r="U45" s="59" t="str">
        <f>IFERROR(VLOOKUP(Tabelle32[[#This Row],[Device ID]],BOM!$B$3:$BQ$35,25,FALSE),"")</f>
        <v>Luis/Ivo</v>
      </c>
      <c r="V45" s="59" t="str">
        <f>IFERROR(VLOOKUP(Tabelle32[[#This Row],[Device ID]],BOM!$B$3:$BQ$35,26,FALSE),"")</f>
        <v>tpco-megw-vgw103.rta.st-net.media.int</v>
      </c>
      <c r="W45" s="59" t="str">
        <f>IFERROR(VLOOKUP(Tabelle32[[#This Row],[Device ID]],BOM!$B$3:$BQ$35,27,FALSE),"")</f>
        <v>10.120.236.50</v>
      </c>
      <c r="X45" s="59" t="str">
        <f>IFERROR(VLOOKUP(Tabelle32[[#This Row],[Device ID]],BOM!$B$3:$BQ$35,28,FALSE),"")</f>
        <v>AVCoreA</v>
      </c>
      <c r="Y45" s="59" t="str">
        <f>IFERROR(VLOOKUP(Tabelle32[[#This Row],[Device ID]],BOM!$B$3:$BQ$35,29,FALSE),"")</f>
        <v>5_36_1</v>
      </c>
      <c r="Z45" s="59" t="str">
        <f>IFERROR(VLOOKUP(Tabelle32[[#This Row],[Device ID]],BOM!$B$3:$BQ$35,30,FALSE),"")</f>
        <v>tpco-megw-vgw103.rtb.st-net.media.int</v>
      </c>
      <c r="AA45" s="59" t="str">
        <f>IFERROR(VLOOKUP(Tabelle32[[#This Row],[Device ID]],BOM!$B$3:$BQ$35,31,FALSE),"")</f>
        <v>10.120.236.54</v>
      </c>
      <c r="AB45" s="59" t="str">
        <f>IFERROR(VLOOKUP(Tabelle32[[#This Row],[Device ID]],BOM!$B$3:$BQ$35,32,FALSE),"")</f>
        <v>AVCoreB</v>
      </c>
      <c r="AC45" s="59" t="str">
        <f>IFERROR(VLOOKUP(Tabelle32[[#This Row],[Device ID]],BOM!$B$3:$BQ$35,33,FALSE),"")</f>
        <v>5_36_1</v>
      </c>
      <c r="AD45" s="59" t="str">
        <f>IFERROR(VLOOKUP(Tabelle32[[#This Row],[Device ID]],BOM!$B$3:$BQ$35,34,FALSE),"")</f>
        <v>tpco-megw-vgw103.st-net.media.int</v>
      </c>
      <c r="AE45" s="59" t="str">
        <f>IFERROR(VLOOKUP(Tabelle32[[#This Row],[Device ID]],BOM!$B$3:$BQ$35,35,FALSE),"")</f>
        <v>10.120.67.141</v>
      </c>
      <c r="AF45" s="59">
        <f>IFERROR(VLOOKUP(Tabelle32[[#This Row],[Device ID]],BOM!$B$3:$BQ$35,36,FALSE),"")</f>
        <v>0</v>
      </c>
      <c r="AG45" s="59">
        <f>IFERROR(VLOOKUP(Tabelle32[[#This Row],[Device ID]],BOM!$B$3:$BQ$35,37,FALSE),"")</f>
        <v>0</v>
      </c>
      <c r="AH45" s="59"/>
      <c r="AI45" s="59"/>
      <c r="AJ45" s="59"/>
      <c r="AK45" s="59"/>
      <c r="AL45" s="59" t="str">
        <f>IFERROR(VLOOKUP(Tabelle32[[#This Row],[Device ID]],BOM!$B$3:$BQ$35,42,FALSE),"")</f>
        <v>Imagine Communications SNP</v>
      </c>
      <c r="AM45" s="59" t="str">
        <f>IFERROR(VLOOKUP(Tabelle32[[#This Row],[Device ID]],BOM!$B$3:$BQ$35,43,FALSE),"")</f>
        <v>no</v>
      </c>
      <c r="AN45" s="59" t="str">
        <f>IFERROR(VLOOKUP(Tabelle32[[#This Row],[Device ID]],BOM!$B$3:$BQ$35,44,FALSE),"")</f>
        <v>yes</v>
      </c>
      <c r="AO45" s="59" t="str">
        <f>IFERROR(VLOOKUP(Tabelle32[[#This Row],[Device ID]],BOM!$B$3:$BQ$35,45,FALSE),"")</f>
        <v>no</v>
      </c>
      <c r="AP45" s="59" t="str">
        <f>IFERROR(CONCATENATE(Tabelle32[[#This Row],[Family
GFX-Unit]]," | ",Tabelle32[[#This Row],[Label 1
GFX-Unit]]," | ",Tabelle32[[#This Row],[Attached Device if Gateway]]),"")</f>
        <v>PLAYOUT MPA421 | HD1-001 | MPA 421 HD1</v>
      </c>
      <c r="AQ45" s="59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 t="s">
        <v>97</v>
      </c>
      <c r="BH45" s="73" t="s">
        <v>199</v>
      </c>
      <c r="BI45" s="30" t="str">
        <f>IF(COUNTA(Tabelle32[[#This Row],[Type:Vid_1080i50]:[Type:Anc_Prot]])&gt;0,"x","")</f>
        <v>x</v>
      </c>
      <c r="BJ4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45" s="59"/>
      <c r="BL45" s="59"/>
      <c r="BM45" s="63"/>
      <c r="BN45" s="63"/>
      <c r="BO45" s="97" t="s">
        <v>307</v>
      </c>
      <c r="BP45" s="97" t="s">
        <v>308</v>
      </c>
      <c r="BQ45" s="63">
        <f>LEN(Tabelle32[[#This Row],[Label 1
GFX-Unit]])</f>
        <v>7</v>
      </c>
      <c r="BR45" s="63"/>
      <c r="BS45" s="63"/>
      <c r="BT45" s="59"/>
      <c r="BU45" s="59"/>
      <c r="BV45" s="59" t="s">
        <v>202</v>
      </c>
      <c r="BW45" s="59" t="s">
        <v>203</v>
      </c>
      <c r="BX45" s="59" t="s">
        <v>309</v>
      </c>
      <c r="BY45" s="59">
        <v>3</v>
      </c>
    </row>
    <row r="46" spans="1:77" hidden="1" x14ac:dyDescent="0.2">
      <c r="A46" s="58" t="str">
        <f>CONCATENATE(Tabelle32[[#This Row],[Device ID]],".",Tabelle32[[#This Row],[Streamcounter]])</f>
        <v>380.03302</v>
      </c>
      <c r="B4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VGW-103_SDI03_ANCsend_0002</v>
      </c>
      <c r="C46" s="60"/>
      <c r="D46" s="61"/>
      <c r="E46" s="62"/>
      <c r="F46" s="59" t="str">
        <f>IFERROR(VLOOKUP(Tabelle32[[#This Row],[Device ID]],BOM!$B$3:$BQ$35,16,FALSE),"")</f>
        <v>MPA 421 HD1</v>
      </c>
      <c r="G46" s="63">
        <f>VLOOKUP(Tabelle32[[#This Row],[SDI Interface]],BOM!$A$4:$B$35,2,FALSE)</f>
        <v>380</v>
      </c>
      <c r="H46" s="59" t="str">
        <f>BOM!$C$4</f>
        <v>VGW-103</v>
      </c>
      <c r="I46" s="59" t="str">
        <f>IFERROR(VLOOKUP(Tabelle32[[#This Row],[Device ID]],BOM!$B$3:$BQ$35,12,FALSE),"")</f>
        <v>Videoserver</v>
      </c>
      <c r="J46" s="59" t="str">
        <f>IFERROR(VLOOKUP(Tabelle32[[#This Row],[Device ID]],BOM!$B$3:$BQ$35,13,FALSE),"")</f>
        <v>TC.U1.223 | MDC</v>
      </c>
      <c r="K46" s="59" t="str">
        <f>IFERROR(VLOOKUP(Tabelle32[[#This Row],[Device ID]],BOM!$B$3:$BQ$35,14,FALSE),"")</f>
        <v>Imagine Comunications</v>
      </c>
      <c r="L46" s="59" t="str">
        <f>IFERROR(VLOOKUP(Tabelle32[[#This Row],[Device ID]],BOM!$B$3:$BQ$35,16,FALSE),"")</f>
        <v>MPA 421 HD1</v>
      </c>
      <c r="M46" s="63" t="str">
        <f>IFERROR(VLOOKUP(Tabelle32[[#This Row],[Device ID]],BOM!$B$3:$BQ$35,17,FALSE),"")</f>
        <v>MPA 421</v>
      </c>
      <c r="N46" s="59" t="str">
        <f>IFERROR(VLOOKUP(Tabelle32[[#This Row],[Device ID]],BOM!$B$3:$BQ$35,18,FALSE),"")</f>
        <v>TC.02.296 | MPA421</v>
      </c>
      <c r="O46" s="64"/>
      <c r="P46" s="64">
        <f>IFERROR(VLOOKUP(Tabelle32[[#This Row],[Device ID]],BOM!$B$3:$BO$50,20,FALSE),"")</f>
        <v>0</v>
      </c>
      <c r="Q46" s="64">
        <f>IFERROR(VLOOKUP(Tabelle32[[#This Row],[Device ID]],BOM!$B$3:$BO$50,21,FALSE),"")</f>
        <v>1</v>
      </c>
      <c r="R46" s="64">
        <f>IFERROR(VLOOKUP(Tabelle32[[#This Row],[Device ID]],BOM!$B$3:$BO$50,22,FALSE),"")</f>
        <v>0</v>
      </c>
      <c r="S46" s="64"/>
      <c r="T46" s="64"/>
      <c r="U46" s="59" t="str">
        <f>IFERROR(VLOOKUP(Tabelle32[[#This Row],[Device ID]],BOM!$B$3:$BQ$35,25,FALSE),"")</f>
        <v>Luis/Ivo</v>
      </c>
      <c r="V46" s="59" t="str">
        <f>IFERROR(VLOOKUP(Tabelle32[[#This Row],[Device ID]],BOM!$B$3:$BQ$35,26,FALSE),"")</f>
        <v>tpco-megw-vgw103.rta.st-net.media.int</v>
      </c>
      <c r="W46" s="59" t="str">
        <f>IFERROR(VLOOKUP(Tabelle32[[#This Row],[Device ID]],BOM!$B$3:$BQ$35,27,FALSE),"")</f>
        <v>10.120.236.50</v>
      </c>
      <c r="X46" s="59" t="str">
        <f>IFERROR(VLOOKUP(Tabelle32[[#This Row],[Device ID]],BOM!$B$3:$BQ$35,28,FALSE),"")</f>
        <v>AVCoreA</v>
      </c>
      <c r="Y46" s="59" t="str">
        <f>IFERROR(VLOOKUP(Tabelle32[[#This Row],[Device ID]],BOM!$B$3:$BQ$35,29,FALSE),"")</f>
        <v>5_36_1</v>
      </c>
      <c r="Z46" s="59" t="str">
        <f>IFERROR(VLOOKUP(Tabelle32[[#This Row],[Device ID]],BOM!$B$3:$BQ$35,30,FALSE),"")</f>
        <v>tpco-megw-vgw103.rtb.st-net.media.int</v>
      </c>
      <c r="AA46" s="59" t="str">
        <f>IFERROR(VLOOKUP(Tabelle32[[#This Row],[Device ID]],BOM!$B$3:$BQ$35,31,FALSE),"")</f>
        <v>10.120.236.54</v>
      </c>
      <c r="AB46" s="59" t="str">
        <f>IFERROR(VLOOKUP(Tabelle32[[#This Row],[Device ID]],BOM!$B$3:$BQ$35,32,FALSE),"")</f>
        <v>AVCoreB</v>
      </c>
      <c r="AC46" s="59" t="str">
        <f>IFERROR(VLOOKUP(Tabelle32[[#This Row],[Device ID]],BOM!$B$3:$BQ$35,33,FALSE),"")</f>
        <v>5_36_1</v>
      </c>
      <c r="AD46" s="59" t="str">
        <f>IFERROR(VLOOKUP(Tabelle32[[#This Row],[Device ID]],BOM!$B$3:$BQ$35,34,FALSE),"")</f>
        <v>tpco-megw-vgw103.st-net.media.int</v>
      </c>
      <c r="AE46" s="59" t="str">
        <f>IFERROR(VLOOKUP(Tabelle32[[#This Row],[Device ID]],BOM!$B$3:$BQ$35,35,FALSE),"")</f>
        <v>10.120.67.141</v>
      </c>
      <c r="AF46" s="59">
        <f>IFERROR(VLOOKUP(Tabelle32[[#This Row],[Device ID]],BOM!$B$3:$BQ$35,36,FALSE),"")</f>
        <v>0</v>
      </c>
      <c r="AG46" s="59">
        <f>IFERROR(VLOOKUP(Tabelle32[[#This Row],[Device ID]],BOM!$B$3:$BQ$35,37,FALSE),"")</f>
        <v>0</v>
      </c>
      <c r="AH46" s="59"/>
      <c r="AI46" s="59"/>
      <c r="AJ46" s="59"/>
      <c r="AK46" s="59"/>
      <c r="AL46" s="59" t="str">
        <f>IFERROR(VLOOKUP(Tabelle32[[#This Row],[Device ID]],BOM!$B$3:$BQ$35,42,FALSE),"")</f>
        <v>Imagine Communications SNP</v>
      </c>
      <c r="AM46" s="59" t="str">
        <f>IFERROR(VLOOKUP(Tabelle32[[#This Row],[Device ID]],BOM!$B$3:$BQ$35,43,FALSE),"")</f>
        <v>no</v>
      </c>
      <c r="AN46" s="59" t="str">
        <f>IFERROR(VLOOKUP(Tabelle32[[#This Row],[Device ID]],BOM!$B$3:$BQ$35,44,FALSE),"")</f>
        <v>yes</v>
      </c>
      <c r="AO46" s="59" t="str">
        <f>IFERROR(VLOOKUP(Tabelle32[[#This Row],[Device ID]],BOM!$B$3:$BQ$35,45,FALSE),"")</f>
        <v>no</v>
      </c>
      <c r="AP46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46" s="59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73" t="s">
        <v>199</v>
      </c>
      <c r="BI46" s="30" t="str">
        <f>IF(COUNTA(Tabelle32[[#This Row],[Type:Vid_1080i50]:[Type:Anc_Prot]])&gt;0,"x","")</f>
        <v/>
      </c>
      <c r="BJ4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6" s="59"/>
      <c r="BL46" s="59"/>
      <c r="BM46" s="63"/>
      <c r="BN46" s="63"/>
      <c r="BO46" s="96"/>
      <c r="BP46" s="96"/>
      <c r="BQ46" s="63">
        <f>LEN(Tabelle32[[#This Row],[Label 1
GFX-Unit]])</f>
        <v>0</v>
      </c>
      <c r="BR46" s="63"/>
      <c r="BS46" s="63"/>
      <c r="BT46" s="59"/>
      <c r="BU46" s="59"/>
      <c r="BV46" s="59" t="s">
        <v>205</v>
      </c>
      <c r="BW46" s="59" t="s">
        <v>206</v>
      </c>
      <c r="BX46" s="59" t="s">
        <v>310</v>
      </c>
      <c r="BY46" s="59">
        <v>3</v>
      </c>
    </row>
    <row r="47" spans="1:77" hidden="1" x14ac:dyDescent="0.2">
      <c r="A47" s="58" t="str">
        <f>CONCATENATE(Tabelle32[[#This Row],[Device ID]],".",Tabelle32[[#This Row],[Streamcounter]])</f>
        <v>380.03303</v>
      </c>
      <c r="B4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VGW-103_SDI03_ANCsend_0003</v>
      </c>
      <c r="C47" s="60"/>
      <c r="D47" s="61"/>
      <c r="E47" s="62"/>
      <c r="F47" s="59" t="str">
        <f>IFERROR(VLOOKUP(Tabelle32[[#This Row],[Device ID]],BOM!$B$3:$BQ$35,16,FALSE),"")</f>
        <v>MPA 421 HD1</v>
      </c>
      <c r="G47" s="63">
        <f>VLOOKUP(Tabelle32[[#This Row],[SDI Interface]],BOM!$A$4:$B$35,2,FALSE)</f>
        <v>380</v>
      </c>
      <c r="H47" s="59" t="str">
        <f>BOM!$C$4</f>
        <v>VGW-103</v>
      </c>
      <c r="I47" s="59" t="str">
        <f>IFERROR(VLOOKUP(Tabelle32[[#This Row],[Device ID]],BOM!$B$3:$BQ$35,12,FALSE),"")</f>
        <v>Videoserver</v>
      </c>
      <c r="J47" s="59" t="str">
        <f>IFERROR(VLOOKUP(Tabelle32[[#This Row],[Device ID]],BOM!$B$3:$BQ$35,13,FALSE),"")</f>
        <v>TC.U1.223 | MDC</v>
      </c>
      <c r="K47" s="59" t="str">
        <f>IFERROR(VLOOKUP(Tabelle32[[#This Row],[Device ID]],BOM!$B$3:$BQ$35,14,FALSE),"")</f>
        <v>Imagine Comunications</v>
      </c>
      <c r="L47" s="59" t="str">
        <f>IFERROR(VLOOKUP(Tabelle32[[#This Row],[Device ID]],BOM!$B$3:$BQ$35,16,FALSE),"")</f>
        <v>MPA 421 HD1</v>
      </c>
      <c r="M47" s="63" t="str">
        <f>IFERROR(VLOOKUP(Tabelle32[[#This Row],[Device ID]],BOM!$B$3:$BQ$35,17,FALSE),"")</f>
        <v>MPA 421</v>
      </c>
      <c r="N47" s="59" t="str">
        <f>IFERROR(VLOOKUP(Tabelle32[[#This Row],[Device ID]],BOM!$B$3:$BQ$35,18,FALSE),"")</f>
        <v>TC.02.296 | MPA421</v>
      </c>
      <c r="O47" s="64"/>
      <c r="P47" s="64">
        <f>IFERROR(VLOOKUP(Tabelle32[[#This Row],[Device ID]],BOM!$B$3:$BO$50,20,FALSE),"")</f>
        <v>0</v>
      </c>
      <c r="Q47" s="64">
        <f>IFERROR(VLOOKUP(Tabelle32[[#This Row],[Device ID]],BOM!$B$3:$BO$50,21,FALSE),"")</f>
        <v>1</v>
      </c>
      <c r="R47" s="64">
        <f>IFERROR(VLOOKUP(Tabelle32[[#This Row],[Device ID]],BOM!$B$3:$BO$50,22,FALSE),"")</f>
        <v>0</v>
      </c>
      <c r="S47" s="64"/>
      <c r="T47" s="64"/>
      <c r="U47" s="59" t="str">
        <f>IFERROR(VLOOKUP(Tabelle32[[#This Row],[Device ID]],BOM!$B$3:$BQ$35,25,FALSE),"")</f>
        <v>Luis/Ivo</v>
      </c>
      <c r="V47" s="59" t="str">
        <f>IFERROR(VLOOKUP(Tabelle32[[#This Row],[Device ID]],BOM!$B$3:$BQ$35,26,FALSE),"")</f>
        <v>tpco-megw-vgw103.rta.st-net.media.int</v>
      </c>
      <c r="W47" s="59" t="str">
        <f>IFERROR(VLOOKUP(Tabelle32[[#This Row],[Device ID]],BOM!$B$3:$BQ$35,27,FALSE),"")</f>
        <v>10.120.236.50</v>
      </c>
      <c r="X47" s="59" t="str">
        <f>IFERROR(VLOOKUP(Tabelle32[[#This Row],[Device ID]],BOM!$B$3:$BQ$35,28,FALSE),"")</f>
        <v>AVCoreA</v>
      </c>
      <c r="Y47" s="59" t="str">
        <f>IFERROR(VLOOKUP(Tabelle32[[#This Row],[Device ID]],BOM!$B$3:$BQ$35,29,FALSE),"")</f>
        <v>5_36_1</v>
      </c>
      <c r="Z47" s="59" t="str">
        <f>IFERROR(VLOOKUP(Tabelle32[[#This Row],[Device ID]],BOM!$B$3:$BQ$35,30,FALSE),"")</f>
        <v>tpco-megw-vgw103.rtb.st-net.media.int</v>
      </c>
      <c r="AA47" s="59" t="str">
        <f>IFERROR(VLOOKUP(Tabelle32[[#This Row],[Device ID]],BOM!$B$3:$BQ$35,31,FALSE),"")</f>
        <v>10.120.236.54</v>
      </c>
      <c r="AB47" s="59" t="str">
        <f>IFERROR(VLOOKUP(Tabelle32[[#This Row],[Device ID]],BOM!$B$3:$BQ$35,32,FALSE),"")</f>
        <v>AVCoreB</v>
      </c>
      <c r="AC47" s="59" t="str">
        <f>IFERROR(VLOOKUP(Tabelle32[[#This Row],[Device ID]],BOM!$B$3:$BQ$35,33,FALSE),"")</f>
        <v>5_36_1</v>
      </c>
      <c r="AD47" s="59" t="str">
        <f>IFERROR(VLOOKUP(Tabelle32[[#This Row],[Device ID]],BOM!$B$3:$BQ$35,34,FALSE),"")</f>
        <v>tpco-megw-vgw103.st-net.media.int</v>
      </c>
      <c r="AE47" s="59" t="str">
        <f>IFERROR(VLOOKUP(Tabelle32[[#This Row],[Device ID]],BOM!$B$3:$BQ$35,35,FALSE),"")</f>
        <v>10.120.67.141</v>
      </c>
      <c r="AF47" s="59">
        <f>IFERROR(VLOOKUP(Tabelle32[[#This Row],[Device ID]],BOM!$B$3:$BQ$35,36,FALSE),"")</f>
        <v>0</v>
      </c>
      <c r="AG47" s="59">
        <f>IFERROR(VLOOKUP(Tabelle32[[#This Row],[Device ID]],BOM!$B$3:$BQ$35,37,FALSE),"")</f>
        <v>0</v>
      </c>
      <c r="AH47" s="59"/>
      <c r="AI47" s="59"/>
      <c r="AJ47" s="59"/>
      <c r="AK47" s="59"/>
      <c r="AL47" s="59" t="str">
        <f>IFERROR(VLOOKUP(Tabelle32[[#This Row],[Device ID]],BOM!$B$3:$BQ$35,42,FALSE),"")</f>
        <v>Imagine Communications SNP</v>
      </c>
      <c r="AM47" s="59" t="str">
        <f>IFERROR(VLOOKUP(Tabelle32[[#This Row],[Device ID]],BOM!$B$3:$BQ$35,43,FALSE),"")</f>
        <v>no</v>
      </c>
      <c r="AN47" s="59" t="str">
        <f>IFERROR(VLOOKUP(Tabelle32[[#This Row],[Device ID]],BOM!$B$3:$BQ$35,44,FALSE),"")</f>
        <v>yes</v>
      </c>
      <c r="AO47" s="59" t="str">
        <f>IFERROR(VLOOKUP(Tabelle32[[#This Row],[Device ID]],BOM!$B$3:$BQ$35,45,FALSE),"")</f>
        <v>no</v>
      </c>
      <c r="AP47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47" s="59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73" t="s">
        <v>199</v>
      </c>
      <c r="BI47" s="30" t="str">
        <f>IF(COUNTA(Tabelle32[[#This Row],[Type:Vid_1080i50]:[Type:Anc_Prot]])&gt;0,"x","")</f>
        <v/>
      </c>
      <c r="BJ4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7" s="59"/>
      <c r="BL47" s="59"/>
      <c r="BM47" s="63"/>
      <c r="BN47" s="63"/>
      <c r="BO47" s="96"/>
      <c r="BP47" s="96"/>
      <c r="BQ47" s="63">
        <f>LEN(Tabelle32[[#This Row],[Label 1
GFX-Unit]])</f>
        <v>0</v>
      </c>
      <c r="BR47" s="63"/>
      <c r="BS47" s="63"/>
      <c r="BT47" s="59"/>
      <c r="BU47" s="59"/>
      <c r="BV47" s="59" t="s">
        <v>208</v>
      </c>
      <c r="BW47" s="59" t="s">
        <v>209</v>
      </c>
      <c r="BX47" s="59" t="s">
        <v>311</v>
      </c>
      <c r="BY47" s="59">
        <v>3</v>
      </c>
    </row>
    <row r="48" spans="1:77" hidden="1" x14ac:dyDescent="0.2">
      <c r="A48" s="58" t="str">
        <f>CONCATENATE(Tabelle32[[#This Row],[Device ID]],".",Tabelle32[[#This Row],[Streamcounter]])</f>
        <v>380.03304</v>
      </c>
      <c r="B4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VGW-103_SDI03_ANCsend_0004</v>
      </c>
      <c r="C48" s="60"/>
      <c r="D48" s="61"/>
      <c r="E48" s="62"/>
      <c r="F48" s="59" t="str">
        <f>IFERROR(VLOOKUP(Tabelle32[[#This Row],[Device ID]],BOM!$B$3:$BQ$35,16,FALSE),"")</f>
        <v>MPA 421 HD1</v>
      </c>
      <c r="G48" s="63">
        <f>VLOOKUP(Tabelle32[[#This Row],[SDI Interface]],BOM!$A$4:$B$35,2,FALSE)</f>
        <v>380</v>
      </c>
      <c r="H48" s="59" t="str">
        <f>BOM!$C$4</f>
        <v>VGW-103</v>
      </c>
      <c r="I48" s="59" t="str">
        <f>IFERROR(VLOOKUP(Tabelle32[[#This Row],[Device ID]],BOM!$B$3:$BQ$35,12,FALSE),"")</f>
        <v>Videoserver</v>
      </c>
      <c r="J48" s="59" t="str">
        <f>IFERROR(VLOOKUP(Tabelle32[[#This Row],[Device ID]],BOM!$B$3:$BQ$35,13,FALSE),"")</f>
        <v>TC.U1.223 | MDC</v>
      </c>
      <c r="K48" s="59" t="str">
        <f>IFERROR(VLOOKUP(Tabelle32[[#This Row],[Device ID]],BOM!$B$3:$BQ$35,14,FALSE),"")</f>
        <v>Imagine Comunications</v>
      </c>
      <c r="L48" s="59" t="str">
        <f>IFERROR(VLOOKUP(Tabelle32[[#This Row],[Device ID]],BOM!$B$3:$BQ$35,16,FALSE),"")</f>
        <v>MPA 421 HD1</v>
      </c>
      <c r="M48" s="63" t="str">
        <f>IFERROR(VLOOKUP(Tabelle32[[#This Row],[Device ID]],BOM!$B$3:$BQ$35,17,FALSE),"")</f>
        <v>MPA 421</v>
      </c>
      <c r="N48" s="59" t="str">
        <f>IFERROR(VLOOKUP(Tabelle32[[#This Row],[Device ID]],BOM!$B$3:$BQ$35,18,FALSE),"")</f>
        <v>TC.02.296 | MPA421</v>
      </c>
      <c r="O48" s="64"/>
      <c r="P48" s="64">
        <f>IFERROR(VLOOKUP(Tabelle32[[#This Row],[Device ID]],BOM!$B$3:$BO$50,20,FALSE),"")</f>
        <v>0</v>
      </c>
      <c r="Q48" s="64">
        <f>IFERROR(VLOOKUP(Tabelle32[[#This Row],[Device ID]],BOM!$B$3:$BO$50,21,FALSE),"")</f>
        <v>1</v>
      </c>
      <c r="R48" s="64">
        <f>IFERROR(VLOOKUP(Tabelle32[[#This Row],[Device ID]],BOM!$B$3:$BO$50,22,FALSE),"")</f>
        <v>0</v>
      </c>
      <c r="S48" s="64"/>
      <c r="T48" s="64"/>
      <c r="U48" s="59" t="str">
        <f>IFERROR(VLOOKUP(Tabelle32[[#This Row],[Device ID]],BOM!$B$3:$BQ$35,25,FALSE),"")</f>
        <v>Luis/Ivo</v>
      </c>
      <c r="V48" s="59" t="str">
        <f>IFERROR(VLOOKUP(Tabelle32[[#This Row],[Device ID]],BOM!$B$3:$BQ$35,26,FALSE),"")</f>
        <v>tpco-megw-vgw103.rta.st-net.media.int</v>
      </c>
      <c r="W48" s="59" t="str">
        <f>IFERROR(VLOOKUP(Tabelle32[[#This Row],[Device ID]],BOM!$B$3:$BQ$35,27,FALSE),"")</f>
        <v>10.120.236.50</v>
      </c>
      <c r="X48" s="59" t="str">
        <f>IFERROR(VLOOKUP(Tabelle32[[#This Row],[Device ID]],BOM!$B$3:$BQ$35,28,FALSE),"")</f>
        <v>AVCoreA</v>
      </c>
      <c r="Y48" s="59" t="str">
        <f>IFERROR(VLOOKUP(Tabelle32[[#This Row],[Device ID]],BOM!$B$3:$BQ$35,29,FALSE),"")</f>
        <v>5_36_1</v>
      </c>
      <c r="Z48" s="59" t="str">
        <f>IFERROR(VLOOKUP(Tabelle32[[#This Row],[Device ID]],BOM!$B$3:$BQ$35,30,FALSE),"")</f>
        <v>tpco-megw-vgw103.rtb.st-net.media.int</v>
      </c>
      <c r="AA48" s="59" t="str">
        <f>IFERROR(VLOOKUP(Tabelle32[[#This Row],[Device ID]],BOM!$B$3:$BQ$35,31,FALSE),"")</f>
        <v>10.120.236.54</v>
      </c>
      <c r="AB48" s="59" t="str">
        <f>IFERROR(VLOOKUP(Tabelle32[[#This Row],[Device ID]],BOM!$B$3:$BQ$35,32,FALSE),"")</f>
        <v>AVCoreB</v>
      </c>
      <c r="AC48" s="59" t="str">
        <f>IFERROR(VLOOKUP(Tabelle32[[#This Row],[Device ID]],BOM!$B$3:$BQ$35,33,FALSE),"")</f>
        <v>5_36_1</v>
      </c>
      <c r="AD48" s="59" t="str">
        <f>IFERROR(VLOOKUP(Tabelle32[[#This Row],[Device ID]],BOM!$B$3:$BQ$35,34,FALSE),"")</f>
        <v>tpco-megw-vgw103.st-net.media.int</v>
      </c>
      <c r="AE48" s="59" t="str">
        <f>IFERROR(VLOOKUP(Tabelle32[[#This Row],[Device ID]],BOM!$B$3:$BQ$35,35,FALSE),"")</f>
        <v>10.120.67.141</v>
      </c>
      <c r="AF48" s="59">
        <f>IFERROR(VLOOKUP(Tabelle32[[#This Row],[Device ID]],BOM!$B$3:$BQ$35,36,FALSE),"")</f>
        <v>0</v>
      </c>
      <c r="AG48" s="59">
        <f>IFERROR(VLOOKUP(Tabelle32[[#This Row],[Device ID]],BOM!$B$3:$BQ$35,37,FALSE),"")</f>
        <v>0</v>
      </c>
      <c r="AH48" s="59"/>
      <c r="AI48" s="59"/>
      <c r="AJ48" s="59"/>
      <c r="AK48" s="59"/>
      <c r="AL48" s="59" t="str">
        <f>IFERROR(VLOOKUP(Tabelle32[[#This Row],[Device ID]],BOM!$B$3:$BQ$35,42,FALSE),"")</f>
        <v>Imagine Communications SNP</v>
      </c>
      <c r="AM48" s="59" t="str">
        <f>IFERROR(VLOOKUP(Tabelle32[[#This Row],[Device ID]],BOM!$B$3:$BQ$35,43,FALSE),"")</f>
        <v>no</v>
      </c>
      <c r="AN48" s="59" t="str">
        <f>IFERROR(VLOOKUP(Tabelle32[[#This Row],[Device ID]],BOM!$B$3:$BQ$35,44,FALSE),"")</f>
        <v>yes</v>
      </c>
      <c r="AO48" s="59" t="str">
        <f>IFERROR(VLOOKUP(Tabelle32[[#This Row],[Device ID]],BOM!$B$3:$BQ$35,45,FALSE),"")</f>
        <v>no</v>
      </c>
      <c r="AP48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48" s="59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73" t="s">
        <v>199</v>
      </c>
      <c r="BI48" s="30" t="str">
        <f>IF(COUNTA(Tabelle32[[#This Row],[Type:Vid_1080i50]:[Type:Anc_Prot]])&gt;0,"x","")</f>
        <v/>
      </c>
      <c r="BJ48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" s="59"/>
      <c r="BL48" s="59"/>
      <c r="BM48" s="63"/>
      <c r="BN48" s="63"/>
      <c r="BO48" s="96"/>
      <c r="BP48" s="96"/>
      <c r="BQ48" s="63">
        <f>LEN(Tabelle32[[#This Row],[Label 1
GFX-Unit]])</f>
        <v>0</v>
      </c>
      <c r="BR48" s="63"/>
      <c r="BS48" s="63"/>
      <c r="BT48" s="59"/>
      <c r="BU48" s="59"/>
      <c r="BV48" s="59" t="s">
        <v>211</v>
      </c>
      <c r="BW48" s="59" t="s">
        <v>212</v>
      </c>
      <c r="BX48" s="59" t="s">
        <v>312</v>
      </c>
      <c r="BY48" s="59">
        <v>3</v>
      </c>
    </row>
    <row r="49" spans="1:77" x14ac:dyDescent="0.2">
      <c r="A49" s="58" t="str">
        <f>CONCATENATE(Tabelle32[[#This Row],[Device ID]],".",Tabelle32[[#This Row],[Streamcounter]])</f>
        <v>380.03201</v>
      </c>
      <c r="B4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VGW-103_SDI03_AUDsend_0001</v>
      </c>
      <c r="C49" s="67"/>
      <c r="D49" s="61"/>
      <c r="E49" s="67"/>
      <c r="F49" s="59" t="str">
        <f>IFERROR(VLOOKUP(Tabelle32[[#This Row],[Device ID]],BOM!$B$3:$BQ$35,16,FALSE),"")</f>
        <v>MPA 421 HD1</v>
      </c>
      <c r="G49" s="63">
        <f>VLOOKUP(Tabelle32[[#This Row],[SDI Interface]],BOM!$A$4:$B$35,2,FALSE)</f>
        <v>380</v>
      </c>
      <c r="H49" s="59" t="str">
        <f>BOM!$C$4</f>
        <v>VGW-103</v>
      </c>
      <c r="I49" s="59" t="str">
        <f>IFERROR(VLOOKUP(Tabelle32[[#This Row],[Device ID]],BOM!$B$3:$BQ$35,12,FALSE),"")</f>
        <v>Videoserver</v>
      </c>
      <c r="J49" s="59" t="str">
        <f>IFERROR(VLOOKUP(Tabelle32[[#This Row],[Device ID]],BOM!$B$3:$BQ$35,13,FALSE),"")</f>
        <v>TC.U1.223 | MDC</v>
      </c>
      <c r="K49" s="59" t="str">
        <f>IFERROR(VLOOKUP(Tabelle32[[#This Row],[Device ID]],BOM!$B$3:$BQ$35,14,FALSE),"")</f>
        <v>Imagine Comunications</v>
      </c>
      <c r="L49" s="59" t="str">
        <f>IFERROR(VLOOKUP(Tabelle32[[#This Row],[Device ID]],BOM!$B$3:$BQ$35,16,FALSE),"")</f>
        <v>MPA 421 HD1</v>
      </c>
      <c r="M49" s="63" t="str">
        <f>IFERROR(VLOOKUP(Tabelle32[[#This Row],[Device ID]],BOM!$B$3:$BQ$35,17,FALSE),"")</f>
        <v>MPA 421</v>
      </c>
      <c r="N49" s="59" t="str">
        <f>IFERROR(VLOOKUP(Tabelle32[[#This Row],[Device ID]],BOM!$B$3:$BQ$35,18,FALSE),"")</f>
        <v>TC.02.296 | MPA421</v>
      </c>
      <c r="O49" s="64"/>
      <c r="P49" s="64">
        <f>IFERROR(VLOOKUP(Tabelle32[[#This Row],[Device ID]],BOM!$B$3:$BO$50,20,FALSE),"")</f>
        <v>0</v>
      </c>
      <c r="Q49" s="64">
        <f>IFERROR(VLOOKUP(Tabelle32[[#This Row],[Device ID]],BOM!$B$3:$BO$50,21,FALSE),"")</f>
        <v>1</v>
      </c>
      <c r="R49" s="64">
        <f>IFERROR(VLOOKUP(Tabelle32[[#This Row],[Device ID]],BOM!$B$3:$BO$50,22,FALSE),"")</f>
        <v>0</v>
      </c>
      <c r="S49" s="64"/>
      <c r="T49" s="64"/>
      <c r="U49" s="59" t="str">
        <f>IFERROR(VLOOKUP(Tabelle32[[#This Row],[Device ID]],BOM!$B$3:$BQ$35,25,FALSE),"")</f>
        <v>Luis/Ivo</v>
      </c>
      <c r="V49" s="59" t="str">
        <f>IFERROR(VLOOKUP(Tabelle32[[#This Row],[Device ID]],BOM!$B$3:$BQ$35,26,FALSE),"")</f>
        <v>tpco-megw-vgw103.rta.st-net.media.int</v>
      </c>
      <c r="W49" s="59" t="str">
        <f>IFERROR(VLOOKUP(Tabelle32[[#This Row],[Device ID]],BOM!$B$3:$BQ$35,27,FALSE),"")</f>
        <v>10.120.236.50</v>
      </c>
      <c r="X49" s="59" t="str">
        <f>IFERROR(VLOOKUP(Tabelle32[[#This Row],[Device ID]],BOM!$B$3:$BQ$35,28,FALSE),"")</f>
        <v>AVCoreA</v>
      </c>
      <c r="Y49" s="59" t="str">
        <f>IFERROR(VLOOKUP(Tabelle32[[#This Row],[Device ID]],BOM!$B$3:$BQ$35,29,FALSE),"")</f>
        <v>5_36_1</v>
      </c>
      <c r="Z49" s="59" t="str">
        <f>IFERROR(VLOOKUP(Tabelle32[[#This Row],[Device ID]],BOM!$B$3:$BQ$35,30,FALSE),"")</f>
        <v>tpco-megw-vgw103.rtb.st-net.media.int</v>
      </c>
      <c r="AA49" s="59" t="str">
        <f>IFERROR(VLOOKUP(Tabelle32[[#This Row],[Device ID]],BOM!$B$3:$BQ$35,31,FALSE),"")</f>
        <v>10.120.236.54</v>
      </c>
      <c r="AB49" s="59" t="str">
        <f>IFERROR(VLOOKUP(Tabelle32[[#This Row],[Device ID]],BOM!$B$3:$BQ$35,32,FALSE),"")</f>
        <v>AVCoreB</v>
      </c>
      <c r="AC49" s="59" t="str">
        <f>IFERROR(VLOOKUP(Tabelle32[[#This Row],[Device ID]],BOM!$B$3:$BQ$35,33,FALSE),"")</f>
        <v>5_36_1</v>
      </c>
      <c r="AD49" s="59" t="str">
        <f>IFERROR(VLOOKUP(Tabelle32[[#This Row],[Device ID]],BOM!$B$3:$BQ$35,34,FALSE),"")</f>
        <v>tpco-megw-vgw103.st-net.media.int</v>
      </c>
      <c r="AE49" s="59" t="str">
        <f>IFERROR(VLOOKUP(Tabelle32[[#This Row],[Device ID]],BOM!$B$3:$BQ$35,35,FALSE),"")</f>
        <v>10.120.67.141</v>
      </c>
      <c r="AF49" s="59">
        <f>IFERROR(VLOOKUP(Tabelle32[[#This Row],[Device ID]],BOM!$B$3:$BQ$35,36,FALSE),"")</f>
        <v>0</v>
      </c>
      <c r="AG49" s="59">
        <f>IFERROR(VLOOKUP(Tabelle32[[#This Row],[Device ID]],BOM!$B$3:$BQ$35,37,FALSE),"")</f>
        <v>0</v>
      </c>
      <c r="AH49" s="59"/>
      <c r="AI49" s="59"/>
      <c r="AJ49" s="59"/>
      <c r="AK49" s="59"/>
      <c r="AL49" s="59" t="str">
        <f>IFERROR(VLOOKUP(Tabelle32[[#This Row],[Device ID]],BOM!$B$3:$BQ$35,42,FALSE),"")</f>
        <v>Imagine Communications SNP</v>
      </c>
      <c r="AM49" s="59" t="str">
        <f>IFERROR(VLOOKUP(Tabelle32[[#This Row],[Device ID]],BOM!$B$3:$BQ$35,43,FALSE),"")</f>
        <v>no</v>
      </c>
      <c r="AN49" s="59" t="str">
        <f>IFERROR(VLOOKUP(Tabelle32[[#This Row],[Device ID]],BOM!$B$3:$BQ$35,44,FALSE),"")</f>
        <v>yes</v>
      </c>
      <c r="AO49" s="59" t="str">
        <f>IFERROR(VLOOKUP(Tabelle32[[#This Row],[Device ID]],BOM!$B$3:$BQ$35,45,FALSE),"")</f>
        <v>no</v>
      </c>
      <c r="AP49" s="59" t="str">
        <f>IFERROR(CONCATENATE(Tabelle32[[#This Row],[Family
GFX-Unit]]," | ",Tabelle32[[#This Row],[Label 1
GFX-Unit]]," | ",Tabelle32[[#This Row],[Attached Device if Gateway]]),"")</f>
        <v>PLAYOUT MPA421 | HD1-001 | MPA 421 HD1</v>
      </c>
      <c r="AQ49" s="59"/>
      <c r="AR49" s="90"/>
      <c r="AS49" s="90"/>
      <c r="AT49" s="90"/>
      <c r="AU49" s="90"/>
      <c r="AV49" s="90"/>
      <c r="AW49" s="90"/>
      <c r="AX49" s="90"/>
      <c r="AY49" s="90"/>
      <c r="AZ49" s="90" t="s">
        <v>97</v>
      </c>
      <c r="BA49" s="90"/>
      <c r="BB49" s="90"/>
      <c r="BC49" s="90"/>
      <c r="BD49" s="90"/>
      <c r="BE49" s="90"/>
      <c r="BF49" s="90"/>
      <c r="BG49" s="90"/>
      <c r="BH49" s="73" t="s">
        <v>199</v>
      </c>
      <c r="BI49" s="30" t="str">
        <f>IF(COUNTA(Tabelle32[[#This Row],[Type:Vid_1080i50]:[Type:Anc_Prot]])&gt;0,"x","")</f>
        <v>x</v>
      </c>
      <c r="BJ49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49" s="59"/>
      <c r="BL49" s="59"/>
      <c r="BM49" s="63"/>
      <c r="BN49" s="63"/>
      <c r="BO49" s="97" t="s">
        <v>307</v>
      </c>
      <c r="BP49" s="97" t="s">
        <v>308</v>
      </c>
      <c r="BQ49" s="63">
        <f>LEN(Tabelle32[[#This Row],[Label 1
GFX-Unit]])</f>
        <v>7</v>
      </c>
      <c r="BR49" s="63"/>
      <c r="BS49" s="63"/>
      <c r="BT49" s="59"/>
      <c r="BU49" s="59"/>
      <c r="BV49" s="59" t="s">
        <v>214</v>
      </c>
      <c r="BW49" s="59" t="s">
        <v>215</v>
      </c>
      <c r="BX49" s="59" t="s">
        <v>313</v>
      </c>
      <c r="BY49" s="59">
        <v>3</v>
      </c>
    </row>
    <row r="50" spans="1:77" x14ac:dyDescent="0.2">
      <c r="A50" s="58" t="str">
        <f>CONCATENATE(Tabelle32[[#This Row],[Device ID]],".",Tabelle32[[#This Row],[Streamcounter]])</f>
        <v>380.03202</v>
      </c>
      <c r="B5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VGW-103_SDI03_AUDsend_0002</v>
      </c>
      <c r="C50" s="67"/>
      <c r="D50" s="61"/>
      <c r="E50" s="67"/>
      <c r="F50" s="59" t="str">
        <f>IFERROR(VLOOKUP(Tabelle32[[#This Row],[Device ID]],BOM!$B$3:$BQ$35,16,FALSE),"")</f>
        <v>MPA 421 HD1</v>
      </c>
      <c r="G50" s="63">
        <f>VLOOKUP(Tabelle32[[#This Row],[SDI Interface]],BOM!$A$4:$B$35,2,FALSE)</f>
        <v>380</v>
      </c>
      <c r="H50" s="59" t="str">
        <f>BOM!$C$4</f>
        <v>VGW-103</v>
      </c>
      <c r="I50" s="59" t="str">
        <f>IFERROR(VLOOKUP(Tabelle32[[#This Row],[Device ID]],BOM!$B$3:$BQ$35,12,FALSE),"")</f>
        <v>Videoserver</v>
      </c>
      <c r="J50" s="59" t="str">
        <f>IFERROR(VLOOKUP(Tabelle32[[#This Row],[Device ID]],BOM!$B$3:$BQ$35,13,FALSE),"")</f>
        <v>TC.U1.223 | MDC</v>
      </c>
      <c r="K50" s="59" t="str">
        <f>IFERROR(VLOOKUP(Tabelle32[[#This Row],[Device ID]],BOM!$B$3:$BQ$35,14,FALSE),"")</f>
        <v>Imagine Comunications</v>
      </c>
      <c r="L50" s="59" t="str">
        <f>IFERROR(VLOOKUP(Tabelle32[[#This Row],[Device ID]],BOM!$B$3:$BQ$35,16,FALSE),"")</f>
        <v>MPA 421 HD1</v>
      </c>
      <c r="M50" s="63" t="str">
        <f>IFERROR(VLOOKUP(Tabelle32[[#This Row],[Device ID]],BOM!$B$3:$BQ$35,17,FALSE),"")</f>
        <v>MPA 421</v>
      </c>
      <c r="N50" s="59" t="str">
        <f>IFERROR(VLOOKUP(Tabelle32[[#This Row],[Device ID]],BOM!$B$3:$BQ$35,18,FALSE),"")</f>
        <v>TC.02.296 | MPA421</v>
      </c>
      <c r="O50" s="64"/>
      <c r="P50" s="64">
        <f>IFERROR(VLOOKUP(Tabelle32[[#This Row],[Device ID]],BOM!$B$3:$BO$50,20,FALSE),"")</f>
        <v>0</v>
      </c>
      <c r="Q50" s="64">
        <f>IFERROR(VLOOKUP(Tabelle32[[#This Row],[Device ID]],BOM!$B$3:$BO$50,21,FALSE),"")</f>
        <v>1</v>
      </c>
      <c r="R50" s="64">
        <f>IFERROR(VLOOKUP(Tabelle32[[#This Row],[Device ID]],BOM!$B$3:$BO$50,22,FALSE),"")</f>
        <v>0</v>
      </c>
      <c r="S50" s="64"/>
      <c r="T50" s="64"/>
      <c r="U50" s="59" t="str">
        <f>IFERROR(VLOOKUP(Tabelle32[[#This Row],[Device ID]],BOM!$B$3:$BQ$35,25,FALSE),"")</f>
        <v>Luis/Ivo</v>
      </c>
      <c r="V50" s="59" t="str">
        <f>IFERROR(VLOOKUP(Tabelle32[[#This Row],[Device ID]],BOM!$B$3:$BQ$35,26,FALSE),"")</f>
        <v>tpco-megw-vgw103.rta.st-net.media.int</v>
      </c>
      <c r="W50" s="59" t="str">
        <f>IFERROR(VLOOKUP(Tabelle32[[#This Row],[Device ID]],BOM!$B$3:$BQ$35,27,FALSE),"")</f>
        <v>10.120.236.50</v>
      </c>
      <c r="X50" s="59" t="str">
        <f>IFERROR(VLOOKUP(Tabelle32[[#This Row],[Device ID]],BOM!$B$3:$BQ$35,28,FALSE),"")</f>
        <v>AVCoreA</v>
      </c>
      <c r="Y50" s="59" t="str">
        <f>IFERROR(VLOOKUP(Tabelle32[[#This Row],[Device ID]],BOM!$B$3:$BQ$35,29,FALSE),"")</f>
        <v>5_36_1</v>
      </c>
      <c r="Z50" s="59" t="str">
        <f>IFERROR(VLOOKUP(Tabelle32[[#This Row],[Device ID]],BOM!$B$3:$BQ$35,30,FALSE),"")</f>
        <v>tpco-megw-vgw103.rtb.st-net.media.int</v>
      </c>
      <c r="AA50" s="59" t="str">
        <f>IFERROR(VLOOKUP(Tabelle32[[#This Row],[Device ID]],BOM!$B$3:$BQ$35,31,FALSE),"")</f>
        <v>10.120.236.54</v>
      </c>
      <c r="AB50" s="59" t="str">
        <f>IFERROR(VLOOKUP(Tabelle32[[#This Row],[Device ID]],BOM!$B$3:$BQ$35,32,FALSE),"")</f>
        <v>AVCoreB</v>
      </c>
      <c r="AC50" s="59" t="str">
        <f>IFERROR(VLOOKUP(Tabelle32[[#This Row],[Device ID]],BOM!$B$3:$BQ$35,33,FALSE),"")</f>
        <v>5_36_1</v>
      </c>
      <c r="AD50" s="59" t="str">
        <f>IFERROR(VLOOKUP(Tabelle32[[#This Row],[Device ID]],BOM!$B$3:$BQ$35,34,FALSE),"")</f>
        <v>tpco-megw-vgw103.st-net.media.int</v>
      </c>
      <c r="AE50" s="59" t="str">
        <f>IFERROR(VLOOKUP(Tabelle32[[#This Row],[Device ID]],BOM!$B$3:$BQ$35,35,FALSE),"")</f>
        <v>10.120.67.141</v>
      </c>
      <c r="AF50" s="59">
        <f>IFERROR(VLOOKUP(Tabelle32[[#This Row],[Device ID]],BOM!$B$3:$BQ$35,36,FALSE),"")</f>
        <v>0</v>
      </c>
      <c r="AG50" s="59">
        <f>IFERROR(VLOOKUP(Tabelle32[[#This Row],[Device ID]],BOM!$B$3:$BQ$35,37,FALSE),"")</f>
        <v>0</v>
      </c>
      <c r="AH50" s="59"/>
      <c r="AI50" s="59"/>
      <c r="AJ50" s="59"/>
      <c r="AK50" s="59"/>
      <c r="AL50" s="59" t="str">
        <f>IFERROR(VLOOKUP(Tabelle32[[#This Row],[Device ID]],BOM!$B$3:$BQ$35,42,FALSE),"")</f>
        <v>Imagine Communications SNP</v>
      </c>
      <c r="AM50" s="59" t="str">
        <f>IFERROR(VLOOKUP(Tabelle32[[#This Row],[Device ID]],BOM!$B$3:$BQ$35,43,FALSE),"")</f>
        <v>no</v>
      </c>
      <c r="AN50" s="59" t="str">
        <f>IFERROR(VLOOKUP(Tabelle32[[#This Row],[Device ID]],BOM!$B$3:$BQ$35,44,FALSE),"")</f>
        <v>yes</v>
      </c>
      <c r="AO50" s="59" t="str">
        <f>IFERROR(VLOOKUP(Tabelle32[[#This Row],[Device ID]],BOM!$B$3:$BQ$35,45,FALSE),"")</f>
        <v>no</v>
      </c>
      <c r="AP50" s="59" t="str">
        <f>IFERROR(CONCATENATE(Tabelle32[[#This Row],[Family
GFX-Unit]]," | ",Tabelle32[[#This Row],[Label 1
GFX-Unit]]," | ",Tabelle32[[#This Row],[Attached Device if Gateway]]),"")</f>
        <v>PLAYOUT MPA421 | HD1-002 | MPA 421 HD1</v>
      </c>
      <c r="AQ50" s="59"/>
      <c r="AR50" s="90"/>
      <c r="AS50" s="90"/>
      <c r="AT50" s="90"/>
      <c r="AU50" s="90"/>
      <c r="AV50" s="90"/>
      <c r="AW50" s="90" t="s">
        <v>97</v>
      </c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73" t="s">
        <v>199</v>
      </c>
      <c r="BI50" s="30" t="str">
        <f>IF(COUNTA(Tabelle32[[#This Row],[Type:Vid_1080i50]:[Type:Anc_Prot]])&gt;0,"x","")</f>
        <v>x</v>
      </c>
      <c r="BJ50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50" s="59"/>
      <c r="BL50" s="59"/>
      <c r="BM50" s="63"/>
      <c r="BN50" s="63"/>
      <c r="BO50" s="97" t="s">
        <v>307</v>
      </c>
      <c r="BP50" s="97" t="s">
        <v>314</v>
      </c>
      <c r="BQ50" s="63">
        <f>LEN(Tabelle32[[#This Row],[Label 1
GFX-Unit]])</f>
        <v>7</v>
      </c>
      <c r="BR50" s="63"/>
      <c r="BS50" s="63"/>
      <c r="BT50" s="59"/>
      <c r="BU50" s="59"/>
      <c r="BV50" s="59" t="s">
        <v>218</v>
      </c>
      <c r="BW50" s="59" t="s">
        <v>219</v>
      </c>
      <c r="BX50" s="59" t="s">
        <v>315</v>
      </c>
      <c r="BY50" s="59">
        <v>3</v>
      </c>
    </row>
    <row r="51" spans="1:77" x14ac:dyDescent="0.2">
      <c r="A51" s="58" t="str">
        <f>CONCATENATE(Tabelle32[[#This Row],[Device ID]],".",Tabelle32[[#This Row],[Streamcounter]])</f>
        <v>380.03203</v>
      </c>
      <c r="B5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VGW-103_SDI03_AUDsend_0003</v>
      </c>
      <c r="C51" s="67"/>
      <c r="D51" s="61"/>
      <c r="E51" s="67"/>
      <c r="F51" s="59" t="str">
        <f>IFERROR(VLOOKUP(Tabelle32[[#This Row],[Device ID]],BOM!$B$3:$BQ$35,16,FALSE),"")</f>
        <v>MPA 421 HD1</v>
      </c>
      <c r="G51" s="63">
        <f>VLOOKUP(Tabelle32[[#This Row],[SDI Interface]],BOM!$A$4:$B$35,2,FALSE)</f>
        <v>380</v>
      </c>
      <c r="H51" s="59" t="str">
        <f>BOM!$C$4</f>
        <v>VGW-103</v>
      </c>
      <c r="I51" s="59" t="str">
        <f>IFERROR(VLOOKUP(Tabelle32[[#This Row],[Device ID]],BOM!$B$3:$BQ$35,12,FALSE),"")</f>
        <v>Videoserver</v>
      </c>
      <c r="J51" s="59" t="str">
        <f>IFERROR(VLOOKUP(Tabelle32[[#This Row],[Device ID]],BOM!$B$3:$BQ$35,13,FALSE),"")</f>
        <v>TC.U1.223 | MDC</v>
      </c>
      <c r="K51" s="59" t="str">
        <f>IFERROR(VLOOKUP(Tabelle32[[#This Row],[Device ID]],BOM!$B$3:$BQ$35,14,FALSE),"")</f>
        <v>Imagine Comunications</v>
      </c>
      <c r="L51" s="59" t="str">
        <f>IFERROR(VLOOKUP(Tabelle32[[#This Row],[Device ID]],BOM!$B$3:$BQ$35,16,FALSE),"")</f>
        <v>MPA 421 HD1</v>
      </c>
      <c r="M51" s="63" t="str">
        <f>IFERROR(VLOOKUP(Tabelle32[[#This Row],[Device ID]],BOM!$B$3:$BQ$35,17,FALSE),"")</f>
        <v>MPA 421</v>
      </c>
      <c r="N51" s="59" t="str">
        <f>IFERROR(VLOOKUP(Tabelle32[[#This Row],[Device ID]],BOM!$B$3:$BQ$35,18,FALSE),"")</f>
        <v>TC.02.296 | MPA421</v>
      </c>
      <c r="O51" s="64"/>
      <c r="P51" s="64">
        <f>IFERROR(VLOOKUP(Tabelle32[[#This Row],[Device ID]],BOM!$B$3:$BO$50,20,FALSE),"")</f>
        <v>0</v>
      </c>
      <c r="Q51" s="64">
        <f>IFERROR(VLOOKUP(Tabelle32[[#This Row],[Device ID]],BOM!$B$3:$BO$50,21,FALSE),"")</f>
        <v>1</v>
      </c>
      <c r="R51" s="64">
        <f>IFERROR(VLOOKUP(Tabelle32[[#This Row],[Device ID]],BOM!$B$3:$BO$50,22,FALSE),"")</f>
        <v>0</v>
      </c>
      <c r="S51" s="64"/>
      <c r="T51" s="64"/>
      <c r="U51" s="59" t="str">
        <f>IFERROR(VLOOKUP(Tabelle32[[#This Row],[Device ID]],BOM!$B$3:$BQ$35,25,FALSE),"")</f>
        <v>Luis/Ivo</v>
      </c>
      <c r="V51" s="59" t="str">
        <f>IFERROR(VLOOKUP(Tabelle32[[#This Row],[Device ID]],BOM!$B$3:$BQ$35,26,FALSE),"")</f>
        <v>tpco-megw-vgw103.rta.st-net.media.int</v>
      </c>
      <c r="W51" s="59" t="str">
        <f>IFERROR(VLOOKUP(Tabelle32[[#This Row],[Device ID]],BOM!$B$3:$BQ$35,27,FALSE),"")</f>
        <v>10.120.236.50</v>
      </c>
      <c r="X51" s="59" t="str">
        <f>IFERROR(VLOOKUP(Tabelle32[[#This Row],[Device ID]],BOM!$B$3:$BQ$35,28,FALSE),"")</f>
        <v>AVCoreA</v>
      </c>
      <c r="Y51" s="59" t="str">
        <f>IFERROR(VLOOKUP(Tabelle32[[#This Row],[Device ID]],BOM!$B$3:$BQ$35,29,FALSE),"")</f>
        <v>5_36_1</v>
      </c>
      <c r="Z51" s="59" t="str">
        <f>IFERROR(VLOOKUP(Tabelle32[[#This Row],[Device ID]],BOM!$B$3:$BQ$35,30,FALSE),"")</f>
        <v>tpco-megw-vgw103.rtb.st-net.media.int</v>
      </c>
      <c r="AA51" s="59" t="str">
        <f>IFERROR(VLOOKUP(Tabelle32[[#This Row],[Device ID]],BOM!$B$3:$BQ$35,31,FALSE),"")</f>
        <v>10.120.236.54</v>
      </c>
      <c r="AB51" s="59" t="str">
        <f>IFERROR(VLOOKUP(Tabelle32[[#This Row],[Device ID]],BOM!$B$3:$BQ$35,32,FALSE),"")</f>
        <v>AVCoreB</v>
      </c>
      <c r="AC51" s="59" t="str">
        <f>IFERROR(VLOOKUP(Tabelle32[[#This Row],[Device ID]],BOM!$B$3:$BQ$35,33,FALSE),"")</f>
        <v>5_36_1</v>
      </c>
      <c r="AD51" s="59" t="str">
        <f>IFERROR(VLOOKUP(Tabelle32[[#This Row],[Device ID]],BOM!$B$3:$BQ$35,34,FALSE),"")</f>
        <v>tpco-megw-vgw103.st-net.media.int</v>
      </c>
      <c r="AE51" s="59" t="str">
        <f>IFERROR(VLOOKUP(Tabelle32[[#This Row],[Device ID]],BOM!$B$3:$BQ$35,35,FALSE),"")</f>
        <v>10.120.67.141</v>
      </c>
      <c r="AF51" s="59">
        <f>IFERROR(VLOOKUP(Tabelle32[[#This Row],[Device ID]],BOM!$B$3:$BQ$35,36,FALSE),"")</f>
        <v>0</v>
      </c>
      <c r="AG51" s="59">
        <f>IFERROR(VLOOKUP(Tabelle32[[#This Row],[Device ID]],BOM!$B$3:$BQ$35,37,FALSE),"")</f>
        <v>0</v>
      </c>
      <c r="AH51" s="59"/>
      <c r="AI51" s="59"/>
      <c r="AJ51" s="59"/>
      <c r="AK51" s="59"/>
      <c r="AL51" s="59" t="str">
        <f>IFERROR(VLOOKUP(Tabelle32[[#This Row],[Device ID]],BOM!$B$3:$BQ$35,42,FALSE),"")</f>
        <v>Imagine Communications SNP</v>
      </c>
      <c r="AM51" s="59" t="str">
        <f>IFERROR(VLOOKUP(Tabelle32[[#This Row],[Device ID]],BOM!$B$3:$BQ$35,43,FALSE),"")</f>
        <v>no</v>
      </c>
      <c r="AN51" s="59" t="str">
        <f>IFERROR(VLOOKUP(Tabelle32[[#This Row],[Device ID]],BOM!$B$3:$BQ$35,44,FALSE),"")</f>
        <v>yes</v>
      </c>
      <c r="AO51" s="59" t="str">
        <f>IFERROR(VLOOKUP(Tabelle32[[#This Row],[Device ID]],BOM!$B$3:$BQ$35,45,FALSE),"")</f>
        <v>no</v>
      </c>
      <c r="AP51" s="59" t="str">
        <f>IFERROR(CONCATENATE(Tabelle32[[#This Row],[Family
GFX-Unit]]," | ",Tabelle32[[#This Row],[Label 1
GFX-Unit]]," | ",Tabelle32[[#This Row],[Attached Device if Gateway]]),"")</f>
        <v>PLAYOUT MPA421 | HD1-003 | MPA 421 HD1</v>
      </c>
      <c r="AQ51" s="59"/>
      <c r="AR51" s="90"/>
      <c r="AS51" s="90"/>
      <c r="AT51" s="90"/>
      <c r="AU51" s="90"/>
      <c r="AV51" s="90"/>
      <c r="AW51" s="90" t="s">
        <v>97</v>
      </c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73" t="s">
        <v>199</v>
      </c>
      <c r="BI51" s="30" t="str">
        <f>IF(COUNTA(Tabelle32[[#This Row],[Type:Vid_1080i50]:[Type:Anc_Prot]])&gt;0,"x","")</f>
        <v>x</v>
      </c>
      <c r="BJ51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51" s="59"/>
      <c r="BL51" s="59"/>
      <c r="BM51" s="63"/>
      <c r="BN51" s="63"/>
      <c r="BO51" s="97" t="s">
        <v>307</v>
      </c>
      <c r="BP51" s="97" t="s">
        <v>316</v>
      </c>
      <c r="BQ51" s="63">
        <f>LEN(Tabelle32[[#This Row],[Label 1
GFX-Unit]])</f>
        <v>7</v>
      </c>
      <c r="BR51" s="63"/>
      <c r="BS51" s="63"/>
      <c r="BT51" s="59"/>
      <c r="BU51" s="59"/>
      <c r="BV51" s="59" t="s">
        <v>222</v>
      </c>
      <c r="BW51" s="59" t="s">
        <v>223</v>
      </c>
      <c r="BX51" s="59" t="s">
        <v>317</v>
      </c>
      <c r="BY51" s="59">
        <v>3</v>
      </c>
    </row>
    <row r="52" spans="1:77" x14ac:dyDescent="0.2">
      <c r="A52" s="58" t="str">
        <f>CONCATENATE(Tabelle32[[#This Row],[Device ID]],".",Tabelle32[[#This Row],[Streamcounter]])</f>
        <v>380.03204</v>
      </c>
      <c r="B5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VGW-103_SDI03_AUDsend_0004</v>
      </c>
      <c r="C52" s="60"/>
      <c r="D52" s="61"/>
      <c r="E52" s="62"/>
      <c r="F52" s="59" t="str">
        <f>IFERROR(VLOOKUP(Tabelle32[[#This Row],[Device ID]],BOM!$B$3:$BQ$35,16,FALSE),"")</f>
        <v>MPA 421 HD1</v>
      </c>
      <c r="G52" s="63">
        <f>VLOOKUP(Tabelle32[[#This Row],[SDI Interface]],BOM!$A$4:$B$35,2,FALSE)</f>
        <v>380</v>
      </c>
      <c r="H52" s="59" t="str">
        <f>BOM!$C$4</f>
        <v>VGW-103</v>
      </c>
      <c r="I52" s="59" t="str">
        <f>IFERROR(VLOOKUP(Tabelle32[[#This Row],[Device ID]],BOM!$B$3:$BQ$35,12,FALSE),"")</f>
        <v>Videoserver</v>
      </c>
      <c r="J52" s="59" t="str">
        <f>IFERROR(VLOOKUP(Tabelle32[[#This Row],[Device ID]],BOM!$B$3:$BQ$35,13,FALSE),"")</f>
        <v>TC.U1.223 | MDC</v>
      </c>
      <c r="K52" s="59" t="str">
        <f>IFERROR(VLOOKUP(Tabelle32[[#This Row],[Device ID]],BOM!$B$3:$BQ$35,14,FALSE),"")</f>
        <v>Imagine Comunications</v>
      </c>
      <c r="L52" s="59" t="str">
        <f>IFERROR(VLOOKUP(Tabelle32[[#This Row],[Device ID]],BOM!$B$3:$BQ$35,16,FALSE),"")</f>
        <v>MPA 421 HD1</v>
      </c>
      <c r="M52" s="63" t="str">
        <f>IFERROR(VLOOKUP(Tabelle32[[#This Row],[Device ID]],BOM!$B$3:$BQ$35,17,FALSE),"")</f>
        <v>MPA 421</v>
      </c>
      <c r="N52" s="59" t="str">
        <f>IFERROR(VLOOKUP(Tabelle32[[#This Row],[Device ID]],BOM!$B$3:$BQ$35,18,FALSE),"")</f>
        <v>TC.02.296 | MPA421</v>
      </c>
      <c r="O52" s="64"/>
      <c r="P52" s="64">
        <f>IFERROR(VLOOKUP(Tabelle32[[#This Row],[Device ID]],BOM!$B$3:$BO$50,20,FALSE),"")</f>
        <v>0</v>
      </c>
      <c r="Q52" s="64">
        <f>IFERROR(VLOOKUP(Tabelle32[[#This Row],[Device ID]],BOM!$B$3:$BO$50,21,FALSE),"")</f>
        <v>1</v>
      </c>
      <c r="R52" s="64">
        <f>IFERROR(VLOOKUP(Tabelle32[[#This Row],[Device ID]],BOM!$B$3:$BO$50,22,FALSE),"")</f>
        <v>0</v>
      </c>
      <c r="S52" s="64"/>
      <c r="T52" s="64"/>
      <c r="U52" s="59" t="str">
        <f>IFERROR(VLOOKUP(Tabelle32[[#This Row],[Device ID]],BOM!$B$3:$BQ$35,25,FALSE),"")</f>
        <v>Luis/Ivo</v>
      </c>
      <c r="V52" s="59" t="str">
        <f>IFERROR(VLOOKUP(Tabelle32[[#This Row],[Device ID]],BOM!$B$3:$BQ$35,26,FALSE),"")</f>
        <v>tpco-megw-vgw103.rta.st-net.media.int</v>
      </c>
      <c r="W52" s="59" t="str">
        <f>IFERROR(VLOOKUP(Tabelle32[[#This Row],[Device ID]],BOM!$B$3:$BQ$35,27,FALSE),"")</f>
        <v>10.120.236.50</v>
      </c>
      <c r="X52" s="59" t="str">
        <f>IFERROR(VLOOKUP(Tabelle32[[#This Row],[Device ID]],BOM!$B$3:$BQ$35,28,FALSE),"")</f>
        <v>AVCoreA</v>
      </c>
      <c r="Y52" s="59" t="str">
        <f>IFERROR(VLOOKUP(Tabelle32[[#This Row],[Device ID]],BOM!$B$3:$BQ$35,29,FALSE),"")</f>
        <v>5_36_1</v>
      </c>
      <c r="Z52" s="59" t="str">
        <f>IFERROR(VLOOKUP(Tabelle32[[#This Row],[Device ID]],BOM!$B$3:$BQ$35,30,FALSE),"")</f>
        <v>tpco-megw-vgw103.rtb.st-net.media.int</v>
      </c>
      <c r="AA52" s="59" t="str">
        <f>IFERROR(VLOOKUP(Tabelle32[[#This Row],[Device ID]],BOM!$B$3:$BQ$35,31,FALSE),"")</f>
        <v>10.120.236.54</v>
      </c>
      <c r="AB52" s="59" t="str">
        <f>IFERROR(VLOOKUP(Tabelle32[[#This Row],[Device ID]],BOM!$B$3:$BQ$35,32,FALSE),"")</f>
        <v>AVCoreB</v>
      </c>
      <c r="AC52" s="59" t="str">
        <f>IFERROR(VLOOKUP(Tabelle32[[#This Row],[Device ID]],BOM!$B$3:$BQ$35,33,FALSE),"")</f>
        <v>5_36_1</v>
      </c>
      <c r="AD52" s="59" t="str">
        <f>IFERROR(VLOOKUP(Tabelle32[[#This Row],[Device ID]],BOM!$B$3:$BQ$35,34,FALSE),"")</f>
        <v>tpco-megw-vgw103.st-net.media.int</v>
      </c>
      <c r="AE52" s="59" t="str">
        <f>IFERROR(VLOOKUP(Tabelle32[[#This Row],[Device ID]],BOM!$B$3:$BQ$35,35,FALSE),"")</f>
        <v>10.120.67.141</v>
      </c>
      <c r="AF52" s="59">
        <f>IFERROR(VLOOKUP(Tabelle32[[#This Row],[Device ID]],BOM!$B$3:$BQ$35,36,FALSE),"")</f>
        <v>0</v>
      </c>
      <c r="AG52" s="59">
        <f>IFERROR(VLOOKUP(Tabelle32[[#This Row],[Device ID]],BOM!$B$3:$BQ$35,37,FALSE),"")</f>
        <v>0</v>
      </c>
      <c r="AH52" s="59"/>
      <c r="AI52" s="59"/>
      <c r="AJ52" s="59"/>
      <c r="AK52" s="59"/>
      <c r="AL52" s="59" t="str">
        <f>IFERROR(VLOOKUP(Tabelle32[[#This Row],[Device ID]],BOM!$B$3:$BQ$35,42,FALSE),"")</f>
        <v>Imagine Communications SNP</v>
      </c>
      <c r="AM52" s="59" t="str">
        <f>IFERROR(VLOOKUP(Tabelle32[[#This Row],[Device ID]],BOM!$B$3:$BQ$35,43,FALSE),"")</f>
        <v>no</v>
      </c>
      <c r="AN52" s="59" t="str">
        <f>IFERROR(VLOOKUP(Tabelle32[[#This Row],[Device ID]],BOM!$B$3:$BQ$35,44,FALSE),"")</f>
        <v>yes</v>
      </c>
      <c r="AO52" s="59" t="str">
        <f>IFERROR(VLOOKUP(Tabelle32[[#This Row],[Device ID]],BOM!$B$3:$BQ$35,45,FALSE),"")</f>
        <v>no</v>
      </c>
      <c r="AP52" s="59" t="str">
        <f>IFERROR(CONCATENATE(Tabelle32[[#This Row],[Family
GFX-Unit]]," | ",Tabelle32[[#This Row],[Label 1
GFX-Unit]]," | ",Tabelle32[[#This Row],[Attached Device if Gateway]]),"")</f>
        <v>PLAYOUT MPA421 | HD1-004 | MPA 421 HD1</v>
      </c>
      <c r="AQ52" s="59"/>
      <c r="AR52" s="90"/>
      <c r="AS52" s="90"/>
      <c r="AT52" s="90"/>
      <c r="AU52" s="90"/>
      <c r="AV52" s="90"/>
      <c r="AW52" s="90"/>
      <c r="AX52" s="90"/>
      <c r="AY52" s="90"/>
      <c r="AZ52" s="90" t="s">
        <v>97</v>
      </c>
      <c r="BA52" s="90"/>
      <c r="BB52" s="90"/>
      <c r="BC52" s="90"/>
      <c r="BD52" s="90"/>
      <c r="BE52" s="90"/>
      <c r="BF52" s="90"/>
      <c r="BG52" s="90"/>
      <c r="BH52" s="73" t="s">
        <v>199</v>
      </c>
      <c r="BI52" s="30" t="str">
        <f>IF(COUNTA(Tabelle32[[#This Row],[Type:Vid_1080i50]:[Type:Anc_Prot]])&gt;0,"x","")</f>
        <v>x</v>
      </c>
      <c r="BJ52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52" s="59"/>
      <c r="BL52" s="59"/>
      <c r="BM52" s="63"/>
      <c r="BN52" s="63"/>
      <c r="BO52" s="97" t="s">
        <v>307</v>
      </c>
      <c r="BP52" s="97" t="s">
        <v>318</v>
      </c>
      <c r="BQ52" s="63">
        <f>LEN(Tabelle32[[#This Row],[Label 1
GFX-Unit]])</f>
        <v>7</v>
      </c>
      <c r="BR52" s="63"/>
      <c r="BS52" s="63"/>
      <c r="BT52" s="59"/>
      <c r="BU52" s="59"/>
      <c r="BV52" s="59" t="s">
        <v>226</v>
      </c>
      <c r="BW52" s="59" t="s">
        <v>227</v>
      </c>
      <c r="BX52" s="59" t="s">
        <v>319</v>
      </c>
      <c r="BY52" s="59">
        <v>3</v>
      </c>
    </row>
    <row r="53" spans="1:77" x14ac:dyDescent="0.2">
      <c r="A53" s="58" t="str">
        <f>CONCATENATE(Tabelle32[[#This Row],[Device ID]],".",Tabelle32[[#This Row],[Streamcounter]])</f>
        <v>380.03205</v>
      </c>
      <c r="B5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VGW-103_SDI03_AUDsend_0005</v>
      </c>
      <c r="C53" s="60"/>
      <c r="D53" s="61"/>
      <c r="E53" s="62"/>
      <c r="F53" s="59" t="str">
        <f>IFERROR(VLOOKUP(Tabelle32[[#This Row],[Device ID]],BOM!$B$3:$BQ$35,16,FALSE),"")</f>
        <v>MPA 421 HD1</v>
      </c>
      <c r="G53" s="63">
        <f>VLOOKUP(Tabelle32[[#This Row],[SDI Interface]],BOM!$A$4:$B$35,2,FALSE)</f>
        <v>380</v>
      </c>
      <c r="H53" s="59" t="str">
        <f>BOM!$C$4</f>
        <v>VGW-103</v>
      </c>
      <c r="I53" s="59" t="str">
        <f>IFERROR(VLOOKUP(Tabelle32[[#This Row],[Device ID]],BOM!$B$3:$BQ$35,12,FALSE),"")</f>
        <v>Videoserver</v>
      </c>
      <c r="J53" s="59" t="str">
        <f>IFERROR(VLOOKUP(Tabelle32[[#This Row],[Device ID]],BOM!$B$3:$BQ$35,13,FALSE),"")</f>
        <v>TC.U1.223 | MDC</v>
      </c>
      <c r="K53" s="59" t="str">
        <f>IFERROR(VLOOKUP(Tabelle32[[#This Row],[Device ID]],BOM!$B$3:$BQ$35,14,FALSE),"")</f>
        <v>Imagine Comunications</v>
      </c>
      <c r="L53" s="59" t="str">
        <f>IFERROR(VLOOKUP(Tabelle32[[#This Row],[Device ID]],BOM!$B$3:$BQ$35,16,FALSE),"")</f>
        <v>MPA 421 HD1</v>
      </c>
      <c r="M53" s="63" t="str">
        <f>IFERROR(VLOOKUP(Tabelle32[[#This Row],[Device ID]],BOM!$B$3:$BQ$35,17,FALSE),"")</f>
        <v>MPA 421</v>
      </c>
      <c r="N53" s="59" t="str">
        <f>IFERROR(VLOOKUP(Tabelle32[[#This Row],[Device ID]],BOM!$B$3:$BQ$35,18,FALSE),"")</f>
        <v>TC.02.296 | MPA421</v>
      </c>
      <c r="O53" s="64"/>
      <c r="P53" s="64">
        <f>IFERROR(VLOOKUP(Tabelle32[[#This Row],[Device ID]],BOM!$B$3:$BO$50,20,FALSE),"")</f>
        <v>0</v>
      </c>
      <c r="Q53" s="64">
        <f>IFERROR(VLOOKUP(Tabelle32[[#This Row],[Device ID]],BOM!$B$3:$BO$50,21,FALSE),"")</f>
        <v>1</v>
      </c>
      <c r="R53" s="64">
        <f>IFERROR(VLOOKUP(Tabelle32[[#This Row],[Device ID]],BOM!$B$3:$BO$50,22,FALSE),"")</f>
        <v>0</v>
      </c>
      <c r="S53" s="64"/>
      <c r="T53" s="64"/>
      <c r="U53" s="59" t="str">
        <f>IFERROR(VLOOKUP(Tabelle32[[#This Row],[Device ID]],BOM!$B$3:$BQ$35,25,FALSE),"")</f>
        <v>Luis/Ivo</v>
      </c>
      <c r="V53" s="59" t="str">
        <f>IFERROR(VLOOKUP(Tabelle32[[#This Row],[Device ID]],BOM!$B$3:$BQ$35,26,FALSE),"")</f>
        <v>tpco-megw-vgw103.rta.st-net.media.int</v>
      </c>
      <c r="W53" s="59" t="str">
        <f>IFERROR(VLOOKUP(Tabelle32[[#This Row],[Device ID]],BOM!$B$3:$BQ$35,27,FALSE),"")</f>
        <v>10.120.236.50</v>
      </c>
      <c r="X53" s="59" t="str">
        <f>IFERROR(VLOOKUP(Tabelle32[[#This Row],[Device ID]],BOM!$B$3:$BQ$35,28,FALSE),"")</f>
        <v>AVCoreA</v>
      </c>
      <c r="Y53" s="59" t="str">
        <f>IFERROR(VLOOKUP(Tabelle32[[#This Row],[Device ID]],BOM!$B$3:$BQ$35,29,FALSE),"")</f>
        <v>5_36_1</v>
      </c>
      <c r="Z53" s="59" t="str">
        <f>IFERROR(VLOOKUP(Tabelle32[[#This Row],[Device ID]],BOM!$B$3:$BQ$35,30,FALSE),"")</f>
        <v>tpco-megw-vgw103.rtb.st-net.media.int</v>
      </c>
      <c r="AA53" s="59" t="str">
        <f>IFERROR(VLOOKUP(Tabelle32[[#This Row],[Device ID]],BOM!$B$3:$BQ$35,31,FALSE),"")</f>
        <v>10.120.236.54</v>
      </c>
      <c r="AB53" s="59" t="str">
        <f>IFERROR(VLOOKUP(Tabelle32[[#This Row],[Device ID]],BOM!$B$3:$BQ$35,32,FALSE),"")</f>
        <v>AVCoreB</v>
      </c>
      <c r="AC53" s="59" t="str">
        <f>IFERROR(VLOOKUP(Tabelle32[[#This Row],[Device ID]],BOM!$B$3:$BQ$35,33,FALSE),"")</f>
        <v>5_36_1</v>
      </c>
      <c r="AD53" s="59" t="str">
        <f>IFERROR(VLOOKUP(Tabelle32[[#This Row],[Device ID]],BOM!$B$3:$BQ$35,34,FALSE),"")</f>
        <v>tpco-megw-vgw103.st-net.media.int</v>
      </c>
      <c r="AE53" s="59" t="str">
        <f>IFERROR(VLOOKUP(Tabelle32[[#This Row],[Device ID]],BOM!$B$3:$BQ$35,35,FALSE),"")</f>
        <v>10.120.67.141</v>
      </c>
      <c r="AF53" s="59">
        <f>IFERROR(VLOOKUP(Tabelle32[[#This Row],[Device ID]],BOM!$B$3:$BQ$35,36,FALSE),"")</f>
        <v>0</v>
      </c>
      <c r="AG53" s="59">
        <f>IFERROR(VLOOKUP(Tabelle32[[#This Row],[Device ID]],BOM!$B$3:$BQ$35,37,FALSE),"")</f>
        <v>0</v>
      </c>
      <c r="AH53" s="59"/>
      <c r="AI53" s="59"/>
      <c r="AJ53" s="59"/>
      <c r="AK53" s="59"/>
      <c r="AL53" s="59" t="str">
        <f>IFERROR(VLOOKUP(Tabelle32[[#This Row],[Device ID]],BOM!$B$3:$BQ$35,42,FALSE),"")</f>
        <v>Imagine Communications SNP</v>
      </c>
      <c r="AM53" s="59" t="str">
        <f>IFERROR(VLOOKUP(Tabelle32[[#This Row],[Device ID]],BOM!$B$3:$BQ$35,43,FALSE),"")</f>
        <v>no</v>
      </c>
      <c r="AN53" s="59" t="str">
        <f>IFERROR(VLOOKUP(Tabelle32[[#This Row],[Device ID]],BOM!$B$3:$BQ$35,44,FALSE),"")</f>
        <v>yes</v>
      </c>
      <c r="AO53" s="59" t="str">
        <f>IFERROR(VLOOKUP(Tabelle32[[#This Row],[Device ID]],BOM!$B$3:$BQ$35,45,FALSE),"")</f>
        <v>no</v>
      </c>
      <c r="AP53" s="59" t="str">
        <f>IFERROR(CONCATENATE(Tabelle32[[#This Row],[Family
GFX-Unit]]," | ",Tabelle32[[#This Row],[Label 1
GFX-Unit]]," | ",Tabelle32[[#This Row],[Attached Device if Gateway]]),"")</f>
        <v>PLAYOUT MPA421 | HD1-005 | MPA 421 HD1</v>
      </c>
      <c r="AQ53" s="59"/>
      <c r="AR53" s="90"/>
      <c r="AS53" s="90"/>
      <c r="AT53" s="90"/>
      <c r="AU53" s="90"/>
      <c r="AV53" s="90"/>
      <c r="AW53" s="90" t="s">
        <v>97</v>
      </c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73" t="s">
        <v>199</v>
      </c>
      <c r="BI53" s="30" t="str">
        <f>IF(COUNTA(Tabelle32[[#This Row],[Type:Vid_1080i50]:[Type:Anc_Prot]])&gt;0,"x","")</f>
        <v>x</v>
      </c>
      <c r="BJ5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53" s="59"/>
      <c r="BL53" s="59"/>
      <c r="BM53" s="63"/>
      <c r="BN53" s="63"/>
      <c r="BO53" s="97" t="s">
        <v>307</v>
      </c>
      <c r="BP53" s="97" t="s">
        <v>320</v>
      </c>
      <c r="BQ53" s="63">
        <f>LEN(Tabelle32[[#This Row],[Label 1
GFX-Unit]])</f>
        <v>7</v>
      </c>
      <c r="BR53" s="63"/>
      <c r="BS53" s="63"/>
      <c r="BT53" s="59"/>
      <c r="BU53" s="59"/>
      <c r="BV53" s="59" t="s">
        <v>230</v>
      </c>
      <c r="BW53" s="59" t="s">
        <v>231</v>
      </c>
      <c r="BX53" s="59" t="s">
        <v>321</v>
      </c>
      <c r="BY53" s="59">
        <v>3</v>
      </c>
    </row>
    <row r="54" spans="1:77" x14ac:dyDescent="0.2">
      <c r="A54" s="58" t="str">
        <f>CONCATENATE(Tabelle32[[#This Row],[Device ID]],".",Tabelle32[[#This Row],[Streamcounter]])</f>
        <v>380.03206</v>
      </c>
      <c r="B5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VGW-103_SDI03_AUDsend_0006</v>
      </c>
      <c r="C54" s="60"/>
      <c r="D54" s="61"/>
      <c r="E54" s="62"/>
      <c r="F54" s="59" t="str">
        <f>IFERROR(VLOOKUP(Tabelle32[[#This Row],[Device ID]],BOM!$B$3:$BQ$35,16,FALSE),"")</f>
        <v>MPA 421 HD1</v>
      </c>
      <c r="G54" s="63">
        <f>VLOOKUP(Tabelle32[[#This Row],[SDI Interface]],BOM!$A$4:$B$35,2,FALSE)</f>
        <v>380</v>
      </c>
      <c r="H54" s="59" t="str">
        <f>BOM!$C$4</f>
        <v>VGW-103</v>
      </c>
      <c r="I54" s="59" t="str">
        <f>IFERROR(VLOOKUP(Tabelle32[[#This Row],[Device ID]],BOM!$B$3:$BQ$35,12,FALSE),"")</f>
        <v>Videoserver</v>
      </c>
      <c r="J54" s="59" t="str">
        <f>IFERROR(VLOOKUP(Tabelle32[[#This Row],[Device ID]],BOM!$B$3:$BQ$35,13,FALSE),"")</f>
        <v>TC.U1.223 | MDC</v>
      </c>
      <c r="K54" s="59" t="str">
        <f>IFERROR(VLOOKUP(Tabelle32[[#This Row],[Device ID]],BOM!$B$3:$BQ$35,14,FALSE),"")</f>
        <v>Imagine Comunications</v>
      </c>
      <c r="L54" s="59" t="str">
        <f>IFERROR(VLOOKUP(Tabelle32[[#This Row],[Device ID]],BOM!$B$3:$BQ$35,16,FALSE),"")</f>
        <v>MPA 421 HD1</v>
      </c>
      <c r="M54" s="63" t="str">
        <f>IFERROR(VLOOKUP(Tabelle32[[#This Row],[Device ID]],BOM!$B$3:$BQ$35,17,FALSE),"")</f>
        <v>MPA 421</v>
      </c>
      <c r="N54" s="59" t="str">
        <f>IFERROR(VLOOKUP(Tabelle32[[#This Row],[Device ID]],BOM!$B$3:$BQ$35,18,FALSE),"")</f>
        <v>TC.02.296 | MPA421</v>
      </c>
      <c r="O54" s="64"/>
      <c r="P54" s="64">
        <f>IFERROR(VLOOKUP(Tabelle32[[#This Row],[Device ID]],BOM!$B$3:$BO$50,20,FALSE),"")</f>
        <v>0</v>
      </c>
      <c r="Q54" s="64">
        <f>IFERROR(VLOOKUP(Tabelle32[[#This Row],[Device ID]],BOM!$B$3:$BO$50,21,FALSE),"")</f>
        <v>1</v>
      </c>
      <c r="R54" s="64">
        <f>IFERROR(VLOOKUP(Tabelle32[[#This Row],[Device ID]],BOM!$B$3:$BO$50,22,FALSE),"")</f>
        <v>0</v>
      </c>
      <c r="S54" s="64"/>
      <c r="T54" s="64"/>
      <c r="U54" s="59" t="str">
        <f>IFERROR(VLOOKUP(Tabelle32[[#This Row],[Device ID]],BOM!$B$3:$BQ$35,25,FALSE),"")</f>
        <v>Luis/Ivo</v>
      </c>
      <c r="V54" s="59" t="str">
        <f>IFERROR(VLOOKUP(Tabelle32[[#This Row],[Device ID]],BOM!$B$3:$BQ$35,26,FALSE),"")</f>
        <v>tpco-megw-vgw103.rta.st-net.media.int</v>
      </c>
      <c r="W54" s="59" t="str">
        <f>IFERROR(VLOOKUP(Tabelle32[[#This Row],[Device ID]],BOM!$B$3:$BQ$35,27,FALSE),"")</f>
        <v>10.120.236.50</v>
      </c>
      <c r="X54" s="59" t="str">
        <f>IFERROR(VLOOKUP(Tabelle32[[#This Row],[Device ID]],BOM!$B$3:$BQ$35,28,FALSE),"")</f>
        <v>AVCoreA</v>
      </c>
      <c r="Y54" s="59" t="str">
        <f>IFERROR(VLOOKUP(Tabelle32[[#This Row],[Device ID]],BOM!$B$3:$BQ$35,29,FALSE),"")</f>
        <v>5_36_1</v>
      </c>
      <c r="Z54" s="59" t="str">
        <f>IFERROR(VLOOKUP(Tabelle32[[#This Row],[Device ID]],BOM!$B$3:$BQ$35,30,FALSE),"")</f>
        <v>tpco-megw-vgw103.rtb.st-net.media.int</v>
      </c>
      <c r="AA54" s="59" t="str">
        <f>IFERROR(VLOOKUP(Tabelle32[[#This Row],[Device ID]],BOM!$B$3:$BQ$35,31,FALSE),"")</f>
        <v>10.120.236.54</v>
      </c>
      <c r="AB54" s="59" t="str">
        <f>IFERROR(VLOOKUP(Tabelle32[[#This Row],[Device ID]],BOM!$B$3:$BQ$35,32,FALSE),"")</f>
        <v>AVCoreB</v>
      </c>
      <c r="AC54" s="59" t="str">
        <f>IFERROR(VLOOKUP(Tabelle32[[#This Row],[Device ID]],BOM!$B$3:$BQ$35,33,FALSE),"")</f>
        <v>5_36_1</v>
      </c>
      <c r="AD54" s="59" t="str">
        <f>IFERROR(VLOOKUP(Tabelle32[[#This Row],[Device ID]],BOM!$B$3:$BQ$35,34,FALSE),"")</f>
        <v>tpco-megw-vgw103.st-net.media.int</v>
      </c>
      <c r="AE54" s="59" t="str">
        <f>IFERROR(VLOOKUP(Tabelle32[[#This Row],[Device ID]],BOM!$B$3:$BQ$35,35,FALSE),"")</f>
        <v>10.120.67.141</v>
      </c>
      <c r="AF54" s="59">
        <f>IFERROR(VLOOKUP(Tabelle32[[#This Row],[Device ID]],BOM!$B$3:$BQ$35,36,FALSE),"")</f>
        <v>0</v>
      </c>
      <c r="AG54" s="59">
        <f>IFERROR(VLOOKUP(Tabelle32[[#This Row],[Device ID]],BOM!$B$3:$BQ$35,37,FALSE),"")</f>
        <v>0</v>
      </c>
      <c r="AH54" s="59"/>
      <c r="AI54" s="59"/>
      <c r="AJ54" s="59"/>
      <c r="AK54" s="59"/>
      <c r="AL54" s="59" t="str">
        <f>IFERROR(VLOOKUP(Tabelle32[[#This Row],[Device ID]],BOM!$B$3:$BQ$35,42,FALSE),"")</f>
        <v>Imagine Communications SNP</v>
      </c>
      <c r="AM54" s="59" t="str">
        <f>IFERROR(VLOOKUP(Tabelle32[[#This Row],[Device ID]],BOM!$B$3:$BQ$35,43,FALSE),"")</f>
        <v>no</v>
      </c>
      <c r="AN54" s="59" t="str">
        <f>IFERROR(VLOOKUP(Tabelle32[[#This Row],[Device ID]],BOM!$B$3:$BQ$35,44,FALSE),"")</f>
        <v>yes</v>
      </c>
      <c r="AO54" s="59" t="str">
        <f>IFERROR(VLOOKUP(Tabelle32[[#This Row],[Device ID]],BOM!$B$3:$BQ$35,45,FALSE),"")</f>
        <v>no</v>
      </c>
      <c r="AP54" s="59" t="str">
        <f>IFERROR(CONCATENATE(Tabelle32[[#This Row],[Family
GFX-Unit]]," | ",Tabelle32[[#This Row],[Label 1
GFX-Unit]]," | ",Tabelle32[[#This Row],[Attached Device if Gateway]]),"")</f>
        <v>PLAYOUT MPA421 | HD1-006 | MPA 421 HD1</v>
      </c>
      <c r="AQ54" s="59"/>
      <c r="AR54" s="90"/>
      <c r="AS54" s="90"/>
      <c r="AT54" s="90"/>
      <c r="AU54" s="90"/>
      <c r="AV54" s="90"/>
      <c r="AW54" s="90" t="s">
        <v>97</v>
      </c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73" t="s">
        <v>199</v>
      </c>
      <c r="BI54" s="30" t="str">
        <f>IF(COUNTA(Tabelle32[[#This Row],[Type:Vid_1080i50]:[Type:Anc_Prot]])&gt;0,"x","")</f>
        <v>x</v>
      </c>
      <c r="BJ5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54" s="59"/>
      <c r="BL54" s="59"/>
      <c r="BM54" s="63"/>
      <c r="BN54" s="63"/>
      <c r="BO54" s="97" t="s">
        <v>307</v>
      </c>
      <c r="BP54" s="97" t="s">
        <v>322</v>
      </c>
      <c r="BQ54" s="63">
        <f>LEN(Tabelle32[[#This Row],[Label 1
GFX-Unit]])</f>
        <v>7</v>
      </c>
      <c r="BR54" s="63"/>
      <c r="BS54" s="63"/>
      <c r="BT54" s="59"/>
      <c r="BU54" s="59"/>
      <c r="BV54" s="59" t="s">
        <v>234</v>
      </c>
      <c r="BW54" s="59" t="s">
        <v>235</v>
      </c>
      <c r="BX54" s="59" t="s">
        <v>323</v>
      </c>
      <c r="BY54" s="59">
        <v>3</v>
      </c>
    </row>
    <row r="55" spans="1:77" x14ac:dyDescent="0.2">
      <c r="A55" s="58" t="str">
        <f>CONCATENATE(Tabelle32[[#This Row],[Device ID]],".",Tabelle32[[#This Row],[Streamcounter]])</f>
        <v>380.03207</v>
      </c>
      <c r="B5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VGW-103_SDI03_AUDsend_0007</v>
      </c>
      <c r="C55" s="60"/>
      <c r="D55" s="61"/>
      <c r="E55" s="62"/>
      <c r="F55" s="59" t="str">
        <f>IFERROR(VLOOKUP(Tabelle32[[#This Row],[Device ID]],BOM!$B$3:$BQ$35,16,FALSE),"")</f>
        <v>MPA 421 HD1</v>
      </c>
      <c r="G55" s="63">
        <f>VLOOKUP(Tabelle32[[#This Row],[SDI Interface]],BOM!$A$4:$B$35,2,FALSE)</f>
        <v>380</v>
      </c>
      <c r="H55" s="59" t="str">
        <f>BOM!$C$4</f>
        <v>VGW-103</v>
      </c>
      <c r="I55" s="59" t="str">
        <f>IFERROR(VLOOKUP(Tabelle32[[#This Row],[Device ID]],BOM!$B$3:$BQ$35,12,FALSE),"")</f>
        <v>Videoserver</v>
      </c>
      <c r="J55" s="59" t="str">
        <f>IFERROR(VLOOKUP(Tabelle32[[#This Row],[Device ID]],BOM!$B$3:$BQ$35,13,FALSE),"")</f>
        <v>TC.U1.223 | MDC</v>
      </c>
      <c r="K55" s="59" t="str">
        <f>IFERROR(VLOOKUP(Tabelle32[[#This Row],[Device ID]],BOM!$B$3:$BQ$35,14,FALSE),"")</f>
        <v>Imagine Comunications</v>
      </c>
      <c r="L55" s="59" t="str">
        <f>IFERROR(VLOOKUP(Tabelle32[[#This Row],[Device ID]],BOM!$B$3:$BQ$35,16,FALSE),"")</f>
        <v>MPA 421 HD1</v>
      </c>
      <c r="M55" s="63" t="str">
        <f>IFERROR(VLOOKUP(Tabelle32[[#This Row],[Device ID]],BOM!$B$3:$BQ$35,17,FALSE),"")</f>
        <v>MPA 421</v>
      </c>
      <c r="N55" s="59" t="str">
        <f>IFERROR(VLOOKUP(Tabelle32[[#This Row],[Device ID]],BOM!$B$3:$BQ$35,18,FALSE),"")</f>
        <v>TC.02.296 | MPA421</v>
      </c>
      <c r="O55" s="64"/>
      <c r="P55" s="64">
        <f>IFERROR(VLOOKUP(Tabelle32[[#This Row],[Device ID]],BOM!$B$3:$BO$50,20,FALSE),"")</f>
        <v>0</v>
      </c>
      <c r="Q55" s="64">
        <f>IFERROR(VLOOKUP(Tabelle32[[#This Row],[Device ID]],BOM!$B$3:$BO$50,21,FALSE),"")</f>
        <v>1</v>
      </c>
      <c r="R55" s="64">
        <f>IFERROR(VLOOKUP(Tabelle32[[#This Row],[Device ID]],BOM!$B$3:$BO$50,22,FALSE),"")</f>
        <v>0</v>
      </c>
      <c r="S55" s="64"/>
      <c r="T55" s="64"/>
      <c r="U55" s="59" t="str">
        <f>IFERROR(VLOOKUP(Tabelle32[[#This Row],[Device ID]],BOM!$B$3:$BQ$35,25,FALSE),"")</f>
        <v>Luis/Ivo</v>
      </c>
      <c r="V55" s="59" t="str">
        <f>IFERROR(VLOOKUP(Tabelle32[[#This Row],[Device ID]],BOM!$B$3:$BQ$35,26,FALSE),"")</f>
        <v>tpco-megw-vgw103.rta.st-net.media.int</v>
      </c>
      <c r="W55" s="59" t="str">
        <f>IFERROR(VLOOKUP(Tabelle32[[#This Row],[Device ID]],BOM!$B$3:$BQ$35,27,FALSE),"")</f>
        <v>10.120.236.50</v>
      </c>
      <c r="X55" s="59" t="str">
        <f>IFERROR(VLOOKUP(Tabelle32[[#This Row],[Device ID]],BOM!$B$3:$BQ$35,28,FALSE),"")</f>
        <v>AVCoreA</v>
      </c>
      <c r="Y55" s="59" t="str">
        <f>IFERROR(VLOOKUP(Tabelle32[[#This Row],[Device ID]],BOM!$B$3:$BQ$35,29,FALSE),"")</f>
        <v>5_36_1</v>
      </c>
      <c r="Z55" s="59" t="str">
        <f>IFERROR(VLOOKUP(Tabelle32[[#This Row],[Device ID]],BOM!$B$3:$BQ$35,30,FALSE),"")</f>
        <v>tpco-megw-vgw103.rtb.st-net.media.int</v>
      </c>
      <c r="AA55" s="59" t="str">
        <f>IFERROR(VLOOKUP(Tabelle32[[#This Row],[Device ID]],BOM!$B$3:$BQ$35,31,FALSE),"")</f>
        <v>10.120.236.54</v>
      </c>
      <c r="AB55" s="59" t="str">
        <f>IFERROR(VLOOKUP(Tabelle32[[#This Row],[Device ID]],BOM!$B$3:$BQ$35,32,FALSE),"")</f>
        <v>AVCoreB</v>
      </c>
      <c r="AC55" s="59" t="str">
        <f>IFERROR(VLOOKUP(Tabelle32[[#This Row],[Device ID]],BOM!$B$3:$BQ$35,33,FALSE),"")</f>
        <v>5_36_1</v>
      </c>
      <c r="AD55" s="59" t="str">
        <f>IFERROR(VLOOKUP(Tabelle32[[#This Row],[Device ID]],BOM!$B$3:$BQ$35,34,FALSE),"")</f>
        <v>tpco-megw-vgw103.st-net.media.int</v>
      </c>
      <c r="AE55" s="59" t="str">
        <f>IFERROR(VLOOKUP(Tabelle32[[#This Row],[Device ID]],BOM!$B$3:$BQ$35,35,FALSE),"")</f>
        <v>10.120.67.141</v>
      </c>
      <c r="AF55" s="59">
        <f>IFERROR(VLOOKUP(Tabelle32[[#This Row],[Device ID]],BOM!$B$3:$BQ$35,36,FALSE),"")</f>
        <v>0</v>
      </c>
      <c r="AG55" s="59">
        <f>IFERROR(VLOOKUP(Tabelle32[[#This Row],[Device ID]],BOM!$B$3:$BQ$35,37,FALSE),"")</f>
        <v>0</v>
      </c>
      <c r="AH55" s="59"/>
      <c r="AI55" s="59"/>
      <c r="AJ55" s="59"/>
      <c r="AK55" s="59"/>
      <c r="AL55" s="59" t="str">
        <f>IFERROR(VLOOKUP(Tabelle32[[#This Row],[Device ID]],BOM!$B$3:$BQ$35,42,FALSE),"")</f>
        <v>Imagine Communications SNP</v>
      </c>
      <c r="AM55" s="59" t="str">
        <f>IFERROR(VLOOKUP(Tabelle32[[#This Row],[Device ID]],BOM!$B$3:$BQ$35,43,FALSE),"")</f>
        <v>no</v>
      </c>
      <c r="AN55" s="59" t="str">
        <f>IFERROR(VLOOKUP(Tabelle32[[#This Row],[Device ID]],BOM!$B$3:$BQ$35,44,FALSE),"")</f>
        <v>yes</v>
      </c>
      <c r="AO55" s="59" t="str">
        <f>IFERROR(VLOOKUP(Tabelle32[[#This Row],[Device ID]],BOM!$B$3:$BQ$35,45,FALSE),"")</f>
        <v>no</v>
      </c>
      <c r="AP55" s="59" t="str">
        <f>IFERROR(CONCATENATE(Tabelle32[[#This Row],[Family
GFX-Unit]]," | ",Tabelle32[[#This Row],[Label 1
GFX-Unit]]," | ",Tabelle32[[#This Row],[Attached Device if Gateway]]),"")</f>
        <v>PLAYOUT MPA421 | HD1-007 | MPA 421 HD1</v>
      </c>
      <c r="AQ55" s="59"/>
      <c r="AR55" s="90"/>
      <c r="AS55" s="90"/>
      <c r="AT55" s="90"/>
      <c r="AU55" s="90"/>
      <c r="AV55" s="90"/>
      <c r="AW55" s="90"/>
      <c r="AX55" s="90"/>
      <c r="AY55" s="90"/>
      <c r="AZ55" s="90" t="s">
        <v>97</v>
      </c>
      <c r="BA55" s="90"/>
      <c r="BB55" s="90"/>
      <c r="BC55" s="90"/>
      <c r="BD55" s="90"/>
      <c r="BE55" s="90"/>
      <c r="BF55" s="90"/>
      <c r="BG55" s="90"/>
      <c r="BH55" s="73" t="s">
        <v>199</v>
      </c>
      <c r="BI55" s="30" t="str">
        <f>IF(COUNTA(Tabelle32[[#This Row],[Type:Vid_1080i50]:[Type:Anc_Prot]])&gt;0,"x","")</f>
        <v>x</v>
      </c>
      <c r="BJ5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55" s="59"/>
      <c r="BL55" s="59"/>
      <c r="BM55" s="63"/>
      <c r="BN55" s="63"/>
      <c r="BO55" s="97" t="s">
        <v>307</v>
      </c>
      <c r="BP55" s="97" t="s">
        <v>324</v>
      </c>
      <c r="BQ55" s="63">
        <f>LEN(Tabelle32[[#This Row],[Label 1
GFX-Unit]])</f>
        <v>7</v>
      </c>
      <c r="BR55" s="63"/>
      <c r="BS55" s="63"/>
      <c r="BT55" s="59"/>
      <c r="BU55" s="59"/>
      <c r="BV55" s="59" t="s">
        <v>238</v>
      </c>
      <c r="BW55" s="59" t="s">
        <v>239</v>
      </c>
      <c r="BX55" s="59" t="s">
        <v>325</v>
      </c>
      <c r="BY55" s="59">
        <v>3</v>
      </c>
    </row>
    <row r="56" spans="1:77" x14ac:dyDescent="0.2">
      <c r="A56" s="58" t="str">
        <f>CONCATENATE(Tabelle32[[#This Row],[Device ID]],".",Tabelle32[[#This Row],[Streamcounter]])</f>
        <v>380.03208</v>
      </c>
      <c r="B5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VGW-103_SDI03_AUDsend_0008</v>
      </c>
      <c r="C56" s="60"/>
      <c r="D56" s="61"/>
      <c r="E56" s="62"/>
      <c r="F56" s="59" t="str">
        <f>IFERROR(VLOOKUP(Tabelle32[[#This Row],[Device ID]],BOM!$B$3:$BQ$35,16,FALSE),"")</f>
        <v>MPA 421 HD1</v>
      </c>
      <c r="G56" s="63">
        <f>VLOOKUP(Tabelle32[[#This Row],[SDI Interface]],BOM!$A$4:$B$35,2,FALSE)</f>
        <v>380</v>
      </c>
      <c r="H56" s="59" t="str">
        <f>BOM!$C$4</f>
        <v>VGW-103</v>
      </c>
      <c r="I56" s="59" t="str">
        <f>IFERROR(VLOOKUP(Tabelle32[[#This Row],[Device ID]],BOM!$B$3:$BQ$35,12,FALSE),"")</f>
        <v>Videoserver</v>
      </c>
      <c r="J56" s="59" t="str">
        <f>IFERROR(VLOOKUP(Tabelle32[[#This Row],[Device ID]],BOM!$B$3:$BQ$35,13,FALSE),"")</f>
        <v>TC.U1.223 | MDC</v>
      </c>
      <c r="K56" s="59" t="str">
        <f>IFERROR(VLOOKUP(Tabelle32[[#This Row],[Device ID]],BOM!$B$3:$BQ$35,14,FALSE),"")</f>
        <v>Imagine Comunications</v>
      </c>
      <c r="L56" s="59" t="str">
        <f>IFERROR(VLOOKUP(Tabelle32[[#This Row],[Device ID]],BOM!$B$3:$BQ$35,16,FALSE),"")</f>
        <v>MPA 421 HD1</v>
      </c>
      <c r="M56" s="63" t="str">
        <f>IFERROR(VLOOKUP(Tabelle32[[#This Row],[Device ID]],BOM!$B$3:$BQ$35,17,FALSE),"")</f>
        <v>MPA 421</v>
      </c>
      <c r="N56" s="59" t="str">
        <f>IFERROR(VLOOKUP(Tabelle32[[#This Row],[Device ID]],BOM!$B$3:$BQ$35,18,FALSE),"")</f>
        <v>TC.02.296 | MPA421</v>
      </c>
      <c r="O56" s="64"/>
      <c r="P56" s="64">
        <f>IFERROR(VLOOKUP(Tabelle32[[#This Row],[Device ID]],BOM!$B$3:$BO$50,20,FALSE),"")</f>
        <v>0</v>
      </c>
      <c r="Q56" s="64">
        <f>IFERROR(VLOOKUP(Tabelle32[[#This Row],[Device ID]],BOM!$B$3:$BO$50,21,FALSE),"")</f>
        <v>1</v>
      </c>
      <c r="R56" s="64">
        <f>IFERROR(VLOOKUP(Tabelle32[[#This Row],[Device ID]],BOM!$B$3:$BO$50,22,FALSE),"")</f>
        <v>0</v>
      </c>
      <c r="S56" s="64"/>
      <c r="T56" s="64"/>
      <c r="U56" s="59" t="str">
        <f>IFERROR(VLOOKUP(Tabelle32[[#This Row],[Device ID]],BOM!$B$3:$BQ$35,25,FALSE),"")</f>
        <v>Luis/Ivo</v>
      </c>
      <c r="V56" s="59" t="str">
        <f>IFERROR(VLOOKUP(Tabelle32[[#This Row],[Device ID]],BOM!$B$3:$BQ$35,26,FALSE),"")</f>
        <v>tpco-megw-vgw103.rta.st-net.media.int</v>
      </c>
      <c r="W56" s="59" t="str">
        <f>IFERROR(VLOOKUP(Tabelle32[[#This Row],[Device ID]],BOM!$B$3:$BQ$35,27,FALSE),"")</f>
        <v>10.120.236.50</v>
      </c>
      <c r="X56" s="59" t="str">
        <f>IFERROR(VLOOKUP(Tabelle32[[#This Row],[Device ID]],BOM!$B$3:$BQ$35,28,FALSE),"")</f>
        <v>AVCoreA</v>
      </c>
      <c r="Y56" s="59" t="str">
        <f>IFERROR(VLOOKUP(Tabelle32[[#This Row],[Device ID]],BOM!$B$3:$BQ$35,29,FALSE),"")</f>
        <v>5_36_1</v>
      </c>
      <c r="Z56" s="59" t="str">
        <f>IFERROR(VLOOKUP(Tabelle32[[#This Row],[Device ID]],BOM!$B$3:$BQ$35,30,FALSE),"")</f>
        <v>tpco-megw-vgw103.rtb.st-net.media.int</v>
      </c>
      <c r="AA56" s="59" t="str">
        <f>IFERROR(VLOOKUP(Tabelle32[[#This Row],[Device ID]],BOM!$B$3:$BQ$35,31,FALSE),"")</f>
        <v>10.120.236.54</v>
      </c>
      <c r="AB56" s="59" t="str">
        <f>IFERROR(VLOOKUP(Tabelle32[[#This Row],[Device ID]],BOM!$B$3:$BQ$35,32,FALSE),"")</f>
        <v>AVCoreB</v>
      </c>
      <c r="AC56" s="59" t="str">
        <f>IFERROR(VLOOKUP(Tabelle32[[#This Row],[Device ID]],BOM!$B$3:$BQ$35,33,FALSE),"")</f>
        <v>5_36_1</v>
      </c>
      <c r="AD56" s="59" t="str">
        <f>IFERROR(VLOOKUP(Tabelle32[[#This Row],[Device ID]],BOM!$B$3:$BQ$35,34,FALSE),"")</f>
        <v>tpco-megw-vgw103.st-net.media.int</v>
      </c>
      <c r="AE56" s="59" t="str">
        <f>IFERROR(VLOOKUP(Tabelle32[[#This Row],[Device ID]],BOM!$B$3:$BQ$35,35,FALSE),"")</f>
        <v>10.120.67.141</v>
      </c>
      <c r="AF56" s="59">
        <f>IFERROR(VLOOKUP(Tabelle32[[#This Row],[Device ID]],BOM!$B$3:$BQ$35,36,FALSE),"")</f>
        <v>0</v>
      </c>
      <c r="AG56" s="59">
        <f>IFERROR(VLOOKUP(Tabelle32[[#This Row],[Device ID]],BOM!$B$3:$BQ$35,37,FALSE),"")</f>
        <v>0</v>
      </c>
      <c r="AH56" s="59"/>
      <c r="AI56" s="59"/>
      <c r="AJ56" s="59"/>
      <c r="AK56" s="59"/>
      <c r="AL56" s="59" t="str">
        <f>IFERROR(VLOOKUP(Tabelle32[[#This Row],[Device ID]],BOM!$B$3:$BQ$35,42,FALSE),"")</f>
        <v>Imagine Communications SNP</v>
      </c>
      <c r="AM56" s="59" t="str">
        <f>IFERROR(VLOOKUP(Tabelle32[[#This Row],[Device ID]],BOM!$B$3:$BQ$35,43,FALSE),"")</f>
        <v>no</v>
      </c>
      <c r="AN56" s="59" t="str">
        <f>IFERROR(VLOOKUP(Tabelle32[[#This Row],[Device ID]],BOM!$B$3:$BQ$35,44,FALSE),"")</f>
        <v>yes</v>
      </c>
      <c r="AO56" s="59" t="str">
        <f>IFERROR(VLOOKUP(Tabelle32[[#This Row],[Device ID]],BOM!$B$3:$BQ$35,45,FALSE),"")</f>
        <v>no</v>
      </c>
      <c r="AP56" s="59" t="str">
        <f>IFERROR(CONCATENATE(Tabelle32[[#This Row],[Family
GFX-Unit]]," | ",Tabelle32[[#This Row],[Label 1
GFX-Unit]]," | ",Tabelle32[[#This Row],[Attached Device if Gateway]]),"")</f>
        <v>PLAYOUT MPA421 | HD1-008 | MPA 421 HD1</v>
      </c>
      <c r="AQ56" s="59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 t="s">
        <v>97</v>
      </c>
      <c r="BD56" s="90"/>
      <c r="BE56" s="90"/>
      <c r="BF56" s="90"/>
      <c r="BG56" s="90"/>
      <c r="BH56" s="73" t="s">
        <v>199</v>
      </c>
      <c r="BI56" s="30" t="str">
        <f>IF(COUNTA(Tabelle32[[#This Row],[Type:Vid_1080i50]:[Type:Anc_Prot]])&gt;0,"x","")</f>
        <v>x</v>
      </c>
      <c r="BJ5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56" s="59"/>
      <c r="BL56" s="59"/>
      <c r="BM56" s="63"/>
      <c r="BN56" s="63"/>
      <c r="BO56" s="97" t="s">
        <v>307</v>
      </c>
      <c r="BP56" s="97" t="s">
        <v>326</v>
      </c>
      <c r="BQ56" s="63">
        <f>LEN(Tabelle32[[#This Row],[Label 1
GFX-Unit]])</f>
        <v>7</v>
      </c>
      <c r="BR56" s="63"/>
      <c r="BS56" s="63"/>
      <c r="BT56" s="59"/>
      <c r="BU56" s="59"/>
      <c r="BV56" s="59" t="s">
        <v>242</v>
      </c>
      <c r="BW56" s="59" t="s">
        <v>243</v>
      </c>
      <c r="BX56" s="59" t="s">
        <v>327</v>
      </c>
      <c r="BY56" s="59">
        <v>3</v>
      </c>
    </row>
    <row r="57" spans="1:77" hidden="1" x14ac:dyDescent="0.2">
      <c r="A57" s="58" t="str">
        <f>CONCATENATE(Tabelle32[[#This Row],[Device ID]],".",Tabelle32[[#This Row],[Streamcounter]])</f>
        <v>380.03209</v>
      </c>
      <c r="B5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VGW-103_SDI03_AUDsend_0009</v>
      </c>
      <c r="C57" s="60"/>
      <c r="D57" s="61"/>
      <c r="E57" s="62"/>
      <c r="F57" s="59" t="str">
        <f>IFERROR(VLOOKUP(Tabelle32[[#This Row],[Device ID]],BOM!$B$3:$BQ$35,16,FALSE),"")</f>
        <v>MPA 421 HD1</v>
      </c>
      <c r="G57" s="63">
        <f>VLOOKUP(Tabelle32[[#This Row],[SDI Interface]],BOM!$A$4:$B$35,2,FALSE)</f>
        <v>380</v>
      </c>
      <c r="H57" s="59" t="str">
        <f>BOM!$C$4</f>
        <v>VGW-103</v>
      </c>
      <c r="I57" s="59" t="str">
        <f>IFERROR(VLOOKUP(Tabelle32[[#This Row],[Device ID]],BOM!$B$3:$BQ$35,12,FALSE),"")</f>
        <v>Videoserver</v>
      </c>
      <c r="J57" s="59" t="str">
        <f>IFERROR(VLOOKUP(Tabelle32[[#This Row],[Device ID]],BOM!$B$3:$BQ$35,13,FALSE),"")</f>
        <v>TC.U1.223 | MDC</v>
      </c>
      <c r="K57" s="59" t="str">
        <f>IFERROR(VLOOKUP(Tabelle32[[#This Row],[Device ID]],BOM!$B$3:$BQ$35,14,FALSE),"")</f>
        <v>Imagine Comunications</v>
      </c>
      <c r="L57" s="59" t="str">
        <f>IFERROR(VLOOKUP(Tabelle32[[#This Row],[Device ID]],BOM!$B$3:$BQ$35,16,FALSE),"")</f>
        <v>MPA 421 HD1</v>
      </c>
      <c r="M57" s="63" t="str">
        <f>IFERROR(VLOOKUP(Tabelle32[[#This Row],[Device ID]],BOM!$B$3:$BQ$35,17,FALSE),"")</f>
        <v>MPA 421</v>
      </c>
      <c r="N57" s="59" t="str">
        <f>IFERROR(VLOOKUP(Tabelle32[[#This Row],[Device ID]],BOM!$B$3:$BQ$35,18,FALSE),"")</f>
        <v>TC.02.296 | MPA421</v>
      </c>
      <c r="O57" s="64"/>
      <c r="P57" s="64">
        <f>IFERROR(VLOOKUP(Tabelle32[[#This Row],[Device ID]],BOM!$B$3:$BO$50,20,FALSE),"")</f>
        <v>0</v>
      </c>
      <c r="Q57" s="64">
        <f>IFERROR(VLOOKUP(Tabelle32[[#This Row],[Device ID]],BOM!$B$3:$BO$50,21,FALSE),"")</f>
        <v>1</v>
      </c>
      <c r="R57" s="64">
        <f>IFERROR(VLOOKUP(Tabelle32[[#This Row],[Device ID]],BOM!$B$3:$BO$50,22,FALSE),"")</f>
        <v>0</v>
      </c>
      <c r="S57" s="64"/>
      <c r="T57" s="64"/>
      <c r="U57" s="59" t="str">
        <f>IFERROR(VLOOKUP(Tabelle32[[#This Row],[Device ID]],BOM!$B$3:$BQ$35,25,FALSE),"")</f>
        <v>Luis/Ivo</v>
      </c>
      <c r="V57" s="59" t="str">
        <f>IFERROR(VLOOKUP(Tabelle32[[#This Row],[Device ID]],BOM!$B$3:$BQ$35,26,FALSE),"")</f>
        <v>tpco-megw-vgw103.rta.st-net.media.int</v>
      </c>
      <c r="W57" s="59" t="str">
        <f>IFERROR(VLOOKUP(Tabelle32[[#This Row],[Device ID]],BOM!$B$3:$BQ$35,27,FALSE),"")</f>
        <v>10.120.236.50</v>
      </c>
      <c r="X57" s="59" t="str">
        <f>IFERROR(VLOOKUP(Tabelle32[[#This Row],[Device ID]],BOM!$B$3:$BQ$35,28,FALSE),"")</f>
        <v>AVCoreA</v>
      </c>
      <c r="Y57" s="59" t="str">
        <f>IFERROR(VLOOKUP(Tabelle32[[#This Row],[Device ID]],BOM!$B$3:$BQ$35,29,FALSE),"")</f>
        <v>5_36_1</v>
      </c>
      <c r="Z57" s="59" t="str">
        <f>IFERROR(VLOOKUP(Tabelle32[[#This Row],[Device ID]],BOM!$B$3:$BQ$35,30,FALSE),"")</f>
        <v>tpco-megw-vgw103.rtb.st-net.media.int</v>
      </c>
      <c r="AA57" s="59" t="str">
        <f>IFERROR(VLOOKUP(Tabelle32[[#This Row],[Device ID]],BOM!$B$3:$BQ$35,31,FALSE),"")</f>
        <v>10.120.236.54</v>
      </c>
      <c r="AB57" s="59" t="str">
        <f>IFERROR(VLOOKUP(Tabelle32[[#This Row],[Device ID]],BOM!$B$3:$BQ$35,32,FALSE),"")</f>
        <v>AVCoreB</v>
      </c>
      <c r="AC57" s="59" t="str">
        <f>IFERROR(VLOOKUP(Tabelle32[[#This Row],[Device ID]],BOM!$B$3:$BQ$35,33,FALSE),"")</f>
        <v>5_36_1</v>
      </c>
      <c r="AD57" s="59" t="str">
        <f>IFERROR(VLOOKUP(Tabelle32[[#This Row],[Device ID]],BOM!$B$3:$BQ$35,34,FALSE),"")</f>
        <v>tpco-megw-vgw103.st-net.media.int</v>
      </c>
      <c r="AE57" s="59" t="str">
        <f>IFERROR(VLOOKUP(Tabelle32[[#This Row],[Device ID]],BOM!$B$3:$BQ$35,35,FALSE),"")</f>
        <v>10.120.67.141</v>
      </c>
      <c r="AF57" s="59">
        <f>IFERROR(VLOOKUP(Tabelle32[[#This Row],[Device ID]],BOM!$B$3:$BQ$35,36,FALSE),"")</f>
        <v>0</v>
      </c>
      <c r="AG57" s="59">
        <f>IFERROR(VLOOKUP(Tabelle32[[#This Row],[Device ID]],BOM!$B$3:$BQ$35,37,FALSE),"")</f>
        <v>0</v>
      </c>
      <c r="AH57" s="59"/>
      <c r="AI57" s="59"/>
      <c r="AJ57" s="59"/>
      <c r="AK57" s="59"/>
      <c r="AL57" s="59" t="str">
        <f>IFERROR(VLOOKUP(Tabelle32[[#This Row],[Device ID]],BOM!$B$3:$BQ$35,42,FALSE),"")</f>
        <v>Imagine Communications SNP</v>
      </c>
      <c r="AM57" s="59" t="str">
        <f>IFERROR(VLOOKUP(Tabelle32[[#This Row],[Device ID]],BOM!$B$3:$BQ$35,43,FALSE),"")</f>
        <v>no</v>
      </c>
      <c r="AN57" s="59" t="str">
        <f>IFERROR(VLOOKUP(Tabelle32[[#This Row],[Device ID]],BOM!$B$3:$BQ$35,44,FALSE),"")</f>
        <v>yes</v>
      </c>
      <c r="AO57" s="59" t="str">
        <f>IFERROR(VLOOKUP(Tabelle32[[#This Row],[Device ID]],BOM!$B$3:$BQ$35,45,FALSE),"")</f>
        <v>no</v>
      </c>
      <c r="AP57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57" s="59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73" t="s">
        <v>199</v>
      </c>
      <c r="BI57" s="30" t="str">
        <f>IF(COUNTA(Tabelle32[[#This Row],[Type:Vid_1080i50]:[Type:Anc_Prot]])&gt;0,"x","")</f>
        <v/>
      </c>
      <c r="BJ57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7" s="59"/>
      <c r="BL57" s="59"/>
      <c r="BM57" s="63"/>
      <c r="BN57" s="63"/>
      <c r="BO57" s="96"/>
      <c r="BP57" s="96"/>
      <c r="BQ57" s="63">
        <f>LEN(Tabelle32[[#This Row],[Label 1
GFX-Unit]])</f>
        <v>0</v>
      </c>
      <c r="BR57" s="63"/>
      <c r="BS57" s="63"/>
      <c r="BT57" s="59"/>
      <c r="BU57" s="59"/>
      <c r="BV57" s="59" t="s">
        <v>245</v>
      </c>
      <c r="BW57" s="59" t="s">
        <v>246</v>
      </c>
      <c r="BX57" s="59" t="s">
        <v>328</v>
      </c>
      <c r="BY57" s="59">
        <v>3</v>
      </c>
    </row>
    <row r="58" spans="1:77" hidden="1" x14ac:dyDescent="0.2">
      <c r="A58" s="58" t="str">
        <f>CONCATENATE(Tabelle32[[#This Row],[Device ID]],".",Tabelle32[[#This Row],[Streamcounter]])</f>
        <v>380.03210</v>
      </c>
      <c r="B5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VGW-103_SDI03_AUDsend_0010</v>
      </c>
      <c r="C58" s="60"/>
      <c r="D58" s="61"/>
      <c r="E58" s="62"/>
      <c r="F58" s="59" t="str">
        <f>IFERROR(VLOOKUP(Tabelle32[[#This Row],[Device ID]],BOM!$B$3:$BQ$35,16,FALSE),"")</f>
        <v>MPA 421 HD1</v>
      </c>
      <c r="G58" s="63">
        <f>VLOOKUP(Tabelle32[[#This Row],[SDI Interface]],BOM!$A$4:$B$35,2,FALSE)</f>
        <v>380</v>
      </c>
      <c r="H58" s="59" t="str">
        <f>BOM!$C$4</f>
        <v>VGW-103</v>
      </c>
      <c r="I58" s="59" t="str">
        <f>IFERROR(VLOOKUP(Tabelle32[[#This Row],[Device ID]],BOM!$B$3:$BQ$35,12,FALSE),"")</f>
        <v>Videoserver</v>
      </c>
      <c r="J58" s="59" t="str">
        <f>IFERROR(VLOOKUP(Tabelle32[[#This Row],[Device ID]],BOM!$B$3:$BQ$35,13,FALSE),"")</f>
        <v>TC.U1.223 | MDC</v>
      </c>
      <c r="K58" s="59" t="str">
        <f>IFERROR(VLOOKUP(Tabelle32[[#This Row],[Device ID]],BOM!$B$3:$BQ$35,14,FALSE),"")</f>
        <v>Imagine Comunications</v>
      </c>
      <c r="L58" s="59" t="str">
        <f>IFERROR(VLOOKUP(Tabelle32[[#This Row],[Device ID]],BOM!$B$3:$BQ$35,16,FALSE),"")</f>
        <v>MPA 421 HD1</v>
      </c>
      <c r="M58" s="63" t="str">
        <f>IFERROR(VLOOKUP(Tabelle32[[#This Row],[Device ID]],BOM!$B$3:$BQ$35,17,FALSE),"")</f>
        <v>MPA 421</v>
      </c>
      <c r="N58" s="59" t="str">
        <f>IFERROR(VLOOKUP(Tabelle32[[#This Row],[Device ID]],BOM!$B$3:$BQ$35,18,FALSE),"")</f>
        <v>TC.02.296 | MPA421</v>
      </c>
      <c r="O58" s="64"/>
      <c r="P58" s="64">
        <f>IFERROR(VLOOKUP(Tabelle32[[#This Row],[Device ID]],BOM!$B$3:$BO$50,20,FALSE),"")</f>
        <v>0</v>
      </c>
      <c r="Q58" s="64">
        <f>IFERROR(VLOOKUP(Tabelle32[[#This Row],[Device ID]],BOM!$B$3:$BO$50,21,FALSE),"")</f>
        <v>1</v>
      </c>
      <c r="R58" s="64">
        <f>IFERROR(VLOOKUP(Tabelle32[[#This Row],[Device ID]],BOM!$B$3:$BO$50,22,FALSE),"")</f>
        <v>0</v>
      </c>
      <c r="S58" s="64"/>
      <c r="T58" s="64"/>
      <c r="U58" s="59" t="str">
        <f>IFERROR(VLOOKUP(Tabelle32[[#This Row],[Device ID]],BOM!$B$3:$BQ$35,25,FALSE),"")</f>
        <v>Luis/Ivo</v>
      </c>
      <c r="V58" s="59" t="str">
        <f>IFERROR(VLOOKUP(Tabelle32[[#This Row],[Device ID]],BOM!$B$3:$BQ$35,26,FALSE),"")</f>
        <v>tpco-megw-vgw103.rta.st-net.media.int</v>
      </c>
      <c r="W58" s="59" t="str">
        <f>IFERROR(VLOOKUP(Tabelle32[[#This Row],[Device ID]],BOM!$B$3:$BQ$35,27,FALSE),"")</f>
        <v>10.120.236.50</v>
      </c>
      <c r="X58" s="59" t="str">
        <f>IFERROR(VLOOKUP(Tabelle32[[#This Row],[Device ID]],BOM!$B$3:$BQ$35,28,FALSE),"")</f>
        <v>AVCoreA</v>
      </c>
      <c r="Y58" s="59" t="str">
        <f>IFERROR(VLOOKUP(Tabelle32[[#This Row],[Device ID]],BOM!$B$3:$BQ$35,29,FALSE),"")</f>
        <v>5_36_1</v>
      </c>
      <c r="Z58" s="59" t="str">
        <f>IFERROR(VLOOKUP(Tabelle32[[#This Row],[Device ID]],BOM!$B$3:$BQ$35,30,FALSE),"")</f>
        <v>tpco-megw-vgw103.rtb.st-net.media.int</v>
      </c>
      <c r="AA58" s="59" t="str">
        <f>IFERROR(VLOOKUP(Tabelle32[[#This Row],[Device ID]],BOM!$B$3:$BQ$35,31,FALSE),"")</f>
        <v>10.120.236.54</v>
      </c>
      <c r="AB58" s="59" t="str">
        <f>IFERROR(VLOOKUP(Tabelle32[[#This Row],[Device ID]],BOM!$B$3:$BQ$35,32,FALSE),"")</f>
        <v>AVCoreB</v>
      </c>
      <c r="AC58" s="59" t="str">
        <f>IFERROR(VLOOKUP(Tabelle32[[#This Row],[Device ID]],BOM!$B$3:$BQ$35,33,FALSE),"")</f>
        <v>5_36_1</v>
      </c>
      <c r="AD58" s="59" t="str">
        <f>IFERROR(VLOOKUP(Tabelle32[[#This Row],[Device ID]],BOM!$B$3:$BQ$35,34,FALSE),"")</f>
        <v>tpco-megw-vgw103.st-net.media.int</v>
      </c>
      <c r="AE58" s="59" t="str">
        <f>IFERROR(VLOOKUP(Tabelle32[[#This Row],[Device ID]],BOM!$B$3:$BQ$35,35,FALSE),"")</f>
        <v>10.120.67.141</v>
      </c>
      <c r="AF58" s="59">
        <f>IFERROR(VLOOKUP(Tabelle32[[#This Row],[Device ID]],BOM!$B$3:$BQ$35,36,FALSE),"")</f>
        <v>0</v>
      </c>
      <c r="AG58" s="59">
        <f>IFERROR(VLOOKUP(Tabelle32[[#This Row],[Device ID]],BOM!$B$3:$BQ$35,37,FALSE),"")</f>
        <v>0</v>
      </c>
      <c r="AH58" s="59"/>
      <c r="AI58" s="59"/>
      <c r="AJ58" s="59"/>
      <c r="AK58" s="59"/>
      <c r="AL58" s="59" t="str">
        <f>IFERROR(VLOOKUP(Tabelle32[[#This Row],[Device ID]],BOM!$B$3:$BQ$35,42,FALSE),"")</f>
        <v>Imagine Communications SNP</v>
      </c>
      <c r="AM58" s="59" t="str">
        <f>IFERROR(VLOOKUP(Tabelle32[[#This Row],[Device ID]],BOM!$B$3:$BQ$35,43,FALSE),"")</f>
        <v>no</v>
      </c>
      <c r="AN58" s="59" t="str">
        <f>IFERROR(VLOOKUP(Tabelle32[[#This Row],[Device ID]],BOM!$B$3:$BQ$35,44,FALSE),"")</f>
        <v>yes</v>
      </c>
      <c r="AO58" s="59" t="str">
        <f>IFERROR(VLOOKUP(Tabelle32[[#This Row],[Device ID]],BOM!$B$3:$BQ$35,45,FALSE),"")</f>
        <v>no</v>
      </c>
      <c r="AP58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58" s="59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73" t="s">
        <v>199</v>
      </c>
      <c r="BI58" s="30" t="str">
        <f>IF(COUNTA(Tabelle32[[#This Row],[Type:Vid_1080i50]:[Type:Anc_Prot]])&gt;0,"x","")</f>
        <v/>
      </c>
      <c r="BJ58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8" s="59"/>
      <c r="BL58" s="59"/>
      <c r="BM58" s="63"/>
      <c r="BN58" s="63"/>
      <c r="BO58" s="96"/>
      <c r="BP58" s="96"/>
      <c r="BQ58" s="63">
        <f>LEN(Tabelle32[[#This Row],[Label 1
GFX-Unit]])</f>
        <v>0</v>
      </c>
      <c r="BR58" s="63"/>
      <c r="BS58" s="63"/>
      <c r="BT58" s="59"/>
      <c r="BU58" s="59"/>
      <c r="BV58" s="59" t="s">
        <v>248</v>
      </c>
      <c r="BW58" s="59" t="s">
        <v>249</v>
      </c>
      <c r="BX58" s="59" t="s">
        <v>329</v>
      </c>
      <c r="BY58" s="59">
        <v>3</v>
      </c>
    </row>
    <row r="59" spans="1:77" hidden="1" x14ac:dyDescent="0.2">
      <c r="A59" s="58" t="str">
        <f>CONCATENATE(Tabelle32[[#This Row],[Device ID]],".",Tabelle32[[#This Row],[Streamcounter]])</f>
        <v>380.03211</v>
      </c>
      <c r="B5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VGW-103_SDI03_AUDsend_0011</v>
      </c>
      <c r="C59" s="60"/>
      <c r="D59" s="61"/>
      <c r="E59" s="62"/>
      <c r="F59" s="59" t="str">
        <f>IFERROR(VLOOKUP(Tabelle32[[#This Row],[Device ID]],BOM!$B$3:$BQ$35,16,FALSE),"")</f>
        <v>MPA 421 HD1</v>
      </c>
      <c r="G59" s="63">
        <f>VLOOKUP(Tabelle32[[#This Row],[SDI Interface]],BOM!$A$4:$B$35,2,FALSE)</f>
        <v>380</v>
      </c>
      <c r="H59" s="59" t="str">
        <f>BOM!$C$4</f>
        <v>VGW-103</v>
      </c>
      <c r="I59" s="59" t="str">
        <f>IFERROR(VLOOKUP(Tabelle32[[#This Row],[Device ID]],BOM!$B$3:$BQ$35,12,FALSE),"")</f>
        <v>Videoserver</v>
      </c>
      <c r="J59" s="59" t="str">
        <f>IFERROR(VLOOKUP(Tabelle32[[#This Row],[Device ID]],BOM!$B$3:$BQ$35,13,FALSE),"")</f>
        <v>TC.U1.223 | MDC</v>
      </c>
      <c r="K59" s="59" t="str">
        <f>IFERROR(VLOOKUP(Tabelle32[[#This Row],[Device ID]],BOM!$B$3:$BQ$35,14,FALSE),"")</f>
        <v>Imagine Comunications</v>
      </c>
      <c r="L59" s="59" t="str">
        <f>IFERROR(VLOOKUP(Tabelle32[[#This Row],[Device ID]],BOM!$B$3:$BQ$35,16,FALSE),"")</f>
        <v>MPA 421 HD1</v>
      </c>
      <c r="M59" s="63" t="str">
        <f>IFERROR(VLOOKUP(Tabelle32[[#This Row],[Device ID]],BOM!$B$3:$BQ$35,17,FALSE),"")</f>
        <v>MPA 421</v>
      </c>
      <c r="N59" s="59" t="str">
        <f>IFERROR(VLOOKUP(Tabelle32[[#This Row],[Device ID]],BOM!$B$3:$BQ$35,18,FALSE),"")</f>
        <v>TC.02.296 | MPA421</v>
      </c>
      <c r="O59" s="64"/>
      <c r="P59" s="64">
        <f>IFERROR(VLOOKUP(Tabelle32[[#This Row],[Device ID]],BOM!$B$3:$BO$50,20,FALSE),"")</f>
        <v>0</v>
      </c>
      <c r="Q59" s="64">
        <f>IFERROR(VLOOKUP(Tabelle32[[#This Row],[Device ID]],BOM!$B$3:$BO$50,21,FALSE),"")</f>
        <v>1</v>
      </c>
      <c r="R59" s="64">
        <f>IFERROR(VLOOKUP(Tabelle32[[#This Row],[Device ID]],BOM!$B$3:$BO$50,22,FALSE),"")</f>
        <v>0</v>
      </c>
      <c r="S59" s="64"/>
      <c r="T59" s="64"/>
      <c r="U59" s="59" t="str">
        <f>IFERROR(VLOOKUP(Tabelle32[[#This Row],[Device ID]],BOM!$B$3:$BQ$35,25,FALSE),"")</f>
        <v>Luis/Ivo</v>
      </c>
      <c r="V59" s="59" t="str">
        <f>IFERROR(VLOOKUP(Tabelle32[[#This Row],[Device ID]],BOM!$B$3:$BQ$35,26,FALSE),"")</f>
        <v>tpco-megw-vgw103.rta.st-net.media.int</v>
      </c>
      <c r="W59" s="59" t="str">
        <f>IFERROR(VLOOKUP(Tabelle32[[#This Row],[Device ID]],BOM!$B$3:$BQ$35,27,FALSE),"")</f>
        <v>10.120.236.50</v>
      </c>
      <c r="X59" s="59" t="str">
        <f>IFERROR(VLOOKUP(Tabelle32[[#This Row],[Device ID]],BOM!$B$3:$BQ$35,28,FALSE),"")</f>
        <v>AVCoreA</v>
      </c>
      <c r="Y59" s="59" t="str">
        <f>IFERROR(VLOOKUP(Tabelle32[[#This Row],[Device ID]],BOM!$B$3:$BQ$35,29,FALSE),"")</f>
        <v>5_36_1</v>
      </c>
      <c r="Z59" s="59" t="str">
        <f>IFERROR(VLOOKUP(Tabelle32[[#This Row],[Device ID]],BOM!$B$3:$BQ$35,30,FALSE),"")</f>
        <v>tpco-megw-vgw103.rtb.st-net.media.int</v>
      </c>
      <c r="AA59" s="59" t="str">
        <f>IFERROR(VLOOKUP(Tabelle32[[#This Row],[Device ID]],BOM!$B$3:$BQ$35,31,FALSE),"")</f>
        <v>10.120.236.54</v>
      </c>
      <c r="AB59" s="59" t="str">
        <f>IFERROR(VLOOKUP(Tabelle32[[#This Row],[Device ID]],BOM!$B$3:$BQ$35,32,FALSE),"")</f>
        <v>AVCoreB</v>
      </c>
      <c r="AC59" s="59" t="str">
        <f>IFERROR(VLOOKUP(Tabelle32[[#This Row],[Device ID]],BOM!$B$3:$BQ$35,33,FALSE),"")</f>
        <v>5_36_1</v>
      </c>
      <c r="AD59" s="59" t="str">
        <f>IFERROR(VLOOKUP(Tabelle32[[#This Row],[Device ID]],BOM!$B$3:$BQ$35,34,FALSE),"")</f>
        <v>tpco-megw-vgw103.st-net.media.int</v>
      </c>
      <c r="AE59" s="59" t="str">
        <f>IFERROR(VLOOKUP(Tabelle32[[#This Row],[Device ID]],BOM!$B$3:$BQ$35,35,FALSE),"")</f>
        <v>10.120.67.141</v>
      </c>
      <c r="AF59" s="59">
        <f>IFERROR(VLOOKUP(Tabelle32[[#This Row],[Device ID]],BOM!$B$3:$BQ$35,36,FALSE),"")</f>
        <v>0</v>
      </c>
      <c r="AG59" s="59">
        <f>IFERROR(VLOOKUP(Tabelle32[[#This Row],[Device ID]],BOM!$B$3:$BQ$35,37,FALSE),"")</f>
        <v>0</v>
      </c>
      <c r="AH59" s="59"/>
      <c r="AI59" s="59"/>
      <c r="AJ59" s="59"/>
      <c r="AK59" s="59"/>
      <c r="AL59" s="59" t="str">
        <f>IFERROR(VLOOKUP(Tabelle32[[#This Row],[Device ID]],BOM!$B$3:$BQ$35,42,FALSE),"")</f>
        <v>Imagine Communications SNP</v>
      </c>
      <c r="AM59" s="59" t="str">
        <f>IFERROR(VLOOKUP(Tabelle32[[#This Row],[Device ID]],BOM!$B$3:$BQ$35,43,FALSE),"")</f>
        <v>no</v>
      </c>
      <c r="AN59" s="59" t="str">
        <f>IFERROR(VLOOKUP(Tabelle32[[#This Row],[Device ID]],BOM!$B$3:$BQ$35,44,FALSE),"")</f>
        <v>yes</v>
      </c>
      <c r="AO59" s="59" t="str">
        <f>IFERROR(VLOOKUP(Tabelle32[[#This Row],[Device ID]],BOM!$B$3:$BQ$35,45,FALSE),"")</f>
        <v>no</v>
      </c>
      <c r="AP59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59" s="59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73" t="s">
        <v>199</v>
      </c>
      <c r="BI59" s="30" t="str">
        <f>IF(COUNTA(Tabelle32[[#This Row],[Type:Vid_1080i50]:[Type:Anc_Prot]])&gt;0,"x","")</f>
        <v/>
      </c>
      <c r="BJ59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9" s="59"/>
      <c r="BL59" s="59"/>
      <c r="BM59" s="63"/>
      <c r="BN59" s="63"/>
      <c r="BO59" s="96"/>
      <c r="BP59" s="96"/>
      <c r="BQ59" s="63">
        <f>LEN(Tabelle32[[#This Row],[Label 1
GFX-Unit]])</f>
        <v>0</v>
      </c>
      <c r="BR59" s="63"/>
      <c r="BS59" s="63"/>
      <c r="BT59" s="59"/>
      <c r="BU59" s="59"/>
      <c r="BV59" s="59" t="s">
        <v>251</v>
      </c>
      <c r="BW59" s="59" t="s">
        <v>252</v>
      </c>
      <c r="BX59" s="59" t="s">
        <v>330</v>
      </c>
      <c r="BY59" s="59">
        <v>3</v>
      </c>
    </row>
    <row r="60" spans="1:77" hidden="1" x14ac:dyDescent="0.2">
      <c r="A60" s="58" t="str">
        <f>CONCATENATE(Tabelle32[[#This Row],[Device ID]],".",Tabelle32[[#This Row],[Streamcounter]])</f>
        <v>380.03212</v>
      </c>
      <c r="B6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VGW-103_SDI03_AUDsend_0012</v>
      </c>
      <c r="C60" s="60"/>
      <c r="D60" s="61"/>
      <c r="E60" s="62"/>
      <c r="F60" s="59" t="str">
        <f>IFERROR(VLOOKUP(Tabelle32[[#This Row],[Device ID]],BOM!$B$3:$BQ$35,16,FALSE),"")</f>
        <v>MPA 421 HD1</v>
      </c>
      <c r="G60" s="63">
        <f>VLOOKUP(Tabelle32[[#This Row],[SDI Interface]],BOM!$A$4:$B$35,2,FALSE)</f>
        <v>380</v>
      </c>
      <c r="H60" s="59" t="str">
        <f>BOM!$C$4</f>
        <v>VGW-103</v>
      </c>
      <c r="I60" s="59" t="str">
        <f>IFERROR(VLOOKUP(Tabelle32[[#This Row],[Device ID]],BOM!$B$3:$BQ$35,12,FALSE),"")</f>
        <v>Videoserver</v>
      </c>
      <c r="J60" s="59" t="str">
        <f>IFERROR(VLOOKUP(Tabelle32[[#This Row],[Device ID]],BOM!$B$3:$BQ$35,13,FALSE),"")</f>
        <v>TC.U1.223 | MDC</v>
      </c>
      <c r="K60" s="59" t="str">
        <f>IFERROR(VLOOKUP(Tabelle32[[#This Row],[Device ID]],BOM!$B$3:$BQ$35,14,FALSE),"")</f>
        <v>Imagine Comunications</v>
      </c>
      <c r="L60" s="59" t="str">
        <f>IFERROR(VLOOKUP(Tabelle32[[#This Row],[Device ID]],BOM!$B$3:$BQ$35,16,FALSE),"")</f>
        <v>MPA 421 HD1</v>
      </c>
      <c r="M60" s="63" t="str">
        <f>IFERROR(VLOOKUP(Tabelle32[[#This Row],[Device ID]],BOM!$B$3:$BQ$35,17,FALSE),"")</f>
        <v>MPA 421</v>
      </c>
      <c r="N60" s="59" t="str">
        <f>IFERROR(VLOOKUP(Tabelle32[[#This Row],[Device ID]],BOM!$B$3:$BQ$35,18,FALSE),"")</f>
        <v>TC.02.296 | MPA421</v>
      </c>
      <c r="O60" s="64"/>
      <c r="P60" s="64">
        <f>IFERROR(VLOOKUP(Tabelle32[[#This Row],[Device ID]],BOM!$B$3:$BO$50,20,FALSE),"")</f>
        <v>0</v>
      </c>
      <c r="Q60" s="64">
        <f>IFERROR(VLOOKUP(Tabelle32[[#This Row],[Device ID]],BOM!$B$3:$BO$50,21,FALSE),"")</f>
        <v>1</v>
      </c>
      <c r="R60" s="64">
        <f>IFERROR(VLOOKUP(Tabelle32[[#This Row],[Device ID]],BOM!$B$3:$BO$50,22,FALSE),"")</f>
        <v>0</v>
      </c>
      <c r="S60" s="64"/>
      <c r="T60" s="64"/>
      <c r="U60" s="59" t="str">
        <f>IFERROR(VLOOKUP(Tabelle32[[#This Row],[Device ID]],BOM!$B$3:$BQ$35,25,FALSE),"")</f>
        <v>Luis/Ivo</v>
      </c>
      <c r="V60" s="59" t="str">
        <f>IFERROR(VLOOKUP(Tabelle32[[#This Row],[Device ID]],BOM!$B$3:$BQ$35,26,FALSE),"")</f>
        <v>tpco-megw-vgw103.rta.st-net.media.int</v>
      </c>
      <c r="W60" s="59" t="str">
        <f>IFERROR(VLOOKUP(Tabelle32[[#This Row],[Device ID]],BOM!$B$3:$BQ$35,27,FALSE),"")</f>
        <v>10.120.236.50</v>
      </c>
      <c r="X60" s="59" t="str">
        <f>IFERROR(VLOOKUP(Tabelle32[[#This Row],[Device ID]],BOM!$B$3:$BQ$35,28,FALSE),"")</f>
        <v>AVCoreA</v>
      </c>
      <c r="Y60" s="59" t="str">
        <f>IFERROR(VLOOKUP(Tabelle32[[#This Row],[Device ID]],BOM!$B$3:$BQ$35,29,FALSE),"")</f>
        <v>5_36_1</v>
      </c>
      <c r="Z60" s="59" t="str">
        <f>IFERROR(VLOOKUP(Tabelle32[[#This Row],[Device ID]],BOM!$B$3:$BQ$35,30,FALSE),"")</f>
        <v>tpco-megw-vgw103.rtb.st-net.media.int</v>
      </c>
      <c r="AA60" s="59" t="str">
        <f>IFERROR(VLOOKUP(Tabelle32[[#This Row],[Device ID]],BOM!$B$3:$BQ$35,31,FALSE),"")</f>
        <v>10.120.236.54</v>
      </c>
      <c r="AB60" s="59" t="str">
        <f>IFERROR(VLOOKUP(Tabelle32[[#This Row],[Device ID]],BOM!$B$3:$BQ$35,32,FALSE),"")</f>
        <v>AVCoreB</v>
      </c>
      <c r="AC60" s="59" t="str">
        <f>IFERROR(VLOOKUP(Tabelle32[[#This Row],[Device ID]],BOM!$B$3:$BQ$35,33,FALSE),"")</f>
        <v>5_36_1</v>
      </c>
      <c r="AD60" s="59" t="str">
        <f>IFERROR(VLOOKUP(Tabelle32[[#This Row],[Device ID]],BOM!$B$3:$BQ$35,34,FALSE),"")</f>
        <v>tpco-megw-vgw103.st-net.media.int</v>
      </c>
      <c r="AE60" s="59" t="str">
        <f>IFERROR(VLOOKUP(Tabelle32[[#This Row],[Device ID]],BOM!$B$3:$BQ$35,35,FALSE),"")</f>
        <v>10.120.67.141</v>
      </c>
      <c r="AF60" s="59">
        <f>IFERROR(VLOOKUP(Tabelle32[[#This Row],[Device ID]],BOM!$B$3:$BQ$35,36,FALSE),"")</f>
        <v>0</v>
      </c>
      <c r="AG60" s="59">
        <f>IFERROR(VLOOKUP(Tabelle32[[#This Row],[Device ID]],BOM!$B$3:$BQ$35,37,FALSE),"")</f>
        <v>0</v>
      </c>
      <c r="AH60" s="59"/>
      <c r="AI60" s="59"/>
      <c r="AJ60" s="59"/>
      <c r="AK60" s="59"/>
      <c r="AL60" s="59" t="str">
        <f>IFERROR(VLOOKUP(Tabelle32[[#This Row],[Device ID]],BOM!$B$3:$BQ$35,42,FALSE),"")</f>
        <v>Imagine Communications SNP</v>
      </c>
      <c r="AM60" s="59" t="str">
        <f>IFERROR(VLOOKUP(Tabelle32[[#This Row],[Device ID]],BOM!$B$3:$BQ$35,43,FALSE),"")</f>
        <v>no</v>
      </c>
      <c r="AN60" s="59" t="str">
        <f>IFERROR(VLOOKUP(Tabelle32[[#This Row],[Device ID]],BOM!$B$3:$BQ$35,44,FALSE),"")</f>
        <v>yes</v>
      </c>
      <c r="AO60" s="59" t="str">
        <f>IFERROR(VLOOKUP(Tabelle32[[#This Row],[Device ID]],BOM!$B$3:$BQ$35,45,FALSE),"")</f>
        <v>no</v>
      </c>
      <c r="AP60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60" s="59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73" t="s">
        <v>199</v>
      </c>
      <c r="BI60" s="30" t="str">
        <f>IF(COUNTA(Tabelle32[[#This Row],[Type:Vid_1080i50]:[Type:Anc_Prot]])&gt;0,"x","")</f>
        <v/>
      </c>
      <c r="BJ60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0" s="59"/>
      <c r="BL60" s="59"/>
      <c r="BM60" s="63"/>
      <c r="BN60" s="63"/>
      <c r="BO60" s="96"/>
      <c r="BP60" s="96"/>
      <c r="BQ60" s="63">
        <f>LEN(Tabelle32[[#This Row],[Label 1
GFX-Unit]])</f>
        <v>0</v>
      </c>
      <c r="BR60" s="63"/>
      <c r="BS60" s="63"/>
      <c r="BT60" s="59"/>
      <c r="BU60" s="59"/>
      <c r="BV60" s="59" t="s">
        <v>254</v>
      </c>
      <c r="BW60" s="59" t="s">
        <v>255</v>
      </c>
      <c r="BX60" s="59" t="s">
        <v>331</v>
      </c>
      <c r="BY60" s="59">
        <v>3</v>
      </c>
    </row>
    <row r="61" spans="1:77" hidden="1" x14ac:dyDescent="0.2">
      <c r="A61" s="58" t="str">
        <f>CONCATENATE(Tabelle32[[#This Row],[Device ID]],".",Tabelle32[[#This Row],[Streamcounter]])</f>
        <v>380.03213</v>
      </c>
      <c r="B6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VGW-103_SDI03_AUDsend_0013</v>
      </c>
      <c r="C61" s="60"/>
      <c r="D61" s="61"/>
      <c r="E61" s="62"/>
      <c r="F61" s="59" t="str">
        <f>IFERROR(VLOOKUP(Tabelle32[[#This Row],[Device ID]],BOM!$B$3:$BQ$35,16,FALSE),"")</f>
        <v>MPA 421 HD1</v>
      </c>
      <c r="G61" s="63">
        <f>VLOOKUP(Tabelle32[[#This Row],[SDI Interface]],BOM!$A$4:$B$35,2,FALSE)</f>
        <v>380</v>
      </c>
      <c r="H61" s="59" t="str">
        <f>BOM!$C$4</f>
        <v>VGW-103</v>
      </c>
      <c r="I61" s="59" t="str">
        <f>IFERROR(VLOOKUP(Tabelle32[[#This Row],[Device ID]],BOM!$B$3:$BQ$35,12,FALSE),"")</f>
        <v>Videoserver</v>
      </c>
      <c r="J61" s="59" t="str">
        <f>IFERROR(VLOOKUP(Tabelle32[[#This Row],[Device ID]],BOM!$B$3:$BQ$35,13,FALSE),"")</f>
        <v>TC.U1.223 | MDC</v>
      </c>
      <c r="K61" s="59" t="str">
        <f>IFERROR(VLOOKUP(Tabelle32[[#This Row],[Device ID]],BOM!$B$3:$BQ$35,14,FALSE),"")</f>
        <v>Imagine Comunications</v>
      </c>
      <c r="L61" s="59" t="str">
        <f>IFERROR(VLOOKUP(Tabelle32[[#This Row],[Device ID]],BOM!$B$3:$BQ$35,16,FALSE),"")</f>
        <v>MPA 421 HD1</v>
      </c>
      <c r="M61" s="63" t="str">
        <f>IFERROR(VLOOKUP(Tabelle32[[#This Row],[Device ID]],BOM!$B$3:$BQ$35,17,FALSE),"")</f>
        <v>MPA 421</v>
      </c>
      <c r="N61" s="59" t="str">
        <f>IFERROR(VLOOKUP(Tabelle32[[#This Row],[Device ID]],BOM!$B$3:$BQ$35,18,FALSE),"")</f>
        <v>TC.02.296 | MPA421</v>
      </c>
      <c r="O61" s="64"/>
      <c r="P61" s="64">
        <f>IFERROR(VLOOKUP(Tabelle32[[#This Row],[Device ID]],BOM!$B$3:$BO$50,20,FALSE),"")</f>
        <v>0</v>
      </c>
      <c r="Q61" s="64">
        <f>IFERROR(VLOOKUP(Tabelle32[[#This Row],[Device ID]],BOM!$B$3:$BO$50,21,FALSE),"")</f>
        <v>1</v>
      </c>
      <c r="R61" s="64">
        <f>IFERROR(VLOOKUP(Tabelle32[[#This Row],[Device ID]],BOM!$B$3:$BO$50,22,FALSE),"")</f>
        <v>0</v>
      </c>
      <c r="S61" s="64"/>
      <c r="T61" s="64"/>
      <c r="U61" s="59" t="str">
        <f>IFERROR(VLOOKUP(Tabelle32[[#This Row],[Device ID]],BOM!$B$3:$BQ$35,25,FALSE),"")</f>
        <v>Luis/Ivo</v>
      </c>
      <c r="V61" s="59" t="str">
        <f>IFERROR(VLOOKUP(Tabelle32[[#This Row],[Device ID]],BOM!$B$3:$BQ$35,26,FALSE),"")</f>
        <v>tpco-megw-vgw103.rta.st-net.media.int</v>
      </c>
      <c r="W61" s="59" t="str">
        <f>IFERROR(VLOOKUP(Tabelle32[[#This Row],[Device ID]],BOM!$B$3:$BQ$35,27,FALSE),"")</f>
        <v>10.120.236.50</v>
      </c>
      <c r="X61" s="59" t="str">
        <f>IFERROR(VLOOKUP(Tabelle32[[#This Row],[Device ID]],BOM!$B$3:$BQ$35,28,FALSE),"")</f>
        <v>AVCoreA</v>
      </c>
      <c r="Y61" s="59" t="str">
        <f>IFERROR(VLOOKUP(Tabelle32[[#This Row],[Device ID]],BOM!$B$3:$BQ$35,29,FALSE),"")</f>
        <v>5_36_1</v>
      </c>
      <c r="Z61" s="59" t="str">
        <f>IFERROR(VLOOKUP(Tabelle32[[#This Row],[Device ID]],BOM!$B$3:$BQ$35,30,FALSE),"")</f>
        <v>tpco-megw-vgw103.rtb.st-net.media.int</v>
      </c>
      <c r="AA61" s="59" t="str">
        <f>IFERROR(VLOOKUP(Tabelle32[[#This Row],[Device ID]],BOM!$B$3:$BQ$35,31,FALSE),"")</f>
        <v>10.120.236.54</v>
      </c>
      <c r="AB61" s="59" t="str">
        <f>IFERROR(VLOOKUP(Tabelle32[[#This Row],[Device ID]],BOM!$B$3:$BQ$35,32,FALSE),"")</f>
        <v>AVCoreB</v>
      </c>
      <c r="AC61" s="59" t="str">
        <f>IFERROR(VLOOKUP(Tabelle32[[#This Row],[Device ID]],BOM!$B$3:$BQ$35,33,FALSE),"")</f>
        <v>5_36_1</v>
      </c>
      <c r="AD61" s="59" t="str">
        <f>IFERROR(VLOOKUP(Tabelle32[[#This Row],[Device ID]],BOM!$B$3:$BQ$35,34,FALSE),"")</f>
        <v>tpco-megw-vgw103.st-net.media.int</v>
      </c>
      <c r="AE61" s="59" t="str">
        <f>IFERROR(VLOOKUP(Tabelle32[[#This Row],[Device ID]],BOM!$B$3:$BQ$35,35,FALSE),"")</f>
        <v>10.120.67.141</v>
      </c>
      <c r="AF61" s="59">
        <f>IFERROR(VLOOKUP(Tabelle32[[#This Row],[Device ID]],BOM!$B$3:$BQ$35,36,FALSE),"")</f>
        <v>0</v>
      </c>
      <c r="AG61" s="59">
        <f>IFERROR(VLOOKUP(Tabelle32[[#This Row],[Device ID]],BOM!$B$3:$BQ$35,37,FALSE),"")</f>
        <v>0</v>
      </c>
      <c r="AH61" s="59"/>
      <c r="AI61" s="59"/>
      <c r="AJ61" s="59"/>
      <c r="AK61" s="59"/>
      <c r="AL61" s="59" t="str">
        <f>IFERROR(VLOOKUP(Tabelle32[[#This Row],[Device ID]],BOM!$B$3:$BQ$35,42,FALSE),"")</f>
        <v>Imagine Communications SNP</v>
      </c>
      <c r="AM61" s="59" t="str">
        <f>IFERROR(VLOOKUP(Tabelle32[[#This Row],[Device ID]],BOM!$B$3:$BQ$35,43,FALSE),"")</f>
        <v>no</v>
      </c>
      <c r="AN61" s="59" t="str">
        <f>IFERROR(VLOOKUP(Tabelle32[[#This Row],[Device ID]],BOM!$B$3:$BQ$35,44,FALSE),"")</f>
        <v>yes</v>
      </c>
      <c r="AO61" s="59" t="str">
        <f>IFERROR(VLOOKUP(Tabelle32[[#This Row],[Device ID]],BOM!$B$3:$BQ$35,45,FALSE),"")</f>
        <v>no</v>
      </c>
      <c r="AP61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61" s="59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73" t="s">
        <v>199</v>
      </c>
      <c r="BI61" s="30" t="str">
        <f>IF(COUNTA(Tabelle32[[#This Row],[Type:Vid_1080i50]:[Type:Anc_Prot]])&gt;0,"x","")</f>
        <v/>
      </c>
      <c r="BJ61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1" s="59"/>
      <c r="BL61" s="59"/>
      <c r="BM61" s="63"/>
      <c r="BN61" s="63"/>
      <c r="BO61" s="96"/>
      <c r="BP61" s="96"/>
      <c r="BQ61" s="63">
        <f>LEN(Tabelle32[[#This Row],[Label 1
GFX-Unit]])</f>
        <v>0</v>
      </c>
      <c r="BR61" s="63"/>
      <c r="BS61" s="63"/>
      <c r="BT61" s="59"/>
      <c r="BU61" s="59"/>
      <c r="BV61" s="59" t="s">
        <v>257</v>
      </c>
      <c r="BW61" s="59" t="s">
        <v>258</v>
      </c>
      <c r="BX61" s="59" t="s">
        <v>332</v>
      </c>
      <c r="BY61" s="59">
        <v>3</v>
      </c>
    </row>
    <row r="62" spans="1:77" hidden="1" x14ac:dyDescent="0.2">
      <c r="A62" s="58" t="str">
        <f>CONCATENATE(Tabelle32[[#This Row],[Device ID]],".",Tabelle32[[#This Row],[Streamcounter]])</f>
        <v>380.03214</v>
      </c>
      <c r="B6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VGW-103_SDI03_AUDsend_0014</v>
      </c>
      <c r="C62" s="60"/>
      <c r="D62" s="61"/>
      <c r="E62" s="62"/>
      <c r="F62" s="59" t="str">
        <f>IFERROR(VLOOKUP(Tabelle32[[#This Row],[Device ID]],BOM!$B$3:$BQ$35,16,FALSE),"")</f>
        <v>MPA 421 HD1</v>
      </c>
      <c r="G62" s="63">
        <f>VLOOKUP(Tabelle32[[#This Row],[SDI Interface]],BOM!$A$4:$B$35,2,FALSE)</f>
        <v>380</v>
      </c>
      <c r="H62" s="59" t="str">
        <f>BOM!$C$4</f>
        <v>VGW-103</v>
      </c>
      <c r="I62" s="59" t="str">
        <f>IFERROR(VLOOKUP(Tabelle32[[#This Row],[Device ID]],BOM!$B$3:$BQ$35,12,FALSE),"")</f>
        <v>Videoserver</v>
      </c>
      <c r="J62" s="59" t="str">
        <f>IFERROR(VLOOKUP(Tabelle32[[#This Row],[Device ID]],BOM!$B$3:$BQ$35,13,FALSE),"")</f>
        <v>TC.U1.223 | MDC</v>
      </c>
      <c r="K62" s="59" t="str">
        <f>IFERROR(VLOOKUP(Tabelle32[[#This Row],[Device ID]],BOM!$B$3:$BQ$35,14,FALSE),"")</f>
        <v>Imagine Comunications</v>
      </c>
      <c r="L62" s="59" t="str">
        <f>IFERROR(VLOOKUP(Tabelle32[[#This Row],[Device ID]],BOM!$B$3:$BQ$35,16,FALSE),"")</f>
        <v>MPA 421 HD1</v>
      </c>
      <c r="M62" s="63" t="str">
        <f>IFERROR(VLOOKUP(Tabelle32[[#This Row],[Device ID]],BOM!$B$3:$BQ$35,17,FALSE),"")</f>
        <v>MPA 421</v>
      </c>
      <c r="N62" s="59" t="str">
        <f>IFERROR(VLOOKUP(Tabelle32[[#This Row],[Device ID]],BOM!$B$3:$BQ$35,18,FALSE),"")</f>
        <v>TC.02.296 | MPA421</v>
      </c>
      <c r="O62" s="64"/>
      <c r="P62" s="64">
        <f>IFERROR(VLOOKUP(Tabelle32[[#This Row],[Device ID]],BOM!$B$3:$BO$50,20,FALSE),"")</f>
        <v>0</v>
      </c>
      <c r="Q62" s="64">
        <f>IFERROR(VLOOKUP(Tabelle32[[#This Row],[Device ID]],BOM!$B$3:$BO$50,21,FALSE),"")</f>
        <v>1</v>
      </c>
      <c r="R62" s="64">
        <f>IFERROR(VLOOKUP(Tabelle32[[#This Row],[Device ID]],BOM!$B$3:$BO$50,22,FALSE),"")</f>
        <v>0</v>
      </c>
      <c r="S62" s="64"/>
      <c r="T62" s="64"/>
      <c r="U62" s="59" t="str">
        <f>IFERROR(VLOOKUP(Tabelle32[[#This Row],[Device ID]],BOM!$B$3:$BQ$35,25,FALSE),"")</f>
        <v>Luis/Ivo</v>
      </c>
      <c r="V62" s="59" t="str">
        <f>IFERROR(VLOOKUP(Tabelle32[[#This Row],[Device ID]],BOM!$B$3:$BQ$35,26,FALSE),"")</f>
        <v>tpco-megw-vgw103.rta.st-net.media.int</v>
      </c>
      <c r="W62" s="59" t="str">
        <f>IFERROR(VLOOKUP(Tabelle32[[#This Row],[Device ID]],BOM!$B$3:$BQ$35,27,FALSE),"")</f>
        <v>10.120.236.50</v>
      </c>
      <c r="X62" s="59" t="str">
        <f>IFERROR(VLOOKUP(Tabelle32[[#This Row],[Device ID]],BOM!$B$3:$BQ$35,28,FALSE),"")</f>
        <v>AVCoreA</v>
      </c>
      <c r="Y62" s="59" t="str">
        <f>IFERROR(VLOOKUP(Tabelle32[[#This Row],[Device ID]],BOM!$B$3:$BQ$35,29,FALSE),"")</f>
        <v>5_36_1</v>
      </c>
      <c r="Z62" s="59" t="str">
        <f>IFERROR(VLOOKUP(Tabelle32[[#This Row],[Device ID]],BOM!$B$3:$BQ$35,30,FALSE),"")</f>
        <v>tpco-megw-vgw103.rtb.st-net.media.int</v>
      </c>
      <c r="AA62" s="59" t="str">
        <f>IFERROR(VLOOKUP(Tabelle32[[#This Row],[Device ID]],BOM!$B$3:$BQ$35,31,FALSE),"")</f>
        <v>10.120.236.54</v>
      </c>
      <c r="AB62" s="59" t="str">
        <f>IFERROR(VLOOKUP(Tabelle32[[#This Row],[Device ID]],BOM!$B$3:$BQ$35,32,FALSE),"")</f>
        <v>AVCoreB</v>
      </c>
      <c r="AC62" s="59" t="str">
        <f>IFERROR(VLOOKUP(Tabelle32[[#This Row],[Device ID]],BOM!$B$3:$BQ$35,33,FALSE),"")</f>
        <v>5_36_1</v>
      </c>
      <c r="AD62" s="59" t="str">
        <f>IFERROR(VLOOKUP(Tabelle32[[#This Row],[Device ID]],BOM!$B$3:$BQ$35,34,FALSE),"")</f>
        <v>tpco-megw-vgw103.st-net.media.int</v>
      </c>
      <c r="AE62" s="59" t="str">
        <f>IFERROR(VLOOKUP(Tabelle32[[#This Row],[Device ID]],BOM!$B$3:$BQ$35,35,FALSE),"")</f>
        <v>10.120.67.141</v>
      </c>
      <c r="AF62" s="59">
        <f>IFERROR(VLOOKUP(Tabelle32[[#This Row],[Device ID]],BOM!$B$3:$BQ$35,36,FALSE),"")</f>
        <v>0</v>
      </c>
      <c r="AG62" s="59">
        <f>IFERROR(VLOOKUP(Tabelle32[[#This Row],[Device ID]],BOM!$B$3:$BQ$35,37,FALSE),"")</f>
        <v>0</v>
      </c>
      <c r="AH62" s="59"/>
      <c r="AI62" s="59"/>
      <c r="AJ62" s="59"/>
      <c r="AK62" s="59"/>
      <c r="AL62" s="59" t="str">
        <f>IFERROR(VLOOKUP(Tabelle32[[#This Row],[Device ID]],BOM!$B$3:$BQ$35,42,FALSE),"")</f>
        <v>Imagine Communications SNP</v>
      </c>
      <c r="AM62" s="59" t="str">
        <f>IFERROR(VLOOKUP(Tabelle32[[#This Row],[Device ID]],BOM!$B$3:$BQ$35,43,FALSE),"")</f>
        <v>no</v>
      </c>
      <c r="AN62" s="59" t="str">
        <f>IFERROR(VLOOKUP(Tabelle32[[#This Row],[Device ID]],BOM!$B$3:$BQ$35,44,FALSE),"")</f>
        <v>yes</v>
      </c>
      <c r="AO62" s="59" t="str">
        <f>IFERROR(VLOOKUP(Tabelle32[[#This Row],[Device ID]],BOM!$B$3:$BQ$35,45,FALSE),"")</f>
        <v>no</v>
      </c>
      <c r="AP62" s="59" t="str">
        <f>IFERROR(CONCATENATE(Tabelle32[[#This Row],[Family
GFX-Unit]]," | ",Tabelle32[[#This Row],[Label 1
GFX-Unit]]," | ",Tabelle32[[#This Row],[Attached Device if Gateway]]),"")</f>
        <v xml:space="preserve"> |  | MPA 421 HD1</v>
      </c>
      <c r="AQ62" s="59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73" t="s">
        <v>199</v>
      </c>
      <c r="BI62" s="30" t="str">
        <f>IF(COUNTA(Tabelle32[[#This Row],[Type:Vid_1080i50]:[Type:Anc_Prot]])&gt;0,"x","")</f>
        <v/>
      </c>
      <c r="BJ62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2" s="59"/>
      <c r="BL62" s="59"/>
      <c r="BM62" s="63"/>
      <c r="BN62" s="63"/>
      <c r="BO62" s="96"/>
      <c r="BP62" s="96"/>
      <c r="BQ62" s="63">
        <f>LEN(Tabelle32[[#This Row],[Label 1
GFX-Unit]])</f>
        <v>0</v>
      </c>
      <c r="BR62" s="63"/>
      <c r="BS62" s="63"/>
      <c r="BT62" s="59"/>
      <c r="BU62" s="59"/>
      <c r="BV62" s="59" t="s">
        <v>260</v>
      </c>
      <c r="BW62" s="59" t="s">
        <v>261</v>
      </c>
      <c r="BX62" s="59" t="s">
        <v>333</v>
      </c>
      <c r="BY62" s="59">
        <v>3</v>
      </c>
    </row>
    <row r="63" spans="1:77" x14ac:dyDescent="0.2">
      <c r="A63" s="58" t="str">
        <f>CONCATENATE(Tabelle32[[#This Row],[Device ID]],".",Tabelle32[[#This Row],[Streamcounter]])</f>
        <v>380.03215</v>
      </c>
      <c r="B6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VGW-103_SDI03_AUDsend_0015</v>
      </c>
      <c r="C63" s="60"/>
      <c r="D63" s="61"/>
      <c r="E63" s="62"/>
      <c r="F63" s="59" t="str">
        <f>IFERROR(VLOOKUP(Tabelle32[[#This Row],[Device ID]],BOM!$B$3:$BQ$35,16,FALSE),"")</f>
        <v>MPA 421 HD1</v>
      </c>
      <c r="G63" s="63">
        <f>VLOOKUP(Tabelle32[[#This Row],[SDI Interface]],BOM!$A$4:$B$35,2,FALSE)</f>
        <v>380</v>
      </c>
      <c r="H63" s="59" t="str">
        <f>BOM!$C$4</f>
        <v>VGW-103</v>
      </c>
      <c r="I63" s="59" t="str">
        <f>IFERROR(VLOOKUP(Tabelle32[[#This Row],[Device ID]],BOM!$B$3:$BQ$35,12,FALSE),"")</f>
        <v>Videoserver</v>
      </c>
      <c r="J63" s="59" t="str">
        <f>IFERROR(VLOOKUP(Tabelle32[[#This Row],[Device ID]],BOM!$B$3:$BQ$35,13,FALSE),"")</f>
        <v>TC.U1.223 | MDC</v>
      </c>
      <c r="K63" s="59" t="str">
        <f>IFERROR(VLOOKUP(Tabelle32[[#This Row],[Device ID]],BOM!$B$3:$BQ$35,14,FALSE),"")</f>
        <v>Imagine Comunications</v>
      </c>
      <c r="L63" s="59" t="str">
        <f>IFERROR(VLOOKUP(Tabelle32[[#This Row],[Device ID]],BOM!$B$3:$BQ$35,16,FALSE),"")</f>
        <v>MPA 421 HD1</v>
      </c>
      <c r="M63" s="63" t="str">
        <f>IFERROR(VLOOKUP(Tabelle32[[#This Row],[Device ID]],BOM!$B$3:$BQ$35,17,FALSE),"")</f>
        <v>MPA 421</v>
      </c>
      <c r="N63" s="59" t="str">
        <f>IFERROR(VLOOKUP(Tabelle32[[#This Row],[Device ID]],BOM!$B$3:$BQ$35,18,FALSE),"")</f>
        <v>TC.02.296 | MPA421</v>
      </c>
      <c r="O63" s="64"/>
      <c r="P63" s="64">
        <f>IFERROR(VLOOKUP(Tabelle32[[#This Row],[Device ID]],BOM!$B$3:$BO$50,20,FALSE),"")</f>
        <v>0</v>
      </c>
      <c r="Q63" s="64">
        <f>IFERROR(VLOOKUP(Tabelle32[[#This Row],[Device ID]],BOM!$B$3:$BO$50,21,FALSE),"")</f>
        <v>1</v>
      </c>
      <c r="R63" s="64">
        <f>IFERROR(VLOOKUP(Tabelle32[[#This Row],[Device ID]],BOM!$B$3:$BO$50,22,FALSE),"")</f>
        <v>0</v>
      </c>
      <c r="S63" s="64"/>
      <c r="T63" s="64"/>
      <c r="U63" s="59" t="str">
        <f>IFERROR(VLOOKUP(Tabelle32[[#This Row],[Device ID]],BOM!$B$3:$BQ$35,25,FALSE),"")</f>
        <v>Luis/Ivo</v>
      </c>
      <c r="V63" s="59" t="str">
        <f>IFERROR(VLOOKUP(Tabelle32[[#This Row],[Device ID]],BOM!$B$3:$BQ$35,26,FALSE),"")</f>
        <v>tpco-megw-vgw103.rta.st-net.media.int</v>
      </c>
      <c r="W63" s="59" t="str">
        <f>IFERROR(VLOOKUP(Tabelle32[[#This Row],[Device ID]],BOM!$B$3:$BQ$35,27,FALSE),"")</f>
        <v>10.120.236.50</v>
      </c>
      <c r="X63" s="59" t="str">
        <f>IFERROR(VLOOKUP(Tabelle32[[#This Row],[Device ID]],BOM!$B$3:$BQ$35,28,FALSE),"")</f>
        <v>AVCoreA</v>
      </c>
      <c r="Y63" s="59" t="str">
        <f>IFERROR(VLOOKUP(Tabelle32[[#This Row],[Device ID]],BOM!$B$3:$BQ$35,29,FALSE),"")</f>
        <v>5_36_1</v>
      </c>
      <c r="Z63" s="59" t="str">
        <f>IFERROR(VLOOKUP(Tabelle32[[#This Row],[Device ID]],BOM!$B$3:$BQ$35,30,FALSE),"")</f>
        <v>tpco-megw-vgw103.rtb.st-net.media.int</v>
      </c>
      <c r="AA63" s="59" t="str">
        <f>IFERROR(VLOOKUP(Tabelle32[[#This Row],[Device ID]],BOM!$B$3:$BQ$35,31,FALSE),"")</f>
        <v>10.120.236.54</v>
      </c>
      <c r="AB63" s="59" t="str">
        <f>IFERROR(VLOOKUP(Tabelle32[[#This Row],[Device ID]],BOM!$B$3:$BQ$35,32,FALSE),"")</f>
        <v>AVCoreB</v>
      </c>
      <c r="AC63" s="59" t="str">
        <f>IFERROR(VLOOKUP(Tabelle32[[#This Row],[Device ID]],BOM!$B$3:$BQ$35,33,FALSE),"")</f>
        <v>5_36_1</v>
      </c>
      <c r="AD63" s="59" t="str">
        <f>IFERROR(VLOOKUP(Tabelle32[[#This Row],[Device ID]],BOM!$B$3:$BQ$35,34,FALSE),"")</f>
        <v>tpco-megw-vgw103.st-net.media.int</v>
      </c>
      <c r="AE63" s="59" t="str">
        <f>IFERROR(VLOOKUP(Tabelle32[[#This Row],[Device ID]],BOM!$B$3:$BQ$35,35,FALSE),"")</f>
        <v>10.120.67.141</v>
      </c>
      <c r="AF63" s="59">
        <f>IFERROR(VLOOKUP(Tabelle32[[#This Row],[Device ID]],BOM!$B$3:$BQ$35,36,FALSE),"")</f>
        <v>0</v>
      </c>
      <c r="AG63" s="59">
        <f>IFERROR(VLOOKUP(Tabelle32[[#This Row],[Device ID]],BOM!$B$3:$BQ$35,37,FALSE),"")</f>
        <v>0</v>
      </c>
      <c r="AH63" s="59"/>
      <c r="AI63" s="59"/>
      <c r="AJ63" s="59"/>
      <c r="AK63" s="59"/>
      <c r="AL63" s="59" t="str">
        <f>IFERROR(VLOOKUP(Tabelle32[[#This Row],[Device ID]],BOM!$B$3:$BQ$35,42,FALSE),"")</f>
        <v>Imagine Communications SNP</v>
      </c>
      <c r="AM63" s="59" t="str">
        <f>IFERROR(VLOOKUP(Tabelle32[[#This Row],[Device ID]],BOM!$B$3:$BQ$35,43,FALSE),"")</f>
        <v>no</v>
      </c>
      <c r="AN63" s="59" t="str">
        <f>IFERROR(VLOOKUP(Tabelle32[[#This Row],[Device ID]],BOM!$B$3:$BQ$35,44,FALSE),"")</f>
        <v>yes</v>
      </c>
      <c r="AO63" s="59" t="str">
        <f>IFERROR(VLOOKUP(Tabelle32[[#This Row],[Device ID]],BOM!$B$3:$BQ$35,45,FALSE),"")</f>
        <v>no</v>
      </c>
      <c r="AP63" s="59" t="str">
        <f>IFERROR(CONCATENATE(Tabelle32[[#This Row],[Family
GFX-Unit]]," | ",Tabelle32[[#This Row],[Label 1
GFX-Unit]]," | ",Tabelle32[[#This Row],[Attached Device if Gateway]]),"")</f>
        <v>PLAYOUT MPA421 | HD1-015 | MPA 421 HD1</v>
      </c>
      <c r="AQ63" s="59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 t="s">
        <v>97</v>
      </c>
      <c r="BE63" s="90"/>
      <c r="BF63" s="90"/>
      <c r="BG63" s="90"/>
      <c r="BH63" s="73" t="s">
        <v>199</v>
      </c>
      <c r="BI63" s="30" t="str">
        <f>IF(COUNTA(Tabelle32[[#This Row],[Type:Vid_1080i50]:[Type:Anc_Prot]])&gt;0,"x","")</f>
        <v>x</v>
      </c>
      <c r="BJ6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3" s="59"/>
      <c r="BL63" s="59"/>
      <c r="BM63" s="63"/>
      <c r="BN63" s="63"/>
      <c r="BO63" s="97" t="s">
        <v>307</v>
      </c>
      <c r="BP63" s="97" t="s">
        <v>334</v>
      </c>
      <c r="BQ63" s="63">
        <f>LEN(Tabelle32[[#This Row],[Label 1
GFX-Unit]])</f>
        <v>7</v>
      </c>
      <c r="BR63" s="63"/>
      <c r="BS63" s="63"/>
      <c r="BT63" s="59"/>
      <c r="BU63" s="59"/>
      <c r="BV63" s="59" t="s">
        <v>264</v>
      </c>
      <c r="BW63" s="59" t="s">
        <v>265</v>
      </c>
      <c r="BX63" s="59" t="s">
        <v>335</v>
      </c>
      <c r="BY63" s="59">
        <v>3</v>
      </c>
    </row>
    <row r="64" spans="1:77" x14ac:dyDescent="0.2">
      <c r="A64" s="58" t="str">
        <f>CONCATENATE(Tabelle32[[#This Row],[Device ID]],".",Tabelle32[[#This Row],[Streamcounter]])</f>
        <v>380.03216</v>
      </c>
      <c r="B6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VGW-103_SDI03_AUDsend_0016</v>
      </c>
      <c r="C64" s="60"/>
      <c r="D64" s="61"/>
      <c r="E64" s="62"/>
      <c r="F64" s="59" t="str">
        <f>IFERROR(VLOOKUP(Tabelle32[[#This Row],[Device ID]],BOM!$B$3:$BQ$35,16,FALSE),"")</f>
        <v>MPA 421 HD1</v>
      </c>
      <c r="G64" s="63">
        <f>VLOOKUP(Tabelle32[[#This Row],[SDI Interface]],BOM!$A$4:$B$35,2,FALSE)</f>
        <v>380</v>
      </c>
      <c r="H64" s="59" t="str">
        <f>BOM!$C$4</f>
        <v>VGW-103</v>
      </c>
      <c r="I64" s="59" t="str">
        <f>IFERROR(VLOOKUP(Tabelle32[[#This Row],[Device ID]],BOM!$B$3:$BQ$35,12,FALSE),"")</f>
        <v>Videoserver</v>
      </c>
      <c r="J64" s="59" t="str">
        <f>IFERROR(VLOOKUP(Tabelle32[[#This Row],[Device ID]],BOM!$B$3:$BQ$35,13,FALSE),"")</f>
        <v>TC.U1.223 | MDC</v>
      </c>
      <c r="K64" s="59" t="str">
        <f>IFERROR(VLOOKUP(Tabelle32[[#This Row],[Device ID]],BOM!$B$3:$BQ$35,14,FALSE),"")</f>
        <v>Imagine Comunications</v>
      </c>
      <c r="L64" s="59" t="str">
        <f>IFERROR(VLOOKUP(Tabelle32[[#This Row],[Device ID]],BOM!$B$3:$BQ$35,16,FALSE),"")</f>
        <v>MPA 421 HD1</v>
      </c>
      <c r="M64" s="63" t="str">
        <f>IFERROR(VLOOKUP(Tabelle32[[#This Row],[Device ID]],BOM!$B$3:$BQ$35,17,FALSE),"")</f>
        <v>MPA 421</v>
      </c>
      <c r="N64" s="59" t="str">
        <f>IFERROR(VLOOKUP(Tabelle32[[#This Row],[Device ID]],BOM!$B$3:$BQ$35,18,FALSE),"")</f>
        <v>TC.02.296 | MPA421</v>
      </c>
      <c r="O64" s="64"/>
      <c r="P64" s="64">
        <f>IFERROR(VLOOKUP(Tabelle32[[#This Row],[Device ID]],BOM!$B$3:$BO$50,20,FALSE),"")</f>
        <v>0</v>
      </c>
      <c r="Q64" s="64">
        <f>IFERROR(VLOOKUP(Tabelle32[[#This Row],[Device ID]],BOM!$B$3:$BO$50,21,FALSE),"")</f>
        <v>1</v>
      </c>
      <c r="R64" s="64">
        <f>IFERROR(VLOOKUP(Tabelle32[[#This Row],[Device ID]],BOM!$B$3:$BO$50,22,FALSE),"")</f>
        <v>0</v>
      </c>
      <c r="S64" s="64"/>
      <c r="T64" s="64"/>
      <c r="U64" s="59" t="str">
        <f>IFERROR(VLOOKUP(Tabelle32[[#This Row],[Device ID]],BOM!$B$3:$BQ$35,25,FALSE),"")</f>
        <v>Luis/Ivo</v>
      </c>
      <c r="V64" s="59" t="str">
        <f>IFERROR(VLOOKUP(Tabelle32[[#This Row],[Device ID]],BOM!$B$3:$BQ$35,26,FALSE),"")</f>
        <v>tpco-megw-vgw103.rta.st-net.media.int</v>
      </c>
      <c r="W64" s="59" t="str">
        <f>IFERROR(VLOOKUP(Tabelle32[[#This Row],[Device ID]],BOM!$B$3:$BQ$35,27,FALSE),"")</f>
        <v>10.120.236.50</v>
      </c>
      <c r="X64" s="59" t="str">
        <f>IFERROR(VLOOKUP(Tabelle32[[#This Row],[Device ID]],BOM!$B$3:$BQ$35,28,FALSE),"")</f>
        <v>AVCoreA</v>
      </c>
      <c r="Y64" s="59" t="str">
        <f>IFERROR(VLOOKUP(Tabelle32[[#This Row],[Device ID]],BOM!$B$3:$BQ$35,29,FALSE),"")</f>
        <v>5_36_1</v>
      </c>
      <c r="Z64" s="59" t="str">
        <f>IFERROR(VLOOKUP(Tabelle32[[#This Row],[Device ID]],BOM!$B$3:$BQ$35,30,FALSE),"")</f>
        <v>tpco-megw-vgw103.rtb.st-net.media.int</v>
      </c>
      <c r="AA64" s="59" t="str">
        <f>IFERROR(VLOOKUP(Tabelle32[[#This Row],[Device ID]],BOM!$B$3:$BQ$35,31,FALSE),"")</f>
        <v>10.120.236.54</v>
      </c>
      <c r="AB64" s="59" t="str">
        <f>IFERROR(VLOOKUP(Tabelle32[[#This Row],[Device ID]],BOM!$B$3:$BQ$35,32,FALSE),"")</f>
        <v>AVCoreB</v>
      </c>
      <c r="AC64" s="59" t="str">
        <f>IFERROR(VLOOKUP(Tabelle32[[#This Row],[Device ID]],BOM!$B$3:$BQ$35,33,FALSE),"")</f>
        <v>5_36_1</v>
      </c>
      <c r="AD64" s="59" t="str">
        <f>IFERROR(VLOOKUP(Tabelle32[[#This Row],[Device ID]],BOM!$B$3:$BQ$35,34,FALSE),"")</f>
        <v>tpco-megw-vgw103.st-net.media.int</v>
      </c>
      <c r="AE64" s="59" t="str">
        <f>IFERROR(VLOOKUP(Tabelle32[[#This Row],[Device ID]],BOM!$B$3:$BQ$35,35,FALSE),"")</f>
        <v>10.120.67.141</v>
      </c>
      <c r="AF64" s="59">
        <f>IFERROR(VLOOKUP(Tabelle32[[#This Row],[Device ID]],BOM!$B$3:$BQ$35,36,FALSE),"")</f>
        <v>0</v>
      </c>
      <c r="AG64" s="59">
        <f>IFERROR(VLOOKUP(Tabelle32[[#This Row],[Device ID]],BOM!$B$3:$BQ$35,37,FALSE),"")</f>
        <v>0</v>
      </c>
      <c r="AH64" s="59"/>
      <c r="AI64" s="59"/>
      <c r="AJ64" s="59"/>
      <c r="AK64" s="59"/>
      <c r="AL64" s="59" t="str">
        <f>IFERROR(VLOOKUP(Tabelle32[[#This Row],[Device ID]],BOM!$B$3:$BQ$35,42,FALSE),"")</f>
        <v>Imagine Communications SNP</v>
      </c>
      <c r="AM64" s="59" t="str">
        <f>IFERROR(VLOOKUP(Tabelle32[[#This Row],[Device ID]],BOM!$B$3:$BQ$35,43,FALSE),"")</f>
        <v>no</v>
      </c>
      <c r="AN64" s="59" t="str">
        <f>IFERROR(VLOOKUP(Tabelle32[[#This Row],[Device ID]],BOM!$B$3:$BQ$35,44,FALSE),"")</f>
        <v>yes</v>
      </c>
      <c r="AO64" s="59" t="str">
        <f>IFERROR(VLOOKUP(Tabelle32[[#This Row],[Device ID]],BOM!$B$3:$BQ$35,45,FALSE),"")</f>
        <v>no</v>
      </c>
      <c r="AP64" s="59" t="str">
        <f>IFERROR(CONCATENATE(Tabelle32[[#This Row],[Family
GFX-Unit]]," | ",Tabelle32[[#This Row],[Label 1
GFX-Unit]]," | ",Tabelle32[[#This Row],[Attached Device if Gateway]]),"")</f>
        <v>PLAYOUT MPA421 | HD1-016 | MPA 421 HD1</v>
      </c>
      <c r="AQ64" s="59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 t="s">
        <v>97</v>
      </c>
      <c r="BE64" s="90"/>
      <c r="BF64" s="90"/>
      <c r="BG64" s="90"/>
      <c r="BH64" s="73" t="s">
        <v>199</v>
      </c>
      <c r="BI64" s="30" t="str">
        <f>IF(COUNTA(Tabelle32[[#This Row],[Type:Vid_1080i50]:[Type:Anc_Prot]])&gt;0,"x","")</f>
        <v>x</v>
      </c>
      <c r="BJ6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4" s="59"/>
      <c r="BL64" s="59"/>
      <c r="BM64" s="63"/>
      <c r="BN64" s="63"/>
      <c r="BO64" s="97" t="s">
        <v>307</v>
      </c>
      <c r="BP64" s="97" t="s">
        <v>336</v>
      </c>
      <c r="BQ64" s="63">
        <f>LEN(Tabelle32[[#This Row],[Label 1
GFX-Unit]])</f>
        <v>7</v>
      </c>
      <c r="BR64" s="63"/>
      <c r="BS64" s="63"/>
      <c r="BT64" s="59"/>
      <c r="BU64" s="59"/>
      <c r="BV64" s="59" t="s">
        <v>268</v>
      </c>
      <c r="BW64" s="59" t="s">
        <v>269</v>
      </c>
      <c r="BX64" s="59" t="s">
        <v>337</v>
      </c>
      <c r="BY64" s="59">
        <v>3</v>
      </c>
    </row>
    <row r="65" spans="1:77" x14ac:dyDescent="0.2">
      <c r="A65" s="58" t="str">
        <f>CONCATENATE(Tabelle32[[#This Row],[Device ID]],".",Tabelle32[[#This Row],[Streamcounter]])</f>
        <v>380.03101</v>
      </c>
      <c r="B6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VGW-103_SDI03_VIDsend_0001</v>
      </c>
      <c r="C65" s="60"/>
      <c r="D65" s="61"/>
      <c r="E65" s="62"/>
      <c r="F65" s="59" t="str">
        <f>IFERROR(VLOOKUP(Tabelle32[[#This Row],[Device ID]],BOM!$B$3:$BQ$35,16,FALSE),"")</f>
        <v>MPA 421 HD1</v>
      </c>
      <c r="G65" s="63">
        <f>VLOOKUP(Tabelle32[[#This Row],[SDI Interface]],BOM!$A$4:$B$35,2,FALSE)</f>
        <v>380</v>
      </c>
      <c r="H65" s="59" t="str">
        <f>BOM!$C$4</f>
        <v>VGW-103</v>
      </c>
      <c r="I65" s="59" t="str">
        <f>IFERROR(VLOOKUP(Tabelle32[[#This Row],[Device ID]],BOM!$B$3:$BQ$35,12,FALSE),"")</f>
        <v>Videoserver</v>
      </c>
      <c r="J65" s="59" t="str">
        <f>IFERROR(VLOOKUP(Tabelle32[[#This Row],[Device ID]],BOM!$B$3:$BQ$35,13,FALSE),"")</f>
        <v>TC.U1.223 | MDC</v>
      </c>
      <c r="K65" s="59" t="str">
        <f>IFERROR(VLOOKUP(Tabelle32[[#This Row],[Device ID]],BOM!$B$3:$BQ$35,14,FALSE),"")</f>
        <v>Imagine Comunications</v>
      </c>
      <c r="L65" s="59" t="str">
        <f>IFERROR(VLOOKUP(Tabelle32[[#This Row],[Device ID]],BOM!$B$3:$BQ$35,16,FALSE),"")</f>
        <v>MPA 421 HD1</v>
      </c>
      <c r="M65" s="63" t="str">
        <f>IFERROR(VLOOKUP(Tabelle32[[#This Row],[Device ID]],BOM!$B$3:$BQ$35,17,FALSE),"")</f>
        <v>MPA 421</v>
      </c>
      <c r="N65" s="59" t="str">
        <f>IFERROR(VLOOKUP(Tabelle32[[#This Row],[Device ID]],BOM!$B$3:$BQ$35,18,FALSE),"")</f>
        <v>TC.02.296 | MPA421</v>
      </c>
      <c r="O65" s="64"/>
      <c r="P65" s="64">
        <f>IFERROR(VLOOKUP(Tabelle32[[#This Row],[Device ID]],BOM!$B$3:$BO$50,20,FALSE),"")</f>
        <v>0</v>
      </c>
      <c r="Q65" s="64">
        <f>IFERROR(VLOOKUP(Tabelle32[[#This Row],[Device ID]],BOM!$B$3:$BO$50,21,FALSE),"")</f>
        <v>1</v>
      </c>
      <c r="R65" s="64">
        <f>IFERROR(VLOOKUP(Tabelle32[[#This Row],[Device ID]],BOM!$B$3:$BO$50,22,FALSE),"")</f>
        <v>0</v>
      </c>
      <c r="S65" s="64"/>
      <c r="T65" s="64"/>
      <c r="U65" s="59" t="str">
        <f>IFERROR(VLOOKUP(Tabelle32[[#This Row],[Device ID]],BOM!$B$3:$BQ$35,25,FALSE),"")</f>
        <v>Luis/Ivo</v>
      </c>
      <c r="V65" s="59" t="str">
        <f>IFERROR(VLOOKUP(Tabelle32[[#This Row],[Device ID]],BOM!$B$3:$BQ$35,26,FALSE),"")</f>
        <v>tpco-megw-vgw103.rta.st-net.media.int</v>
      </c>
      <c r="W65" s="59" t="str">
        <f>IFERROR(VLOOKUP(Tabelle32[[#This Row],[Device ID]],BOM!$B$3:$BQ$35,27,FALSE),"")</f>
        <v>10.120.236.50</v>
      </c>
      <c r="X65" s="59" t="str">
        <f>IFERROR(VLOOKUP(Tabelle32[[#This Row],[Device ID]],BOM!$B$3:$BQ$35,28,FALSE),"")</f>
        <v>AVCoreA</v>
      </c>
      <c r="Y65" s="59" t="str">
        <f>IFERROR(VLOOKUP(Tabelle32[[#This Row],[Device ID]],BOM!$B$3:$BQ$35,29,FALSE),"")</f>
        <v>5_36_1</v>
      </c>
      <c r="Z65" s="59" t="str">
        <f>IFERROR(VLOOKUP(Tabelle32[[#This Row],[Device ID]],BOM!$B$3:$BQ$35,30,FALSE),"")</f>
        <v>tpco-megw-vgw103.rtb.st-net.media.int</v>
      </c>
      <c r="AA65" s="59" t="str">
        <f>IFERROR(VLOOKUP(Tabelle32[[#This Row],[Device ID]],BOM!$B$3:$BQ$35,31,FALSE),"")</f>
        <v>10.120.236.54</v>
      </c>
      <c r="AB65" s="59" t="str">
        <f>IFERROR(VLOOKUP(Tabelle32[[#This Row],[Device ID]],BOM!$B$3:$BQ$35,32,FALSE),"")</f>
        <v>AVCoreB</v>
      </c>
      <c r="AC65" s="59" t="str">
        <f>IFERROR(VLOOKUP(Tabelle32[[#This Row],[Device ID]],BOM!$B$3:$BQ$35,33,FALSE),"")</f>
        <v>5_36_1</v>
      </c>
      <c r="AD65" s="59" t="str">
        <f>IFERROR(VLOOKUP(Tabelle32[[#This Row],[Device ID]],BOM!$B$3:$BQ$35,34,FALSE),"")</f>
        <v>tpco-megw-vgw103.st-net.media.int</v>
      </c>
      <c r="AE65" s="59" t="str">
        <f>IFERROR(VLOOKUP(Tabelle32[[#This Row],[Device ID]],BOM!$B$3:$BQ$35,35,FALSE),"")</f>
        <v>10.120.67.141</v>
      </c>
      <c r="AF65" s="59">
        <f>IFERROR(VLOOKUP(Tabelle32[[#This Row],[Device ID]],BOM!$B$3:$BQ$35,36,FALSE),"")</f>
        <v>0</v>
      </c>
      <c r="AG65" s="59">
        <f>IFERROR(VLOOKUP(Tabelle32[[#This Row],[Device ID]],BOM!$B$3:$BQ$35,37,FALSE),"")</f>
        <v>0</v>
      </c>
      <c r="AH65" s="59"/>
      <c r="AI65" s="59"/>
      <c r="AJ65" s="59"/>
      <c r="AK65" s="59"/>
      <c r="AL65" s="59" t="str">
        <f>IFERROR(VLOOKUP(Tabelle32[[#This Row],[Device ID]],BOM!$B$3:$BQ$35,42,FALSE),"")</f>
        <v>Imagine Communications SNP</v>
      </c>
      <c r="AM65" s="59" t="str">
        <f>IFERROR(VLOOKUP(Tabelle32[[#This Row],[Device ID]],BOM!$B$3:$BQ$35,43,FALSE),"")</f>
        <v>no</v>
      </c>
      <c r="AN65" s="59" t="str">
        <f>IFERROR(VLOOKUP(Tabelle32[[#This Row],[Device ID]],BOM!$B$3:$BQ$35,44,FALSE),"")</f>
        <v>yes</v>
      </c>
      <c r="AO65" s="59" t="str">
        <f>IFERROR(VLOOKUP(Tabelle32[[#This Row],[Device ID]],BOM!$B$3:$BQ$35,45,FALSE),"")</f>
        <v>no</v>
      </c>
      <c r="AP65" s="59" t="str">
        <f>IFERROR(CONCATENATE(Tabelle32[[#This Row],[Family
GFX-Unit]]," | ",Tabelle32[[#This Row],[Label 1
GFX-Unit]]," | ",Tabelle32[[#This Row],[Attached Device if Gateway]]),"")</f>
        <v>PLAYOUT MPA421 | HD1 | MPA 421 HD1</v>
      </c>
      <c r="AQ65" s="59"/>
      <c r="AR65" s="90" t="s">
        <v>97</v>
      </c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73" t="s">
        <v>199</v>
      </c>
      <c r="BI65" s="30" t="str">
        <f>IF(COUNTA(Tabelle32[[#This Row],[Type:Vid_1080i50]:[Type:Anc_Prot]])&gt;0,"x","")</f>
        <v>x</v>
      </c>
      <c r="BJ6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65" s="59"/>
      <c r="BL65" s="59"/>
      <c r="BM65" s="63"/>
      <c r="BN65" s="63"/>
      <c r="BO65" s="97" t="s">
        <v>307</v>
      </c>
      <c r="BP65" s="97" t="s">
        <v>338</v>
      </c>
      <c r="BQ65" s="63">
        <f>LEN(Tabelle32[[#This Row],[Label 1
GFX-Unit]])</f>
        <v>3</v>
      </c>
      <c r="BR65" s="63"/>
      <c r="BS65" s="63"/>
      <c r="BT65" s="59"/>
      <c r="BU65" s="59"/>
      <c r="BV65" s="59" t="s">
        <v>272</v>
      </c>
      <c r="BW65" s="59" t="s">
        <v>273</v>
      </c>
      <c r="BX65" s="59" t="s">
        <v>339</v>
      </c>
      <c r="BY65" s="59">
        <v>3</v>
      </c>
    </row>
    <row r="66" spans="1:77" x14ac:dyDescent="0.2">
      <c r="A66" s="58" t="str">
        <f>CONCATENATE(Tabelle32[[#This Row],[Device ID]],".",Tabelle32[[#This Row],[Streamcounter]])</f>
        <v>381.04301</v>
      </c>
      <c r="B6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VGW-103_SDI04_ANCsend_0001</v>
      </c>
      <c r="C66" s="60"/>
      <c r="D66" s="61"/>
      <c r="E66" s="62"/>
      <c r="F66" s="59" t="str">
        <f>IFERROR(VLOOKUP(Tabelle32[[#This Row],[Device ID]],BOM!$B$3:$BQ$35,16,FALSE),"")</f>
        <v>MPA 421 HD2</v>
      </c>
      <c r="G66" s="63">
        <f>VLOOKUP(Tabelle32[[#This Row],[SDI Interface]],BOM!$A$4:$B$35,2,FALSE)</f>
        <v>381</v>
      </c>
      <c r="H66" s="59" t="str">
        <f>BOM!$C$4</f>
        <v>VGW-103</v>
      </c>
      <c r="I66" s="59" t="str">
        <f>IFERROR(VLOOKUP(Tabelle32[[#This Row],[Device ID]],BOM!$B$3:$BQ$35,12,FALSE),"")</f>
        <v>Videoserver</v>
      </c>
      <c r="J66" s="59" t="str">
        <f>IFERROR(VLOOKUP(Tabelle32[[#This Row],[Device ID]],BOM!$B$3:$BQ$35,13,FALSE),"")</f>
        <v>TC.U1.223 | MDC</v>
      </c>
      <c r="K66" s="59" t="str">
        <f>IFERROR(VLOOKUP(Tabelle32[[#This Row],[Device ID]],BOM!$B$3:$BQ$35,14,FALSE),"")</f>
        <v>Imagine Comunications</v>
      </c>
      <c r="L66" s="59" t="str">
        <f>IFERROR(VLOOKUP(Tabelle32[[#This Row],[Device ID]],BOM!$B$3:$BQ$35,16,FALSE),"")</f>
        <v>MPA 421 HD2</v>
      </c>
      <c r="M66" s="63" t="str">
        <f>IFERROR(VLOOKUP(Tabelle32[[#This Row],[Device ID]],BOM!$B$3:$BQ$35,17,FALSE),"")</f>
        <v>MPA 421</v>
      </c>
      <c r="N66" s="59" t="str">
        <f>IFERROR(VLOOKUP(Tabelle32[[#This Row],[Device ID]],BOM!$B$3:$BQ$35,18,FALSE),"")</f>
        <v>TC.02.296 | MPA421</v>
      </c>
      <c r="O66" s="64"/>
      <c r="P66" s="64">
        <f>IFERROR(VLOOKUP(Tabelle32[[#This Row],[Device ID]],BOM!$B$3:$BO$50,20,FALSE),"")</f>
        <v>0</v>
      </c>
      <c r="Q66" s="64">
        <f>IFERROR(VLOOKUP(Tabelle32[[#This Row],[Device ID]],BOM!$B$3:$BO$50,21,FALSE),"")</f>
        <v>1</v>
      </c>
      <c r="R66" s="64">
        <f>IFERROR(VLOOKUP(Tabelle32[[#This Row],[Device ID]],BOM!$B$3:$BO$50,22,FALSE),"")</f>
        <v>0</v>
      </c>
      <c r="S66" s="64"/>
      <c r="T66" s="64"/>
      <c r="U66" s="59" t="str">
        <f>IFERROR(VLOOKUP(Tabelle32[[#This Row],[Device ID]],BOM!$B$3:$BQ$35,25,FALSE),"")</f>
        <v>Luis/Ivo</v>
      </c>
      <c r="V66" s="59" t="str">
        <f>IFERROR(VLOOKUP(Tabelle32[[#This Row],[Device ID]],BOM!$B$3:$BQ$35,26,FALSE),"")</f>
        <v>tpco-megw-vgw103.rta.st-net.media.int</v>
      </c>
      <c r="W66" s="59" t="str">
        <f>IFERROR(VLOOKUP(Tabelle32[[#This Row],[Device ID]],BOM!$B$3:$BQ$35,27,FALSE),"")</f>
        <v>10.120.236.50</v>
      </c>
      <c r="X66" s="59" t="str">
        <f>IFERROR(VLOOKUP(Tabelle32[[#This Row],[Device ID]],BOM!$B$3:$BQ$35,28,FALSE),"")</f>
        <v>AVCoreA</v>
      </c>
      <c r="Y66" s="59" t="str">
        <f>IFERROR(VLOOKUP(Tabelle32[[#This Row],[Device ID]],BOM!$B$3:$BQ$35,29,FALSE),"")</f>
        <v>5_36_1</v>
      </c>
      <c r="Z66" s="59" t="str">
        <f>IFERROR(VLOOKUP(Tabelle32[[#This Row],[Device ID]],BOM!$B$3:$BQ$35,30,FALSE),"")</f>
        <v>tpco-megw-vgw103.rtb.st-net.media.int</v>
      </c>
      <c r="AA66" s="59" t="str">
        <f>IFERROR(VLOOKUP(Tabelle32[[#This Row],[Device ID]],BOM!$B$3:$BQ$35,31,FALSE),"")</f>
        <v>10.120.236.54</v>
      </c>
      <c r="AB66" s="59" t="str">
        <f>IFERROR(VLOOKUP(Tabelle32[[#This Row],[Device ID]],BOM!$B$3:$BQ$35,32,FALSE),"")</f>
        <v>AVCoreB</v>
      </c>
      <c r="AC66" s="59" t="str">
        <f>IFERROR(VLOOKUP(Tabelle32[[#This Row],[Device ID]],BOM!$B$3:$BQ$35,33,FALSE),"")</f>
        <v>5_36_1</v>
      </c>
      <c r="AD66" s="59" t="str">
        <f>IFERROR(VLOOKUP(Tabelle32[[#This Row],[Device ID]],BOM!$B$3:$BQ$35,34,FALSE),"")</f>
        <v>tpco-megw-vgw103.st-net.media.int</v>
      </c>
      <c r="AE66" s="59" t="str">
        <f>IFERROR(VLOOKUP(Tabelle32[[#This Row],[Device ID]],BOM!$B$3:$BQ$35,35,FALSE),"")</f>
        <v>10.120.67.141</v>
      </c>
      <c r="AF66" s="59">
        <f>IFERROR(VLOOKUP(Tabelle32[[#This Row],[Device ID]],BOM!$B$3:$BQ$35,36,FALSE),"")</f>
        <v>0</v>
      </c>
      <c r="AG66" s="59">
        <f>IFERROR(VLOOKUP(Tabelle32[[#This Row],[Device ID]],BOM!$B$3:$BQ$35,37,FALSE),"")</f>
        <v>0</v>
      </c>
      <c r="AH66" s="59"/>
      <c r="AI66" s="59"/>
      <c r="AJ66" s="59"/>
      <c r="AK66" s="59"/>
      <c r="AL66" s="59" t="str">
        <f>IFERROR(VLOOKUP(Tabelle32[[#This Row],[Device ID]],BOM!$B$3:$BQ$35,42,FALSE),"")</f>
        <v>Imagine Communications SNP</v>
      </c>
      <c r="AM66" s="59" t="str">
        <f>IFERROR(VLOOKUP(Tabelle32[[#This Row],[Device ID]],BOM!$B$3:$BQ$35,43,FALSE),"")</f>
        <v>no</v>
      </c>
      <c r="AN66" s="59" t="str">
        <f>IFERROR(VLOOKUP(Tabelle32[[#This Row],[Device ID]],BOM!$B$3:$BQ$35,44,FALSE),"")</f>
        <v>yes</v>
      </c>
      <c r="AO66" s="59" t="str">
        <f>IFERROR(VLOOKUP(Tabelle32[[#This Row],[Device ID]],BOM!$B$3:$BQ$35,45,FALSE),"")</f>
        <v>no</v>
      </c>
      <c r="AP66" s="59" t="str">
        <f>IFERROR(CONCATENATE(Tabelle32[[#This Row],[Family
GFX-Unit]]," | ",Tabelle32[[#This Row],[Label 1
GFX-Unit]]," | ",Tabelle32[[#This Row],[Attached Device if Gateway]]),"")</f>
        <v>PLAYOUT MPA421 | HD2-001 | MPA 421 HD2</v>
      </c>
      <c r="AQ66" s="59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 t="s">
        <v>97</v>
      </c>
      <c r="BH66" s="73" t="s">
        <v>199</v>
      </c>
      <c r="BI66" s="30" t="str">
        <f>IF(COUNTA(Tabelle32[[#This Row],[Type:Vid_1080i50]:[Type:Anc_Prot]])&gt;0,"x","")</f>
        <v>x</v>
      </c>
      <c r="BJ6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66" s="59"/>
      <c r="BL66" s="59"/>
      <c r="BM66" s="63"/>
      <c r="BN66" s="63"/>
      <c r="BO66" s="97" t="s">
        <v>307</v>
      </c>
      <c r="BP66" s="97" t="s">
        <v>340</v>
      </c>
      <c r="BQ66" s="63">
        <f>LEN(Tabelle32[[#This Row],[Label 1
GFX-Unit]])</f>
        <v>7</v>
      </c>
      <c r="BR66" s="63"/>
      <c r="BS66" s="63"/>
      <c r="BT66" s="59"/>
      <c r="BU66" s="59"/>
      <c r="BV66" s="59" t="s">
        <v>202</v>
      </c>
      <c r="BW66" s="59" t="s">
        <v>203</v>
      </c>
      <c r="BX66" s="59" t="s">
        <v>341</v>
      </c>
      <c r="BY66" s="59">
        <v>4</v>
      </c>
    </row>
    <row r="67" spans="1:77" hidden="1" x14ac:dyDescent="0.2">
      <c r="A67" s="58" t="str">
        <f>CONCATENATE(Tabelle32[[#This Row],[Device ID]],".",Tabelle32[[#This Row],[Streamcounter]])</f>
        <v>381.04302</v>
      </c>
      <c r="B6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VGW-103_SDI04_ANCsend_0002</v>
      </c>
      <c r="C67" s="60"/>
      <c r="D67" s="61"/>
      <c r="E67" s="62"/>
      <c r="F67" s="59" t="str">
        <f>IFERROR(VLOOKUP(Tabelle32[[#This Row],[Device ID]],BOM!$B$3:$BQ$35,16,FALSE),"")</f>
        <v>MPA 421 HD2</v>
      </c>
      <c r="G67" s="63">
        <f>VLOOKUP(Tabelle32[[#This Row],[SDI Interface]],BOM!$A$4:$B$35,2,FALSE)</f>
        <v>381</v>
      </c>
      <c r="H67" s="59" t="str">
        <f>BOM!$C$4</f>
        <v>VGW-103</v>
      </c>
      <c r="I67" s="59" t="str">
        <f>IFERROR(VLOOKUP(Tabelle32[[#This Row],[Device ID]],BOM!$B$3:$BQ$35,12,FALSE),"")</f>
        <v>Videoserver</v>
      </c>
      <c r="J67" s="59" t="str">
        <f>IFERROR(VLOOKUP(Tabelle32[[#This Row],[Device ID]],BOM!$B$3:$BQ$35,13,FALSE),"")</f>
        <v>TC.U1.223 | MDC</v>
      </c>
      <c r="K67" s="59" t="str">
        <f>IFERROR(VLOOKUP(Tabelle32[[#This Row],[Device ID]],BOM!$B$3:$BQ$35,14,FALSE),"")</f>
        <v>Imagine Comunications</v>
      </c>
      <c r="L67" s="59" t="str">
        <f>IFERROR(VLOOKUP(Tabelle32[[#This Row],[Device ID]],BOM!$B$3:$BQ$35,16,FALSE),"")</f>
        <v>MPA 421 HD2</v>
      </c>
      <c r="M67" s="63" t="str">
        <f>IFERROR(VLOOKUP(Tabelle32[[#This Row],[Device ID]],BOM!$B$3:$BQ$35,17,FALSE),"")</f>
        <v>MPA 421</v>
      </c>
      <c r="N67" s="59" t="str">
        <f>IFERROR(VLOOKUP(Tabelle32[[#This Row],[Device ID]],BOM!$B$3:$BQ$35,18,FALSE),"")</f>
        <v>TC.02.296 | MPA421</v>
      </c>
      <c r="O67" s="64"/>
      <c r="P67" s="64">
        <f>IFERROR(VLOOKUP(Tabelle32[[#This Row],[Device ID]],BOM!$B$3:$BO$50,20,FALSE),"")</f>
        <v>0</v>
      </c>
      <c r="Q67" s="64">
        <f>IFERROR(VLOOKUP(Tabelle32[[#This Row],[Device ID]],BOM!$B$3:$BO$50,21,FALSE),"")</f>
        <v>1</v>
      </c>
      <c r="R67" s="64">
        <f>IFERROR(VLOOKUP(Tabelle32[[#This Row],[Device ID]],BOM!$B$3:$BO$50,22,FALSE),"")</f>
        <v>0</v>
      </c>
      <c r="S67" s="64"/>
      <c r="T67" s="64"/>
      <c r="U67" s="59" t="str">
        <f>IFERROR(VLOOKUP(Tabelle32[[#This Row],[Device ID]],BOM!$B$3:$BQ$35,25,FALSE),"")</f>
        <v>Luis/Ivo</v>
      </c>
      <c r="V67" s="59" t="str">
        <f>IFERROR(VLOOKUP(Tabelle32[[#This Row],[Device ID]],BOM!$B$3:$BQ$35,26,FALSE),"")</f>
        <v>tpco-megw-vgw103.rta.st-net.media.int</v>
      </c>
      <c r="W67" s="59" t="str">
        <f>IFERROR(VLOOKUP(Tabelle32[[#This Row],[Device ID]],BOM!$B$3:$BQ$35,27,FALSE),"")</f>
        <v>10.120.236.50</v>
      </c>
      <c r="X67" s="59" t="str">
        <f>IFERROR(VLOOKUP(Tabelle32[[#This Row],[Device ID]],BOM!$B$3:$BQ$35,28,FALSE),"")</f>
        <v>AVCoreA</v>
      </c>
      <c r="Y67" s="59" t="str">
        <f>IFERROR(VLOOKUP(Tabelle32[[#This Row],[Device ID]],BOM!$B$3:$BQ$35,29,FALSE),"")</f>
        <v>5_36_1</v>
      </c>
      <c r="Z67" s="59" t="str">
        <f>IFERROR(VLOOKUP(Tabelle32[[#This Row],[Device ID]],BOM!$B$3:$BQ$35,30,FALSE),"")</f>
        <v>tpco-megw-vgw103.rtb.st-net.media.int</v>
      </c>
      <c r="AA67" s="59" t="str">
        <f>IFERROR(VLOOKUP(Tabelle32[[#This Row],[Device ID]],BOM!$B$3:$BQ$35,31,FALSE),"")</f>
        <v>10.120.236.54</v>
      </c>
      <c r="AB67" s="59" t="str">
        <f>IFERROR(VLOOKUP(Tabelle32[[#This Row],[Device ID]],BOM!$B$3:$BQ$35,32,FALSE),"")</f>
        <v>AVCoreB</v>
      </c>
      <c r="AC67" s="59" t="str">
        <f>IFERROR(VLOOKUP(Tabelle32[[#This Row],[Device ID]],BOM!$B$3:$BQ$35,33,FALSE),"")</f>
        <v>5_36_1</v>
      </c>
      <c r="AD67" s="59" t="str">
        <f>IFERROR(VLOOKUP(Tabelle32[[#This Row],[Device ID]],BOM!$B$3:$BQ$35,34,FALSE),"")</f>
        <v>tpco-megw-vgw103.st-net.media.int</v>
      </c>
      <c r="AE67" s="59" t="str">
        <f>IFERROR(VLOOKUP(Tabelle32[[#This Row],[Device ID]],BOM!$B$3:$BQ$35,35,FALSE),"")</f>
        <v>10.120.67.141</v>
      </c>
      <c r="AF67" s="59">
        <f>IFERROR(VLOOKUP(Tabelle32[[#This Row],[Device ID]],BOM!$B$3:$BQ$35,36,FALSE),"")</f>
        <v>0</v>
      </c>
      <c r="AG67" s="59">
        <f>IFERROR(VLOOKUP(Tabelle32[[#This Row],[Device ID]],BOM!$B$3:$BQ$35,37,FALSE),"")</f>
        <v>0</v>
      </c>
      <c r="AH67" s="59"/>
      <c r="AI67" s="59"/>
      <c r="AJ67" s="59"/>
      <c r="AK67" s="59"/>
      <c r="AL67" s="59" t="str">
        <f>IFERROR(VLOOKUP(Tabelle32[[#This Row],[Device ID]],BOM!$B$3:$BQ$35,42,FALSE),"")</f>
        <v>Imagine Communications SNP</v>
      </c>
      <c r="AM67" s="59" t="str">
        <f>IFERROR(VLOOKUP(Tabelle32[[#This Row],[Device ID]],BOM!$B$3:$BQ$35,43,FALSE),"")</f>
        <v>no</v>
      </c>
      <c r="AN67" s="59" t="str">
        <f>IFERROR(VLOOKUP(Tabelle32[[#This Row],[Device ID]],BOM!$B$3:$BQ$35,44,FALSE),"")</f>
        <v>yes</v>
      </c>
      <c r="AO67" s="59" t="str">
        <f>IFERROR(VLOOKUP(Tabelle32[[#This Row],[Device ID]],BOM!$B$3:$BQ$35,45,FALSE),"")</f>
        <v>no</v>
      </c>
      <c r="AP67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67" s="59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73" t="s">
        <v>199</v>
      </c>
      <c r="BI67" s="30" t="str">
        <f>IF(COUNTA(Tabelle32[[#This Row],[Type:Vid_1080i50]:[Type:Anc_Prot]])&gt;0,"x","")</f>
        <v/>
      </c>
      <c r="BJ6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7" s="59"/>
      <c r="BL67" s="59"/>
      <c r="BM67" s="63"/>
      <c r="BN67" s="63"/>
      <c r="BO67" s="96"/>
      <c r="BP67" s="96"/>
      <c r="BQ67" s="63">
        <f>LEN(Tabelle32[[#This Row],[Label 1
GFX-Unit]])</f>
        <v>0</v>
      </c>
      <c r="BR67" s="63"/>
      <c r="BS67" s="63"/>
      <c r="BT67" s="59"/>
      <c r="BU67" s="59"/>
      <c r="BV67" s="59" t="s">
        <v>205</v>
      </c>
      <c r="BW67" s="59" t="s">
        <v>206</v>
      </c>
      <c r="BX67" s="59" t="s">
        <v>342</v>
      </c>
      <c r="BY67" s="59">
        <v>4</v>
      </c>
    </row>
    <row r="68" spans="1:77" hidden="1" x14ac:dyDescent="0.2">
      <c r="A68" s="58" t="str">
        <f>CONCATENATE(Tabelle32[[#This Row],[Device ID]],".",Tabelle32[[#This Row],[Streamcounter]])</f>
        <v>381.04303</v>
      </c>
      <c r="B6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VGW-103_SDI04_ANCsend_0003</v>
      </c>
      <c r="C68" s="60"/>
      <c r="D68" s="61"/>
      <c r="E68" s="62"/>
      <c r="F68" s="59" t="str">
        <f>IFERROR(VLOOKUP(Tabelle32[[#This Row],[Device ID]],BOM!$B$3:$BQ$35,16,FALSE),"")</f>
        <v>MPA 421 HD2</v>
      </c>
      <c r="G68" s="63">
        <f>VLOOKUP(Tabelle32[[#This Row],[SDI Interface]],BOM!$A$4:$B$35,2,FALSE)</f>
        <v>381</v>
      </c>
      <c r="H68" s="59" t="str">
        <f>BOM!$C$4</f>
        <v>VGW-103</v>
      </c>
      <c r="I68" s="59" t="str">
        <f>IFERROR(VLOOKUP(Tabelle32[[#This Row],[Device ID]],BOM!$B$3:$BQ$35,12,FALSE),"")</f>
        <v>Videoserver</v>
      </c>
      <c r="J68" s="59" t="str">
        <f>IFERROR(VLOOKUP(Tabelle32[[#This Row],[Device ID]],BOM!$B$3:$BQ$35,13,FALSE),"")</f>
        <v>TC.U1.223 | MDC</v>
      </c>
      <c r="K68" s="59" t="str">
        <f>IFERROR(VLOOKUP(Tabelle32[[#This Row],[Device ID]],BOM!$B$3:$BQ$35,14,FALSE),"")</f>
        <v>Imagine Comunications</v>
      </c>
      <c r="L68" s="59" t="str">
        <f>IFERROR(VLOOKUP(Tabelle32[[#This Row],[Device ID]],BOM!$B$3:$BQ$35,16,FALSE),"")</f>
        <v>MPA 421 HD2</v>
      </c>
      <c r="M68" s="63" t="str">
        <f>IFERROR(VLOOKUP(Tabelle32[[#This Row],[Device ID]],BOM!$B$3:$BQ$35,17,FALSE),"")</f>
        <v>MPA 421</v>
      </c>
      <c r="N68" s="59" t="str">
        <f>IFERROR(VLOOKUP(Tabelle32[[#This Row],[Device ID]],BOM!$B$3:$BQ$35,18,FALSE),"")</f>
        <v>TC.02.296 | MPA421</v>
      </c>
      <c r="O68" s="64"/>
      <c r="P68" s="64">
        <f>IFERROR(VLOOKUP(Tabelle32[[#This Row],[Device ID]],BOM!$B$3:$BO$50,20,FALSE),"")</f>
        <v>0</v>
      </c>
      <c r="Q68" s="64">
        <f>IFERROR(VLOOKUP(Tabelle32[[#This Row],[Device ID]],BOM!$B$3:$BO$50,21,FALSE),"")</f>
        <v>1</v>
      </c>
      <c r="R68" s="64">
        <f>IFERROR(VLOOKUP(Tabelle32[[#This Row],[Device ID]],BOM!$B$3:$BO$50,22,FALSE),"")</f>
        <v>0</v>
      </c>
      <c r="S68" s="64"/>
      <c r="T68" s="64"/>
      <c r="U68" s="59" t="str">
        <f>IFERROR(VLOOKUP(Tabelle32[[#This Row],[Device ID]],BOM!$B$3:$BQ$35,25,FALSE),"")</f>
        <v>Luis/Ivo</v>
      </c>
      <c r="V68" s="59" t="str">
        <f>IFERROR(VLOOKUP(Tabelle32[[#This Row],[Device ID]],BOM!$B$3:$BQ$35,26,FALSE),"")</f>
        <v>tpco-megw-vgw103.rta.st-net.media.int</v>
      </c>
      <c r="W68" s="59" t="str">
        <f>IFERROR(VLOOKUP(Tabelle32[[#This Row],[Device ID]],BOM!$B$3:$BQ$35,27,FALSE),"")</f>
        <v>10.120.236.50</v>
      </c>
      <c r="X68" s="59" t="str">
        <f>IFERROR(VLOOKUP(Tabelle32[[#This Row],[Device ID]],BOM!$B$3:$BQ$35,28,FALSE),"")</f>
        <v>AVCoreA</v>
      </c>
      <c r="Y68" s="59" t="str">
        <f>IFERROR(VLOOKUP(Tabelle32[[#This Row],[Device ID]],BOM!$B$3:$BQ$35,29,FALSE),"")</f>
        <v>5_36_1</v>
      </c>
      <c r="Z68" s="59" t="str">
        <f>IFERROR(VLOOKUP(Tabelle32[[#This Row],[Device ID]],BOM!$B$3:$BQ$35,30,FALSE),"")</f>
        <v>tpco-megw-vgw103.rtb.st-net.media.int</v>
      </c>
      <c r="AA68" s="59" t="str">
        <f>IFERROR(VLOOKUP(Tabelle32[[#This Row],[Device ID]],BOM!$B$3:$BQ$35,31,FALSE),"")</f>
        <v>10.120.236.54</v>
      </c>
      <c r="AB68" s="59" t="str">
        <f>IFERROR(VLOOKUP(Tabelle32[[#This Row],[Device ID]],BOM!$B$3:$BQ$35,32,FALSE),"")</f>
        <v>AVCoreB</v>
      </c>
      <c r="AC68" s="59" t="str">
        <f>IFERROR(VLOOKUP(Tabelle32[[#This Row],[Device ID]],BOM!$B$3:$BQ$35,33,FALSE),"")</f>
        <v>5_36_1</v>
      </c>
      <c r="AD68" s="59" t="str">
        <f>IFERROR(VLOOKUP(Tabelle32[[#This Row],[Device ID]],BOM!$B$3:$BQ$35,34,FALSE),"")</f>
        <v>tpco-megw-vgw103.st-net.media.int</v>
      </c>
      <c r="AE68" s="59" t="str">
        <f>IFERROR(VLOOKUP(Tabelle32[[#This Row],[Device ID]],BOM!$B$3:$BQ$35,35,FALSE),"")</f>
        <v>10.120.67.141</v>
      </c>
      <c r="AF68" s="59">
        <f>IFERROR(VLOOKUP(Tabelle32[[#This Row],[Device ID]],BOM!$B$3:$BQ$35,36,FALSE),"")</f>
        <v>0</v>
      </c>
      <c r="AG68" s="59">
        <f>IFERROR(VLOOKUP(Tabelle32[[#This Row],[Device ID]],BOM!$B$3:$BQ$35,37,FALSE),"")</f>
        <v>0</v>
      </c>
      <c r="AH68" s="59"/>
      <c r="AI68" s="59"/>
      <c r="AJ68" s="59"/>
      <c r="AK68" s="59"/>
      <c r="AL68" s="59" t="str">
        <f>IFERROR(VLOOKUP(Tabelle32[[#This Row],[Device ID]],BOM!$B$3:$BQ$35,42,FALSE),"")</f>
        <v>Imagine Communications SNP</v>
      </c>
      <c r="AM68" s="59" t="str">
        <f>IFERROR(VLOOKUP(Tabelle32[[#This Row],[Device ID]],BOM!$B$3:$BQ$35,43,FALSE),"")</f>
        <v>no</v>
      </c>
      <c r="AN68" s="59" t="str">
        <f>IFERROR(VLOOKUP(Tabelle32[[#This Row],[Device ID]],BOM!$B$3:$BQ$35,44,FALSE),"")</f>
        <v>yes</v>
      </c>
      <c r="AO68" s="59" t="str">
        <f>IFERROR(VLOOKUP(Tabelle32[[#This Row],[Device ID]],BOM!$B$3:$BQ$35,45,FALSE),"")</f>
        <v>no</v>
      </c>
      <c r="AP68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68" s="59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73" t="s">
        <v>199</v>
      </c>
      <c r="BI68" s="30" t="str">
        <f>IF(COUNTA(Tabelle32[[#This Row],[Type:Vid_1080i50]:[Type:Anc_Prot]])&gt;0,"x","")</f>
        <v/>
      </c>
      <c r="BJ68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8" s="59"/>
      <c r="BL68" s="59"/>
      <c r="BM68" s="63"/>
      <c r="BN68" s="63"/>
      <c r="BO68" s="96"/>
      <c r="BP68" s="96"/>
      <c r="BQ68" s="63">
        <f>LEN(Tabelle32[[#This Row],[Label 1
GFX-Unit]])</f>
        <v>0</v>
      </c>
      <c r="BR68" s="63"/>
      <c r="BS68" s="63"/>
      <c r="BT68" s="59"/>
      <c r="BU68" s="59"/>
      <c r="BV68" s="59" t="s">
        <v>208</v>
      </c>
      <c r="BW68" s="59" t="s">
        <v>209</v>
      </c>
      <c r="BX68" s="59" t="s">
        <v>343</v>
      </c>
      <c r="BY68" s="59">
        <v>4</v>
      </c>
    </row>
    <row r="69" spans="1:77" hidden="1" x14ac:dyDescent="0.2">
      <c r="A69" s="58" t="str">
        <f>CONCATENATE(Tabelle32[[#This Row],[Device ID]],".",Tabelle32[[#This Row],[Streamcounter]])</f>
        <v>381.04304</v>
      </c>
      <c r="B6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VGW-103_SDI04_ANCsend_0004</v>
      </c>
      <c r="C69" s="60"/>
      <c r="D69" s="61"/>
      <c r="E69" s="62"/>
      <c r="F69" s="59" t="str">
        <f>IFERROR(VLOOKUP(Tabelle32[[#This Row],[Device ID]],BOM!$B$3:$BQ$35,16,FALSE),"")</f>
        <v>MPA 421 HD2</v>
      </c>
      <c r="G69" s="63">
        <f>VLOOKUP(Tabelle32[[#This Row],[SDI Interface]],BOM!$A$4:$B$35,2,FALSE)</f>
        <v>381</v>
      </c>
      <c r="H69" s="59" t="str">
        <f>BOM!$C$4</f>
        <v>VGW-103</v>
      </c>
      <c r="I69" s="59" t="str">
        <f>IFERROR(VLOOKUP(Tabelle32[[#This Row],[Device ID]],BOM!$B$3:$BQ$35,12,FALSE),"")</f>
        <v>Videoserver</v>
      </c>
      <c r="J69" s="59" t="str">
        <f>IFERROR(VLOOKUP(Tabelle32[[#This Row],[Device ID]],BOM!$B$3:$BQ$35,13,FALSE),"")</f>
        <v>TC.U1.223 | MDC</v>
      </c>
      <c r="K69" s="59" t="str">
        <f>IFERROR(VLOOKUP(Tabelle32[[#This Row],[Device ID]],BOM!$B$3:$BQ$35,14,FALSE),"")</f>
        <v>Imagine Comunications</v>
      </c>
      <c r="L69" s="59" t="str">
        <f>IFERROR(VLOOKUP(Tabelle32[[#This Row],[Device ID]],BOM!$B$3:$BQ$35,16,FALSE),"")</f>
        <v>MPA 421 HD2</v>
      </c>
      <c r="M69" s="63" t="str">
        <f>IFERROR(VLOOKUP(Tabelle32[[#This Row],[Device ID]],BOM!$B$3:$BQ$35,17,FALSE),"")</f>
        <v>MPA 421</v>
      </c>
      <c r="N69" s="59" t="str">
        <f>IFERROR(VLOOKUP(Tabelle32[[#This Row],[Device ID]],BOM!$B$3:$BQ$35,18,FALSE),"")</f>
        <v>TC.02.296 | MPA421</v>
      </c>
      <c r="O69" s="64"/>
      <c r="P69" s="64">
        <f>IFERROR(VLOOKUP(Tabelle32[[#This Row],[Device ID]],BOM!$B$3:$BO$50,20,FALSE),"")</f>
        <v>0</v>
      </c>
      <c r="Q69" s="64">
        <f>IFERROR(VLOOKUP(Tabelle32[[#This Row],[Device ID]],BOM!$B$3:$BO$50,21,FALSE),"")</f>
        <v>1</v>
      </c>
      <c r="R69" s="64">
        <f>IFERROR(VLOOKUP(Tabelle32[[#This Row],[Device ID]],BOM!$B$3:$BO$50,22,FALSE),"")</f>
        <v>0</v>
      </c>
      <c r="S69" s="64"/>
      <c r="T69" s="64"/>
      <c r="U69" s="59" t="str">
        <f>IFERROR(VLOOKUP(Tabelle32[[#This Row],[Device ID]],BOM!$B$3:$BQ$35,25,FALSE),"")</f>
        <v>Luis/Ivo</v>
      </c>
      <c r="V69" s="59" t="str">
        <f>IFERROR(VLOOKUP(Tabelle32[[#This Row],[Device ID]],BOM!$B$3:$BQ$35,26,FALSE),"")</f>
        <v>tpco-megw-vgw103.rta.st-net.media.int</v>
      </c>
      <c r="W69" s="59" t="str">
        <f>IFERROR(VLOOKUP(Tabelle32[[#This Row],[Device ID]],BOM!$B$3:$BQ$35,27,FALSE),"")</f>
        <v>10.120.236.50</v>
      </c>
      <c r="X69" s="59" t="str">
        <f>IFERROR(VLOOKUP(Tabelle32[[#This Row],[Device ID]],BOM!$B$3:$BQ$35,28,FALSE),"")</f>
        <v>AVCoreA</v>
      </c>
      <c r="Y69" s="59" t="str">
        <f>IFERROR(VLOOKUP(Tabelle32[[#This Row],[Device ID]],BOM!$B$3:$BQ$35,29,FALSE),"")</f>
        <v>5_36_1</v>
      </c>
      <c r="Z69" s="59" t="str">
        <f>IFERROR(VLOOKUP(Tabelle32[[#This Row],[Device ID]],BOM!$B$3:$BQ$35,30,FALSE),"")</f>
        <v>tpco-megw-vgw103.rtb.st-net.media.int</v>
      </c>
      <c r="AA69" s="59" t="str">
        <f>IFERROR(VLOOKUP(Tabelle32[[#This Row],[Device ID]],BOM!$B$3:$BQ$35,31,FALSE),"")</f>
        <v>10.120.236.54</v>
      </c>
      <c r="AB69" s="59" t="str">
        <f>IFERROR(VLOOKUP(Tabelle32[[#This Row],[Device ID]],BOM!$B$3:$BQ$35,32,FALSE),"")</f>
        <v>AVCoreB</v>
      </c>
      <c r="AC69" s="59" t="str">
        <f>IFERROR(VLOOKUP(Tabelle32[[#This Row],[Device ID]],BOM!$B$3:$BQ$35,33,FALSE),"")</f>
        <v>5_36_1</v>
      </c>
      <c r="AD69" s="59" t="str">
        <f>IFERROR(VLOOKUP(Tabelle32[[#This Row],[Device ID]],BOM!$B$3:$BQ$35,34,FALSE),"")</f>
        <v>tpco-megw-vgw103.st-net.media.int</v>
      </c>
      <c r="AE69" s="59" t="str">
        <f>IFERROR(VLOOKUP(Tabelle32[[#This Row],[Device ID]],BOM!$B$3:$BQ$35,35,FALSE),"")</f>
        <v>10.120.67.141</v>
      </c>
      <c r="AF69" s="59">
        <f>IFERROR(VLOOKUP(Tabelle32[[#This Row],[Device ID]],BOM!$B$3:$BQ$35,36,FALSE),"")</f>
        <v>0</v>
      </c>
      <c r="AG69" s="59">
        <f>IFERROR(VLOOKUP(Tabelle32[[#This Row],[Device ID]],BOM!$B$3:$BQ$35,37,FALSE),"")</f>
        <v>0</v>
      </c>
      <c r="AH69" s="59"/>
      <c r="AI69" s="59"/>
      <c r="AJ69" s="59"/>
      <c r="AK69" s="59"/>
      <c r="AL69" s="59" t="str">
        <f>IFERROR(VLOOKUP(Tabelle32[[#This Row],[Device ID]],BOM!$B$3:$BQ$35,42,FALSE),"")</f>
        <v>Imagine Communications SNP</v>
      </c>
      <c r="AM69" s="59" t="str">
        <f>IFERROR(VLOOKUP(Tabelle32[[#This Row],[Device ID]],BOM!$B$3:$BQ$35,43,FALSE),"")</f>
        <v>no</v>
      </c>
      <c r="AN69" s="59" t="str">
        <f>IFERROR(VLOOKUP(Tabelle32[[#This Row],[Device ID]],BOM!$B$3:$BQ$35,44,FALSE),"")</f>
        <v>yes</v>
      </c>
      <c r="AO69" s="59" t="str">
        <f>IFERROR(VLOOKUP(Tabelle32[[#This Row],[Device ID]],BOM!$B$3:$BQ$35,45,FALSE),"")</f>
        <v>no</v>
      </c>
      <c r="AP69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69" s="59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73" t="s">
        <v>199</v>
      </c>
      <c r="BI69" s="30" t="str">
        <f>IF(COUNTA(Tabelle32[[#This Row],[Type:Vid_1080i50]:[Type:Anc_Prot]])&gt;0,"x","")</f>
        <v/>
      </c>
      <c r="BJ69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9" s="59"/>
      <c r="BL69" s="59"/>
      <c r="BM69" s="63"/>
      <c r="BN69" s="63"/>
      <c r="BO69" s="96"/>
      <c r="BP69" s="96"/>
      <c r="BQ69" s="63">
        <f>LEN(Tabelle32[[#This Row],[Label 1
GFX-Unit]])</f>
        <v>0</v>
      </c>
      <c r="BR69" s="63"/>
      <c r="BS69" s="63"/>
      <c r="BT69" s="59"/>
      <c r="BU69" s="59"/>
      <c r="BV69" s="59" t="s">
        <v>211</v>
      </c>
      <c r="BW69" s="59" t="s">
        <v>212</v>
      </c>
      <c r="BX69" s="59" t="s">
        <v>344</v>
      </c>
      <c r="BY69" s="59">
        <v>4</v>
      </c>
    </row>
    <row r="70" spans="1:77" x14ac:dyDescent="0.2">
      <c r="A70" s="58" t="str">
        <f>CONCATENATE(Tabelle32[[#This Row],[Device ID]],".",Tabelle32[[#This Row],[Streamcounter]])</f>
        <v>381.04201</v>
      </c>
      <c r="B7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VGW-103_SDI04_AUDsend_0001</v>
      </c>
      <c r="C70" s="67"/>
      <c r="D70" s="61"/>
      <c r="E70" s="67"/>
      <c r="F70" s="59" t="str">
        <f>IFERROR(VLOOKUP(Tabelle32[[#This Row],[Device ID]],BOM!$B$3:$BQ$35,16,FALSE),"")</f>
        <v>MPA 421 HD2</v>
      </c>
      <c r="G70" s="63">
        <f>VLOOKUP(Tabelle32[[#This Row],[SDI Interface]],BOM!$A$4:$B$35,2,FALSE)</f>
        <v>381</v>
      </c>
      <c r="H70" s="59" t="str">
        <f>BOM!$C$4</f>
        <v>VGW-103</v>
      </c>
      <c r="I70" s="59" t="str">
        <f>IFERROR(VLOOKUP(Tabelle32[[#This Row],[Device ID]],BOM!$B$3:$BQ$35,12,FALSE),"")</f>
        <v>Videoserver</v>
      </c>
      <c r="J70" s="59" t="str">
        <f>IFERROR(VLOOKUP(Tabelle32[[#This Row],[Device ID]],BOM!$B$3:$BQ$35,13,FALSE),"")</f>
        <v>TC.U1.223 | MDC</v>
      </c>
      <c r="K70" s="59" t="str">
        <f>IFERROR(VLOOKUP(Tabelle32[[#This Row],[Device ID]],BOM!$B$3:$BQ$35,14,FALSE),"")</f>
        <v>Imagine Comunications</v>
      </c>
      <c r="L70" s="59" t="str">
        <f>IFERROR(VLOOKUP(Tabelle32[[#This Row],[Device ID]],BOM!$B$3:$BQ$35,16,FALSE),"")</f>
        <v>MPA 421 HD2</v>
      </c>
      <c r="M70" s="63" t="str">
        <f>IFERROR(VLOOKUP(Tabelle32[[#This Row],[Device ID]],BOM!$B$3:$BQ$35,17,FALSE),"")</f>
        <v>MPA 421</v>
      </c>
      <c r="N70" s="59" t="str">
        <f>IFERROR(VLOOKUP(Tabelle32[[#This Row],[Device ID]],BOM!$B$3:$BQ$35,18,FALSE),"")</f>
        <v>TC.02.296 | MPA421</v>
      </c>
      <c r="O70" s="64"/>
      <c r="P70" s="64">
        <f>IFERROR(VLOOKUP(Tabelle32[[#This Row],[Device ID]],BOM!$B$3:$BO$50,20,FALSE),"")</f>
        <v>0</v>
      </c>
      <c r="Q70" s="64">
        <f>IFERROR(VLOOKUP(Tabelle32[[#This Row],[Device ID]],BOM!$B$3:$BO$50,21,FALSE),"")</f>
        <v>1</v>
      </c>
      <c r="R70" s="64">
        <f>IFERROR(VLOOKUP(Tabelle32[[#This Row],[Device ID]],BOM!$B$3:$BO$50,22,FALSE),"")</f>
        <v>0</v>
      </c>
      <c r="S70" s="64"/>
      <c r="T70" s="64"/>
      <c r="U70" s="59" t="str">
        <f>IFERROR(VLOOKUP(Tabelle32[[#This Row],[Device ID]],BOM!$B$3:$BQ$35,25,FALSE),"")</f>
        <v>Luis/Ivo</v>
      </c>
      <c r="V70" s="59" t="str">
        <f>IFERROR(VLOOKUP(Tabelle32[[#This Row],[Device ID]],BOM!$B$3:$BQ$35,26,FALSE),"")</f>
        <v>tpco-megw-vgw103.rta.st-net.media.int</v>
      </c>
      <c r="W70" s="59" t="str">
        <f>IFERROR(VLOOKUP(Tabelle32[[#This Row],[Device ID]],BOM!$B$3:$BQ$35,27,FALSE),"")</f>
        <v>10.120.236.50</v>
      </c>
      <c r="X70" s="59" t="str">
        <f>IFERROR(VLOOKUP(Tabelle32[[#This Row],[Device ID]],BOM!$B$3:$BQ$35,28,FALSE),"")</f>
        <v>AVCoreA</v>
      </c>
      <c r="Y70" s="59" t="str">
        <f>IFERROR(VLOOKUP(Tabelle32[[#This Row],[Device ID]],BOM!$B$3:$BQ$35,29,FALSE),"")</f>
        <v>5_36_1</v>
      </c>
      <c r="Z70" s="59" t="str">
        <f>IFERROR(VLOOKUP(Tabelle32[[#This Row],[Device ID]],BOM!$B$3:$BQ$35,30,FALSE),"")</f>
        <v>tpco-megw-vgw103.rtb.st-net.media.int</v>
      </c>
      <c r="AA70" s="59" t="str">
        <f>IFERROR(VLOOKUP(Tabelle32[[#This Row],[Device ID]],BOM!$B$3:$BQ$35,31,FALSE),"")</f>
        <v>10.120.236.54</v>
      </c>
      <c r="AB70" s="59" t="str">
        <f>IFERROR(VLOOKUP(Tabelle32[[#This Row],[Device ID]],BOM!$B$3:$BQ$35,32,FALSE),"")</f>
        <v>AVCoreB</v>
      </c>
      <c r="AC70" s="59" t="str">
        <f>IFERROR(VLOOKUP(Tabelle32[[#This Row],[Device ID]],BOM!$B$3:$BQ$35,33,FALSE),"")</f>
        <v>5_36_1</v>
      </c>
      <c r="AD70" s="59" t="str">
        <f>IFERROR(VLOOKUP(Tabelle32[[#This Row],[Device ID]],BOM!$B$3:$BQ$35,34,FALSE),"")</f>
        <v>tpco-megw-vgw103.st-net.media.int</v>
      </c>
      <c r="AE70" s="59" t="str">
        <f>IFERROR(VLOOKUP(Tabelle32[[#This Row],[Device ID]],BOM!$B$3:$BQ$35,35,FALSE),"")</f>
        <v>10.120.67.141</v>
      </c>
      <c r="AF70" s="59">
        <f>IFERROR(VLOOKUP(Tabelle32[[#This Row],[Device ID]],BOM!$B$3:$BQ$35,36,FALSE),"")</f>
        <v>0</v>
      </c>
      <c r="AG70" s="59">
        <f>IFERROR(VLOOKUP(Tabelle32[[#This Row],[Device ID]],BOM!$B$3:$BQ$35,37,FALSE),"")</f>
        <v>0</v>
      </c>
      <c r="AH70" s="59"/>
      <c r="AI70" s="59"/>
      <c r="AJ70" s="59"/>
      <c r="AK70" s="59"/>
      <c r="AL70" s="59" t="str">
        <f>IFERROR(VLOOKUP(Tabelle32[[#This Row],[Device ID]],BOM!$B$3:$BQ$35,42,FALSE),"")</f>
        <v>Imagine Communications SNP</v>
      </c>
      <c r="AM70" s="59" t="str">
        <f>IFERROR(VLOOKUP(Tabelle32[[#This Row],[Device ID]],BOM!$B$3:$BQ$35,43,FALSE),"")</f>
        <v>no</v>
      </c>
      <c r="AN70" s="59" t="str">
        <f>IFERROR(VLOOKUP(Tabelle32[[#This Row],[Device ID]],BOM!$B$3:$BQ$35,44,FALSE),"")</f>
        <v>yes</v>
      </c>
      <c r="AO70" s="59" t="str">
        <f>IFERROR(VLOOKUP(Tabelle32[[#This Row],[Device ID]],BOM!$B$3:$BQ$35,45,FALSE),"")</f>
        <v>no</v>
      </c>
      <c r="AP70" s="59" t="str">
        <f>IFERROR(CONCATENATE(Tabelle32[[#This Row],[Family
GFX-Unit]]," | ",Tabelle32[[#This Row],[Label 1
GFX-Unit]]," | ",Tabelle32[[#This Row],[Attached Device if Gateway]]),"")</f>
        <v>PLAYOUT MPA421 | HD2-001 | MPA 421 HD2</v>
      </c>
      <c r="AQ70" s="59"/>
      <c r="AR70" s="90"/>
      <c r="AS70" s="90"/>
      <c r="AT70" s="90"/>
      <c r="AU70" s="90"/>
      <c r="AV70" s="90"/>
      <c r="AW70" s="90"/>
      <c r="AX70" s="90"/>
      <c r="AY70" s="90"/>
      <c r="AZ70" s="90" t="s">
        <v>97</v>
      </c>
      <c r="BA70" s="90"/>
      <c r="BB70" s="90"/>
      <c r="BC70" s="90"/>
      <c r="BD70" s="90"/>
      <c r="BE70" s="90"/>
      <c r="BF70" s="90"/>
      <c r="BG70" s="90"/>
      <c r="BH70" s="73" t="s">
        <v>199</v>
      </c>
      <c r="BI70" s="30" t="str">
        <f>IF(COUNTA(Tabelle32[[#This Row],[Type:Vid_1080i50]:[Type:Anc_Prot]])&gt;0,"x","")</f>
        <v>x</v>
      </c>
      <c r="BJ70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70" s="59"/>
      <c r="BL70" s="59"/>
      <c r="BM70" s="63"/>
      <c r="BN70" s="63"/>
      <c r="BO70" s="97" t="s">
        <v>307</v>
      </c>
      <c r="BP70" s="97" t="s">
        <v>340</v>
      </c>
      <c r="BQ70" s="63">
        <f>LEN(Tabelle32[[#This Row],[Label 1
GFX-Unit]])</f>
        <v>7</v>
      </c>
      <c r="BR70" s="63"/>
      <c r="BS70" s="63"/>
      <c r="BT70" s="59"/>
      <c r="BU70" s="59"/>
      <c r="BV70" s="59" t="s">
        <v>214</v>
      </c>
      <c r="BW70" s="59" t="s">
        <v>215</v>
      </c>
      <c r="BX70" s="59" t="s">
        <v>345</v>
      </c>
      <c r="BY70" s="59">
        <v>4</v>
      </c>
    </row>
    <row r="71" spans="1:77" x14ac:dyDescent="0.2">
      <c r="A71" s="58" t="str">
        <f>CONCATENATE(Tabelle32[[#This Row],[Device ID]],".",Tabelle32[[#This Row],[Streamcounter]])</f>
        <v>381.04202</v>
      </c>
      <c r="B7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VGW-103_SDI04_AUDsend_0002</v>
      </c>
      <c r="C71" s="67"/>
      <c r="D71" s="61"/>
      <c r="E71" s="67"/>
      <c r="F71" s="59" t="str">
        <f>IFERROR(VLOOKUP(Tabelle32[[#This Row],[Device ID]],BOM!$B$3:$BQ$35,16,FALSE),"")</f>
        <v>MPA 421 HD2</v>
      </c>
      <c r="G71" s="63">
        <f>VLOOKUP(Tabelle32[[#This Row],[SDI Interface]],BOM!$A$4:$B$35,2,FALSE)</f>
        <v>381</v>
      </c>
      <c r="H71" s="59" t="str">
        <f>BOM!$C$4</f>
        <v>VGW-103</v>
      </c>
      <c r="I71" s="59" t="str">
        <f>IFERROR(VLOOKUP(Tabelle32[[#This Row],[Device ID]],BOM!$B$3:$BQ$35,12,FALSE),"")</f>
        <v>Videoserver</v>
      </c>
      <c r="J71" s="59" t="str">
        <f>IFERROR(VLOOKUP(Tabelle32[[#This Row],[Device ID]],BOM!$B$3:$BQ$35,13,FALSE),"")</f>
        <v>TC.U1.223 | MDC</v>
      </c>
      <c r="K71" s="59" t="str">
        <f>IFERROR(VLOOKUP(Tabelle32[[#This Row],[Device ID]],BOM!$B$3:$BQ$35,14,FALSE),"")</f>
        <v>Imagine Comunications</v>
      </c>
      <c r="L71" s="59" t="str">
        <f>IFERROR(VLOOKUP(Tabelle32[[#This Row],[Device ID]],BOM!$B$3:$BQ$35,16,FALSE),"")</f>
        <v>MPA 421 HD2</v>
      </c>
      <c r="M71" s="63" t="str">
        <f>IFERROR(VLOOKUP(Tabelle32[[#This Row],[Device ID]],BOM!$B$3:$BQ$35,17,FALSE),"")</f>
        <v>MPA 421</v>
      </c>
      <c r="N71" s="59" t="str">
        <f>IFERROR(VLOOKUP(Tabelle32[[#This Row],[Device ID]],BOM!$B$3:$BQ$35,18,FALSE),"")</f>
        <v>TC.02.296 | MPA421</v>
      </c>
      <c r="O71" s="64"/>
      <c r="P71" s="64">
        <f>IFERROR(VLOOKUP(Tabelle32[[#This Row],[Device ID]],BOM!$B$3:$BO$50,20,FALSE),"")</f>
        <v>0</v>
      </c>
      <c r="Q71" s="64">
        <f>IFERROR(VLOOKUP(Tabelle32[[#This Row],[Device ID]],BOM!$B$3:$BO$50,21,FALSE),"")</f>
        <v>1</v>
      </c>
      <c r="R71" s="64">
        <f>IFERROR(VLOOKUP(Tabelle32[[#This Row],[Device ID]],BOM!$B$3:$BO$50,22,FALSE),"")</f>
        <v>0</v>
      </c>
      <c r="S71" s="64"/>
      <c r="T71" s="64"/>
      <c r="U71" s="59" t="str">
        <f>IFERROR(VLOOKUP(Tabelle32[[#This Row],[Device ID]],BOM!$B$3:$BQ$35,25,FALSE),"")</f>
        <v>Luis/Ivo</v>
      </c>
      <c r="V71" s="59" t="str">
        <f>IFERROR(VLOOKUP(Tabelle32[[#This Row],[Device ID]],BOM!$B$3:$BQ$35,26,FALSE),"")</f>
        <v>tpco-megw-vgw103.rta.st-net.media.int</v>
      </c>
      <c r="W71" s="59" t="str">
        <f>IFERROR(VLOOKUP(Tabelle32[[#This Row],[Device ID]],BOM!$B$3:$BQ$35,27,FALSE),"")</f>
        <v>10.120.236.50</v>
      </c>
      <c r="X71" s="59" t="str">
        <f>IFERROR(VLOOKUP(Tabelle32[[#This Row],[Device ID]],BOM!$B$3:$BQ$35,28,FALSE),"")</f>
        <v>AVCoreA</v>
      </c>
      <c r="Y71" s="59" t="str">
        <f>IFERROR(VLOOKUP(Tabelle32[[#This Row],[Device ID]],BOM!$B$3:$BQ$35,29,FALSE),"")</f>
        <v>5_36_1</v>
      </c>
      <c r="Z71" s="59" t="str">
        <f>IFERROR(VLOOKUP(Tabelle32[[#This Row],[Device ID]],BOM!$B$3:$BQ$35,30,FALSE),"")</f>
        <v>tpco-megw-vgw103.rtb.st-net.media.int</v>
      </c>
      <c r="AA71" s="59" t="str">
        <f>IFERROR(VLOOKUP(Tabelle32[[#This Row],[Device ID]],BOM!$B$3:$BQ$35,31,FALSE),"")</f>
        <v>10.120.236.54</v>
      </c>
      <c r="AB71" s="59" t="str">
        <f>IFERROR(VLOOKUP(Tabelle32[[#This Row],[Device ID]],BOM!$B$3:$BQ$35,32,FALSE),"")</f>
        <v>AVCoreB</v>
      </c>
      <c r="AC71" s="59" t="str">
        <f>IFERROR(VLOOKUP(Tabelle32[[#This Row],[Device ID]],BOM!$B$3:$BQ$35,33,FALSE),"")</f>
        <v>5_36_1</v>
      </c>
      <c r="AD71" s="59" t="str">
        <f>IFERROR(VLOOKUP(Tabelle32[[#This Row],[Device ID]],BOM!$B$3:$BQ$35,34,FALSE),"")</f>
        <v>tpco-megw-vgw103.st-net.media.int</v>
      </c>
      <c r="AE71" s="59" t="str">
        <f>IFERROR(VLOOKUP(Tabelle32[[#This Row],[Device ID]],BOM!$B$3:$BQ$35,35,FALSE),"")</f>
        <v>10.120.67.141</v>
      </c>
      <c r="AF71" s="59">
        <f>IFERROR(VLOOKUP(Tabelle32[[#This Row],[Device ID]],BOM!$B$3:$BQ$35,36,FALSE),"")</f>
        <v>0</v>
      </c>
      <c r="AG71" s="59">
        <f>IFERROR(VLOOKUP(Tabelle32[[#This Row],[Device ID]],BOM!$B$3:$BQ$35,37,FALSE),"")</f>
        <v>0</v>
      </c>
      <c r="AH71" s="59"/>
      <c r="AI71" s="59"/>
      <c r="AJ71" s="59"/>
      <c r="AK71" s="59"/>
      <c r="AL71" s="59" t="str">
        <f>IFERROR(VLOOKUP(Tabelle32[[#This Row],[Device ID]],BOM!$B$3:$BQ$35,42,FALSE),"")</f>
        <v>Imagine Communications SNP</v>
      </c>
      <c r="AM71" s="59" t="str">
        <f>IFERROR(VLOOKUP(Tabelle32[[#This Row],[Device ID]],BOM!$B$3:$BQ$35,43,FALSE),"")</f>
        <v>no</v>
      </c>
      <c r="AN71" s="59" t="str">
        <f>IFERROR(VLOOKUP(Tabelle32[[#This Row],[Device ID]],BOM!$B$3:$BQ$35,44,FALSE),"")</f>
        <v>yes</v>
      </c>
      <c r="AO71" s="59" t="str">
        <f>IFERROR(VLOOKUP(Tabelle32[[#This Row],[Device ID]],BOM!$B$3:$BQ$35,45,FALSE),"")</f>
        <v>no</v>
      </c>
      <c r="AP71" s="59" t="str">
        <f>IFERROR(CONCATENATE(Tabelle32[[#This Row],[Family
GFX-Unit]]," | ",Tabelle32[[#This Row],[Label 1
GFX-Unit]]," | ",Tabelle32[[#This Row],[Attached Device if Gateway]]),"")</f>
        <v>PLAYOUT MPA421 | HD2-002 | MPA 421 HD2</v>
      </c>
      <c r="AQ71" s="59"/>
      <c r="AR71" s="90"/>
      <c r="AS71" s="90"/>
      <c r="AT71" s="90"/>
      <c r="AU71" s="90"/>
      <c r="AV71" s="90"/>
      <c r="AW71" s="90" t="s">
        <v>97</v>
      </c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73" t="s">
        <v>199</v>
      </c>
      <c r="BI71" s="30" t="str">
        <f>IF(COUNTA(Tabelle32[[#This Row],[Type:Vid_1080i50]:[Type:Anc_Prot]])&gt;0,"x","")</f>
        <v>x</v>
      </c>
      <c r="BJ71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71" s="59"/>
      <c r="BL71" s="59"/>
      <c r="BM71" s="63"/>
      <c r="BN71" s="63"/>
      <c r="BO71" s="97" t="s">
        <v>307</v>
      </c>
      <c r="BP71" s="97" t="s">
        <v>346</v>
      </c>
      <c r="BQ71" s="63">
        <f>LEN(Tabelle32[[#This Row],[Label 1
GFX-Unit]])</f>
        <v>7</v>
      </c>
      <c r="BR71" s="63"/>
      <c r="BS71" s="63"/>
      <c r="BT71" s="59"/>
      <c r="BU71" s="59"/>
      <c r="BV71" s="59" t="s">
        <v>218</v>
      </c>
      <c r="BW71" s="59" t="s">
        <v>219</v>
      </c>
      <c r="BX71" s="59" t="s">
        <v>347</v>
      </c>
      <c r="BY71" s="59">
        <v>4</v>
      </c>
    </row>
    <row r="72" spans="1:77" x14ac:dyDescent="0.2">
      <c r="A72" s="58" t="str">
        <f>CONCATENATE(Tabelle32[[#This Row],[Device ID]],".",Tabelle32[[#This Row],[Streamcounter]])</f>
        <v>381.04203</v>
      </c>
      <c r="B7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VGW-103_SDI04_AUDsend_0003</v>
      </c>
      <c r="C72" s="67"/>
      <c r="D72" s="61"/>
      <c r="E72" s="67"/>
      <c r="F72" s="59" t="str">
        <f>IFERROR(VLOOKUP(Tabelle32[[#This Row],[Device ID]],BOM!$B$3:$BQ$35,16,FALSE),"")</f>
        <v>MPA 421 HD2</v>
      </c>
      <c r="G72" s="63">
        <f>VLOOKUP(Tabelle32[[#This Row],[SDI Interface]],BOM!$A$4:$B$35,2,FALSE)</f>
        <v>381</v>
      </c>
      <c r="H72" s="59" t="str">
        <f>BOM!$C$4</f>
        <v>VGW-103</v>
      </c>
      <c r="I72" s="59" t="str">
        <f>IFERROR(VLOOKUP(Tabelle32[[#This Row],[Device ID]],BOM!$B$3:$BQ$35,12,FALSE),"")</f>
        <v>Videoserver</v>
      </c>
      <c r="J72" s="59" t="str">
        <f>IFERROR(VLOOKUP(Tabelle32[[#This Row],[Device ID]],BOM!$B$3:$BQ$35,13,FALSE),"")</f>
        <v>TC.U1.223 | MDC</v>
      </c>
      <c r="K72" s="59" t="str">
        <f>IFERROR(VLOOKUP(Tabelle32[[#This Row],[Device ID]],BOM!$B$3:$BQ$35,14,FALSE),"")</f>
        <v>Imagine Comunications</v>
      </c>
      <c r="L72" s="59" t="str">
        <f>IFERROR(VLOOKUP(Tabelle32[[#This Row],[Device ID]],BOM!$B$3:$BQ$35,16,FALSE),"")</f>
        <v>MPA 421 HD2</v>
      </c>
      <c r="M72" s="63" t="str">
        <f>IFERROR(VLOOKUP(Tabelle32[[#This Row],[Device ID]],BOM!$B$3:$BQ$35,17,FALSE),"")</f>
        <v>MPA 421</v>
      </c>
      <c r="N72" s="59" t="str">
        <f>IFERROR(VLOOKUP(Tabelle32[[#This Row],[Device ID]],BOM!$B$3:$BQ$35,18,FALSE),"")</f>
        <v>TC.02.296 | MPA421</v>
      </c>
      <c r="O72" s="64"/>
      <c r="P72" s="64">
        <f>IFERROR(VLOOKUP(Tabelle32[[#This Row],[Device ID]],BOM!$B$3:$BO$50,20,FALSE),"")</f>
        <v>0</v>
      </c>
      <c r="Q72" s="64">
        <f>IFERROR(VLOOKUP(Tabelle32[[#This Row],[Device ID]],BOM!$B$3:$BO$50,21,FALSE),"")</f>
        <v>1</v>
      </c>
      <c r="R72" s="64">
        <f>IFERROR(VLOOKUP(Tabelle32[[#This Row],[Device ID]],BOM!$B$3:$BO$50,22,FALSE),"")</f>
        <v>0</v>
      </c>
      <c r="S72" s="64"/>
      <c r="T72" s="64"/>
      <c r="U72" s="59" t="str">
        <f>IFERROR(VLOOKUP(Tabelle32[[#This Row],[Device ID]],BOM!$B$3:$BQ$35,25,FALSE),"")</f>
        <v>Luis/Ivo</v>
      </c>
      <c r="V72" s="59" t="str">
        <f>IFERROR(VLOOKUP(Tabelle32[[#This Row],[Device ID]],BOM!$B$3:$BQ$35,26,FALSE),"")</f>
        <v>tpco-megw-vgw103.rta.st-net.media.int</v>
      </c>
      <c r="W72" s="59" t="str">
        <f>IFERROR(VLOOKUP(Tabelle32[[#This Row],[Device ID]],BOM!$B$3:$BQ$35,27,FALSE),"")</f>
        <v>10.120.236.50</v>
      </c>
      <c r="X72" s="59" t="str">
        <f>IFERROR(VLOOKUP(Tabelle32[[#This Row],[Device ID]],BOM!$B$3:$BQ$35,28,FALSE),"")</f>
        <v>AVCoreA</v>
      </c>
      <c r="Y72" s="59" t="str">
        <f>IFERROR(VLOOKUP(Tabelle32[[#This Row],[Device ID]],BOM!$B$3:$BQ$35,29,FALSE),"")</f>
        <v>5_36_1</v>
      </c>
      <c r="Z72" s="59" t="str">
        <f>IFERROR(VLOOKUP(Tabelle32[[#This Row],[Device ID]],BOM!$B$3:$BQ$35,30,FALSE),"")</f>
        <v>tpco-megw-vgw103.rtb.st-net.media.int</v>
      </c>
      <c r="AA72" s="59" t="str">
        <f>IFERROR(VLOOKUP(Tabelle32[[#This Row],[Device ID]],BOM!$B$3:$BQ$35,31,FALSE),"")</f>
        <v>10.120.236.54</v>
      </c>
      <c r="AB72" s="59" t="str">
        <f>IFERROR(VLOOKUP(Tabelle32[[#This Row],[Device ID]],BOM!$B$3:$BQ$35,32,FALSE),"")</f>
        <v>AVCoreB</v>
      </c>
      <c r="AC72" s="59" t="str">
        <f>IFERROR(VLOOKUP(Tabelle32[[#This Row],[Device ID]],BOM!$B$3:$BQ$35,33,FALSE),"")</f>
        <v>5_36_1</v>
      </c>
      <c r="AD72" s="59" t="str">
        <f>IFERROR(VLOOKUP(Tabelle32[[#This Row],[Device ID]],BOM!$B$3:$BQ$35,34,FALSE),"")</f>
        <v>tpco-megw-vgw103.st-net.media.int</v>
      </c>
      <c r="AE72" s="59" t="str">
        <f>IFERROR(VLOOKUP(Tabelle32[[#This Row],[Device ID]],BOM!$B$3:$BQ$35,35,FALSE),"")</f>
        <v>10.120.67.141</v>
      </c>
      <c r="AF72" s="59">
        <f>IFERROR(VLOOKUP(Tabelle32[[#This Row],[Device ID]],BOM!$B$3:$BQ$35,36,FALSE),"")</f>
        <v>0</v>
      </c>
      <c r="AG72" s="59">
        <f>IFERROR(VLOOKUP(Tabelle32[[#This Row],[Device ID]],BOM!$B$3:$BQ$35,37,FALSE),"")</f>
        <v>0</v>
      </c>
      <c r="AH72" s="59"/>
      <c r="AI72" s="59"/>
      <c r="AJ72" s="59"/>
      <c r="AK72" s="59"/>
      <c r="AL72" s="59" t="str">
        <f>IFERROR(VLOOKUP(Tabelle32[[#This Row],[Device ID]],BOM!$B$3:$BQ$35,42,FALSE),"")</f>
        <v>Imagine Communications SNP</v>
      </c>
      <c r="AM72" s="59" t="str">
        <f>IFERROR(VLOOKUP(Tabelle32[[#This Row],[Device ID]],BOM!$B$3:$BQ$35,43,FALSE),"")</f>
        <v>no</v>
      </c>
      <c r="AN72" s="59" t="str">
        <f>IFERROR(VLOOKUP(Tabelle32[[#This Row],[Device ID]],BOM!$B$3:$BQ$35,44,FALSE),"")</f>
        <v>yes</v>
      </c>
      <c r="AO72" s="59" t="str">
        <f>IFERROR(VLOOKUP(Tabelle32[[#This Row],[Device ID]],BOM!$B$3:$BQ$35,45,FALSE),"")</f>
        <v>no</v>
      </c>
      <c r="AP72" s="59" t="str">
        <f>IFERROR(CONCATENATE(Tabelle32[[#This Row],[Family
GFX-Unit]]," | ",Tabelle32[[#This Row],[Label 1
GFX-Unit]]," | ",Tabelle32[[#This Row],[Attached Device if Gateway]]),"")</f>
        <v>PLAYOUT MPA421 | HD2-003 | MPA 421 HD2</v>
      </c>
      <c r="AQ72" s="59"/>
      <c r="AR72" s="90"/>
      <c r="AS72" s="90"/>
      <c r="AT72" s="90"/>
      <c r="AU72" s="90"/>
      <c r="AV72" s="90"/>
      <c r="AW72" s="90" t="s">
        <v>97</v>
      </c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73" t="s">
        <v>199</v>
      </c>
      <c r="BI72" s="30" t="str">
        <f>IF(COUNTA(Tabelle32[[#This Row],[Type:Vid_1080i50]:[Type:Anc_Prot]])&gt;0,"x","")</f>
        <v>x</v>
      </c>
      <c r="BJ72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72" s="59"/>
      <c r="BL72" s="59"/>
      <c r="BM72" s="63"/>
      <c r="BN72" s="63"/>
      <c r="BO72" s="97" t="s">
        <v>307</v>
      </c>
      <c r="BP72" s="97" t="s">
        <v>348</v>
      </c>
      <c r="BQ72" s="63">
        <f>LEN(Tabelle32[[#This Row],[Label 1
GFX-Unit]])</f>
        <v>7</v>
      </c>
      <c r="BR72" s="63"/>
      <c r="BS72" s="63"/>
      <c r="BT72" s="59"/>
      <c r="BU72" s="59"/>
      <c r="BV72" s="59" t="s">
        <v>222</v>
      </c>
      <c r="BW72" s="59" t="s">
        <v>223</v>
      </c>
      <c r="BX72" s="59" t="s">
        <v>349</v>
      </c>
      <c r="BY72" s="59">
        <v>4</v>
      </c>
    </row>
    <row r="73" spans="1:77" x14ac:dyDescent="0.2">
      <c r="A73" s="58" t="str">
        <f>CONCATENATE(Tabelle32[[#This Row],[Device ID]],".",Tabelle32[[#This Row],[Streamcounter]])</f>
        <v>381.04204</v>
      </c>
      <c r="B7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VGW-103_SDI04_AUDsend_0004</v>
      </c>
      <c r="C73" s="60"/>
      <c r="D73" s="61"/>
      <c r="E73" s="62"/>
      <c r="F73" s="59" t="str">
        <f>IFERROR(VLOOKUP(Tabelle32[[#This Row],[Device ID]],BOM!$B$3:$BQ$35,16,FALSE),"")</f>
        <v>MPA 421 HD2</v>
      </c>
      <c r="G73" s="63">
        <f>VLOOKUP(Tabelle32[[#This Row],[SDI Interface]],BOM!$A$4:$B$35,2,FALSE)</f>
        <v>381</v>
      </c>
      <c r="H73" s="59" t="str">
        <f>BOM!$C$4</f>
        <v>VGW-103</v>
      </c>
      <c r="I73" s="59" t="str">
        <f>IFERROR(VLOOKUP(Tabelle32[[#This Row],[Device ID]],BOM!$B$3:$BQ$35,12,FALSE),"")</f>
        <v>Videoserver</v>
      </c>
      <c r="J73" s="59" t="str">
        <f>IFERROR(VLOOKUP(Tabelle32[[#This Row],[Device ID]],BOM!$B$3:$BQ$35,13,FALSE),"")</f>
        <v>TC.U1.223 | MDC</v>
      </c>
      <c r="K73" s="59" t="str">
        <f>IFERROR(VLOOKUP(Tabelle32[[#This Row],[Device ID]],BOM!$B$3:$BQ$35,14,FALSE),"")</f>
        <v>Imagine Comunications</v>
      </c>
      <c r="L73" s="59" t="str">
        <f>IFERROR(VLOOKUP(Tabelle32[[#This Row],[Device ID]],BOM!$B$3:$BQ$35,16,FALSE),"")</f>
        <v>MPA 421 HD2</v>
      </c>
      <c r="M73" s="63" t="str">
        <f>IFERROR(VLOOKUP(Tabelle32[[#This Row],[Device ID]],BOM!$B$3:$BQ$35,17,FALSE),"")</f>
        <v>MPA 421</v>
      </c>
      <c r="N73" s="59" t="str">
        <f>IFERROR(VLOOKUP(Tabelle32[[#This Row],[Device ID]],BOM!$B$3:$BQ$35,18,FALSE),"")</f>
        <v>TC.02.296 | MPA421</v>
      </c>
      <c r="O73" s="64"/>
      <c r="P73" s="64">
        <f>IFERROR(VLOOKUP(Tabelle32[[#This Row],[Device ID]],BOM!$B$3:$BO$50,20,FALSE),"")</f>
        <v>0</v>
      </c>
      <c r="Q73" s="64">
        <f>IFERROR(VLOOKUP(Tabelle32[[#This Row],[Device ID]],BOM!$B$3:$BO$50,21,FALSE),"")</f>
        <v>1</v>
      </c>
      <c r="R73" s="64">
        <f>IFERROR(VLOOKUP(Tabelle32[[#This Row],[Device ID]],BOM!$B$3:$BO$50,22,FALSE),"")</f>
        <v>0</v>
      </c>
      <c r="S73" s="64"/>
      <c r="T73" s="64"/>
      <c r="U73" s="59" t="str">
        <f>IFERROR(VLOOKUP(Tabelle32[[#This Row],[Device ID]],BOM!$B$3:$BQ$35,25,FALSE),"")</f>
        <v>Luis/Ivo</v>
      </c>
      <c r="V73" s="59" t="str">
        <f>IFERROR(VLOOKUP(Tabelle32[[#This Row],[Device ID]],BOM!$B$3:$BQ$35,26,FALSE),"")</f>
        <v>tpco-megw-vgw103.rta.st-net.media.int</v>
      </c>
      <c r="W73" s="59" t="str">
        <f>IFERROR(VLOOKUP(Tabelle32[[#This Row],[Device ID]],BOM!$B$3:$BQ$35,27,FALSE),"")</f>
        <v>10.120.236.50</v>
      </c>
      <c r="X73" s="59" t="str">
        <f>IFERROR(VLOOKUP(Tabelle32[[#This Row],[Device ID]],BOM!$B$3:$BQ$35,28,FALSE),"")</f>
        <v>AVCoreA</v>
      </c>
      <c r="Y73" s="59" t="str">
        <f>IFERROR(VLOOKUP(Tabelle32[[#This Row],[Device ID]],BOM!$B$3:$BQ$35,29,FALSE),"")</f>
        <v>5_36_1</v>
      </c>
      <c r="Z73" s="59" t="str">
        <f>IFERROR(VLOOKUP(Tabelle32[[#This Row],[Device ID]],BOM!$B$3:$BQ$35,30,FALSE),"")</f>
        <v>tpco-megw-vgw103.rtb.st-net.media.int</v>
      </c>
      <c r="AA73" s="59" t="str">
        <f>IFERROR(VLOOKUP(Tabelle32[[#This Row],[Device ID]],BOM!$B$3:$BQ$35,31,FALSE),"")</f>
        <v>10.120.236.54</v>
      </c>
      <c r="AB73" s="59" t="str">
        <f>IFERROR(VLOOKUP(Tabelle32[[#This Row],[Device ID]],BOM!$B$3:$BQ$35,32,FALSE),"")</f>
        <v>AVCoreB</v>
      </c>
      <c r="AC73" s="59" t="str">
        <f>IFERROR(VLOOKUP(Tabelle32[[#This Row],[Device ID]],BOM!$B$3:$BQ$35,33,FALSE),"")</f>
        <v>5_36_1</v>
      </c>
      <c r="AD73" s="59" t="str">
        <f>IFERROR(VLOOKUP(Tabelle32[[#This Row],[Device ID]],BOM!$B$3:$BQ$35,34,FALSE),"")</f>
        <v>tpco-megw-vgw103.st-net.media.int</v>
      </c>
      <c r="AE73" s="59" t="str">
        <f>IFERROR(VLOOKUP(Tabelle32[[#This Row],[Device ID]],BOM!$B$3:$BQ$35,35,FALSE),"")</f>
        <v>10.120.67.141</v>
      </c>
      <c r="AF73" s="59">
        <f>IFERROR(VLOOKUP(Tabelle32[[#This Row],[Device ID]],BOM!$B$3:$BQ$35,36,FALSE),"")</f>
        <v>0</v>
      </c>
      <c r="AG73" s="59">
        <f>IFERROR(VLOOKUP(Tabelle32[[#This Row],[Device ID]],BOM!$B$3:$BQ$35,37,FALSE),"")</f>
        <v>0</v>
      </c>
      <c r="AH73" s="59"/>
      <c r="AI73" s="59"/>
      <c r="AJ73" s="59"/>
      <c r="AK73" s="59"/>
      <c r="AL73" s="59" t="str">
        <f>IFERROR(VLOOKUP(Tabelle32[[#This Row],[Device ID]],BOM!$B$3:$BQ$35,42,FALSE),"")</f>
        <v>Imagine Communications SNP</v>
      </c>
      <c r="AM73" s="59" t="str">
        <f>IFERROR(VLOOKUP(Tabelle32[[#This Row],[Device ID]],BOM!$B$3:$BQ$35,43,FALSE),"")</f>
        <v>no</v>
      </c>
      <c r="AN73" s="59" t="str">
        <f>IFERROR(VLOOKUP(Tabelle32[[#This Row],[Device ID]],BOM!$B$3:$BQ$35,44,FALSE),"")</f>
        <v>yes</v>
      </c>
      <c r="AO73" s="59" t="str">
        <f>IFERROR(VLOOKUP(Tabelle32[[#This Row],[Device ID]],BOM!$B$3:$BQ$35,45,FALSE),"")</f>
        <v>no</v>
      </c>
      <c r="AP73" s="59" t="str">
        <f>IFERROR(CONCATENATE(Tabelle32[[#This Row],[Family
GFX-Unit]]," | ",Tabelle32[[#This Row],[Label 1
GFX-Unit]]," | ",Tabelle32[[#This Row],[Attached Device if Gateway]]),"")</f>
        <v>PLAYOUT MPA421 | HD2-004 | MPA 421 HD2</v>
      </c>
      <c r="AQ73" s="59"/>
      <c r="AR73" s="90"/>
      <c r="AS73" s="90"/>
      <c r="AT73" s="90"/>
      <c r="AU73" s="90"/>
      <c r="AV73" s="90"/>
      <c r="AW73" s="90"/>
      <c r="AX73" s="90"/>
      <c r="AY73" s="90"/>
      <c r="AZ73" s="90" t="s">
        <v>97</v>
      </c>
      <c r="BA73" s="90"/>
      <c r="BB73" s="90"/>
      <c r="BC73" s="90"/>
      <c r="BD73" s="90"/>
      <c r="BE73" s="90"/>
      <c r="BF73" s="90"/>
      <c r="BG73" s="90"/>
      <c r="BH73" s="73" t="s">
        <v>199</v>
      </c>
      <c r="BI73" s="30" t="str">
        <f>IF(COUNTA(Tabelle32[[#This Row],[Type:Vid_1080i50]:[Type:Anc_Prot]])&gt;0,"x","")</f>
        <v>x</v>
      </c>
      <c r="BJ7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73" s="59"/>
      <c r="BL73" s="59"/>
      <c r="BM73" s="63"/>
      <c r="BN73" s="63"/>
      <c r="BO73" s="97" t="s">
        <v>307</v>
      </c>
      <c r="BP73" s="97" t="s">
        <v>350</v>
      </c>
      <c r="BQ73" s="63">
        <f>LEN(Tabelle32[[#This Row],[Label 1
GFX-Unit]])</f>
        <v>7</v>
      </c>
      <c r="BR73" s="63"/>
      <c r="BS73" s="63"/>
      <c r="BT73" s="59"/>
      <c r="BU73" s="59"/>
      <c r="BV73" s="59" t="s">
        <v>226</v>
      </c>
      <c r="BW73" s="59" t="s">
        <v>227</v>
      </c>
      <c r="BX73" s="59" t="s">
        <v>351</v>
      </c>
      <c r="BY73" s="59">
        <v>4</v>
      </c>
    </row>
    <row r="74" spans="1:77" x14ac:dyDescent="0.2">
      <c r="A74" s="58" t="str">
        <f>CONCATENATE(Tabelle32[[#This Row],[Device ID]],".",Tabelle32[[#This Row],[Streamcounter]])</f>
        <v>381.04205</v>
      </c>
      <c r="B7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VGW-103_SDI04_AUDsend_0005</v>
      </c>
      <c r="C74" s="60"/>
      <c r="D74" s="61"/>
      <c r="E74" s="62"/>
      <c r="F74" s="59" t="str">
        <f>IFERROR(VLOOKUP(Tabelle32[[#This Row],[Device ID]],BOM!$B$3:$BQ$35,16,FALSE),"")</f>
        <v>MPA 421 HD2</v>
      </c>
      <c r="G74" s="63">
        <f>VLOOKUP(Tabelle32[[#This Row],[SDI Interface]],BOM!$A$4:$B$35,2,FALSE)</f>
        <v>381</v>
      </c>
      <c r="H74" s="59" t="str">
        <f>BOM!$C$4</f>
        <v>VGW-103</v>
      </c>
      <c r="I74" s="59" t="str">
        <f>IFERROR(VLOOKUP(Tabelle32[[#This Row],[Device ID]],BOM!$B$3:$BQ$35,12,FALSE),"")</f>
        <v>Videoserver</v>
      </c>
      <c r="J74" s="59" t="str">
        <f>IFERROR(VLOOKUP(Tabelle32[[#This Row],[Device ID]],BOM!$B$3:$BQ$35,13,FALSE),"")</f>
        <v>TC.U1.223 | MDC</v>
      </c>
      <c r="K74" s="59" t="str">
        <f>IFERROR(VLOOKUP(Tabelle32[[#This Row],[Device ID]],BOM!$B$3:$BQ$35,14,FALSE),"")</f>
        <v>Imagine Comunications</v>
      </c>
      <c r="L74" s="59" t="str">
        <f>IFERROR(VLOOKUP(Tabelle32[[#This Row],[Device ID]],BOM!$B$3:$BQ$35,16,FALSE),"")</f>
        <v>MPA 421 HD2</v>
      </c>
      <c r="M74" s="63" t="str">
        <f>IFERROR(VLOOKUP(Tabelle32[[#This Row],[Device ID]],BOM!$B$3:$BQ$35,17,FALSE),"")</f>
        <v>MPA 421</v>
      </c>
      <c r="N74" s="59" t="str">
        <f>IFERROR(VLOOKUP(Tabelle32[[#This Row],[Device ID]],BOM!$B$3:$BQ$35,18,FALSE),"")</f>
        <v>TC.02.296 | MPA421</v>
      </c>
      <c r="O74" s="64"/>
      <c r="P74" s="64">
        <f>IFERROR(VLOOKUP(Tabelle32[[#This Row],[Device ID]],BOM!$B$3:$BO$50,20,FALSE),"")</f>
        <v>0</v>
      </c>
      <c r="Q74" s="64">
        <f>IFERROR(VLOOKUP(Tabelle32[[#This Row],[Device ID]],BOM!$B$3:$BO$50,21,FALSE),"")</f>
        <v>1</v>
      </c>
      <c r="R74" s="64">
        <f>IFERROR(VLOOKUP(Tabelle32[[#This Row],[Device ID]],BOM!$B$3:$BO$50,22,FALSE),"")</f>
        <v>0</v>
      </c>
      <c r="S74" s="64"/>
      <c r="T74" s="64"/>
      <c r="U74" s="59" t="str">
        <f>IFERROR(VLOOKUP(Tabelle32[[#This Row],[Device ID]],BOM!$B$3:$BQ$35,25,FALSE),"")</f>
        <v>Luis/Ivo</v>
      </c>
      <c r="V74" s="59" t="str">
        <f>IFERROR(VLOOKUP(Tabelle32[[#This Row],[Device ID]],BOM!$B$3:$BQ$35,26,FALSE),"")</f>
        <v>tpco-megw-vgw103.rta.st-net.media.int</v>
      </c>
      <c r="W74" s="59" t="str">
        <f>IFERROR(VLOOKUP(Tabelle32[[#This Row],[Device ID]],BOM!$B$3:$BQ$35,27,FALSE),"")</f>
        <v>10.120.236.50</v>
      </c>
      <c r="X74" s="59" t="str">
        <f>IFERROR(VLOOKUP(Tabelle32[[#This Row],[Device ID]],BOM!$B$3:$BQ$35,28,FALSE),"")</f>
        <v>AVCoreA</v>
      </c>
      <c r="Y74" s="59" t="str">
        <f>IFERROR(VLOOKUP(Tabelle32[[#This Row],[Device ID]],BOM!$B$3:$BQ$35,29,FALSE),"")</f>
        <v>5_36_1</v>
      </c>
      <c r="Z74" s="59" t="str">
        <f>IFERROR(VLOOKUP(Tabelle32[[#This Row],[Device ID]],BOM!$B$3:$BQ$35,30,FALSE),"")</f>
        <v>tpco-megw-vgw103.rtb.st-net.media.int</v>
      </c>
      <c r="AA74" s="59" t="str">
        <f>IFERROR(VLOOKUP(Tabelle32[[#This Row],[Device ID]],BOM!$B$3:$BQ$35,31,FALSE),"")</f>
        <v>10.120.236.54</v>
      </c>
      <c r="AB74" s="59" t="str">
        <f>IFERROR(VLOOKUP(Tabelle32[[#This Row],[Device ID]],BOM!$B$3:$BQ$35,32,FALSE),"")</f>
        <v>AVCoreB</v>
      </c>
      <c r="AC74" s="59" t="str">
        <f>IFERROR(VLOOKUP(Tabelle32[[#This Row],[Device ID]],BOM!$B$3:$BQ$35,33,FALSE),"")</f>
        <v>5_36_1</v>
      </c>
      <c r="AD74" s="59" t="str">
        <f>IFERROR(VLOOKUP(Tabelle32[[#This Row],[Device ID]],BOM!$B$3:$BQ$35,34,FALSE),"")</f>
        <v>tpco-megw-vgw103.st-net.media.int</v>
      </c>
      <c r="AE74" s="59" t="str">
        <f>IFERROR(VLOOKUP(Tabelle32[[#This Row],[Device ID]],BOM!$B$3:$BQ$35,35,FALSE),"")</f>
        <v>10.120.67.141</v>
      </c>
      <c r="AF74" s="59">
        <f>IFERROR(VLOOKUP(Tabelle32[[#This Row],[Device ID]],BOM!$B$3:$BQ$35,36,FALSE),"")</f>
        <v>0</v>
      </c>
      <c r="AG74" s="59">
        <f>IFERROR(VLOOKUP(Tabelle32[[#This Row],[Device ID]],BOM!$B$3:$BQ$35,37,FALSE),"")</f>
        <v>0</v>
      </c>
      <c r="AH74" s="59"/>
      <c r="AI74" s="59"/>
      <c r="AJ74" s="59"/>
      <c r="AK74" s="59"/>
      <c r="AL74" s="59" t="str">
        <f>IFERROR(VLOOKUP(Tabelle32[[#This Row],[Device ID]],BOM!$B$3:$BQ$35,42,FALSE),"")</f>
        <v>Imagine Communications SNP</v>
      </c>
      <c r="AM74" s="59" t="str">
        <f>IFERROR(VLOOKUP(Tabelle32[[#This Row],[Device ID]],BOM!$B$3:$BQ$35,43,FALSE),"")</f>
        <v>no</v>
      </c>
      <c r="AN74" s="59" t="str">
        <f>IFERROR(VLOOKUP(Tabelle32[[#This Row],[Device ID]],BOM!$B$3:$BQ$35,44,FALSE),"")</f>
        <v>yes</v>
      </c>
      <c r="AO74" s="59" t="str">
        <f>IFERROR(VLOOKUP(Tabelle32[[#This Row],[Device ID]],BOM!$B$3:$BQ$35,45,FALSE),"")</f>
        <v>no</v>
      </c>
      <c r="AP74" s="59" t="str">
        <f>IFERROR(CONCATENATE(Tabelle32[[#This Row],[Family
GFX-Unit]]," | ",Tabelle32[[#This Row],[Label 1
GFX-Unit]]," | ",Tabelle32[[#This Row],[Attached Device if Gateway]]),"")</f>
        <v>PLAYOUT MPA421 | HD2-005 | MPA 421 HD2</v>
      </c>
      <c r="AQ74" s="59"/>
      <c r="AR74" s="90"/>
      <c r="AS74" s="90"/>
      <c r="AT74" s="90"/>
      <c r="AU74" s="90"/>
      <c r="AV74" s="90"/>
      <c r="AW74" s="90" t="s">
        <v>97</v>
      </c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73" t="s">
        <v>199</v>
      </c>
      <c r="BI74" s="30" t="str">
        <f>IF(COUNTA(Tabelle32[[#This Row],[Type:Vid_1080i50]:[Type:Anc_Prot]])&gt;0,"x","")</f>
        <v>x</v>
      </c>
      <c r="BJ7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74" s="59"/>
      <c r="BL74" s="59"/>
      <c r="BM74" s="63"/>
      <c r="BN74" s="63"/>
      <c r="BO74" s="97" t="s">
        <v>307</v>
      </c>
      <c r="BP74" s="97" t="s">
        <v>352</v>
      </c>
      <c r="BQ74" s="63">
        <f>LEN(Tabelle32[[#This Row],[Label 1
GFX-Unit]])</f>
        <v>7</v>
      </c>
      <c r="BR74" s="63"/>
      <c r="BS74" s="63"/>
      <c r="BT74" s="59"/>
      <c r="BU74" s="59"/>
      <c r="BV74" s="59" t="s">
        <v>230</v>
      </c>
      <c r="BW74" s="59" t="s">
        <v>231</v>
      </c>
      <c r="BX74" s="59" t="s">
        <v>353</v>
      </c>
      <c r="BY74" s="59">
        <v>4</v>
      </c>
    </row>
    <row r="75" spans="1:77" x14ac:dyDescent="0.2">
      <c r="A75" s="58" t="str">
        <f>CONCATENATE(Tabelle32[[#This Row],[Device ID]],".",Tabelle32[[#This Row],[Streamcounter]])</f>
        <v>381.04206</v>
      </c>
      <c r="B7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VGW-103_SDI04_AUDsend_0006</v>
      </c>
      <c r="C75" s="60"/>
      <c r="D75" s="61"/>
      <c r="E75" s="62"/>
      <c r="F75" s="59" t="str">
        <f>IFERROR(VLOOKUP(Tabelle32[[#This Row],[Device ID]],BOM!$B$3:$BQ$35,16,FALSE),"")</f>
        <v>MPA 421 HD2</v>
      </c>
      <c r="G75" s="63">
        <f>VLOOKUP(Tabelle32[[#This Row],[SDI Interface]],BOM!$A$4:$B$35,2,FALSE)</f>
        <v>381</v>
      </c>
      <c r="H75" s="59" t="str">
        <f>BOM!$C$4</f>
        <v>VGW-103</v>
      </c>
      <c r="I75" s="59" t="str">
        <f>IFERROR(VLOOKUP(Tabelle32[[#This Row],[Device ID]],BOM!$B$3:$BQ$35,12,FALSE),"")</f>
        <v>Videoserver</v>
      </c>
      <c r="J75" s="59" t="str">
        <f>IFERROR(VLOOKUP(Tabelle32[[#This Row],[Device ID]],BOM!$B$3:$BQ$35,13,FALSE),"")</f>
        <v>TC.U1.223 | MDC</v>
      </c>
      <c r="K75" s="59" t="str">
        <f>IFERROR(VLOOKUP(Tabelle32[[#This Row],[Device ID]],BOM!$B$3:$BQ$35,14,FALSE),"")</f>
        <v>Imagine Comunications</v>
      </c>
      <c r="L75" s="59" t="str">
        <f>IFERROR(VLOOKUP(Tabelle32[[#This Row],[Device ID]],BOM!$B$3:$BQ$35,16,FALSE),"")</f>
        <v>MPA 421 HD2</v>
      </c>
      <c r="M75" s="63" t="str">
        <f>IFERROR(VLOOKUP(Tabelle32[[#This Row],[Device ID]],BOM!$B$3:$BQ$35,17,FALSE),"")</f>
        <v>MPA 421</v>
      </c>
      <c r="N75" s="59" t="str">
        <f>IFERROR(VLOOKUP(Tabelle32[[#This Row],[Device ID]],BOM!$B$3:$BQ$35,18,FALSE),"")</f>
        <v>TC.02.296 | MPA421</v>
      </c>
      <c r="O75" s="64"/>
      <c r="P75" s="64">
        <f>IFERROR(VLOOKUP(Tabelle32[[#This Row],[Device ID]],BOM!$B$3:$BO$50,20,FALSE),"")</f>
        <v>0</v>
      </c>
      <c r="Q75" s="64">
        <f>IFERROR(VLOOKUP(Tabelle32[[#This Row],[Device ID]],BOM!$B$3:$BO$50,21,FALSE),"")</f>
        <v>1</v>
      </c>
      <c r="R75" s="64">
        <f>IFERROR(VLOOKUP(Tabelle32[[#This Row],[Device ID]],BOM!$B$3:$BO$50,22,FALSE),"")</f>
        <v>0</v>
      </c>
      <c r="S75" s="64"/>
      <c r="T75" s="64"/>
      <c r="U75" s="59" t="str">
        <f>IFERROR(VLOOKUP(Tabelle32[[#This Row],[Device ID]],BOM!$B$3:$BQ$35,25,FALSE),"")</f>
        <v>Luis/Ivo</v>
      </c>
      <c r="V75" s="59" t="str">
        <f>IFERROR(VLOOKUP(Tabelle32[[#This Row],[Device ID]],BOM!$B$3:$BQ$35,26,FALSE),"")</f>
        <v>tpco-megw-vgw103.rta.st-net.media.int</v>
      </c>
      <c r="W75" s="59" t="str">
        <f>IFERROR(VLOOKUP(Tabelle32[[#This Row],[Device ID]],BOM!$B$3:$BQ$35,27,FALSE),"")</f>
        <v>10.120.236.50</v>
      </c>
      <c r="X75" s="59" t="str">
        <f>IFERROR(VLOOKUP(Tabelle32[[#This Row],[Device ID]],BOM!$B$3:$BQ$35,28,FALSE),"")</f>
        <v>AVCoreA</v>
      </c>
      <c r="Y75" s="59" t="str">
        <f>IFERROR(VLOOKUP(Tabelle32[[#This Row],[Device ID]],BOM!$B$3:$BQ$35,29,FALSE),"")</f>
        <v>5_36_1</v>
      </c>
      <c r="Z75" s="59" t="str">
        <f>IFERROR(VLOOKUP(Tabelle32[[#This Row],[Device ID]],BOM!$B$3:$BQ$35,30,FALSE),"")</f>
        <v>tpco-megw-vgw103.rtb.st-net.media.int</v>
      </c>
      <c r="AA75" s="59" t="str">
        <f>IFERROR(VLOOKUP(Tabelle32[[#This Row],[Device ID]],BOM!$B$3:$BQ$35,31,FALSE),"")</f>
        <v>10.120.236.54</v>
      </c>
      <c r="AB75" s="59" t="str">
        <f>IFERROR(VLOOKUP(Tabelle32[[#This Row],[Device ID]],BOM!$B$3:$BQ$35,32,FALSE),"")</f>
        <v>AVCoreB</v>
      </c>
      <c r="AC75" s="59" t="str">
        <f>IFERROR(VLOOKUP(Tabelle32[[#This Row],[Device ID]],BOM!$B$3:$BQ$35,33,FALSE),"")</f>
        <v>5_36_1</v>
      </c>
      <c r="AD75" s="59" t="str">
        <f>IFERROR(VLOOKUP(Tabelle32[[#This Row],[Device ID]],BOM!$B$3:$BQ$35,34,FALSE),"")</f>
        <v>tpco-megw-vgw103.st-net.media.int</v>
      </c>
      <c r="AE75" s="59" t="str">
        <f>IFERROR(VLOOKUP(Tabelle32[[#This Row],[Device ID]],BOM!$B$3:$BQ$35,35,FALSE),"")</f>
        <v>10.120.67.141</v>
      </c>
      <c r="AF75" s="59">
        <f>IFERROR(VLOOKUP(Tabelle32[[#This Row],[Device ID]],BOM!$B$3:$BQ$35,36,FALSE),"")</f>
        <v>0</v>
      </c>
      <c r="AG75" s="59">
        <f>IFERROR(VLOOKUP(Tabelle32[[#This Row],[Device ID]],BOM!$B$3:$BQ$35,37,FALSE),"")</f>
        <v>0</v>
      </c>
      <c r="AH75" s="59"/>
      <c r="AI75" s="59"/>
      <c r="AJ75" s="59"/>
      <c r="AK75" s="59"/>
      <c r="AL75" s="59" t="str">
        <f>IFERROR(VLOOKUP(Tabelle32[[#This Row],[Device ID]],BOM!$B$3:$BQ$35,42,FALSE),"")</f>
        <v>Imagine Communications SNP</v>
      </c>
      <c r="AM75" s="59" t="str">
        <f>IFERROR(VLOOKUP(Tabelle32[[#This Row],[Device ID]],BOM!$B$3:$BQ$35,43,FALSE),"")</f>
        <v>no</v>
      </c>
      <c r="AN75" s="59" t="str">
        <f>IFERROR(VLOOKUP(Tabelle32[[#This Row],[Device ID]],BOM!$B$3:$BQ$35,44,FALSE),"")</f>
        <v>yes</v>
      </c>
      <c r="AO75" s="59" t="str">
        <f>IFERROR(VLOOKUP(Tabelle32[[#This Row],[Device ID]],BOM!$B$3:$BQ$35,45,FALSE),"")</f>
        <v>no</v>
      </c>
      <c r="AP75" s="59" t="str">
        <f>IFERROR(CONCATENATE(Tabelle32[[#This Row],[Family
GFX-Unit]]," | ",Tabelle32[[#This Row],[Label 1
GFX-Unit]]," | ",Tabelle32[[#This Row],[Attached Device if Gateway]]),"")</f>
        <v>PLAYOUT MPA421 | HD2-006 | MPA 421 HD2</v>
      </c>
      <c r="AQ75" s="59"/>
      <c r="AR75" s="90"/>
      <c r="AS75" s="90"/>
      <c r="AT75" s="90"/>
      <c r="AU75" s="90"/>
      <c r="AV75" s="90"/>
      <c r="AW75" s="90" t="s">
        <v>97</v>
      </c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73" t="s">
        <v>199</v>
      </c>
      <c r="BI75" s="30" t="str">
        <f>IF(COUNTA(Tabelle32[[#This Row],[Type:Vid_1080i50]:[Type:Anc_Prot]])&gt;0,"x","")</f>
        <v>x</v>
      </c>
      <c r="BJ7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75" s="59"/>
      <c r="BL75" s="59"/>
      <c r="BM75" s="63"/>
      <c r="BN75" s="63"/>
      <c r="BO75" s="97" t="s">
        <v>307</v>
      </c>
      <c r="BP75" s="97" t="s">
        <v>354</v>
      </c>
      <c r="BQ75" s="63">
        <f>LEN(Tabelle32[[#This Row],[Label 1
GFX-Unit]])</f>
        <v>7</v>
      </c>
      <c r="BR75" s="63"/>
      <c r="BS75" s="63"/>
      <c r="BT75" s="59"/>
      <c r="BU75" s="59"/>
      <c r="BV75" s="59" t="s">
        <v>234</v>
      </c>
      <c r="BW75" s="59" t="s">
        <v>235</v>
      </c>
      <c r="BX75" s="59" t="s">
        <v>355</v>
      </c>
      <c r="BY75" s="59">
        <v>4</v>
      </c>
    </row>
    <row r="76" spans="1:77" x14ac:dyDescent="0.2">
      <c r="A76" s="58" t="str">
        <f>CONCATENATE(Tabelle32[[#This Row],[Device ID]],".",Tabelle32[[#This Row],[Streamcounter]])</f>
        <v>381.04207</v>
      </c>
      <c r="B7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VGW-103_SDI04_AUDsend_0007</v>
      </c>
      <c r="C76" s="60"/>
      <c r="D76" s="61"/>
      <c r="E76" s="62"/>
      <c r="F76" s="59" t="str">
        <f>IFERROR(VLOOKUP(Tabelle32[[#This Row],[Device ID]],BOM!$B$3:$BQ$35,16,FALSE),"")</f>
        <v>MPA 421 HD2</v>
      </c>
      <c r="G76" s="63">
        <f>VLOOKUP(Tabelle32[[#This Row],[SDI Interface]],BOM!$A$4:$B$35,2,FALSE)</f>
        <v>381</v>
      </c>
      <c r="H76" s="59" t="str">
        <f>BOM!$C$4</f>
        <v>VGW-103</v>
      </c>
      <c r="I76" s="59" t="str">
        <f>IFERROR(VLOOKUP(Tabelle32[[#This Row],[Device ID]],BOM!$B$3:$BQ$35,12,FALSE),"")</f>
        <v>Videoserver</v>
      </c>
      <c r="J76" s="59" t="str">
        <f>IFERROR(VLOOKUP(Tabelle32[[#This Row],[Device ID]],BOM!$B$3:$BQ$35,13,FALSE),"")</f>
        <v>TC.U1.223 | MDC</v>
      </c>
      <c r="K76" s="59" t="str">
        <f>IFERROR(VLOOKUP(Tabelle32[[#This Row],[Device ID]],BOM!$B$3:$BQ$35,14,FALSE),"")</f>
        <v>Imagine Comunications</v>
      </c>
      <c r="L76" s="59" t="str">
        <f>IFERROR(VLOOKUP(Tabelle32[[#This Row],[Device ID]],BOM!$B$3:$BQ$35,16,FALSE),"")</f>
        <v>MPA 421 HD2</v>
      </c>
      <c r="M76" s="63" t="str">
        <f>IFERROR(VLOOKUP(Tabelle32[[#This Row],[Device ID]],BOM!$B$3:$BQ$35,17,FALSE),"")</f>
        <v>MPA 421</v>
      </c>
      <c r="N76" s="59" t="str">
        <f>IFERROR(VLOOKUP(Tabelle32[[#This Row],[Device ID]],BOM!$B$3:$BQ$35,18,FALSE),"")</f>
        <v>TC.02.296 | MPA421</v>
      </c>
      <c r="O76" s="64"/>
      <c r="P76" s="64">
        <f>IFERROR(VLOOKUP(Tabelle32[[#This Row],[Device ID]],BOM!$B$3:$BO$50,20,FALSE),"")</f>
        <v>0</v>
      </c>
      <c r="Q76" s="64">
        <f>IFERROR(VLOOKUP(Tabelle32[[#This Row],[Device ID]],BOM!$B$3:$BO$50,21,FALSE),"")</f>
        <v>1</v>
      </c>
      <c r="R76" s="64">
        <f>IFERROR(VLOOKUP(Tabelle32[[#This Row],[Device ID]],BOM!$B$3:$BO$50,22,FALSE),"")</f>
        <v>0</v>
      </c>
      <c r="S76" s="64"/>
      <c r="T76" s="64"/>
      <c r="U76" s="59" t="str">
        <f>IFERROR(VLOOKUP(Tabelle32[[#This Row],[Device ID]],BOM!$B$3:$BQ$35,25,FALSE),"")</f>
        <v>Luis/Ivo</v>
      </c>
      <c r="V76" s="59" t="str">
        <f>IFERROR(VLOOKUP(Tabelle32[[#This Row],[Device ID]],BOM!$B$3:$BQ$35,26,FALSE),"")</f>
        <v>tpco-megw-vgw103.rta.st-net.media.int</v>
      </c>
      <c r="W76" s="59" t="str">
        <f>IFERROR(VLOOKUP(Tabelle32[[#This Row],[Device ID]],BOM!$B$3:$BQ$35,27,FALSE),"")</f>
        <v>10.120.236.50</v>
      </c>
      <c r="X76" s="59" t="str">
        <f>IFERROR(VLOOKUP(Tabelle32[[#This Row],[Device ID]],BOM!$B$3:$BQ$35,28,FALSE),"")</f>
        <v>AVCoreA</v>
      </c>
      <c r="Y76" s="59" t="str">
        <f>IFERROR(VLOOKUP(Tabelle32[[#This Row],[Device ID]],BOM!$B$3:$BQ$35,29,FALSE),"")</f>
        <v>5_36_1</v>
      </c>
      <c r="Z76" s="59" t="str">
        <f>IFERROR(VLOOKUP(Tabelle32[[#This Row],[Device ID]],BOM!$B$3:$BQ$35,30,FALSE),"")</f>
        <v>tpco-megw-vgw103.rtb.st-net.media.int</v>
      </c>
      <c r="AA76" s="59" t="str">
        <f>IFERROR(VLOOKUP(Tabelle32[[#This Row],[Device ID]],BOM!$B$3:$BQ$35,31,FALSE),"")</f>
        <v>10.120.236.54</v>
      </c>
      <c r="AB76" s="59" t="str">
        <f>IFERROR(VLOOKUP(Tabelle32[[#This Row],[Device ID]],BOM!$B$3:$BQ$35,32,FALSE),"")</f>
        <v>AVCoreB</v>
      </c>
      <c r="AC76" s="59" t="str">
        <f>IFERROR(VLOOKUP(Tabelle32[[#This Row],[Device ID]],BOM!$B$3:$BQ$35,33,FALSE),"")</f>
        <v>5_36_1</v>
      </c>
      <c r="AD76" s="59" t="str">
        <f>IFERROR(VLOOKUP(Tabelle32[[#This Row],[Device ID]],BOM!$B$3:$BQ$35,34,FALSE),"")</f>
        <v>tpco-megw-vgw103.st-net.media.int</v>
      </c>
      <c r="AE76" s="59" t="str">
        <f>IFERROR(VLOOKUP(Tabelle32[[#This Row],[Device ID]],BOM!$B$3:$BQ$35,35,FALSE),"")</f>
        <v>10.120.67.141</v>
      </c>
      <c r="AF76" s="59">
        <f>IFERROR(VLOOKUP(Tabelle32[[#This Row],[Device ID]],BOM!$B$3:$BQ$35,36,FALSE),"")</f>
        <v>0</v>
      </c>
      <c r="AG76" s="59">
        <f>IFERROR(VLOOKUP(Tabelle32[[#This Row],[Device ID]],BOM!$B$3:$BQ$35,37,FALSE),"")</f>
        <v>0</v>
      </c>
      <c r="AH76" s="59"/>
      <c r="AI76" s="59"/>
      <c r="AJ76" s="59"/>
      <c r="AK76" s="59"/>
      <c r="AL76" s="59" t="str">
        <f>IFERROR(VLOOKUP(Tabelle32[[#This Row],[Device ID]],BOM!$B$3:$BQ$35,42,FALSE),"")</f>
        <v>Imagine Communications SNP</v>
      </c>
      <c r="AM76" s="59" t="str">
        <f>IFERROR(VLOOKUP(Tabelle32[[#This Row],[Device ID]],BOM!$B$3:$BQ$35,43,FALSE),"")</f>
        <v>no</v>
      </c>
      <c r="AN76" s="59" t="str">
        <f>IFERROR(VLOOKUP(Tabelle32[[#This Row],[Device ID]],BOM!$B$3:$BQ$35,44,FALSE),"")</f>
        <v>yes</v>
      </c>
      <c r="AO76" s="59" t="str">
        <f>IFERROR(VLOOKUP(Tabelle32[[#This Row],[Device ID]],BOM!$B$3:$BQ$35,45,FALSE),"")</f>
        <v>no</v>
      </c>
      <c r="AP76" s="59" t="str">
        <f>IFERROR(CONCATENATE(Tabelle32[[#This Row],[Family
GFX-Unit]]," | ",Tabelle32[[#This Row],[Label 1
GFX-Unit]]," | ",Tabelle32[[#This Row],[Attached Device if Gateway]]),"")</f>
        <v>PLAYOUT MPA421 | HD2-007 | MPA 421 HD2</v>
      </c>
      <c r="AQ76" s="59"/>
      <c r="AR76" s="90"/>
      <c r="AS76" s="90"/>
      <c r="AT76" s="90"/>
      <c r="AU76" s="90"/>
      <c r="AV76" s="90"/>
      <c r="AW76" s="90"/>
      <c r="AX76" s="90"/>
      <c r="AY76" s="90"/>
      <c r="AZ76" s="90" t="s">
        <v>97</v>
      </c>
      <c r="BA76" s="90"/>
      <c r="BB76" s="90"/>
      <c r="BC76" s="90"/>
      <c r="BD76" s="90"/>
      <c r="BE76" s="90"/>
      <c r="BF76" s="90"/>
      <c r="BG76" s="90"/>
      <c r="BH76" s="73" t="s">
        <v>199</v>
      </c>
      <c r="BI76" s="30" t="str">
        <f>IF(COUNTA(Tabelle32[[#This Row],[Type:Vid_1080i50]:[Type:Anc_Prot]])&gt;0,"x","")</f>
        <v>x</v>
      </c>
      <c r="BJ7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76" s="59"/>
      <c r="BL76" s="59"/>
      <c r="BM76" s="63"/>
      <c r="BN76" s="63"/>
      <c r="BO76" s="97" t="s">
        <v>307</v>
      </c>
      <c r="BP76" s="97" t="s">
        <v>356</v>
      </c>
      <c r="BQ76" s="63">
        <f>LEN(Tabelle32[[#This Row],[Label 1
GFX-Unit]])</f>
        <v>7</v>
      </c>
      <c r="BR76" s="63"/>
      <c r="BS76" s="63"/>
      <c r="BT76" s="59"/>
      <c r="BU76" s="59"/>
      <c r="BV76" s="59" t="s">
        <v>238</v>
      </c>
      <c r="BW76" s="59" t="s">
        <v>239</v>
      </c>
      <c r="BX76" s="59" t="s">
        <v>357</v>
      </c>
      <c r="BY76" s="59">
        <v>4</v>
      </c>
    </row>
    <row r="77" spans="1:77" x14ac:dyDescent="0.2">
      <c r="A77" s="58" t="str">
        <f>CONCATENATE(Tabelle32[[#This Row],[Device ID]],".",Tabelle32[[#This Row],[Streamcounter]])</f>
        <v>381.04208</v>
      </c>
      <c r="B7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VGW-103_SDI04_AUDsend_0008</v>
      </c>
      <c r="C77" s="60"/>
      <c r="D77" s="61"/>
      <c r="E77" s="62"/>
      <c r="F77" s="59" t="str">
        <f>IFERROR(VLOOKUP(Tabelle32[[#This Row],[Device ID]],BOM!$B$3:$BQ$35,16,FALSE),"")</f>
        <v>MPA 421 HD2</v>
      </c>
      <c r="G77" s="63">
        <f>VLOOKUP(Tabelle32[[#This Row],[SDI Interface]],BOM!$A$4:$B$35,2,FALSE)</f>
        <v>381</v>
      </c>
      <c r="H77" s="59" t="str">
        <f>BOM!$C$4</f>
        <v>VGW-103</v>
      </c>
      <c r="I77" s="59" t="str">
        <f>IFERROR(VLOOKUP(Tabelle32[[#This Row],[Device ID]],BOM!$B$3:$BQ$35,12,FALSE),"")</f>
        <v>Videoserver</v>
      </c>
      <c r="J77" s="59" t="str">
        <f>IFERROR(VLOOKUP(Tabelle32[[#This Row],[Device ID]],BOM!$B$3:$BQ$35,13,FALSE),"")</f>
        <v>TC.U1.223 | MDC</v>
      </c>
      <c r="K77" s="59" t="str">
        <f>IFERROR(VLOOKUP(Tabelle32[[#This Row],[Device ID]],BOM!$B$3:$BQ$35,14,FALSE),"")</f>
        <v>Imagine Comunications</v>
      </c>
      <c r="L77" s="59" t="str">
        <f>IFERROR(VLOOKUP(Tabelle32[[#This Row],[Device ID]],BOM!$B$3:$BQ$35,16,FALSE),"")</f>
        <v>MPA 421 HD2</v>
      </c>
      <c r="M77" s="63" t="str">
        <f>IFERROR(VLOOKUP(Tabelle32[[#This Row],[Device ID]],BOM!$B$3:$BQ$35,17,FALSE),"")</f>
        <v>MPA 421</v>
      </c>
      <c r="N77" s="59" t="str">
        <f>IFERROR(VLOOKUP(Tabelle32[[#This Row],[Device ID]],BOM!$B$3:$BQ$35,18,FALSE),"")</f>
        <v>TC.02.296 | MPA421</v>
      </c>
      <c r="O77" s="64"/>
      <c r="P77" s="64">
        <f>IFERROR(VLOOKUP(Tabelle32[[#This Row],[Device ID]],BOM!$B$3:$BO$50,20,FALSE),"")</f>
        <v>0</v>
      </c>
      <c r="Q77" s="64">
        <f>IFERROR(VLOOKUP(Tabelle32[[#This Row],[Device ID]],BOM!$B$3:$BO$50,21,FALSE),"")</f>
        <v>1</v>
      </c>
      <c r="R77" s="64">
        <f>IFERROR(VLOOKUP(Tabelle32[[#This Row],[Device ID]],BOM!$B$3:$BO$50,22,FALSE),"")</f>
        <v>0</v>
      </c>
      <c r="S77" s="64"/>
      <c r="T77" s="64"/>
      <c r="U77" s="59" t="str">
        <f>IFERROR(VLOOKUP(Tabelle32[[#This Row],[Device ID]],BOM!$B$3:$BQ$35,25,FALSE),"")</f>
        <v>Luis/Ivo</v>
      </c>
      <c r="V77" s="59" t="str">
        <f>IFERROR(VLOOKUP(Tabelle32[[#This Row],[Device ID]],BOM!$B$3:$BQ$35,26,FALSE),"")</f>
        <v>tpco-megw-vgw103.rta.st-net.media.int</v>
      </c>
      <c r="W77" s="59" t="str">
        <f>IFERROR(VLOOKUP(Tabelle32[[#This Row],[Device ID]],BOM!$B$3:$BQ$35,27,FALSE),"")</f>
        <v>10.120.236.50</v>
      </c>
      <c r="X77" s="59" t="str">
        <f>IFERROR(VLOOKUP(Tabelle32[[#This Row],[Device ID]],BOM!$B$3:$BQ$35,28,FALSE),"")</f>
        <v>AVCoreA</v>
      </c>
      <c r="Y77" s="59" t="str">
        <f>IFERROR(VLOOKUP(Tabelle32[[#This Row],[Device ID]],BOM!$B$3:$BQ$35,29,FALSE),"")</f>
        <v>5_36_1</v>
      </c>
      <c r="Z77" s="59" t="str">
        <f>IFERROR(VLOOKUP(Tabelle32[[#This Row],[Device ID]],BOM!$B$3:$BQ$35,30,FALSE),"")</f>
        <v>tpco-megw-vgw103.rtb.st-net.media.int</v>
      </c>
      <c r="AA77" s="59" t="str">
        <f>IFERROR(VLOOKUP(Tabelle32[[#This Row],[Device ID]],BOM!$B$3:$BQ$35,31,FALSE),"")</f>
        <v>10.120.236.54</v>
      </c>
      <c r="AB77" s="59" t="str">
        <f>IFERROR(VLOOKUP(Tabelle32[[#This Row],[Device ID]],BOM!$B$3:$BQ$35,32,FALSE),"")</f>
        <v>AVCoreB</v>
      </c>
      <c r="AC77" s="59" t="str">
        <f>IFERROR(VLOOKUP(Tabelle32[[#This Row],[Device ID]],BOM!$B$3:$BQ$35,33,FALSE),"")</f>
        <v>5_36_1</v>
      </c>
      <c r="AD77" s="59" t="str">
        <f>IFERROR(VLOOKUP(Tabelle32[[#This Row],[Device ID]],BOM!$B$3:$BQ$35,34,FALSE),"")</f>
        <v>tpco-megw-vgw103.st-net.media.int</v>
      </c>
      <c r="AE77" s="59" t="str">
        <f>IFERROR(VLOOKUP(Tabelle32[[#This Row],[Device ID]],BOM!$B$3:$BQ$35,35,FALSE),"")</f>
        <v>10.120.67.141</v>
      </c>
      <c r="AF77" s="59">
        <f>IFERROR(VLOOKUP(Tabelle32[[#This Row],[Device ID]],BOM!$B$3:$BQ$35,36,FALSE),"")</f>
        <v>0</v>
      </c>
      <c r="AG77" s="59">
        <f>IFERROR(VLOOKUP(Tabelle32[[#This Row],[Device ID]],BOM!$B$3:$BQ$35,37,FALSE),"")</f>
        <v>0</v>
      </c>
      <c r="AH77" s="59"/>
      <c r="AI77" s="59"/>
      <c r="AJ77" s="59"/>
      <c r="AK77" s="59"/>
      <c r="AL77" s="59" t="str">
        <f>IFERROR(VLOOKUP(Tabelle32[[#This Row],[Device ID]],BOM!$B$3:$BQ$35,42,FALSE),"")</f>
        <v>Imagine Communications SNP</v>
      </c>
      <c r="AM77" s="59" t="str">
        <f>IFERROR(VLOOKUP(Tabelle32[[#This Row],[Device ID]],BOM!$B$3:$BQ$35,43,FALSE),"")</f>
        <v>no</v>
      </c>
      <c r="AN77" s="59" t="str">
        <f>IFERROR(VLOOKUP(Tabelle32[[#This Row],[Device ID]],BOM!$B$3:$BQ$35,44,FALSE),"")</f>
        <v>yes</v>
      </c>
      <c r="AO77" s="59" t="str">
        <f>IFERROR(VLOOKUP(Tabelle32[[#This Row],[Device ID]],BOM!$B$3:$BQ$35,45,FALSE),"")</f>
        <v>no</v>
      </c>
      <c r="AP77" s="59" t="str">
        <f>IFERROR(CONCATENATE(Tabelle32[[#This Row],[Family
GFX-Unit]]," | ",Tabelle32[[#This Row],[Label 1
GFX-Unit]]," | ",Tabelle32[[#This Row],[Attached Device if Gateway]]),"")</f>
        <v>PLAYOUT MPA421 | HD2-008 | MPA 421 HD2</v>
      </c>
      <c r="AQ77" s="59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 t="s">
        <v>97</v>
      </c>
      <c r="BD77" s="90"/>
      <c r="BE77" s="90"/>
      <c r="BF77" s="90"/>
      <c r="BG77" s="90"/>
      <c r="BH77" s="73" t="s">
        <v>199</v>
      </c>
      <c r="BI77" s="30" t="str">
        <f>IF(COUNTA(Tabelle32[[#This Row],[Type:Vid_1080i50]:[Type:Anc_Prot]])&gt;0,"x","")</f>
        <v>x</v>
      </c>
      <c r="BJ7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77" s="59"/>
      <c r="BL77" s="59"/>
      <c r="BM77" s="63"/>
      <c r="BN77" s="63"/>
      <c r="BO77" s="97" t="s">
        <v>307</v>
      </c>
      <c r="BP77" s="97" t="s">
        <v>358</v>
      </c>
      <c r="BQ77" s="63">
        <f>LEN(Tabelle32[[#This Row],[Label 1
GFX-Unit]])</f>
        <v>7</v>
      </c>
      <c r="BR77" s="63"/>
      <c r="BS77" s="63"/>
      <c r="BT77" s="59"/>
      <c r="BU77" s="59"/>
      <c r="BV77" s="59" t="s">
        <v>242</v>
      </c>
      <c r="BW77" s="59" t="s">
        <v>243</v>
      </c>
      <c r="BX77" s="59" t="s">
        <v>359</v>
      </c>
      <c r="BY77" s="59">
        <v>4</v>
      </c>
    </row>
    <row r="78" spans="1:77" hidden="1" x14ac:dyDescent="0.2">
      <c r="A78" s="58" t="str">
        <f>CONCATENATE(Tabelle32[[#This Row],[Device ID]],".",Tabelle32[[#This Row],[Streamcounter]])</f>
        <v>381.04209</v>
      </c>
      <c r="B7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VGW-103_SDI04_AUDsend_0009</v>
      </c>
      <c r="C78" s="60"/>
      <c r="D78" s="61"/>
      <c r="E78" s="62"/>
      <c r="F78" s="59" t="str">
        <f>IFERROR(VLOOKUP(Tabelle32[[#This Row],[Device ID]],BOM!$B$3:$BQ$35,16,FALSE),"")</f>
        <v>MPA 421 HD2</v>
      </c>
      <c r="G78" s="63">
        <f>VLOOKUP(Tabelle32[[#This Row],[SDI Interface]],BOM!$A$4:$B$35,2,FALSE)</f>
        <v>381</v>
      </c>
      <c r="H78" s="59" t="str">
        <f>BOM!$C$4</f>
        <v>VGW-103</v>
      </c>
      <c r="I78" s="59" t="str">
        <f>IFERROR(VLOOKUP(Tabelle32[[#This Row],[Device ID]],BOM!$B$3:$BQ$35,12,FALSE),"")</f>
        <v>Videoserver</v>
      </c>
      <c r="J78" s="59" t="str">
        <f>IFERROR(VLOOKUP(Tabelle32[[#This Row],[Device ID]],BOM!$B$3:$BQ$35,13,FALSE),"")</f>
        <v>TC.U1.223 | MDC</v>
      </c>
      <c r="K78" s="59" t="str">
        <f>IFERROR(VLOOKUP(Tabelle32[[#This Row],[Device ID]],BOM!$B$3:$BQ$35,14,FALSE),"")</f>
        <v>Imagine Comunications</v>
      </c>
      <c r="L78" s="59" t="str">
        <f>IFERROR(VLOOKUP(Tabelle32[[#This Row],[Device ID]],BOM!$B$3:$BQ$35,16,FALSE),"")</f>
        <v>MPA 421 HD2</v>
      </c>
      <c r="M78" s="63" t="str">
        <f>IFERROR(VLOOKUP(Tabelle32[[#This Row],[Device ID]],BOM!$B$3:$BQ$35,17,FALSE),"")</f>
        <v>MPA 421</v>
      </c>
      <c r="N78" s="59" t="str">
        <f>IFERROR(VLOOKUP(Tabelle32[[#This Row],[Device ID]],BOM!$B$3:$BQ$35,18,FALSE),"")</f>
        <v>TC.02.296 | MPA421</v>
      </c>
      <c r="O78" s="64"/>
      <c r="P78" s="64">
        <f>IFERROR(VLOOKUP(Tabelle32[[#This Row],[Device ID]],BOM!$B$3:$BO$50,20,FALSE),"")</f>
        <v>0</v>
      </c>
      <c r="Q78" s="64">
        <f>IFERROR(VLOOKUP(Tabelle32[[#This Row],[Device ID]],BOM!$B$3:$BO$50,21,FALSE),"")</f>
        <v>1</v>
      </c>
      <c r="R78" s="64">
        <f>IFERROR(VLOOKUP(Tabelle32[[#This Row],[Device ID]],BOM!$B$3:$BO$50,22,FALSE),"")</f>
        <v>0</v>
      </c>
      <c r="S78" s="64"/>
      <c r="T78" s="64"/>
      <c r="U78" s="59" t="str">
        <f>IFERROR(VLOOKUP(Tabelle32[[#This Row],[Device ID]],BOM!$B$3:$BQ$35,25,FALSE),"")</f>
        <v>Luis/Ivo</v>
      </c>
      <c r="V78" s="59" t="str">
        <f>IFERROR(VLOOKUP(Tabelle32[[#This Row],[Device ID]],BOM!$B$3:$BQ$35,26,FALSE),"")</f>
        <v>tpco-megw-vgw103.rta.st-net.media.int</v>
      </c>
      <c r="W78" s="59" t="str">
        <f>IFERROR(VLOOKUP(Tabelle32[[#This Row],[Device ID]],BOM!$B$3:$BQ$35,27,FALSE),"")</f>
        <v>10.120.236.50</v>
      </c>
      <c r="X78" s="59" t="str">
        <f>IFERROR(VLOOKUP(Tabelle32[[#This Row],[Device ID]],BOM!$B$3:$BQ$35,28,FALSE),"")</f>
        <v>AVCoreA</v>
      </c>
      <c r="Y78" s="59" t="str">
        <f>IFERROR(VLOOKUP(Tabelle32[[#This Row],[Device ID]],BOM!$B$3:$BQ$35,29,FALSE),"")</f>
        <v>5_36_1</v>
      </c>
      <c r="Z78" s="59" t="str">
        <f>IFERROR(VLOOKUP(Tabelle32[[#This Row],[Device ID]],BOM!$B$3:$BQ$35,30,FALSE),"")</f>
        <v>tpco-megw-vgw103.rtb.st-net.media.int</v>
      </c>
      <c r="AA78" s="59" t="str">
        <f>IFERROR(VLOOKUP(Tabelle32[[#This Row],[Device ID]],BOM!$B$3:$BQ$35,31,FALSE),"")</f>
        <v>10.120.236.54</v>
      </c>
      <c r="AB78" s="59" t="str">
        <f>IFERROR(VLOOKUP(Tabelle32[[#This Row],[Device ID]],BOM!$B$3:$BQ$35,32,FALSE),"")</f>
        <v>AVCoreB</v>
      </c>
      <c r="AC78" s="59" t="str">
        <f>IFERROR(VLOOKUP(Tabelle32[[#This Row],[Device ID]],BOM!$B$3:$BQ$35,33,FALSE),"")</f>
        <v>5_36_1</v>
      </c>
      <c r="AD78" s="59" t="str">
        <f>IFERROR(VLOOKUP(Tabelle32[[#This Row],[Device ID]],BOM!$B$3:$BQ$35,34,FALSE),"")</f>
        <v>tpco-megw-vgw103.st-net.media.int</v>
      </c>
      <c r="AE78" s="59" t="str">
        <f>IFERROR(VLOOKUP(Tabelle32[[#This Row],[Device ID]],BOM!$B$3:$BQ$35,35,FALSE),"")</f>
        <v>10.120.67.141</v>
      </c>
      <c r="AF78" s="59">
        <f>IFERROR(VLOOKUP(Tabelle32[[#This Row],[Device ID]],BOM!$B$3:$BQ$35,36,FALSE),"")</f>
        <v>0</v>
      </c>
      <c r="AG78" s="59">
        <f>IFERROR(VLOOKUP(Tabelle32[[#This Row],[Device ID]],BOM!$B$3:$BQ$35,37,FALSE),"")</f>
        <v>0</v>
      </c>
      <c r="AH78" s="59"/>
      <c r="AI78" s="59"/>
      <c r="AJ78" s="59"/>
      <c r="AK78" s="59"/>
      <c r="AL78" s="59" t="str">
        <f>IFERROR(VLOOKUP(Tabelle32[[#This Row],[Device ID]],BOM!$B$3:$BQ$35,42,FALSE),"")</f>
        <v>Imagine Communications SNP</v>
      </c>
      <c r="AM78" s="59" t="str">
        <f>IFERROR(VLOOKUP(Tabelle32[[#This Row],[Device ID]],BOM!$B$3:$BQ$35,43,FALSE),"")</f>
        <v>no</v>
      </c>
      <c r="AN78" s="59" t="str">
        <f>IFERROR(VLOOKUP(Tabelle32[[#This Row],[Device ID]],BOM!$B$3:$BQ$35,44,FALSE),"")</f>
        <v>yes</v>
      </c>
      <c r="AO78" s="59" t="str">
        <f>IFERROR(VLOOKUP(Tabelle32[[#This Row],[Device ID]],BOM!$B$3:$BQ$35,45,FALSE),"")</f>
        <v>no</v>
      </c>
      <c r="AP78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78" s="59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73" t="s">
        <v>199</v>
      </c>
      <c r="BI78" s="30" t="str">
        <f>IF(COUNTA(Tabelle32[[#This Row],[Type:Vid_1080i50]:[Type:Anc_Prot]])&gt;0,"x","")</f>
        <v/>
      </c>
      <c r="BJ78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78" s="59"/>
      <c r="BL78" s="59"/>
      <c r="BM78" s="63"/>
      <c r="BN78" s="63"/>
      <c r="BO78" s="96"/>
      <c r="BP78" s="96"/>
      <c r="BQ78" s="63">
        <f>LEN(Tabelle32[[#This Row],[Label 1
GFX-Unit]])</f>
        <v>0</v>
      </c>
      <c r="BR78" s="63"/>
      <c r="BS78" s="63"/>
      <c r="BT78" s="59"/>
      <c r="BU78" s="59"/>
      <c r="BV78" s="59" t="s">
        <v>245</v>
      </c>
      <c r="BW78" s="59" t="s">
        <v>246</v>
      </c>
      <c r="BX78" s="59" t="s">
        <v>360</v>
      </c>
      <c r="BY78" s="59">
        <v>4</v>
      </c>
    </row>
    <row r="79" spans="1:77" hidden="1" x14ac:dyDescent="0.2">
      <c r="A79" s="58" t="str">
        <f>CONCATENATE(Tabelle32[[#This Row],[Device ID]],".",Tabelle32[[#This Row],[Streamcounter]])</f>
        <v>381.04210</v>
      </c>
      <c r="B7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VGW-103_SDI04_AUDsend_0010</v>
      </c>
      <c r="C79" s="60"/>
      <c r="D79" s="61"/>
      <c r="E79" s="62"/>
      <c r="F79" s="59" t="str">
        <f>IFERROR(VLOOKUP(Tabelle32[[#This Row],[Device ID]],BOM!$B$3:$BQ$35,16,FALSE),"")</f>
        <v>MPA 421 HD2</v>
      </c>
      <c r="G79" s="63">
        <f>VLOOKUP(Tabelle32[[#This Row],[SDI Interface]],BOM!$A$4:$B$35,2,FALSE)</f>
        <v>381</v>
      </c>
      <c r="H79" s="59" t="str">
        <f>BOM!$C$4</f>
        <v>VGW-103</v>
      </c>
      <c r="I79" s="59" t="str">
        <f>IFERROR(VLOOKUP(Tabelle32[[#This Row],[Device ID]],BOM!$B$3:$BQ$35,12,FALSE),"")</f>
        <v>Videoserver</v>
      </c>
      <c r="J79" s="59" t="str">
        <f>IFERROR(VLOOKUP(Tabelle32[[#This Row],[Device ID]],BOM!$B$3:$BQ$35,13,FALSE),"")</f>
        <v>TC.U1.223 | MDC</v>
      </c>
      <c r="K79" s="59" t="str">
        <f>IFERROR(VLOOKUP(Tabelle32[[#This Row],[Device ID]],BOM!$B$3:$BQ$35,14,FALSE),"")</f>
        <v>Imagine Comunications</v>
      </c>
      <c r="L79" s="59" t="str">
        <f>IFERROR(VLOOKUP(Tabelle32[[#This Row],[Device ID]],BOM!$B$3:$BQ$35,16,FALSE),"")</f>
        <v>MPA 421 HD2</v>
      </c>
      <c r="M79" s="63" t="str">
        <f>IFERROR(VLOOKUP(Tabelle32[[#This Row],[Device ID]],BOM!$B$3:$BQ$35,17,FALSE),"")</f>
        <v>MPA 421</v>
      </c>
      <c r="N79" s="59" t="str">
        <f>IFERROR(VLOOKUP(Tabelle32[[#This Row],[Device ID]],BOM!$B$3:$BQ$35,18,FALSE),"")</f>
        <v>TC.02.296 | MPA421</v>
      </c>
      <c r="O79" s="64"/>
      <c r="P79" s="64">
        <f>IFERROR(VLOOKUP(Tabelle32[[#This Row],[Device ID]],BOM!$B$3:$BO$50,20,FALSE),"")</f>
        <v>0</v>
      </c>
      <c r="Q79" s="64">
        <f>IFERROR(VLOOKUP(Tabelle32[[#This Row],[Device ID]],BOM!$B$3:$BO$50,21,FALSE),"")</f>
        <v>1</v>
      </c>
      <c r="R79" s="64">
        <f>IFERROR(VLOOKUP(Tabelle32[[#This Row],[Device ID]],BOM!$B$3:$BO$50,22,FALSE),"")</f>
        <v>0</v>
      </c>
      <c r="S79" s="64"/>
      <c r="T79" s="64"/>
      <c r="U79" s="59" t="str">
        <f>IFERROR(VLOOKUP(Tabelle32[[#This Row],[Device ID]],BOM!$B$3:$BQ$35,25,FALSE),"")</f>
        <v>Luis/Ivo</v>
      </c>
      <c r="V79" s="59" t="str">
        <f>IFERROR(VLOOKUP(Tabelle32[[#This Row],[Device ID]],BOM!$B$3:$BQ$35,26,FALSE),"")</f>
        <v>tpco-megw-vgw103.rta.st-net.media.int</v>
      </c>
      <c r="W79" s="59" t="str">
        <f>IFERROR(VLOOKUP(Tabelle32[[#This Row],[Device ID]],BOM!$B$3:$BQ$35,27,FALSE),"")</f>
        <v>10.120.236.50</v>
      </c>
      <c r="X79" s="59" t="str">
        <f>IFERROR(VLOOKUP(Tabelle32[[#This Row],[Device ID]],BOM!$B$3:$BQ$35,28,FALSE),"")</f>
        <v>AVCoreA</v>
      </c>
      <c r="Y79" s="59" t="str">
        <f>IFERROR(VLOOKUP(Tabelle32[[#This Row],[Device ID]],BOM!$B$3:$BQ$35,29,FALSE),"")</f>
        <v>5_36_1</v>
      </c>
      <c r="Z79" s="59" t="str">
        <f>IFERROR(VLOOKUP(Tabelle32[[#This Row],[Device ID]],BOM!$B$3:$BQ$35,30,FALSE),"")</f>
        <v>tpco-megw-vgw103.rtb.st-net.media.int</v>
      </c>
      <c r="AA79" s="59" t="str">
        <f>IFERROR(VLOOKUP(Tabelle32[[#This Row],[Device ID]],BOM!$B$3:$BQ$35,31,FALSE),"")</f>
        <v>10.120.236.54</v>
      </c>
      <c r="AB79" s="59" t="str">
        <f>IFERROR(VLOOKUP(Tabelle32[[#This Row],[Device ID]],BOM!$B$3:$BQ$35,32,FALSE),"")</f>
        <v>AVCoreB</v>
      </c>
      <c r="AC79" s="59" t="str">
        <f>IFERROR(VLOOKUP(Tabelle32[[#This Row],[Device ID]],BOM!$B$3:$BQ$35,33,FALSE),"")</f>
        <v>5_36_1</v>
      </c>
      <c r="AD79" s="59" t="str">
        <f>IFERROR(VLOOKUP(Tabelle32[[#This Row],[Device ID]],BOM!$B$3:$BQ$35,34,FALSE),"")</f>
        <v>tpco-megw-vgw103.st-net.media.int</v>
      </c>
      <c r="AE79" s="59" t="str">
        <f>IFERROR(VLOOKUP(Tabelle32[[#This Row],[Device ID]],BOM!$B$3:$BQ$35,35,FALSE),"")</f>
        <v>10.120.67.141</v>
      </c>
      <c r="AF79" s="59">
        <f>IFERROR(VLOOKUP(Tabelle32[[#This Row],[Device ID]],BOM!$B$3:$BQ$35,36,FALSE),"")</f>
        <v>0</v>
      </c>
      <c r="AG79" s="59">
        <f>IFERROR(VLOOKUP(Tabelle32[[#This Row],[Device ID]],BOM!$B$3:$BQ$35,37,FALSE),"")</f>
        <v>0</v>
      </c>
      <c r="AH79" s="59"/>
      <c r="AI79" s="59"/>
      <c r="AJ79" s="59"/>
      <c r="AK79" s="59"/>
      <c r="AL79" s="59" t="str">
        <f>IFERROR(VLOOKUP(Tabelle32[[#This Row],[Device ID]],BOM!$B$3:$BQ$35,42,FALSE),"")</f>
        <v>Imagine Communications SNP</v>
      </c>
      <c r="AM79" s="59" t="str">
        <f>IFERROR(VLOOKUP(Tabelle32[[#This Row],[Device ID]],BOM!$B$3:$BQ$35,43,FALSE),"")</f>
        <v>no</v>
      </c>
      <c r="AN79" s="59" t="str">
        <f>IFERROR(VLOOKUP(Tabelle32[[#This Row],[Device ID]],BOM!$B$3:$BQ$35,44,FALSE),"")</f>
        <v>yes</v>
      </c>
      <c r="AO79" s="59" t="str">
        <f>IFERROR(VLOOKUP(Tabelle32[[#This Row],[Device ID]],BOM!$B$3:$BQ$35,45,FALSE),"")</f>
        <v>no</v>
      </c>
      <c r="AP79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79" s="59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73" t="s">
        <v>199</v>
      </c>
      <c r="BI79" s="30" t="str">
        <f>IF(COUNTA(Tabelle32[[#This Row],[Type:Vid_1080i50]:[Type:Anc_Prot]])&gt;0,"x","")</f>
        <v/>
      </c>
      <c r="BJ79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79" s="59"/>
      <c r="BL79" s="59"/>
      <c r="BM79" s="63"/>
      <c r="BN79" s="63"/>
      <c r="BO79" s="96"/>
      <c r="BP79" s="96"/>
      <c r="BQ79" s="63">
        <f>LEN(Tabelle32[[#This Row],[Label 1
GFX-Unit]])</f>
        <v>0</v>
      </c>
      <c r="BR79" s="63"/>
      <c r="BS79" s="63"/>
      <c r="BT79" s="59"/>
      <c r="BU79" s="59"/>
      <c r="BV79" s="59" t="s">
        <v>248</v>
      </c>
      <c r="BW79" s="59" t="s">
        <v>249</v>
      </c>
      <c r="BX79" s="59" t="s">
        <v>361</v>
      </c>
      <c r="BY79" s="59">
        <v>4</v>
      </c>
    </row>
    <row r="80" spans="1:77" hidden="1" x14ac:dyDescent="0.2">
      <c r="A80" s="58" t="str">
        <f>CONCATENATE(Tabelle32[[#This Row],[Device ID]],".",Tabelle32[[#This Row],[Streamcounter]])</f>
        <v>381.04211</v>
      </c>
      <c r="B8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VGW-103_SDI04_AUDsend_0011</v>
      </c>
      <c r="C80" s="60"/>
      <c r="D80" s="61"/>
      <c r="E80" s="62"/>
      <c r="F80" s="59" t="str">
        <f>IFERROR(VLOOKUP(Tabelle32[[#This Row],[Device ID]],BOM!$B$3:$BQ$35,16,FALSE),"")</f>
        <v>MPA 421 HD2</v>
      </c>
      <c r="G80" s="63">
        <f>VLOOKUP(Tabelle32[[#This Row],[SDI Interface]],BOM!$A$4:$B$35,2,FALSE)</f>
        <v>381</v>
      </c>
      <c r="H80" s="59" t="str">
        <f>BOM!$C$4</f>
        <v>VGW-103</v>
      </c>
      <c r="I80" s="59" t="str">
        <f>IFERROR(VLOOKUP(Tabelle32[[#This Row],[Device ID]],BOM!$B$3:$BQ$35,12,FALSE),"")</f>
        <v>Videoserver</v>
      </c>
      <c r="J80" s="59" t="str">
        <f>IFERROR(VLOOKUP(Tabelle32[[#This Row],[Device ID]],BOM!$B$3:$BQ$35,13,FALSE),"")</f>
        <v>TC.U1.223 | MDC</v>
      </c>
      <c r="K80" s="59" t="str">
        <f>IFERROR(VLOOKUP(Tabelle32[[#This Row],[Device ID]],BOM!$B$3:$BQ$35,14,FALSE),"")</f>
        <v>Imagine Comunications</v>
      </c>
      <c r="L80" s="59" t="str">
        <f>IFERROR(VLOOKUP(Tabelle32[[#This Row],[Device ID]],BOM!$B$3:$BQ$35,16,FALSE),"")</f>
        <v>MPA 421 HD2</v>
      </c>
      <c r="M80" s="63" t="str">
        <f>IFERROR(VLOOKUP(Tabelle32[[#This Row],[Device ID]],BOM!$B$3:$BQ$35,17,FALSE),"")</f>
        <v>MPA 421</v>
      </c>
      <c r="N80" s="59" t="str">
        <f>IFERROR(VLOOKUP(Tabelle32[[#This Row],[Device ID]],BOM!$B$3:$BQ$35,18,FALSE),"")</f>
        <v>TC.02.296 | MPA421</v>
      </c>
      <c r="O80" s="64"/>
      <c r="P80" s="64">
        <f>IFERROR(VLOOKUP(Tabelle32[[#This Row],[Device ID]],BOM!$B$3:$BO$50,20,FALSE),"")</f>
        <v>0</v>
      </c>
      <c r="Q80" s="64">
        <f>IFERROR(VLOOKUP(Tabelle32[[#This Row],[Device ID]],BOM!$B$3:$BO$50,21,FALSE),"")</f>
        <v>1</v>
      </c>
      <c r="R80" s="64">
        <f>IFERROR(VLOOKUP(Tabelle32[[#This Row],[Device ID]],BOM!$B$3:$BO$50,22,FALSE),"")</f>
        <v>0</v>
      </c>
      <c r="S80" s="64"/>
      <c r="T80" s="64"/>
      <c r="U80" s="59" t="str">
        <f>IFERROR(VLOOKUP(Tabelle32[[#This Row],[Device ID]],BOM!$B$3:$BQ$35,25,FALSE),"")</f>
        <v>Luis/Ivo</v>
      </c>
      <c r="V80" s="59" t="str">
        <f>IFERROR(VLOOKUP(Tabelle32[[#This Row],[Device ID]],BOM!$B$3:$BQ$35,26,FALSE),"")</f>
        <v>tpco-megw-vgw103.rta.st-net.media.int</v>
      </c>
      <c r="W80" s="59" t="str">
        <f>IFERROR(VLOOKUP(Tabelle32[[#This Row],[Device ID]],BOM!$B$3:$BQ$35,27,FALSE),"")</f>
        <v>10.120.236.50</v>
      </c>
      <c r="X80" s="59" t="str">
        <f>IFERROR(VLOOKUP(Tabelle32[[#This Row],[Device ID]],BOM!$B$3:$BQ$35,28,FALSE),"")</f>
        <v>AVCoreA</v>
      </c>
      <c r="Y80" s="59" t="str">
        <f>IFERROR(VLOOKUP(Tabelle32[[#This Row],[Device ID]],BOM!$B$3:$BQ$35,29,FALSE),"")</f>
        <v>5_36_1</v>
      </c>
      <c r="Z80" s="59" t="str">
        <f>IFERROR(VLOOKUP(Tabelle32[[#This Row],[Device ID]],BOM!$B$3:$BQ$35,30,FALSE),"")</f>
        <v>tpco-megw-vgw103.rtb.st-net.media.int</v>
      </c>
      <c r="AA80" s="59" t="str">
        <f>IFERROR(VLOOKUP(Tabelle32[[#This Row],[Device ID]],BOM!$B$3:$BQ$35,31,FALSE),"")</f>
        <v>10.120.236.54</v>
      </c>
      <c r="AB80" s="59" t="str">
        <f>IFERROR(VLOOKUP(Tabelle32[[#This Row],[Device ID]],BOM!$B$3:$BQ$35,32,FALSE),"")</f>
        <v>AVCoreB</v>
      </c>
      <c r="AC80" s="59" t="str">
        <f>IFERROR(VLOOKUP(Tabelle32[[#This Row],[Device ID]],BOM!$B$3:$BQ$35,33,FALSE),"")</f>
        <v>5_36_1</v>
      </c>
      <c r="AD80" s="59" t="str">
        <f>IFERROR(VLOOKUP(Tabelle32[[#This Row],[Device ID]],BOM!$B$3:$BQ$35,34,FALSE),"")</f>
        <v>tpco-megw-vgw103.st-net.media.int</v>
      </c>
      <c r="AE80" s="59" t="str">
        <f>IFERROR(VLOOKUP(Tabelle32[[#This Row],[Device ID]],BOM!$B$3:$BQ$35,35,FALSE),"")</f>
        <v>10.120.67.141</v>
      </c>
      <c r="AF80" s="59">
        <f>IFERROR(VLOOKUP(Tabelle32[[#This Row],[Device ID]],BOM!$B$3:$BQ$35,36,FALSE),"")</f>
        <v>0</v>
      </c>
      <c r="AG80" s="59">
        <f>IFERROR(VLOOKUP(Tabelle32[[#This Row],[Device ID]],BOM!$B$3:$BQ$35,37,FALSE),"")</f>
        <v>0</v>
      </c>
      <c r="AH80" s="59"/>
      <c r="AI80" s="59"/>
      <c r="AJ80" s="59"/>
      <c r="AK80" s="59"/>
      <c r="AL80" s="59" t="str">
        <f>IFERROR(VLOOKUP(Tabelle32[[#This Row],[Device ID]],BOM!$B$3:$BQ$35,42,FALSE),"")</f>
        <v>Imagine Communications SNP</v>
      </c>
      <c r="AM80" s="59" t="str">
        <f>IFERROR(VLOOKUP(Tabelle32[[#This Row],[Device ID]],BOM!$B$3:$BQ$35,43,FALSE),"")</f>
        <v>no</v>
      </c>
      <c r="AN80" s="59" t="str">
        <f>IFERROR(VLOOKUP(Tabelle32[[#This Row],[Device ID]],BOM!$B$3:$BQ$35,44,FALSE),"")</f>
        <v>yes</v>
      </c>
      <c r="AO80" s="59" t="str">
        <f>IFERROR(VLOOKUP(Tabelle32[[#This Row],[Device ID]],BOM!$B$3:$BQ$35,45,FALSE),"")</f>
        <v>no</v>
      </c>
      <c r="AP80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80" s="59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73" t="s">
        <v>199</v>
      </c>
      <c r="BI80" s="30" t="str">
        <f>IF(COUNTA(Tabelle32[[#This Row],[Type:Vid_1080i50]:[Type:Anc_Prot]])&gt;0,"x","")</f>
        <v/>
      </c>
      <c r="BJ80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80" s="59"/>
      <c r="BL80" s="59"/>
      <c r="BM80" s="63"/>
      <c r="BN80" s="63"/>
      <c r="BO80" s="96"/>
      <c r="BP80" s="96"/>
      <c r="BQ80" s="63">
        <f>LEN(Tabelle32[[#This Row],[Label 1
GFX-Unit]])</f>
        <v>0</v>
      </c>
      <c r="BR80" s="63"/>
      <c r="BS80" s="63"/>
      <c r="BT80" s="59"/>
      <c r="BU80" s="59"/>
      <c r="BV80" s="59" t="s">
        <v>251</v>
      </c>
      <c r="BW80" s="59" t="s">
        <v>252</v>
      </c>
      <c r="BX80" s="59" t="s">
        <v>362</v>
      </c>
      <c r="BY80" s="59">
        <v>4</v>
      </c>
    </row>
    <row r="81" spans="1:77" hidden="1" x14ac:dyDescent="0.2">
      <c r="A81" s="58" t="str">
        <f>CONCATENATE(Tabelle32[[#This Row],[Device ID]],".",Tabelle32[[#This Row],[Streamcounter]])</f>
        <v>381.04212</v>
      </c>
      <c r="B8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VGW-103_SDI04_AUDsend_0012</v>
      </c>
      <c r="C81" s="60"/>
      <c r="D81" s="61"/>
      <c r="E81" s="62"/>
      <c r="F81" s="59" t="str">
        <f>IFERROR(VLOOKUP(Tabelle32[[#This Row],[Device ID]],BOM!$B$3:$BQ$35,16,FALSE),"")</f>
        <v>MPA 421 HD2</v>
      </c>
      <c r="G81" s="63">
        <f>VLOOKUP(Tabelle32[[#This Row],[SDI Interface]],BOM!$A$4:$B$35,2,FALSE)</f>
        <v>381</v>
      </c>
      <c r="H81" s="59" t="str">
        <f>BOM!$C$4</f>
        <v>VGW-103</v>
      </c>
      <c r="I81" s="59" t="str">
        <f>IFERROR(VLOOKUP(Tabelle32[[#This Row],[Device ID]],BOM!$B$3:$BQ$35,12,FALSE),"")</f>
        <v>Videoserver</v>
      </c>
      <c r="J81" s="59" t="str">
        <f>IFERROR(VLOOKUP(Tabelle32[[#This Row],[Device ID]],BOM!$B$3:$BQ$35,13,FALSE),"")</f>
        <v>TC.U1.223 | MDC</v>
      </c>
      <c r="K81" s="59" t="str">
        <f>IFERROR(VLOOKUP(Tabelle32[[#This Row],[Device ID]],BOM!$B$3:$BQ$35,14,FALSE),"")</f>
        <v>Imagine Comunications</v>
      </c>
      <c r="L81" s="59" t="str">
        <f>IFERROR(VLOOKUP(Tabelle32[[#This Row],[Device ID]],BOM!$B$3:$BQ$35,16,FALSE),"")</f>
        <v>MPA 421 HD2</v>
      </c>
      <c r="M81" s="63" t="str">
        <f>IFERROR(VLOOKUP(Tabelle32[[#This Row],[Device ID]],BOM!$B$3:$BQ$35,17,FALSE),"")</f>
        <v>MPA 421</v>
      </c>
      <c r="N81" s="59" t="str">
        <f>IFERROR(VLOOKUP(Tabelle32[[#This Row],[Device ID]],BOM!$B$3:$BQ$35,18,FALSE),"")</f>
        <v>TC.02.296 | MPA421</v>
      </c>
      <c r="O81" s="64"/>
      <c r="P81" s="64">
        <f>IFERROR(VLOOKUP(Tabelle32[[#This Row],[Device ID]],BOM!$B$3:$BO$50,20,FALSE),"")</f>
        <v>0</v>
      </c>
      <c r="Q81" s="64">
        <f>IFERROR(VLOOKUP(Tabelle32[[#This Row],[Device ID]],BOM!$B$3:$BO$50,21,FALSE),"")</f>
        <v>1</v>
      </c>
      <c r="R81" s="64">
        <f>IFERROR(VLOOKUP(Tabelle32[[#This Row],[Device ID]],BOM!$B$3:$BO$50,22,FALSE),"")</f>
        <v>0</v>
      </c>
      <c r="S81" s="64"/>
      <c r="T81" s="64"/>
      <c r="U81" s="59" t="str">
        <f>IFERROR(VLOOKUP(Tabelle32[[#This Row],[Device ID]],BOM!$B$3:$BQ$35,25,FALSE),"")</f>
        <v>Luis/Ivo</v>
      </c>
      <c r="V81" s="59" t="str">
        <f>IFERROR(VLOOKUP(Tabelle32[[#This Row],[Device ID]],BOM!$B$3:$BQ$35,26,FALSE),"")</f>
        <v>tpco-megw-vgw103.rta.st-net.media.int</v>
      </c>
      <c r="W81" s="59" t="str">
        <f>IFERROR(VLOOKUP(Tabelle32[[#This Row],[Device ID]],BOM!$B$3:$BQ$35,27,FALSE),"")</f>
        <v>10.120.236.50</v>
      </c>
      <c r="X81" s="59" t="str">
        <f>IFERROR(VLOOKUP(Tabelle32[[#This Row],[Device ID]],BOM!$B$3:$BQ$35,28,FALSE),"")</f>
        <v>AVCoreA</v>
      </c>
      <c r="Y81" s="59" t="str">
        <f>IFERROR(VLOOKUP(Tabelle32[[#This Row],[Device ID]],BOM!$B$3:$BQ$35,29,FALSE),"")</f>
        <v>5_36_1</v>
      </c>
      <c r="Z81" s="59" t="str">
        <f>IFERROR(VLOOKUP(Tabelle32[[#This Row],[Device ID]],BOM!$B$3:$BQ$35,30,FALSE),"")</f>
        <v>tpco-megw-vgw103.rtb.st-net.media.int</v>
      </c>
      <c r="AA81" s="59" t="str">
        <f>IFERROR(VLOOKUP(Tabelle32[[#This Row],[Device ID]],BOM!$B$3:$BQ$35,31,FALSE),"")</f>
        <v>10.120.236.54</v>
      </c>
      <c r="AB81" s="59" t="str">
        <f>IFERROR(VLOOKUP(Tabelle32[[#This Row],[Device ID]],BOM!$B$3:$BQ$35,32,FALSE),"")</f>
        <v>AVCoreB</v>
      </c>
      <c r="AC81" s="59" t="str">
        <f>IFERROR(VLOOKUP(Tabelle32[[#This Row],[Device ID]],BOM!$B$3:$BQ$35,33,FALSE),"")</f>
        <v>5_36_1</v>
      </c>
      <c r="AD81" s="59" t="str">
        <f>IFERROR(VLOOKUP(Tabelle32[[#This Row],[Device ID]],BOM!$B$3:$BQ$35,34,FALSE),"")</f>
        <v>tpco-megw-vgw103.st-net.media.int</v>
      </c>
      <c r="AE81" s="59" t="str">
        <f>IFERROR(VLOOKUP(Tabelle32[[#This Row],[Device ID]],BOM!$B$3:$BQ$35,35,FALSE),"")</f>
        <v>10.120.67.141</v>
      </c>
      <c r="AF81" s="59">
        <f>IFERROR(VLOOKUP(Tabelle32[[#This Row],[Device ID]],BOM!$B$3:$BQ$35,36,FALSE),"")</f>
        <v>0</v>
      </c>
      <c r="AG81" s="59">
        <f>IFERROR(VLOOKUP(Tabelle32[[#This Row],[Device ID]],BOM!$B$3:$BQ$35,37,FALSE),"")</f>
        <v>0</v>
      </c>
      <c r="AH81" s="59"/>
      <c r="AI81" s="59"/>
      <c r="AJ81" s="59"/>
      <c r="AK81" s="59"/>
      <c r="AL81" s="59" t="str">
        <f>IFERROR(VLOOKUP(Tabelle32[[#This Row],[Device ID]],BOM!$B$3:$BQ$35,42,FALSE),"")</f>
        <v>Imagine Communications SNP</v>
      </c>
      <c r="AM81" s="59" t="str">
        <f>IFERROR(VLOOKUP(Tabelle32[[#This Row],[Device ID]],BOM!$B$3:$BQ$35,43,FALSE),"")</f>
        <v>no</v>
      </c>
      <c r="AN81" s="59" t="str">
        <f>IFERROR(VLOOKUP(Tabelle32[[#This Row],[Device ID]],BOM!$B$3:$BQ$35,44,FALSE),"")</f>
        <v>yes</v>
      </c>
      <c r="AO81" s="59" t="str">
        <f>IFERROR(VLOOKUP(Tabelle32[[#This Row],[Device ID]],BOM!$B$3:$BQ$35,45,FALSE),"")</f>
        <v>no</v>
      </c>
      <c r="AP81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81" s="59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73" t="s">
        <v>199</v>
      </c>
      <c r="BI81" s="30" t="str">
        <f>IF(COUNTA(Tabelle32[[#This Row],[Type:Vid_1080i50]:[Type:Anc_Prot]])&gt;0,"x","")</f>
        <v/>
      </c>
      <c r="BJ81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81" s="59"/>
      <c r="BL81" s="59"/>
      <c r="BM81" s="63"/>
      <c r="BN81" s="63"/>
      <c r="BO81" s="96"/>
      <c r="BP81" s="96"/>
      <c r="BQ81" s="63">
        <f>LEN(Tabelle32[[#This Row],[Label 1
GFX-Unit]])</f>
        <v>0</v>
      </c>
      <c r="BR81" s="63"/>
      <c r="BS81" s="63"/>
      <c r="BT81" s="59"/>
      <c r="BU81" s="59"/>
      <c r="BV81" s="59" t="s">
        <v>254</v>
      </c>
      <c r="BW81" s="59" t="s">
        <v>255</v>
      </c>
      <c r="BX81" s="59" t="s">
        <v>363</v>
      </c>
      <c r="BY81" s="59">
        <v>4</v>
      </c>
    </row>
    <row r="82" spans="1:77" hidden="1" x14ac:dyDescent="0.2">
      <c r="A82" s="58" t="str">
        <f>CONCATENATE(Tabelle32[[#This Row],[Device ID]],".",Tabelle32[[#This Row],[Streamcounter]])</f>
        <v>381.04213</v>
      </c>
      <c r="B8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VGW-103_SDI04_AUDsend_0013</v>
      </c>
      <c r="C82" s="60"/>
      <c r="D82" s="61"/>
      <c r="E82" s="62"/>
      <c r="F82" s="59" t="str">
        <f>IFERROR(VLOOKUP(Tabelle32[[#This Row],[Device ID]],BOM!$B$3:$BQ$35,16,FALSE),"")</f>
        <v>MPA 421 HD2</v>
      </c>
      <c r="G82" s="63">
        <f>VLOOKUP(Tabelle32[[#This Row],[SDI Interface]],BOM!$A$4:$B$35,2,FALSE)</f>
        <v>381</v>
      </c>
      <c r="H82" s="59" t="str">
        <f>BOM!$C$4</f>
        <v>VGW-103</v>
      </c>
      <c r="I82" s="59" t="str">
        <f>IFERROR(VLOOKUP(Tabelle32[[#This Row],[Device ID]],BOM!$B$3:$BQ$35,12,FALSE),"")</f>
        <v>Videoserver</v>
      </c>
      <c r="J82" s="59" t="str">
        <f>IFERROR(VLOOKUP(Tabelle32[[#This Row],[Device ID]],BOM!$B$3:$BQ$35,13,FALSE),"")</f>
        <v>TC.U1.223 | MDC</v>
      </c>
      <c r="K82" s="59" t="str">
        <f>IFERROR(VLOOKUP(Tabelle32[[#This Row],[Device ID]],BOM!$B$3:$BQ$35,14,FALSE),"")</f>
        <v>Imagine Comunications</v>
      </c>
      <c r="L82" s="59" t="str">
        <f>IFERROR(VLOOKUP(Tabelle32[[#This Row],[Device ID]],BOM!$B$3:$BQ$35,16,FALSE),"")</f>
        <v>MPA 421 HD2</v>
      </c>
      <c r="M82" s="63" t="str">
        <f>IFERROR(VLOOKUP(Tabelle32[[#This Row],[Device ID]],BOM!$B$3:$BQ$35,17,FALSE),"")</f>
        <v>MPA 421</v>
      </c>
      <c r="N82" s="59" t="str">
        <f>IFERROR(VLOOKUP(Tabelle32[[#This Row],[Device ID]],BOM!$B$3:$BQ$35,18,FALSE),"")</f>
        <v>TC.02.296 | MPA421</v>
      </c>
      <c r="O82" s="64"/>
      <c r="P82" s="64">
        <f>IFERROR(VLOOKUP(Tabelle32[[#This Row],[Device ID]],BOM!$B$3:$BO$50,20,FALSE),"")</f>
        <v>0</v>
      </c>
      <c r="Q82" s="64">
        <f>IFERROR(VLOOKUP(Tabelle32[[#This Row],[Device ID]],BOM!$B$3:$BO$50,21,FALSE),"")</f>
        <v>1</v>
      </c>
      <c r="R82" s="64">
        <f>IFERROR(VLOOKUP(Tabelle32[[#This Row],[Device ID]],BOM!$B$3:$BO$50,22,FALSE),"")</f>
        <v>0</v>
      </c>
      <c r="S82" s="64"/>
      <c r="T82" s="64"/>
      <c r="U82" s="59" t="str">
        <f>IFERROR(VLOOKUP(Tabelle32[[#This Row],[Device ID]],BOM!$B$3:$BQ$35,25,FALSE),"")</f>
        <v>Luis/Ivo</v>
      </c>
      <c r="V82" s="59" t="str">
        <f>IFERROR(VLOOKUP(Tabelle32[[#This Row],[Device ID]],BOM!$B$3:$BQ$35,26,FALSE),"")</f>
        <v>tpco-megw-vgw103.rta.st-net.media.int</v>
      </c>
      <c r="W82" s="59" t="str">
        <f>IFERROR(VLOOKUP(Tabelle32[[#This Row],[Device ID]],BOM!$B$3:$BQ$35,27,FALSE),"")</f>
        <v>10.120.236.50</v>
      </c>
      <c r="X82" s="59" t="str">
        <f>IFERROR(VLOOKUP(Tabelle32[[#This Row],[Device ID]],BOM!$B$3:$BQ$35,28,FALSE),"")</f>
        <v>AVCoreA</v>
      </c>
      <c r="Y82" s="59" t="str">
        <f>IFERROR(VLOOKUP(Tabelle32[[#This Row],[Device ID]],BOM!$B$3:$BQ$35,29,FALSE),"")</f>
        <v>5_36_1</v>
      </c>
      <c r="Z82" s="59" t="str">
        <f>IFERROR(VLOOKUP(Tabelle32[[#This Row],[Device ID]],BOM!$B$3:$BQ$35,30,FALSE),"")</f>
        <v>tpco-megw-vgw103.rtb.st-net.media.int</v>
      </c>
      <c r="AA82" s="59" t="str">
        <f>IFERROR(VLOOKUP(Tabelle32[[#This Row],[Device ID]],BOM!$B$3:$BQ$35,31,FALSE),"")</f>
        <v>10.120.236.54</v>
      </c>
      <c r="AB82" s="59" t="str">
        <f>IFERROR(VLOOKUP(Tabelle32[[#This Row],[Device ID]],BOM!$B$3:$BQ$35,32,FALSE),"")</f>
        <v>AVCoreB</v>
      </c>
      <c r="AC82" s="59" t="str">
        <f>IFERROR(VLOOKUP(Tabelle32[[#This Row],[Device ID]],BOM!$B$3:$BQ$35,33,FALSE),"")</f>
        <v>5_36_1</v>
      </c>
      <c r="AD82" s="59" t="str">
        <f>IFERROR(VLOOKUP(Tabelle32[[#This Row],[Device ID]],BOM!$B$3:$BQ$35,34,FALSE),"")</f>
        <v>tpco-megw-vgw103.st-net.media.int</v>
      </c>
      <c r="AE82" s="59" t="str">
        <f>IFERROR(VLOOKUP(Tabelle32[[#This Row],[Device ID]],BOM!$B$3:$BQ$35,35,FALSE),"")</f>
        <v>10.120.67.141</v>
      </c>
      <c r="AF82" s="59">
        <f>IFERROR(VLOOKUP(Tabelle32[[#This Row],[Device ID]],BOM!$B$3:$BQ$35,36,FALSE),"")</f>
        <v>0</v>
      </c>
      <c r="AG82" s="59">
        <f>IFERROR(VLOOKUP(Tabelle32[[#This Row],[Device ID]],BOM!$B$3:$BQ$35,37,FALSE),"")</f>
        <v>0</v>
      </c>
      <c r="AH82" s="59"/>
      <c r="AI82" s="59"/>
      <c r="AJ82" s="59"/>
      <c r="AK82" s="59"/>
      <c r="AL82" s="59" t="str">
        <f>IFERROR(VLOOKUP(Tabelle32[[#This Row],[Device ID]],BOM!$B$3:$BQ$35,42,FALSE),"")</f>
        <v>Imagine Communications SNP</v>
      </c>
      <c r="AM82" s="59" t="str">
        <f>IFERROR(VLOOKUP(Tabelle32[[#This Row],[Device ID]],BOM!$B$3:$BQ$35,43,FALSE),"")</f>
        <v>no</v>
      </c>
      <c r="AN82" s="59" t="str">
        <f>IFERROR(VLOOKUP(Tabelle32[[#This Row],[Device ID]],BOM!$B$3:$BQ$35,44,FALSE),"")</f>
        <v>yes</v>
      </c>
      <c r="AO82" s="59" t="str">
        <f>IFERROR(VLOOKUP(Tabelle32[[#This Row],[Device ID]],BOM!$B$3:$BQ$35,45,FALSE),"")</f>
        <v>no</v>
      </c>
      <c r="AP82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82" s="59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73" t="s">
        <v>199</v>
      </c>
      <c r="BI82" s="30" t="str">
        <f>IF(COUNTA(Tabelle32[[#This Row],[Type:Vid_1080i50]:[Type:Anc_Prot]])&gt;0,"x","")</f>
        <v/>
      </c>
      <c r="BJ82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82" s="59"/>
      <c r="BL82" s="59"/>
      <c r="BM82" s="63"/>
      <c r="BN82" s="63"/>
      <c r="BO82" s="96"/>
      <c r="BP82" s="96"/>
      <c r="BQ82" s="63">
        <f>LEN(Tabelle32[[#This Row],[Label 1
GFX-Unit]])</f>
        <v>0</v>
      </c>
      <c r="BR82" s="63"/>
      <c r="BS82" s="63"/>
      <c r="BT82" s="59"/>
      <c r="BU82" s="59"/>
      <c r="BV82" s="59" t="s">
        <v>257</v>
      </c>
      <c r="BW82" s="59" t="s">
        <v>258</v>
      </c>
      <c r="BX82" s="59" t="s">
        <v>364</v>
      </c>
      <c r="BY82" s="59">
        <v>4</v>
      </c>
    </row>
    <row r="83" spans="1:77" hidden="1" x14ac:dyDescent="0.2">
      <c r="A83" s="58" t="str">
        <f>CONCATENATE(Tabelle32[[#This Row],[Device ID]],".",Tabelle32[[#This Row],[Streamcounter]])</f>
        <v>381.04214</v>
      </c>
      <c r="B8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VGW-103_SDI04_AUDsend_0014</v>
      </c>
      <c r="C83" s="60"/>
      <c r="D83" s="61"/>
      <c r="E83" s="62"/>
      <c r="F83" s="59" t="str">
        <f>IFERROR(VLOOKUP(Tabelle32[[#This Row],[Device ID]],BOM!$B$3:$BQ$35,16,FALSE),"")</f>
        <v>MPA 421 HD2</v>
      </c>
      <c r="G83" s="63">
        <f>VLOOKUP(Tabelle32[[#This Row],[SDI Interface]],BOM!$A$4:$B$35,2,FALSE)</f>
        <v>381</v>
      </c>
      <c r="H83" s="59" t="str">
        <f>BOM!$C$4</f>
        <v>VGW-103</v>
      </c>
      <c r="I83" s="59" t="str">
        <f>IFERROR(VLOOKUP(Tabelle32[[#This Row],[Device ID]],BOM!$B$3:$BQ$35,12,FALSE),"")</f>
        <v>Videoserver</v>
      </c>
      <c r="J83" s="59" t="str">
        <f>IFERROR(VLOOKUP(Tabelle32[[#This Row],[Device ID]],BOM!$B$3:$BQ$35,13,FALSE),"")</f>
        <v>TC.U1.223 | MDC</v>
      </c>
      <c r="K83" s="59" t="str">
        <f>IFERROR(VLOOKUP(Tabelle32[[#This Row],[Device ID]],BOM!$B$3:$BQ$35,14,FALSE),"")</f>
        <v>Imagine Comunications</v>
      </c>
      <c r="L83" s="59" t="str">
        <f>IFERROR(VLOOKUP(Tabelle32[[#This Row],[Device ID]],BOM!$B$3:$BQ$35,16,FALSE),"")</f>
        <v>MPA 421 HD2</v>
      </c>
      <c r="M83" s="63" t="str">
        <f>IFERROR(VLOOKUP(Tabelle32[[#This Row],[Device ID]],BOM!$B$3:$BQ$35,17,FALSE),"")</f>
        <v>MPA 421</v>
      </c>
      <c r="N83" s="59" t="str">
        <f>IFERROR(VLOOKUP(Tabelle32[[#This Row],[Device ID]],BOM!$B$3:$BQ$35,18,FALSE),"")</f>
        <v>TC.02.296 | MPA421</v>
      </c>
      <c r="O83" s="64"/>
      <c r="P83" s="64">
        <f>IFERROR(VLOOKUP(Tabelle32[[#This Row],[Device ID]],BOM!$B$3:$BO$50,20,FALSE),"")</f>
        <v>0</v>
      </c>
      <c r="Q83" s="64">
        <f>IFERROR(VLOOKUP(Tabelle32[[#This Row],[Device ID]],BOM!$B$3:$BO$50,21,FALSE),"")</f>
        <v>1</v>
      </c>
      <c r="R83" s="64">
        <f>IFERROR(VLOOKUP(Tabelle32[[#This Row],[Device ID]],BOM!$B$3:$BO$50,22,FALSE),"")</f>
        <v>0</v>
      </c>
      <c r="S83" s="64"/>
      <c r="T83" s="64"/>
      <c r="U83" s="59" t="str">
        <f>IFERROR(VLOOKUP(Tabelle32[[#This Row],[Device ID]],BOM!$B$3:$BQ$35,25,FALSE),"")</f>
        <v>Luis/Ivo</v>
      </c>
      <c r="V83" s="59" t="str">
        <f>IFERROR(VLOOKUP(Tabelle32[[#This Row],[Device ID]],BOM!$B$3:$BQ$35,26,FALSE),"")</f>
        <v>tpco-megw-vgw103.rta.st-net.media.int</v>
      </c>
      <c r="W83" s="59" t="str">
        <f>IFERROR(VLOOKUP(Tabelle32[[#This Row],[Device ID]],BOM!$B$3:$BQ$35,27,FALSE),"")</f>
        <v>10.120.236.50</v>
      </c>
      <c r="X83" s="59" t="str">
        <f>IFERROR(VLOOKUP(Tabelle32[[#This Row],[Device ID]],BOM!$B$3:$BQ$35,28,FALSE),"")</f>
        <v>AVCoreA</v>
      </c>
      <c r="Y83" s="59" t="str">
        <f>IFERROR(VLOOKUP(Tabelle32[[#This Row],[Device ID]],BOM!$B$3:$BQ$35,29,FALSE),"")</f>
        <v>5_36_1</v>
      </c>
      <c r="Z83" s="59" t="str">
        <f>IFERROR(VLOOKUP(Tabelle32[[#This Row],[Device ID]],BOM!$B$3:$BQ$35,30,FALSE),"")</f>
        <v>tpco-megw-vgw103.rtb.st-net.media.int</v>
      </c>
      <c r="AA83" s="59" t="str">
        <f>IFERROR(VLOOKUP(Tabelle32[[#This Row],[Device ID]],BOM!$B$3:$BQ$35,31,FALSE),"")</f>
        <v>10.120.236.54</v>
      </c>
      <c r="AB83" s="59" t="str">
        <f>IFERROR(VLOOKUP(Tabelle32[[#This Row],[Device ID]],BOM!$B$3:$BQ$35,32,FALSE),"")</f>
        <v>AVCoreB</v>
      </c>
      <c r="AC83" s="59" t="str">
        <f>IFERROR(VLOOKUP(Tabelle32[[#This Row],[Device ID]],BOM!$B$3:$BQ$35,33,FALSE),"")</f>
        <v>5_36_1</v>
      </c>
      <c r="AD83" s="59" t="str">
        <f>IFERROR(VLOOKUP(Tabelle32[[#This Row],[Device ID]],BOM!$B$3:$BQ$35,34,FALSE),"")</f>
        <v>tpco-megw-vgw103.st-net.media.int</v>
      </c>
      <c r="AE83" s="59" t="str">
        <f>IFERROR(VLOOKUP(Tabelle32[[#This Row],[Device ID]],BOM!$B$3:$BQ$35,35,FALSE),"")</f>
        <v>10.120.67.141</v>
      </c>
      <c r="AF83" s="59">
        <f>IFERROR(VLOOKUP(Tabelle32[[#This Row],[Device ID]],BOM!$B$3:$BQ$35,36,FALSE),"")</f>
        <v>0</v>
      </c>
      <c r="AG83" s="59">
        <f>IFERROR(VLOOKUP(Tabelle32[[#This Row],[Device ID]],BOM!$B$3:$BQ$35,37,FALSE),"")</f>
        <v>0</v>
      </c>
      <c r="AH83" s="59"/>
      <c r="AI83" s="59"/>
      <c r="AJ83" s="59"/>
      <c r="AK83" s="59"/>
      <c r="AL83" s="59" t="str">
        <f>IFERROR(VLOOKUP(Tabelle32[[#This Row],[Device ID]],BOM!$B$3:$BQ$35,42,FALSE),"")</f>
        <v>Imagine Communications SNP</v>
      </c>
      <c r="AM83" s="59" t="str">
        <f>IFERROR(VLOOKUP(Tabelle32[[#This Row],[Device ID]],BOM!$B$3:$BQ$35,43,FALSE),"")</f>
        <v>no</v>
      </c>
      <c r="AN83" s="59" t="str">
        <f>IFERROR(VLOOKUP(Tabelle32[[#This Row],[Device ID]],BOM!$B$3:$BQ$35,44,FALSE),"")</f>
        <v>yes</v>
      </c>
      <c r="AO83" s="59" t="str">
        <f>IFERROR(VLOOKUP(Tabelle32[[#This Row],[Device ID]],BOM!$B$3:$BQ$35,45,FALSE),"")</f>
        <v>no</v>
      </c>
      <c r="AP83" s="59" t="str">
        <f>IFERROR(CONCATENATE(Tabelle32[[#This Row],[Family
GFX-Unit]]," | ",Tabelle32[[#This Row],[Label 1
GFX-Unit]]," | ",Tabelle32[[#This Row],[Attached Device if Gateway]]),"")</f>
        <v xml:space="preserve"> |  | MPA 421 HD2</v>
      </c>
      <c r="AQ83" s="59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73" t="s">
        <v>199</v>
      </c>
      <c r="BI83" s="30" t="str">
        <f>IF(COUNTA(Tabelle32[[#This Row],[Type:Vid_1080i50]:[Type:Anc_Prot]])&gt;0,"x","")</f>
        <v/>
      </c>
      <c r="BJ83" s="9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83" s="59"/>
      <c r="BL83" s="59"/>
      <c r="BM83" s="63"/>
      <c r="BN83" s="63"/>
      <c r="BO83" s="96"/>
      <c r="BP83" s="96"/>
      <c r="BQ83" s="63">
        <f>LEN(Tabelle32[[#This Row],[Label 1
GFX-Unit]])</f>
        <v>0</v>
      </c>
      <c r="BR83" s="63"/>
      <c r="BS83" s="63"/>
      <c r="BT83" s="59"/>
      <c r="BU83" s="59"/>
      <c r="BV83" s="59" t="s">
        <v>260</v>
      </c>
      <c r="BW83" s="59" t="s">
        <v>261</v>
      </c>
      <c r="BX83" s="59" t="s">
        <v>365</v>
      </c>
      <c r="BY83" s="59">
        <v>4</v>
      </c>
    </row>
    <row r="84" spans="1:77" x14ac:dyDescent="0.2">
      <c r="A84" s="58" t="str">
        <f>CONCATENATE(Tabelle32[[#This Row],[Device ID]],".",Tabelle32[[#This Row],[Streamcounter]])</f>
        <v>381.04215</v>
      </c>
      <c r="B8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VGW-103_SDI04_AUDsend_0015</v>
      </c>
      <c r="C84" s="60"/>
      <c r="D84" s="61"/>
      <c r="E84" s="62"/>
      <c r="F84" s="59" t="str">
        <f>IFERROR(VLOOKUP(Tabelle32[[#This Row],[Device ID]],BOM!$B$3:$BQ$35,16,FALSE),"")</f>
        <v>MPA 421 HD2</v>
      </c>
      <c r="G84" s="63">
        <f>VLOOKUP(Tabelle32[[#This Row],[SDI Interface]],BOM!$A$4:$B$35,2,FALSE)</f>
        <v>381</v>
      </c>
      <c r="H84" s="59" t="str">
        <f>BOM!$C$4</f>
        <v>VGW-103</v>
      </c>
      <c r="I84" s="59" t="str">
        <f>IFERROR(VLOOKUP(Tabelle32[[#This Row],[Device ID]],BOM!$B$3:$BQ$35,12,FALSE),"")</f>
        <v>Videoserver</v>
      </c>
      <c r="J84" s="59" t="str">
        <f>IFERROR(VLOOKUP(Tabelle32[[#This Row],[Device ID]],BOM!$B$3:$BQ$35,13,FALSE),"")</f>
        <v>TC.U1.223 | MDC</v>
      </c>
      <c r="K84" s="59" t="str">
        <f>IFERROR(VLOOKUP(Tabelle32[[#This Row],[Device ID]],BOM!$B$3:$BQ$35,14,FALSE),"")</f>
        <v>Imagine Comunications</v>
      </c>
      <c r="L84" s="59" t="str">
        <f>IFERROR(VLOOKUP(Tabelle32[[#This Row],[Device ID]],BOM!$B$3:$BQ$35,16,FALSE),"")</f>
        <v>MPA 421 HD2</v>
      </c>
      <c r="M84" s="63" t="str">
        <f>IFERROR(VLOOKUP(Tabelle32[[#This Row],[Device ID]],BOM!$B$3:$BQ$35,17,FALSE),"")</f>
        <v>MPA 421</v>
      </c>
      <c r="N84" s="59" t="str">
        <f>IFERROR(VLOOKUP(Tabelle32[[#This Row],[Device ID]],BOM!$B$3:$BQ$35,18,FALSE),"")</f>
        <v>TC.02.296 | MPA421</v>
      </c>
      <c r="O84" s="64"/>
      <c r="P84" s="64">
        <f>IFERROR(VLOOKUP(Tabelle32[[#This Row],[Device ID]],BOM!$B$3:$BO$50,20,FALSE),"")</f>
        <v>0</v>
      </c>
      <c r="Q84" s="64">
        <f>IFERROR(VLOOKUP(Tabelle32[[#This Row],[Device ID]],BOM!$B$3:$BO$50,21,FALSE),"")</f>
        <v>1</v>
      </c>
      <c r="R84" s="64">
        <f>IFERROR(VLOOKUP(Tabelle32[[#This Row],[Device ID]],BOM!$B$3:$BO$50,22,FALSE),"")</f>
        <v>0</v>
      </c>
      <c r="S84" s="64"/>
      <c r="T84" s="64"/>
      <c r="U84" s="59" t="str">
        <f>IFERROR(VLOOKUP(Tabelle32[[#This Row],[Device ID]],BOM!$B$3:$BQ$35,25,FALSE),"")</f>
        <v>Luis/Ivo</v>
      </c>
      <c r="V84" s="59" t="str">
        <f>IFERROR(VLOOKUP(Tabelle32[[#This Row],[Device ID]],BOM!$B$3:$BQ$35,26,FALSE),"")</f>
        <v>tpco-megw-vgw103.rta.st-net.media.int</v>
      </c>
      <c r="W84" s="59" t="str">
        <f>IFERROR(VLOOKUP(Tabelle32[[#This Row],[Device ID]],BOM!$B$3:$BQ$35,27,FALSE),"")</f>
        <v>10.120.236.50</v>
      </c>
      <c r="X84" s="59" t="str">
        <f>IFERROR(VLOOKUP(Tabelle32[[#This Row],[Device ID]],BOM!$B$3:$BQ$35,28,FALSE),"")</f>
        <v>AVCoreA</v>
      </c>
      <c r="Y84" s="59" t="str">
        <f>IFERROR(VLOOKUP(Tabelle32[[#This Row],[Device ID]],BOM!$B$3:$BQ$35,29,FALSE),"")</f>
        <v>5_36_1</v>
      </c>
      <c r="Z84" s="59" t="str">
        <f>IFERROR(VLOOKUP(Tabelle32[[#This Row],[Device ID]],BOM!$B$3:$BQ$35,30,FALSE),"")</f>
        <v>tpco-megw-vgw103.rtb.st-net.media.int</v>
      </c>
      <c r="AA84" s="59" t="str">
        <f>IFERROR(VLOOKUP(Tabelle32[[#This Row],[Device ID]],BOM!$B$3:$BQ$35,31,FALSE),"")</f>
        <v>10.120.236.54</v>
      </c>
      <c r="AB84" s="59" t="str">
        <f>IFERROR(VLOOKUP(Tabelle32[[#This Row],[Device ID]],BOM!$B$3:$BQ$35,32,FALSE),"")</f>
        <v>AVCoreB</v>
      </c>
      <c r="AC84" s="59" t="str">
        <f>IFERROR(VLOOKUP(Tabelle32[[#This Row],[Device ID]],BOM!$B$3:$BQ$35,33,FALSE),"")</f>
        <v>5_36_1</v>
      </c>
      <c r="AD84" s="59" t="str">
        <f>IFERROR(VLOOKUP(Tabelle32[[#This Row],[Device ID]],BOM!$B$3:$BQ$35,34,FALSE),"")</f>
        <v>tpco-megw-vgw103.st-net.media.int</v>
      </c>
      <c r="AE84" s="59" t="str">
        <f>IFERROR(VLOOKUP(Tabelle32[[#This Row],[Device ID]],BOM!$B$3:$BQ$35,35,FALSE),"")</f>
        <v>10.120.67.141</v>
      </c>
      <c r="AF84" s="59">
        <f>IFERROR(VLOOKUP(Tabelle32[[#This Row],[Device ID]],BOM!$B$3:$BQ$35,36,FALSE),"")</f>
        <v>0</v>
      </c>
      <c r="AG84" s="59">
        <f>IFERROR(VLOOKUP(Tabelle32[[#This Row],[Device ID]],BOM!$B$3:$BQ$35,37,FALSE),"")</f>
        <v>0</v>
      </c>
      <c r="AH84" s="59"/>
      <c r="AI84" s="59"/>
      <c r="AJ84" s="59"/>
      <c r="AK84" s="59"/>
      <c r="AL84" s="59" t="str">
        <f>IFERROR(VLOOKUP(Tabelle32[[#This Row],[Device ID]],BOM!$B$3:$BQ$35,42,FALSE),"")</f>
        <v>Imagine Communications SNP</v>
      </c>
      <c r="AM84" s="59" t="str">
        <f>IFERROR(VLOOKUP(Tabelle32[[#This Row],[Device ID]],BOM!$B$3:$BQ$35,43,FALSE),"")</f>
        <v>no</v>
      </c>
      <c r="AN84" s="59" t="str">
        <f>IFERROR(VLOOKUP(Tabelle32[[#This Row],[Device ID]],BOM!$B$3:$BQ$35,44,FALSE),"")</f>
        <v>yes</v>
      </c>
      <c r="AO84" s="59" t="str">
        <f>IFERROR(VLOOKUP(Tabelle32[[#This Row],[Device ID]],BOM!$B$3:$BQ$35,45,FALSE),"")</f>
        <v>no</v>
      </c>
      <c r="AP84" s="59" t="str">
        <f>IFERROR(CONCATENATE(Tabelle32[[#This Row],[Family
GFX-Unit]]," | ",Tabelle32[[#This Row],[Label 1
GFX-Unit]]," | ",Tabelle32[[#This Row],[Attached Device if Gateway]]),"")</f>
        <v>PLAYOUT MPA421 | HD2-015 | MPA 421 HD2</v>
      </c>
      <c r="AQ84" s="59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 t="s">
        <v>97</v>
      </c>
      <c r="BE84" s="90"/>
      <c r="BF84" s="90"/>
      <c r="BG84" s="90"/>
      <c r="BH84" s="73" t="s">
        <v>199</v>
      </c>
      <c r="BI84" s="30" t="str">
        <f>IF(COUNTA(Tabelle32[[#This Row],[Type:Vid_1080i50]:[Type:Anc_Prot]])&gt;0,"x","")</f>
        <v>x</v>
      </c>
      <c r="BJ8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84" s="59"/>
      <c r="BL84" s="59"/>
      <c r="BM84" s="63"/>
      <c r="BN84" s="63"/>
      <c r="BO84" s="97" t="s">
        <v>307</v>
      </c>
      <c r="BP84" s="97" t="s">
        <v>366</v>
      </c>
      <c r="BQ84" s="63">
        <f>LEN(Tabelle32[[#This Row],[Label 1
GFX-Unit]])</f>
        <v>7</v>
      </c>
      <c r="BR84" s="63"/>
      <c r="BS84" s="63"/>
      <c r="BT84" s="59"/>
      <c r="BU84" s="59"/>
      <c r="BV84" s="59" t="s">
        <v>264</v>
      </c>
      <c r="BW84" s="59" t="s">
        <v>265</v>
      </c>
      <c r="BX84" s="59" t="s">
        <v>367</v>
      </c>
      <c r="BY84" s="59">
        <v>4</v>
      </c>
    </row>
    <row r="85" spans="1:77" x14ac:dyDescent="0.2">
      <c r="A85" s="58" t="str">
        <f>CONCATENATE(Tabelle32[[#This Row],[Device ID]],".",Tabelle32[[#This Row],[Streamcounter]])</f>
        <v>381.04216</v>
      </c>
      <c r="B8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VGW-103_SDI04_AUDsend_0016</v>
      </c>
      <c r="C85" s="60"/>
      <c r="D85" s="61"/>
      <c r="E85" s="62"/>
      <c r="F85" s="59" t="str">
        <f>IFERROR(VLOOKUP(Tabelle32[[#This Row],[Device ID]],BOM!$B$3:$BQ$35,16,FALSE),"")</f>
        <v>MPA 421 HD2</v>
      </c>
      <c r="G85" s="63">
        <f>VLOOKUP(Tabelle32[[#This Row],[SDI Interface]],BOM!$A$4:$B$35,2,FALSE)</f>
        <v>381</v>
      </c>
      <c r="H85" s="59" t="str">
        <f>BOM!$C$4</f>
        <v>VGW-103</v>
      </c>
      <c r="I85" s="59" t="str">
        <f>IFERROR(VLOOKUP(Tabelle32[[#This Row],[Device ID]],BOM!$B$3:$BQ$35,12,FALSE),"")</f>
        <v>Videoserver</v>
      </c>
      <c r="J85" s="59" t="str">
        <f>IFERROR(VLOOKUP(Tabelle32[[#This Row],[Device ID]],BOM!$B$3:$BQ$35,13,FALSE),"")</f>
        <v>TC.U1.223 | MDC</v>
      </c>
      <c r="K85" s="59" t="str">
        <f>IFERROR(VLOOKUP(Tabelle32[[#This Row],[Device ID]],BOM!$B$3:$BQ$35,14,FALSE),"")</f>
        <v>Imagine Comunications</v>
      </c>
      <c r="L85" s="59" t="str">
        <f>IFERROR(VLOOKUP(Tabelle32[[#This Row],[Device ID]],BOM!$B$3:$BQ$35,16,FALSE),"")</f>
        <v>MPA 421 HD2</v>
      </c>
      <c r="M85" s="63" t="str">
        <f>IFERROR(VLOOKUP(Tabelle32[[#This Row],[Device ID]],BOM!$B$3:$BQ$35,17,FALSE),"")</f>
        <v>MPA 421</v>
      </c>
      <c r="N85" s="59" t="str">
        <f>IFERROR(VLOOKUP(Tabelle32[[#This Row],[Device ID]],BOM!$B$3:$BQ$35,18,FALSE),"")</f>
        <v>TC.02.296 | MPA421</v>
      </c>
      <c r="O85" s="64"/>
      <c r="P85" s="64">
        <f>IFERROR(VLOOKUP(Tabelle32[[#This Row],[Device ID]],BOM!$B$3:$BO$50,20,FALSE),"")</f>
        <v>0</v>
      </c>
      <c r="Q85" s="64">
        <f>IFERROR(VLOOKUP(Tabelle32[[#This Row],[Device ID]],BOM!$B$3:$BO$50,21,FALSE),"")</f>
        <v>1</v>
      </c>
      <c r="R85" s="64">
        <f>IFERROR(VLOOKUP(Tabelle32[[#This Row],[Device ID]],BOM!$B$3:$BO$50,22,FALSE),"")</f>
        <v>0</v>
      </c>
      <c r="S85" s="64"/>
      <c r="T85" s="64"/>
      <c r="U85" s="59" t="str">
        <f>IFERROR(VLOOKUP(Tabelle32[[#This Row],[Device ID]],BOM!$B$3:$BQ$35,25,FALSE),"")</f>
        <v>Luis/Ivo</v>
      </c>
      <c r="V85" s="59" t="str">
        <f>IFERROR(VLOOKUP(Tabelle32[[#This Row],[Device ID]],BOM!$B$3:$BQ$35,26,FALSE),"")</f>
        <v>tpco-megw-vgw103.rta.st-net.media.int</v>
      </c>
      <c r="W85" s="59" t="str">
        <f>IFERROR(VLOOKUP(Tabelle32[[#This Row],[Device ID]],BOM!$B$3:$BQ$35,27,FALSE),"")</f>
        <v>10.120.236.50</v>
      </c>
      <c r="X85" s="59" t="str">
        <f>IFERROR(VLOOKUP(Tabelle32[[#This Row],[Device ID]],BOM!$B$3:$BQ$35,28,FALSE),"")</f>
        <v>AVCoreA</v>
      </c>
      <c r="Y85" s="59" t="str">
        <f>IFERROR(VLOOKUP(Tabelle32[[#This Row],[Device ID]],BOM!$B$3:$BQ$35,29,FALSE),"")</f>
        <v>5_36_1</v>
      </c>
      <c r="Z85" s="59" t="str">
        <f>IFERROR(VLOOKUP(Tabelle32[[#This Row],[Device ID]],BOM!$B$3:$BQ$35,30,FALSE),"")</f>
        <v>tpco-megw-vgw103.rtb.st-net.media.int</v>
      </c>
      <c r="AA85" s="59" t="str">
        <f>IFERROR(VLOOKUP(Tabelle32[[#This Row],[Device ID]],BOM!$B$3:$BQ$35,31,FALSE),"")</f>
        <v>10.120.236.54</v>
      </c>
      <c r="AB85" s="59" t="str">
        <f>IFERROR(VLOOKUP(Tabelle32[[#This Row],[Device ID]],BOM!$B$3:$BQ$35,32,FALSE),"")</f>
        <v>AVCoreB</v>
      </c>
      <c r="AC85" s="59" t="str">
        <f>IFERROR(VLOOKUP(Tabelle32[[#This Row],[Device ID]],BOM!$B$3:$BQ$35,33,FALSE),"")</f>
        <v>5_36_1</v>
      </c>
      <c r="AD85" s="59" t="str">
        <f>IFERROR(VLOOKUP(Tabelle32[[#This Row],[Device ID]],BOM!$B$3:$BQ$35,34,FALSE),"")</f>
        <v>tpco-megw-vgw103.st-net.media.int</v>
      </c>
      <c r="AE85" s="59" t="str">
        <f>IFERROR(VLOOKUP(Tabelle32[[#This Row],[Device ID]],BOM!$B$3:$BQ$35,35,FALSE),"")</f>
        <v>10.120.67.141</v>
      </c>
      <c r="AF85" s="59">
        <f>IFERROR(VLOOKUP(Tabelle32[[#This Row],[Device ID]],BOM!$B$3:$BQ$35,36,FALSE),"")</f>
        <v>0</v>
      </c>
      <c r="AG85" s="59">
        <f>IFERROR(VLOOKUP(Tabelle32[[#This Row],[Device ID]],BOM!$B$3:$BQ$35,37,FALSE),"")</f>
        <v>0</v>
      </c>
      <c r="AH85" s="59"/>
      <c r="AI85" s="59"/>
      <c r="AJ85" s="59"/>
      <c r="AK85" s="59"/>
      <c r="AL85" s="59" t="str">
        <f>IFERROR(VLOOKUP(Tabelle32[[#This Row],[Device ID]],BOM!$B$3:$BQ$35,42,FALSE),"")</f>
        <v>Imagine Communications SNP</v>
      </c>
      <c r="AM85" s="59" t="str">
        <f>IFERROR(VLOOKUP(Tabelle32[[#This Row],[Device ID]],BOM!$B$3:$BQ$35,43,FALSE),"")</f>
        <v>no</v>
      </c>
      <c r="AN85" s="59" t="str">
        <f>IFERROR(VLOOKUP(Tabelle32[[#This Row],[Device ID]],BOM!$B$3:$BQ$35,44,FALSE),"")</f>
        <v>yes</v>
      </c>
      <c r="AO85" s="59" t="str">
        <f>IFERROR(VLOOKUP(Tabelle32[[#This Row],[Device ID]],BOM!$B$3:$BQ$35,45,FALSE),"")</f>
        <v>no</v>
      </c>
      <c r="AP85" s="59" t="str">
        <f>IFERROR(CONCATENATE(Tabelle32[[#This Row],[Family
GFX-Unit]]," | ",Tabelle32[[#This Row],[Label 1
GFX-Unit]]," | ",Tabelle32[[#This Row],[Attached Device if Gateway]]),"")</f>
        <v>PLAYOUT MPA421 | HD2-016 | MPA 421 HD2</v>
      </c>
      <c r="AQ85" s="59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 t="s">
        <v>97</v>
      </c>
      <c r="BE85" s="90"/>
      <c r="BF85" s="90"/>
      <c r="BG85" s="90"/>
      <c r="BH85" s="73" t="s">
        <v>199</v>
      </c>
      <c r="BI85" s="30" t="str">
        <f>IF(COUNTA(Tabelle32[[#This Row],[Type:Vid_1080i50]:[Type:Anc_Prot]])&gt;0,"x","")</f>
        <v>x</v>
      </c>
      <c r="BJ8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85" s="59"/>
      <c r="BL85" s="59"/>
      <c r="BM85" s="63"/>
      <c r="BN85" s="63"/>
      <c r="BO85" s="97" t="s">
        <v>307</v>
      </c>
      <c r="BP85" s="97" t="s">
        <v>368</v>
      </c>
      <c r="BQ85" s="63">
        <f>LEN(Tabelle32[[#This Row],[Label 1
GFX-Unit]])</f>
        <v>7</v>
      </c>
      <c r="BR85" s="63"/>
      <c r="BS85" s="63"/>
      <c r="BT85" s="59"/>
      <c r="BU85" s="59"/>
      <c r="BV85" s="59" t="s">
        <v>268</v>
      </c>
      <c r="BW85" s="59" t="s">
        <v>269</v>
      </c>
      <c r="BX85" s="59" t="s">
        <v>369</v>
      </c>
      <c r="BY85" s="59">
        <v>4</v>
      </c>
    </row>
    <row r="86" spans="1:77" x14ac:dyDescent="0.2">
      <c r="A86" s="58" t="str">
        <f>CONCATENATE(Tabelle32[[#This Row],[Device ID]],".",Tabelle32[[#This Row],[Streamcounter]])</f>
        <v>381.04101</v>
      </c>
      <c r="B8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VGW-103_SDI04_VIDsend_0001</v>
      </c>
      <c r="C86" s="60"/>
      <c r="D86" s="61"/>
      <c r="E86" s="62"/>
      <c r="F86" s="59" t="str">
        <f>IFERROR(VLOOKUP(Tabelle32[[#This Row],[Device ID]],BOM!$B$3:$BQ$35,16,FALSE),"")</f>
        <v>MPA 421 HD2</v>
      </c>
      <c r="G86" s="63">
        <f>VLOOKUP(Tabelle32[[#This Row],[SDI Interface]],BOM!$A$4:$B$35,2,FALSE)</f>
        <v>381</v>
      </c>
      <c r="H86" s="59" t="str">
        <f>BOM!$C$4</f>
        <v>VGW-103</v>
      </c>
      <c r="I86" s="59" t="str">
        <f>IFERROR(VLOOKUP(Tabelle32[[#This Row],[Device ID]],BOM!$B$3:$BQ$35,12,FALSE),"")</f>
        <v>Videoserver</v>
      </c>
      <c r="J86" s="59" t="str">
        <f>IFERROR(VLOOKUP(Tabelle32[[#This Row],[Device ID]],BOM!$B$3:$BQ$35,13,FALSE),"")</f>
        <v>TC.U1.223 | MDC</v>
      </c>
      <c r="K86" s="59" t="str">
        <f>IFERROR(VLOOKUP(Tabelle32[[#This Row],[Device ID]],BOM!$B$3:$BQ$35,14,FALSE),"")</f>
        <v>Imagine Comunications</v>
      </c>
      <c r="L86" s="59" t="str">
        <f>IFERROR(VLOOKUP(Tabelle32[[#This Row],[Device ID]],BOM!$B$3:$BQ$35,16,FALSE),"")</f>
        <v>MPA 421 HD2</v>
      </c>
      <c r="M86" s="63" t="str">
        <f>IFERROR(VLOOKUP(Tabelle32[[#This Row],[Device ID]],BOM!$B$3:$BQ$35,17,FALSE),"")</f>
        <v>MPA 421</v>
      </c>
      <c r="N86" s="59" t="str">
        <f>IFERROR(VLOOKUP(Tabelle32[[#This Row],[Device ID]],BOM!$B$3:$BQ$35,18,FALSE),"")</f>
        <v>TC.02.296 | MPA421</v>
      </c>
      <c r="O86" s="64"/>
      <c r="P86" s="64">
        <f>IFERROR(VLOOKUP(Tabelle32[[#This Row],[Device ID]],BOM!$B$3:$BO$50,20,FALSE),"")</f>
        <v>0</v>
      </c>
      <c r="Q86" s="64">
        <f>IFERROR(VLOOKUP(Tabelle32[[#This Row],[Device ID]],BOM!$B$3:$BO$50,21,FALSE),"")</f>
        <v>1</v>
      </c>
      <c r="R86" s="64">
        <f>IFERROR(VLOOKUP(Tabelle32[[#This Row],[Device ID]],BOM!$B$3:$BO$50,22,FALSE),"")</f>
        <v>0</v>
      </c>
      <c r="S86" s="64"/>
      <c r="T86" s="64"/>
      <c r="U86" s="59" t="str">
        <f>IFERROR(VLOOKUP(Tabelle32[[#This Row],[Device ID]],BOM!$B$3:$BQ$35,25,FALSE),"")</f>
        <v>Luis/Ivo</v>
      </c>
      <c r="V86" s="59" t="str">
        <f>IFERROR(VLOOKUP(Tabelle32[[#This Row],[Device ID]],BOM!$B$3:$BQ$35,26,FALSE),"")</f>
        <v>tpco-megw-vgw103.rta.st-net.media.int</v>
      </c>
      <c r="W86" s="59" t="str">
        <f>IFERROR(VLOOKUP(Tabelle32[[#This Row],[Device ID]],BOM!$B$3:$BQ$35,27,FALSE),"")</f>
        <v>10.120.236.50</v>
      </c>
      <c r="X86" s="59" t="str">
        <f>IFERROR(VLOOKUP(Tabelle32[[#This Row],[Device ID]],BOM!$B$3:$BQ$35,28,FALSE),"")</f>
        <v>AVCoreA</v>
      </c>
      <c r="Y86" s="59" t="str">
        <f>IFERROR(VLOOKUP(Tabelle32[[#This Row],[Device ID]],BOM!$B$3:$BQ$35,29,FALSE),"")</f>
        <v>5_36_1</v>
      </c>
      <c r="Z86" s="59" t="str">
        <f>IFERROR(VLOOKUP(Tabelle32[[#This Row],[Device ID]],BOM!$B$3:$BQ$35,30,FALSE),"")</f>
        <v>tpco-megw-vgw103.rtb.st-net.media.int</v>
      </c>
      <c r="AA86" s="59" t="str">
        <f>IFERROR(VLOOKUP(Tabelle32[[#This Row],[Device ID]],BOM!$B$3:$BQ$35,31,FALSE),"")</f>
        <v>10.120.236.54</v>
      </c>
      <c r="AB86" s="59" t="str">
        <f>IFERROR(VLOOKUP(Tabelle32[[#This Row],[Device ID]],BOM!$B$3:$BQ$35,32,FALSE),"")</f>
        <v>AVCoreB</v>
      </c>
      <c r="AC86" s="59" t="str">
        <f>IFERROR(VLOOKUP(Tabelle32[[#This Row],[Device ID]],BOM!$B$3:$BQ$35,33,FALSE),"")</f>
        <v>5_36_1</v>
      </c>
      <c r="AD86" s="59" t="str">
        <f>IFERROR(VLOOKUP(Tabelle32[[#This Row],[Device ID]],BOM!$B$3:$BQ$35,34,FALSE),"")</f>
        <v>tpco-megw-vgw103.st-net.media.int</v>
      </c>
      <c r="AE86" s="59" t="str">
        <f>IFERROR(VLOOKUP(Tabelle32[[#This Row],[Device ID]],BOM!$B$3:$BQ$35,35,FALSE),"")</f>
        <v>10.120.67.141</v>
      </c>
      <c r="AF86" s="59">
        <f>IFERROR(VLOOKUP(Tabelle32[[#This Row],[Device ID]],BOM!$B$3:$BQ$35,36,FALSE),"")</f>
        <v>0</v>
      </c>
      <c r="AG86" s="59">
        <f>IFERROR(VLOOKUP(Tabelle32[[#This Row],[Device ID]],BOM!$B$3:$BQ$35,37,FALSE),"")</f>
        <v>0</v>
      </c>
      <c r="AH86" s="59"/>
      <c r="AI86" s="59"/>
      <c r="AJ86" s="59"/>
      <c r="AK86" s="59"/>
      <c r="AL86" s="59" t="str">
        <f>IFERROR(VLOOKUP(Tabelle32[[#This Row],[Device ID]],BOM!$B$3:$BQ$35,42,FALSE),"")</f>
        <v>Imagine Communications SNP</v>
      </c>
      <c r="AM86" s="59" t="str">
        <f>IFERROR(VLOOKUP(Tabelle32[[#This Row],[Device ID]],BOM!$B$3:$BQ$35,43,FALSE),"")</f>
        <v>no</v>
      </c>
      <c r="AN86" s="59" t="str">
        <f>IFERROR(VLOOKUP(Tabelle32[[#This Row],[Device ID]],BOM!$B$3:$BQ$35,44,FALSE),"")</f>
        <v>yes</v>
      </c>
      <c r="AO86" s="59" t="str">
        <f>IFERROR(VLOOKUP(Tabelle32[[#This Row],[Device ID]],BOM!$B$3:$BQ$35,45,FALSE),"")</f>
        <v>no</v>
      </c>
      <c r="AP86" s="59" t="str">
        <f>IFERROR(CONCATENATE(Tabelle32[[#This Row],[Family
GFX-Unit]]," | ",Tabelle32[[#This Row],[Label 1
GFX-Unit]]," | ",Tabelle32[[#This Row],[Attached Device if Gateway]]),"")</f>
        <v>PLAYOUT MPA421 | HD2 | MPA 421 HD2</v>
      </c>
      <c r="AQ86" s="59"/>
      <c r="AR86" s="90" t="s">
        <v>97</v>
      </c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73" t="s">
        <v>199</v>
      </c>
      <c r="BI86" s="30" t="str">
        <f>IF(COUNTA(Tabelle32[[#This Row],[Type:Vid_1080i50]:[Type:Anc_Prot]])&gt;0,"x","")</f>
        <v>x</v>
      </c>
      <c r="BJ8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86" s="59"/>
      <c r="BL86" s="59"/>
      <c r="BM86" s="63"/>
      <c r="BN86" s="63"/>
      <c r="BO86" s="97" t="s">
        <v>307</v>
      </c>
      <c r="BP86" s="97" t="s">
        <v>370</v>
      </c>
      <c r="BQ86" s="63">
        <f>LEN(Tabelle32[[#This Row],[Label 1
GFX-Unit]])</f>
        <v>3</v>
      </c>
      <c r="BR86" s="63"/>
      <c r="BS86" s="63"/>
      <c r="BT86" s="59"/>
      <c r="BU86" s="59"/>
      <c r="BV86" s="59" t="s">
        <v>272</v>
      </c>
      <c r="BW86" s="59" t="s">
        <v>273</v>
      </c>
      <c r="BX86" s="59" t="s">
        <v>371</v>
      </c>
      <c r="BY86" s="59">
        <v>4</v>
      </c>
    </row>
    <row r="87" spans="1:77" x14ac:dyDescent="0.2">
      <c r="A87" s="58" t="str">
        <f>CONCATENATE(Tabelle32[[#This Row],[Device ID]],".",Tabelle32[[#This Row],[Streamcounter]])</f>
        <v>382.05301</v>
      </c>
      <c r="B8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VGW-103_SDI05_ANCsend_0001</v>
      </c>
      <c r="C87" s="60"/>
      <c r="D87" s="61"/>
      <c r="E87" s="62"/>
      <c r="F87" s="59" t="str">
        <f>IFERROR(VLOOKUP(Tabelle32[[#This Row],[Device ID]],BOM!$B$3:$BQ$35,16,FALSE),"")</f>
        <v>R421 HD1 Backup</v>
      </c>
      <c r="G87" s="63">
        <f>VLOOKUP(Tabelle32[[#This Row],[SDI Interface]],BOM!$A$4:$B$35,2,FALSE)</f>
        <v>382</v>
      </c>
      <c r="H87" s="59" t="str">
        <f>BOM!$C$4</f>
        <v>VGW-103</v>
      </c>
      <c r="I87" s="59" t="str">
        <f>IFERROR(VLOOKUP(Tabelle32[[#This Row],[Device ID]],BOM!$B$3:$BQ$35,12,FALSE),"")</f>
        <v>Videoserver</v>
      </c>
      <c r="J87" s="59" t="str">
        <f>IFERROR(VLOOKUP(Tabelle32[[#This Row],[Device ID]],BOM!$B$3:$BQ$35,13,FALSE),"")</f>
        <v>TC.U1.223 | MDC</v>
      </c>
      <c r="K87" s="59" t="str">
        <f>IFERROR(VLOOKUP(Tabelle32[[#This Row],[Device ID]],BOM!$B$3:$BQ$35,14,FALSE),"")</f>
        <v>Imagine Comunications</v>
      </c>
      <c r="L87" s="59" t="str">
        <f>IFERROR(VLOOKUP(Tabelle32[[#This Row],[Device ID]],BOM!$B$3:$BQ$35,16,FALSE),"")</f>
        <v>R421 HD1 Backup</v>
      </c>
      <c r="M87" s="63" t="str">
        <f>IFERROR(VLOOKUP(Tabelle32[[#This Row],[Device ID]],BOM!$B$3:$BQ$35,17,FALSE),"")</f>
        <v>R421</v>
      </c>
      <c r="N87" s="59" t="str">
        <f>IFERROR(VLOOKUP(Tabelle32[[#This Row],[Device ID]],BOM!$B$3:$BQ$35,18,FALSE),"")</f>
        <v>TC.00.104 | R401</v>
      </c>
      <c r="O87" s="64"/>
      <c r="P87" s="64">
        <f>IFERROR(VLOOKUP(Tabelle32[[#This Row],[Device ID]],BOM!$B$3:$BO$50,20,FALSE),"")</f>
        <v>0</v>
      </c>
      <c r="Q87" s="64">
        <f>IFERROR(VLOOKUP(Tabelle32[[#This Row],[Device ID]],BOM!$B$3:$BO$50,21,FALSE),"")</f>
        <v>1</v>
      </c>
      <c r="R87" s="64">
        <f>IFERROR(VLOOKUP(Tabelle32[[#This Row],[Device ID]],BOM!$B$3:$BO$50,22,FALSE),"")</f>
        <v>0</v>
      </c>
      <c r="S87" s="64"/>
      <c r="T87" s="64"/>
      <c r="U87" s="59" t="str">
        <f>IFERROR(VLOOKUP(Tabelle32[[#This Row],[Device ID]],BOM!$B$3:$BQ$35,25,FALSE),"")</f>
        <v>Luis/Ivo</v>
      </c>
      <c r="V87" s="59" t="str">
        <f>IFERROR(VLOOKUP(Tabelle32[[#This Row],[Device ID]],BOM!$B$3:$BQ$35,26,FALSE),"")</f>
        <v>tpco-megw-vgw103.rta.st-net.media.int</v>
      </c>
      <c r="W87" s="59" t="str">
        <f>IFERROR(VLOOKUP(Tabelle32[[#This Row],[Device ID]],BOM!$B$3:$BQ$35,27,FALSE),"")</f>
        <v>10.120.236.50</v>
      </c>
      <c r="X87" s="59" t="str">
        <f>IFERROR(VLOOKUP(Tabelle32[[#This Row],[Device ID]],BOM!$B$3:$BQ$35,28,FALSE),"")</f>
        <v>AVCoreA</v>
      </c>
      <c r="Y87" s="59" t="str">
        <f>IFERROR(VLOOKUP(Tabelle32[[#This Row],[Device ID]],BOM!$B$3:$BQ$35,29,FALSE),"")</f>
        <v>5_36_1</v>
      </c>
      <c r="Z87" s="59" t="str">
        <f>IFERROR(VLOOKUP(Tabelle32[[#This Row],[Device ID]],BOM!$B$3:$BQ$35,30,FALSE),"")</f>
        <v>tpco-megw-vgw103.rtb.st-net.media.int</v>
      </c>
      <c r="AA87" s="59" t="str">
        <f>IFERROR(VLOOKUP(Tabelle32[[#This Row],[Device ID]],BOM!$B$3:$BQ$35,31,FALSE),"")</f>
        <v>10.120.236.54</v>
      </c>
      <c r="AB87" s="59" t="str">
        <f>IFERROR(VLOOKUP(Tabelle32[[#This Row],[Device ID]],BOM!$B$3:$BQ$35,32,FALSE),"")</f>
        <v>AVCoreB</v>
      </c>
      <c r="AC87" s="59" t="str">
        <f>IFERROR(VLOOKUP(Tabelle32[[#This Row],[Device ID]],BOM!$B$3:$BQ$35,33,FALSE),"")</f>
        <v>5_36_1</v>
      </c>
      <c r="AD87" s="59" t="str">
        <f>IFERROR(VLOOKUP(Tabelle32[[#This Row],[Device ID]],BOM!$B$3:$BQ$35,34,FALSE),"")</f>
        <v>tpco-megw-vgw103.st-net.media.int</v>
      </c>
      <c r="AE87" s="59" t="str">
        <f>IFERROR(VLOOKUP(Tabelle32[[#This Row],[Device ID]],BOM!$B$3:$BQ$35,35,FALSE),"")</f>
        <v>10.120.67.141</v>
      </c>
      <c r="AF87" s="59">
        <f>IFERROR(VLOOKUP(Tabelle32[[#This Row],[Device ID]],BOM!$B$3:$BQ$35,36,FALSE),"")</f>
        <v>0</v>
      </c>
      <c r="AG87" s="59">
        <f>IFERROR(VLOOKUP(Tabelle32[[#This Row],[Device ID]],BOM!$B$3:$BQ$35,37,FALSE),"")</f>
        <v>0</v>
      </c>
      <c r="AH87" s="59"/>
      <c r="AI87" s="59"/>
      <c r="AJ87" s="59"/>
      <c r="AK87" s="59"/>
      <c r="AL87" s="59" t="str">
        <f>IFERROR(VLOOKUP(Tabelle32[[#This Row],[Device ID]],BOM!$B$3:$BQ$35,42,FALSE),"")</f>
        <v>Imagine Communications SNP</v>
      </c>
      <c r="AM87" s="59" t="str">
        <f>IFERROR(VLOOKUP(Tabelle32[[#This Row],[Device ID]],BOM!$B$3:$BQ$35,43,FALSE),"")</f>
        <v>no</v>
      </c>
      <c r="AN87" s="59" t="str">
        <f>IFERROR(VLOOKUP(Tabelle32[[#This Row],[Device ID]],BOM!$B$3:$BQ$35,44,FALSE),"")</f>
        <v>yes</v>
      </c>
      <c r="AO87" s="59" t="str">
        <f>IFERROR(VLOOKUP(Tabelle32[[#This Row],[Device ID]],BOM!$B$3:$BQ$35,45,FALSE),"")</f>
        <v>no</v>
      </c>
      <c r="AP87" s="59" t="str">
        <f>IFERROR(CONCATENATE(Tabelle32[[#This Row],[Family
GFX-Unit]]," | ",Tabelle32[[#This Row],[Label 1
GFX-Unit]]," | ",Tabelle32[[#This Row],[Attached Device if Gateway]]),"")</f>
        <v>PLAYOUT R421 | HD1 Backup-001 | R421 HD1 Backup</v>
      </c>
      <c r="AQ87" s="59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 t="s">
        <v>97</v>
      </c>
      <c r="BH87" s="73" t="s">
        <v>199</v>
      </c>
      <c r="BI87" s="30" t="str">
        <f>IF(COUNTA(Tabelle32[[#This Row],[Type:Vid_1080i50]:[Type:Anc_Prot]])&gt;0,"x","")</f>
        <v>x</v>
      </c>
      <c r="BJ8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87" s="59"/>
      <c r="BL87" s="59"/>
      <c r="BM87" s="63"/>
      <c r="BN87" s="63"/>
      <c r="BO87" s="100" t="s">
        <v>372</v>
      </c>
      <c r="BP87" s="94" t="s">
        <v>201</v>
      </c>
      <c r="BQ87" s="75">
        <f>LEN(Tabelle32[[#This Row],[Label 1
GFX-Unit]])</f>
        <v>14</v>
      </c>
      <c r="BR87" s="63"/>
      <c r="BS87" s="63"/>
      <c r="BT87" s="59"/>
      <c r="BU87" s="59"/>
      <c r="BV87" s="59" t="s">
        <v>202</v>
      </c>
      <c r="BW87" s="59" t="s">
        <v>203</v>
      </c>
      <c r="BX87" s="59" t="s">
        <v>373</v>
      </c>
      <c r="BY87" s="59">
        <v>5</v>
      </c>
    </row>
    <row r="88" spans="1:77" hidden="1" x14ac:dyDescent="0.2">
      <c r="A88" s="58" t="str">
        <f>CONCATENATE(Tabelle32[[#This Row],[Device ID]],".",Tabelle32[[#This Row],[Streamcounter]])</f>
        <v>382.05302</v>
      </c>
      <c r="B8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VGW-103_SDI05_ANCsend_0002</v>
      </c>
      <c r="C88" s="60"/>
      <c r="D88" s="61"/>
      <c r="E88" s="62"/>
      <c r="F88" s="59" t="str">
        <f>IFERROR(VLOOKUP(Tabelle32[[#This Row],[Device ID]],BOM!$B$3:$BQ$35,16,FALSE),"")</f>
        <v>R421 HD1 Backup</v>
      </c>
      <c r="G88" s="63">
        <f>VLOOKUP(Tabelle32[[#This Row],[SDI Interface]],BOM!$A$4:$B$35,2,FALSE)</f>
        <v>382</v>
      </c>
      <c r="H88" s="59" t="str">
        <f>BOM!$C$4</f>
        <v>VGW-103</v>
      </c>
      <c r="I88" s="59" t="str">
        <f>IFERROR(VLOOKUP(Tabelle32[[#This Row],[Device ID]],BOM!$B$3:$BQ$35,12,FALSE),"")</f>
        <v>Videoserver</v>
      </c>
      <c r="J88" s="59" t="str">
        <f>IFERROR(VLOOKUP(Tabelle32[[#This Row],[Device ID]],BOM!$B$3:$BQ$35,13,FALSE),"")</f>
        <v>TC.U1.223 | MDC</v>
      </c>
      <c r="K88" s="59" t="str">
        <f>IFERROR(VLOOKUP(Tabelle32[[#This Row],[Device ID]],BOM!$B$3:$BQ$35,14,FALSE),"")</f>
        <v>Imagine Comunications</v>
      </c>
      <c r="L88" s="59" t="str">
        <f>IFERROR(VLOOKUP(Tabelle32[[#This Row],[Device ID]],BOM!$B$3:$BQ$35,16,FALSE),"")</f>
        <v>R421 HD1 Backup</v>
      </c>
      <c r="M88" s="63" t="str">
        <f>IFERROR(VLOOKUP(Tabelle32[[#This Row],[Device ID]],BOM!$B$3:$BQ$35,17,FALSE),"")</f>
        <v>R421</v>
      </c>
      <c r="N88" s="59" t="str">
        <f>IFERROR(VLOOKUP(Tabelle32[[#This Row],[Device ID]],BOM!$B$3:$BQ$35,18,FALSE),"")</f>
        <v>TC.00.104 | R401</v>
      </c>
      <c r="O88" s="64"/>
      <c r="P88" s="64">
        <f>IFERROR(VLOOKUP(Tabelle32[[#This Row],[Device ID]],BOM!$B$3:$BO$50,20,FALSE),"")</f>
        <v>0</v>
      </c>
      <c r="Q88" s="64">
        <f>IFERROR(VLOOKUP(Tabelle32[[#This Row],[Device ID]],BOM!$B$3:$BO$50,21,FALSE),"")</f>
        <v>1</v>
      </c>
      <c r="R88" s="64">
        <f>IFERROR(VLOOKUP(Tabelle32[[#This Row],[Device ID]],BOM!$B$3:$BO$50,22,FALSE),"")</f>
        <v>0</v>
      </c>
      <c r="S88" s="64"/>
      <c r="T88" s="64"/>
      <c r="U88" s="59" t="str">
        <f>IFERROR(VLOOKUP(Tabelle32[[#This Row],[Device ID]],BOM!$B$3:$BQ$35,25,FALSE),"")</f>
        <v>Luis/Ivo</v>
      </c>
      <c r="V88" s="59" t="str">
        <f>IFERROR(VLOOKUP(Tabelle32[[#This Row],[Device ID]],BOM!$B$3:$BQ$35,26,FALSE),"")</f>
        <v>tpco-megw-vgw103.rta.st-net.media.int</v>
      </c>
      <c r="W88" s="59" t="str">
        <f>IFERROR(VLOOKUP(Tabelle32[[#This Row],[Device ID]],BOM!$B$3:$BQ$35,27,FALSE),"")</f>
        <v>10.120.236.50</v>
      </c>
      <c r="X88" s="59" t="str">
        <f>IFERROR(VLOOKUP(Tabelle32[[#This Row],[Device ID]],BOM!$B$3:$BQ$35,28,FALSE),"")</f>
        <v>AVCoreA</v>
      </c>
      <c r="Y88" s="59" t="str">
        <f>IFERROR(VLOOKUP(Tabelle32[[#This Row],[Device ID]],BOM!$B$3:$BQ$35,29,FALSE),"")</f>
        <v>5_36_1</v>
      </c>
      <c r="Z88" s="59" t="str">
        <f>IFERROR(VLOOKUP(Tabelle32[[#This Row],[Device ID]],BOM!$B$3:$BQ$35,30,FALSE),"")</f>
        <v>tpco-megw-vgw103.rtb.st-net.media.int</v>
      </c>
      <c r="AA88" s="59" t="str">
        <f>IFERROR(VLOOKUP(Tabelle32[[#This Row],[Device ID]],BOM!$B$3:$BQ$35,31,FALSE),"")</f>
        <v>10.120.236.54</v>
      </c>
      <c r="AB88" s="59" t="str">
        <f>IFERROR(VLOOKUP(Tabelle32[[#This Row],[Device ID]],BOM!$B$3:$BQ$35,32,FALSE),"")</f>
        <v>AVCoreB</v>
      </c>
      <c r="AC88" s="59" t="str">
        <f>IFERROR(VLOOKUP(Tabelle32[[#This Row],[Device ID]],BOM!$B$3:$BQ$35,33,FALSE),"")</f>
        <v>5_36_1</v>
      </c>
      <c r="AD88" s="59" t="str">
        <f>IFERROR(VLOOKUP(Tabelle32[[#This Row],[Device ID]],BOM!$B$3:$BQ$35,34,FALSE),"")</f>
        <v>tpco-megw-vgw103.st-net.media.int</v>
      </c>
      <c r="AE88" s="59" t="str">
        <f>IFERROR(VLOOKUP(Tabelle32[[#This Row],[Device ID]],BOM!$B$3:$BQ$35,35,FALSE),"")</f>
        <v>10.120.67.141</v>
      </c>
      <c r="AF88" s="59">
        <f>IFERROR(VLOOKUP(Tabelle32[[#This Row],[Device ID]],BOM!$B$3:$BQ$35,36,FALSE),"")</f>
        <v>0</v>
      </c>
      <c r="AG88" s="59">
        <f>IFERROR(VLOOKUP(Tabelle32[[#This Row],[Device ID]],BOM!$B$3:$BQ$35,37,FALSE),"")</f>
        <v>0</v>
      </c>
      <c r="AH88" s="59"/>
      <c r="AI88" s="59"/>
      <c r="AJ88" s="59"/>
      <c r="AK88" s="59"/>
      <c r="AL88" s="59" t="str">
        <f>IFERROR(VLOOKUP(Tabelle32[[#This Row],[Device ID]],BOM!$B$3:$BQ$35,42,FALSE),"")</f>
        <v>Imagine Communications SNP</v>
      </c>
      <c r="AM88" s="59" t="str">
        <f>IFERROR(VLOOKUP(Tabelle32[[#This Row],[Device ID]],BOM!$B$3:$BQ$35,43,FALSE),"")</f>
        <v>no</v>
      </c>
      <c r="AN88" s="59" t="str">
        <f>IFERROR(VLOOKUP(Tabelle32[[#This Row],[Device ID]],BOM!$B$3:$BQ$35,44,FALSE),"")</f>
        <v>yes</v>
      </c>
      <c r="AO88" s="59" t="str">
        <f>IFERROR(VLOOKUP(Tabelle32[[#This Row],[Device ID]],BOM!$B$3:$BQ$35,45,FALSE),"")</f>
        <v>no</v>
      </c>
      <c r="AP88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88" s="59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73" t="s">
        <v>199</v>
      </c>
      <c r="BI88" s="30" t="str">
        <f>IF(COUNTA(Tabelle32[[#This Row],[Type:Vid_1080i50]:[Type:Anc_Prot]])&gt;0,"x","")</f>
        <v/>
      </c>
      <c r="BJ8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88" s="59"/>
      <c r="BL88" s="59"/>
      <c r="BM88" s="63"/>
      <c r="BN88" s="63"/>
      <c r="BO88" s="99"/>
      <c r="BP88" s="106"/>
      <c r="BQ88" s="75">
        <f>LEN(Tabelle32[[#This Row],[Label 1
GFX-Unit]])</f>
        <v>0</v>
      </c>
      <c r="BR88" s="63"/>
      <c r="BS88" s="63"/>
      <c r="BT88" s="59"/>
      <c r="BU88" s="59"/>
      <c r="BV88" s="59" t="s">
        <v>205</v>
      </c>
      <c r="BW88" s="59" t="s">
        <v>206</v>
      </c>
      <c r="BX88" s="59" t="s">
        <v>374</v>
      </c>
      <c r="BY88" s="59">
        <v>5</v>
      </c>
    </row>
    <row r="89" spans="1:77" hidden="1" x14ac:dyDescent="0.2">
      <c r="A89" s="58" t="str">
        <f>CONCATENATE(Tabelle32[[#This Row],[Device ID]],".",Tabelle32[[#This Row],[Streamcounter]])</f>
        <v>382.05303</v>
      </c>
      <c r="B8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VGW-103_SDI05_ANCsend_0003</v>
      </c>
      <c r="C89" s="60"/>
      <c r="D89" s="61"/>
      <c r="E89" s="62"/>
      <c r="F89" s="59" t="str">
        <f>IFERROR(VLOOKUP(Tabelle32[[#This Row],[Device ID]],BOM!$B$3:$BQ$35,16,FALSE),"")</f>
        <v>R421 HD1 Backup</v>
      </c>
      <c r="G89" s="63">
        <f>VLOOKUP(Tabelle32[[#This Row],[SDI Interface]],BOM!$A$4:$B$35,2,FALSE)</f>
        <v>382</v>
      </c>
      <c r="H89" s="59" t="str">
        <f>BOM!$C$4</f>
        <v>VGW-103</v>
      </c>
      <c r="I89" s="59" t="str">
        <f>IFERROR(VLOOKUP(Tabelle32[[#This Row],[Device ID]],BOM!$B$3:$BQ$35,12,FALSE),"")</f>
        <v>Videoserver</v>
      </c>
      <c r="J89" s="59" t="str">
        <f>IFERROR(VLOOKUP(Tabelle32[[#This Row],[Device ID]],BOM!$B$3:$BQ$35,13,FALSE),"")</f>
        <v>TC.U1.223 | MDC</v>
      </c>
      <c r="K89" s="59" t="str">
        <f>IFERROR(VLOOKUP(Tabelle32[[#This Row],[Device ID]],BOM!$B$3:$BQ$35,14,FALSE),"")</f>
        <v>Imagine Comunications</v>
      </c>
      <c r="L89" s="59" t="str">
        <f>IFERROR(VLOOKUP(Tabelle32[[#This Row],[Device ID]],BOM!$B$3:$BQ$35,16,FALSE),"")</f>
        <v>R421 HD1 Backup</v>
      </c>
      <c r="M89" s="63" t="str">
        <f>IFERROR(VLOOKUP(Tabelle32[[#This Row],[Device ID]],BOM!$B$3:$BQ$35,17,FALSE),"")</f>
        <v>R421</v>
      </c>
      <c r="N89" s="59" t="str">
        <f>IFERROR(VLOOKUP(Tabelle32[[#This Row],[Device ID]],BOM!$B$3:$BQ$35,18,FALSE),"")</f>
        <v>TC.00.104 | R401</v>
      </c>
      <c r="O89" s="64"/>
      <c r="P89" s="64">
        <f>IFERROR(VLOOKUP(Tabelle32[[#This Row],[Device ID]],BOM!$B$3:$BO$50,20,FALSE),"")</f>
        <v>0</v>
      </c>
      <c r="Q89" s="64">
        <f>IFERROR(VLOOKUP(Tabelle32[[#This Row],[Device ID]],BOM!$B$3:$BO$50,21,FALSE),"")</f>
        <v>1</v>
      </c>
      <c r="R89" s="64">
        <f>IFERROR(VLOOKUP(Tabelle32[[#This Row],[Device ID]],BOM!$B$3:$BO$50,22,FALSE),"")</f>
        <v>0</v>
      </c>
      <c r="S89" s="64"/>
      <c r="T89" s="64"/>
      <c r="U89" s="59" t="str">
        <f>IFERROR(VLOOKUP(Tabelle32[[#This Row],[Device ID]],BOM!$B$3:$BQ$35,25,FALSE),"")</f>
        <v>Luis/Ivo</v>
      </c>
      <c r="V89" s="59" t="str">
        <f>IFERROR(VLOOKUP(Tabelle32[[#This Row],[Device ID]],BOM!$B$3:$BQ$35,26,FALSE),"")</f>
        <v>tpco-megw-vgw103.rta.st-net.media.int</v>
      </c>
      <c r="W89" s="59" t="str">
        <f>IFERROR(VLOOKUP(Tabelle32[[#This Row],[Device ID]],BOM!$B$3:$BQ$35,27,FALSE),"")</f>
        <v>10.120.236.50</v>
      </c>
      <c r="X89" s="59" t="str">
        <f>IFERROR(VLOOKUP(Tabelle32[[#This Row],[Device ID]],BOM!$B$3:$BQ$35,28,FALSE),"")</f>
        <v>AVCoreA</v>
      </c>
      <c r="Y89" s="59" t="str">
        <f>IFERROR(VLOOKUP(Tabelle32[[#This Row],[Device ID]],BOM!$B$3:$BQ$35,29,FALSE),"")</f>
        <v>5_36_1</v>
      </c>
      <c r="Z89" s="59" t="str">
        <f>IFERROR(VLOOKUP(Tabelle32[[#This Row],[Device ID]],BOM!$B$3:$BQ$35,30,FALSE),"")</f>
        <v>tpco-megw-vgw103.rtb.st-net.media.int</v>
      </c>
      <c r="AA89" s="59" t="str">
        <f>IFERROR(VLOOKUP(Tabelle32[[#This Row],[Device ID]],BOM!$B$3:$BQ$35,31,FALSE),"")</f>
        <v>10.120.236.54</v>
      </c>
      <c r="AB89" s="59" t="str">
        <f>IFERROR(VLOOKUP(Tabelle32[[#This Row],[Device ID]],BOM!$B$3:$BQ$35,32,FALSE),"")</f>
        <v>AVCoreB</v>
      </c>
      <c r="AC89" s="59" t="str">
        <f>IFERROR(VLOOKUP(Tabelle32[[#This Row],[Device ID]],BOM!$B$3:$BQ$35,33,FALSE),"")</f>
        <v>5_36_1</v>
      </c>
      <c r="AD89" s="59" t="str">
        <f>IFERROR(VLOOKUP(Tabelle32[[#This Row],[Device ID]],BOM!$B$3:$BQ$35,34,FALSE),"")</f>
        <v>tpco-megw-vgw103.st-net.media.int</v>
      </c>
      <c r="AE89" s="59" t="str">
        <f>IFERROR(VLOOKUP(Tabelle32[[#This Row],[Device ID]],BOM!$B$3:$BQ$35,35,FALSE),"")</f>
        <v>10.120.67.141</v>
      </c>
      <c r="AF89" s="59">
        <f>IFERROR(VLOOKUP(Tabelle32[[#This Row],[Device ID]],BOM!$B$3:$BQ$35,36,FALSE),"")</f>
        <v>0</v>
      </c>
      <c r="AG89" s="59">
        <f>IFERROR(VLOOKUP(Tabelle32[[#This Row],[Device ID]],BOM!$B$3:$BQ$35,37,FALSE),"")</f>
        <v>0</v>
      </c>
      <c r="AH89" s="59"/>
      <c r="AI89" s="59"/>
      <c r="AJ89" s="59"/>
      <c r="AK89" s="59"/>
      <c r="AL89" s="59" t="str">
        <f>IFERROR(VLOOKUP(Tabelle32[[#This Row],[Device ID]],BOM!$B$3:$BQ$35,42,FALSE),"")</f>
        <v>Imagine Communications SNP</v>
      </c>
      <c r="AM89" s="59" t="str">
        <f>IFERROR(VLOOKUP(Tabelle32[[#This Row],[Device ID]],BOM!$B$3:$BQ$35,43,FALSE),"")</f>
        <v>no</v>
      </c>
      <c r="AN89" s="59" t="str">
        <f>IFERROR(VLOOKUP(Tabelle32[[#This Row],[Device ID]],BOM!$B$3:$BQ$35,44,FALSE),"")</f>
        <v>yes</v>
      </c>
      <c r="AO89" s="59" t="str">
        <f>IFERROR(VLOOKUP(Tabelle32[[#This Row],[Device ID]],BOM!$B$3:$BQ$35,45,FALSE),"")</f>
        <v>no</v>
      </c>
      <c r="AP89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89" s="59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73" t="s">
        <v>199</v>
      </c>
      <c r="BI89" s="30" t="str">
        <f>IF(COUNTA(Tabelle32[[#This Row],[Type:Vid_1080i50]:[Type:Anc_Prot]])&gt;0,"x","")</f>
        <v/>
      </c>
      <c r="BJ8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89" s="59"/>
      <c r="BL89" s="59"/>
      <c r="BM89" s="63"/>
      <c r="BN89" s="63"/>
      <c r="BO89" s="99"/>
      <c r="BP89" s="106"/>
      <c r="BQ89" s="75">
        <f>LEN(Tabelle32[[#This Row],[Label 1
GFX-Unit]])</f>
        <v>0</v>
      </c>
      <c r="BR89" s="63"/>
      <c r="BS89" s="63"/>
      <c r="BT89" s="59"/>
      <c r="BU89" s="59"/>
      <c r="BV89" s="59" t="s">
        <v>208</v>
      </c>
      <c r="BW89" s="59" t="s">
        <v>209</v>
      </c>
      <c r="BX89" s="59" t="s">
        <v>375</v>
      </c>
      <c r="BY89" s="59">
        <v>5</v>
      </c>
    </row>
    <row r="90" spans="1:77" hidden="1" x14ac:dyDescent="0.2">
      <c r="A90" s="58" t="str">
        <f>CONCATENATE(Tabelle32[[#This Row],[Device ID]],".",Tabelle32[[#This Row],[Streamcounter]])</f>
        <v>382.05304</v>
      </c>
      <c r="B9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VGW-103_SDI05_ANCsend_0004</v>
      </c>
      <c r="C90" s="60"/>
      <c r="D90" s="61"/>
      <c r="E90" s="62"/>
      <c r="F90" s="59" t="str">
        <f>IFERROR(VLOOKUP(Tabelle32[[#This Row],[Device ID]],BOM!$B$3:$BQ$35,16,FALSE),"")</f>
        <v>R421 HD1 Backup</v>
      </c>
      <c r="G90" s="63">
        <f>VLOOKUP(Tabelle32[[#This Row],[SDI Interface]],BOM!$A$4:$B$35,2,FALSE)</f>
        <v>382</v>
      </c>
      <c r="H90" s="59" t="str">
        <f>BOM!$C$4</f>
        <v>VGW-103</v>
      </c>
      <c r="I90" s="59" t="str">
        <f>IFERROR(VLOOKUP(Tabelle32[[#This Row],[Device ID]],BOM!$B$3:$BQ$35,12,FALSE),"")</f>
        <v>Videoserver</v>
      </c>
      <c r="J90" s="59" t="str">
        <f>IFERROR(VLOOKUP(Tabelle32[[#This Row],[Device ID]],BOM!$B$3:$BQ$35,13,FALSE),"")</f>
        <v>TC.U1.223 | MDC</v>
      </c>
      <c r="K90" s="59" t="str">
        <f>IFERROR(VLOOKUP(Tabelle32[[#This Row],[Device ID]],BOM!$B$3:$BQ$35,14,FALSE),"")</f>
        <v>Imagine Comunications</v>
      </c>
      <c r="L90" s="59" t="str">
        <f>IFERROR(VLOOKUP(Tabelle32[[#This Row],[Device ID]],BOM!$B$3:$BQ$35,16,FALSE),"")</f>
        <v>R421 HD1 Backup</v>
      </c>
      <c r="M90" s="63" t="str">
        <f>IFERROR(VLOOKUP(Tabelle32[[#This Row],[Device ID]],BOM!$B$3:$BQ$35,17,FALSE),"")</f>
        <v>R421</v>
      </c>
      <c r="N90" s="59" t="str">
        <f>IFERROR(VLOOKUP(Tabelle32[[#This Row],[Device ID]],BOM!$B$3:$BQ$35,18,FALSE),"")</f>
        <v>TC.00.104 | R401</v>
      </c>
      <c r="O90" s="64"/>
      <c r="P90" s="64">
        <f>IFERROR(VLOOKUP(Tabelle32[[#This Row],[Device ID]],BOM!$B$3:$BO$50,20,FALSE),"")</f>
        <v>0</v>
      </c>
      <c r="Q90" s="64">
        <f>IFERROR(VLOOKUP(Tabelle32[[#This Row],[Device ID]],BOM!$B$3:$BO$50,21,FALSE),"")</f>
        <v>1</v>
      </c>
      <c r="R90" s="64">
        <f>IFERROR(VLOOKUP(Tabelle32[[#This Row],[Device ID]],BOM!$B$3:$BO$50,22,FALSE),"")</f>
        <v>0</v>
      </c>
      <c r="S90" s="64"/>
      <c r="T90" s="64"/>
      <c r="U90" s="59" t="str">
        <f>IFERROR(VLOOKUP(Tabelle32[[#This Row],[Device ID]],BOM!$B$3:$BQ$35,25,FALSE),"")</f>
        <v>Luis/Ivo</v>
      </c>
      <c r="V90" s="59" t="str">
        <f>IFERROR(VLOOKUP(Tabelle32[[#This Row],[Device ID]],BOM!$B$3:$BQ$35,26,FALSE),"")</f>
        <v>tpco-megw-vgw103.rta.st-net.media.int</v>
      </c>
      <c r="W90" s="59" t="str">
        <f>IFERROR(VLOOKUP(Tabelle32[[#This Row],[Device ID]],BOM!$B$3:$BQ$35,27,FALSE),"")</f>
        <v>10.120.236.50</v>
      </c>
      <c r="X90" s="59" t="str">
        <f>IFERROR(VLOOKUP(Tabelle32[[#This Row],[Device ID]],BOM!$B$3:$BQ$35,28,FALSE),"")</f>
        <v>AVCoreA</v>
      </c>
      <c r="Y90" s="59" t="str">
        <f>IFERROR(VLOOKUP(Tabelle32[[#This Row],[Device ID]],BOM!$B$3:$BQ$35,29,FALSE),"")</f>
        <v>5_36_1</v>
      </c>
      <c r="Z90" s="59" t="str">
        <f>IFERROR(VLOOKUP(Tabelle32[[#This Row],[Device ID]],BOM!$B$3:$BQ$35,30,FALSE),"")</f>
        <v>tpco-megw-vgw103.rtb.st-net.media.int</v>
      </c>
      <c r="AA90" s="59" t="str">
        <f>IFERROR(VLOOKUP(Tabelle32[[#This Row],[Device ID]],BOM!$B$3:$BQ$35,31,FALSE),"")</f>
        <v>10.120.236.54</v>
      </c>
      <c r="AB90" s="59" t="str">
        <f>IFERROR(VLOOKUP(Tabelle32[[#This Row],[Device ID]],BOM!$B$3:$BQ$35,32,FALSE),"")</f>
        <v>AVCoreB</v>
      </c>
      <c r="AC90" s="59" t="str">
        <f>IFERROR(VLOOKUP(Tabelle32[[#This Row],[Device ID]],BOM!$B$3:$BQ$35,33,FALSE),"")</f>
        <v>5_36_1</v>
      </c>
      <c r="AD90" s="59" t="str">
        <f>IFERROR(VLOOKUP(Tabelle32[[#This Row],[Device ID]],BOM!$B$3:$BQ$35,34,FALSE),"")</f>
        <v>tpco-megw-vgw103.st-net.media.int</v>
      </c>
      <c r="AE90" s="59" t="str">
        <f>IFERROR(VLOOKUP(Tabelle32[[#This Row],[Device ID]],BOM!$B$3:$BQ$35,35,FALSE),"")</f>
        <v>10.120.67.141</v>
      </c>
      <c r="AF90" s="59">
        <f>IFERROR(VLOOKUP(Tabelle32[[#This Row],[Device ID]],BOM!$B$3:$BQ$35,36,FALSE),"")</f>
        <v>0</v>
      </c>
      <c r="AG90" s="59">
        <f>IFERROR(VLOOKUP(Tabelle32[[#This Row],[Device ID]],BOM!$B$3:$BQ$35,37,FALSE),"")</f>
        <v>0</v>
      </c>
      <c r="AH90" s="59"/>
      <c r="AI90" s="59"/>
      <c r="AJ90" s="59"/>
      <c r="AK90" s="59"/>
      <c r="AL90" s="59" t="str">
        <f>IFERROR(VLOOKUP(Tabelle32[[#This Row],[Device ID]],BOM!$B$3:$BQ$35,42,FALSE),"")</f>
        <v>Imagine Communications SNP</v>
      </c>
      <c r="AM90" s="59" t="str">
        <f>IFERROR(VLOOKUP(Tabelle32[[#This Row],[Device ID]],BOM!$B$3:$BQ$35,43,FALSE),"")</f>
        <v>no</v>
      </c>
      <c r="AN90" s="59" t="str">
        <f>IFERROR(VLOOKUP(Tabelle32[[#This Row],[Device ID]],BOM!$B$3:$BQ$35,44,FALSE),"")</f>
        <v>yes</v>
      </c>
      <c r="AO90" s="59" t="str">
        <f>IFERROR(VLOOKUP(Tabelle32[[#This Row],[Device ID]],BOM!$B$3:$BQ$35,45,FALSE),"")</f>
        <v>no</v>
      </c>
      <c r="AP90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90" s="59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73" t="s">
        <v>199</v>
      </c>
      <c r="BI90" s="30" t="str">
        <f>IF(COUNTA(Tabelle32[[#This Row],[Type:Vid_1080i50]:[Type:Anc_Prot]])&gt;0,"x","")</f>
        <v/>
      </c>
      <c r="BJ9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90" s="59"/>
      <c r="BL90" s="59"/>
      <c r="BM90" s="63"/>
      <c r="BN90" s="63"/>
      <c r="BO90" s="99"/>
      <c r="BP90" s="106"/>
      <c r="BQ90" s="75">
        <f>LEN(Tabelle32[[#This Row],[Label 1
GFX-Unit]])</f>
        <v>0</v>
      </c>
      <c r="BR90" s="63"/>
      <c r="BS90" s="63"/>
      <c r="BT90" s="59"/>
      <c r="BU90" s="59"/>
      <c r="BV90" s="59" t="s">
        <v>211</v>
      </c>
      <c r="BW90" s="59" t="s">
        <v>212</v>
      </c>
      <c r="BX90" s="59" t="s">
        <v>376</v>
      </c>
      <c r="BY90" s="59">
        <v>5</v>
      </c>
    </row>
    <row r="91" spans="1:77" x14ac:dyDescent="0.2">
      <c r="A91" s="58" t="str">
        <f>CONCATENATE(Tabelle32[[#This Row],[Device ID]],".",Tabelle32[[#This Row],[Streamcounter]])</f>
        <v>382.05201</v>
      </c>
      <c r="B9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VGW-103_SDI05_AUDsend_0001</v>
      </c>
      <c r="C91" s="67"/>
      <c r="D91" s="61"/>
      <c r="E91" s="67"/>
      <c r="F91" s="59" t="str">
        <f>IFERROR(VLOOKUP(Tabelle32[[#This Row],[Device ID]],BOM!$B$3:$BQ$35,16,FALSE),"")</f>
        <v>R421 HD1 Backup</v>
      </c>
      <c r="G91" s="63">
        <f>VLOOKUP(Tabelle32[[#This Row],[SDI Interface]],BOM!$A$4:$B$35,2,FALSE)</f>
        <v>382</v>
      </c>
      <c r="H91" s="59" t="str">
        <f>BOM!$C$4</f>
        <v>VGW-103</v>
      </c>
      <c r="I91" s="59" t="str">
        <f>IFERROR(VLOOKUP(Tabelle32[[#This Row],[Device ID]],BOM!$B$3:$BQ$35,12,FALSE),"")</f>
        <v>Videoserver</v>
      </c>
      <c r="J91" s="59" t="str">
        <f>IFERROR(VLOOKUP(Tabelle32[[#This Row],[Device ID]],BOM!$B$3:$BQ$35,13,FALSE),"")</f>
        <v>TC.U1.223 | MDC</v>
      </c>
      <c r="K91" s="59" t="str">
        <f>IFERROR(VLOOKUP(Tabelle32[[#This Row],[Device ID]],BOM!$B$3:$BQ$35,14,FALSE),"")</f>
        <v>Imagine Comunications</v>
      </c>
      <c r="L91" s="59" t="str">
        <f>IFERROR(VLOOKUP(Tabelle32[[#This Row],[Device ID]],BOM!$B$3:$BQ$35,16,FALSE),"")</f>
        <v>R421 HD1 Backup</v>
      </c>
      <c r="M91" s="63" t="str">
        <f>IFERROR(VLOOKUP(Tabelle32[[#This Row],[Device ID]],BOM!$B$3:$BQ$35,17,FALSE),"")</f>
        <v>R421</v>
      </c>
      <c r="N91" s="59" t="str">
        <f>IFERROR(VLOOKUP(Tabelle32[[#This Row],[Device ID]],BOM!$B$3:$BQ$35,18,FALSE),"")</f>
        <v>TC.00.104 | R401</v>
      </c>
      <c r="O91" s="64"/>
      <c r="P91" s="64">
        <f>IFERROR(VLOOKUP(Tabelle32[[#This Row],[Device ID]],BOM!$B$3:$BO$50,20,FALSE),"")</f>
        <v>0</v>
      </c>
      <c r="Q91" s="64">
        <f>IFERROR(VLOOKUP(Tabelle32[[#This Row],[Device ID]],BOM!$B$3:$BO$50,21,FALSE),"")</f>
        <v>1</v>
      </c>
      <c r="R91" s="64">
        <f>IFERROR(VLOOKUP(Tabelle32[[#This Row],[Device ID]],BOM!$B$3:$BO$50,22,FALSE),"")</f>
        <v>0</v>
      </c>
      <c r="S91" s="64"/>
      <c r="T91" s="64"/>
      <c r="U91" s="59" t="str">
        <f>IFERROR(VLOOKUP(Tabelle32[[#This Row],[Device ID]],BOM!$B$3:$BQ$35,25,FALSE),"")</f>
        <v>Luis/Ivo</v>
      </c>
      <c r="V91" s="59" t="str">
        <f>IFERROR(VLOOKUP(Tabelle32[[#This Row],[Device ID]],BOM!$B$3:$BQ$35,26,FALSE),"")</f>
        <v>tpco-megw-vgw103.rta.st-net.media.int</v>
      </c>
      <c r="W91" s="59" t="str">
        <f>IFERROR(VLOOKUP(Tabelle32[[#This Row],[Device ID]],BOM!$B$3:$BQ$35,27,FALSE),"")</f>
        <v>10.120.236.50</v>
      </c>
      <c r="X91" s="59" t="str">
        <f>IFERROR(VLOOKUP(Tabelle32[[#This Row],[Device ID]],BOM!$B$3:$BQ$35,28,FALSE),"")</f>
        <v>AVCoreA</v>
      </c>
      <c r="Y91" s="59" t="str">
        <f>IFERROR(VLOOKUP(Tabelle32[[#This Row],[Device ID]],BOM!$B$3:$BQ$35,29,FALSE),"")</f>
        <v>5_36_1</v>
      </c>
      <c r="Z91" s="59" t="str">
        <f>IFERROR(VLOOKUP(Tabelle32[[#This Row],[Device ID]],BOM!$B$3:$BQ$35,30,FALSE),"")</f>
        <v>tpco-megw-vgw103.rtb.st-net.media.int</v>
      </c>
      <c r="AA91" s="59" t="str">
        <f>IFERROR(VLOOKUP(Tabelle32[[#This Row],[Device ID]],BOM!$B$3:$BQ$35,31,FALSE),"")</f>
        <v>10.120.236.54</v>
      </c>
      <c r="AB91" s="59" t="str">
        <f>IFERROR(VLOOKUP(Tabelle32[[#This Row],[Device ID]],BOM!$B$3:$BQ$35,32,FALSE),"")</f>
        <v>AVCoreB</v>
      </c>
      <c r="AC91" s="59" t="str">
        <f>IFERROR(VLOOKUP(Tabelle32[[#This Row],[Device ID]],BOM!$B$3:$BQ$35,33,FALSE),"")</f>
        <v>5_36_1</v>
      </c>
      <c r="AD91" s="59" t="str">
        <f>IFERROR(VLOOKUP(Tabelle32[[#This Row],[Device ID]],BOM!$B$3:$BQ$35,34,FALSE),"")</f>
        <v>tpco-megw-vgw103.st-net.media.int</v>
      </c>
      <c r="AE91" s="59" t="str">
        <f>IFERROR(VLOOKUP(Tabelle32[[#This Row],[Device ID]],BOM!$B$3:$BQ$35,35,FALSE),"")</f>
        <v>10.120.67.141</v>
      </c>
      <c r="AF91" s="59">
        <f>IFERROR(VLOOKUP(Tabelle32[[#This Row],[Device ID]],BOM!$B$3:$BQ$35,36,FALSE),"")</f>
        <v>0</v>
      </c>
      <c r="AG91" s="59">
        <f>IFERROR(VLOOKUP(Tabelle32[[#This Row],[Device ID]],BOM!$B$3:$BQ$35,37,FALSE),"")</f>
        <v>0</v>
      </c>
      <c r="AH91" s="59"/>
      <c r="AI91" s="59"/>
      <c r="AJ91" s="59"/>
      <c r="AK91" s="59"/>
      <c r="AL91" s="59" t="str">
        <f>IFERROR(VLOOKUP(Tabelle32[[#This Row],[Device ID]],BOM!$B$3:$BQ$35,42,FALSE),"")</f>
        <v>Imagine Communications SNP</v>
      </c>
      <c r="AM91" s="59" t="str">
        <f>IFERROR(VLOOKUP(Tabelle32[[#This Row],[Device ID]],BOM!$B$3:$BQ$35,43,FALSE),"")</f>
        <v>no</v>
      </c>
      <c r="AN91" s="59" t="str">
        <f>IFERROR(VLOOKUP(Tabelle32[[#This Row],[Device ID]],BOM!$B$3:$BQ$35,44,FALSE),"")</f>
        <v>yes</v>
      </c>
      <c r="AO91" s="59" t="str">
        <f>IFERROR(VLOOKUP(Tabelle32[[#This Row],[Device ID]],BOM!$B$3:$BQ$35,45,FALSE),"")</f>
        <v>no</v>
      </c>
      <c r="AP91" s="59" t="str">
        <f>IFERROR(CONCATENATE(Tabelle32[[#This Row],[Family
GFX-Unit]]," | ",Tabelle32[[#This Row],[Label 1
GFX-Unit]]," | ",Tabelle32[[#This Row],[Attached Device if Gateway]]),"")</f>
        <v>PLAYOUT R421 | HD1 Backup-001 | R421 HD1 Backup</v>
      </c>
      <c r="AQ91" s="59"/>
      <c r="AR91" s="90"/>
      <c r="AS91" s="90"/>
      <c r="AT91" s="90"/>
      <c r="AU91" s="90"/>
      <c r="AV91" s="90"/>
      <c r="AW91" s="90"/>
      <c r="AX91" s="90"/>
      <c r="AY91" s="90"/>
      <c r="AZ91" s="90" t="s">
        <v>97</v>
      </c>
      <c r="BA91" s="90"/>
      <c r="BB91" s="90"/>
      <c r="BC91" s="90"/>
      <c r="BD91" s="90"/>
      <c r="BE91" s="90"/>
      <c r="BF91" s="90"/>
      <c r="BG91" s="90"/>
      <c r="BH91" s="73" t="s">
        <v>199</v>
      </c>
      <c r="BI91" s="30" t="str">
        <f>IF(COUNTA(Tabelle32[[#This Row],[Type:Vid_1080i50]:[Type:Anc_Prot]])&gt;0,"x","")</f>
        <v>x</v>
      </c>
      <c r="BJ91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91" s="59"/>
      <c r="BL91" s="59"/>
      <c r="BM91" s="63"/>
      <c r="BN91" s="63"/>
      <c r="BO91" s="100" t="s">
        <v>372</v>
      </c>
      <c r="BP91" s="94" t="s">
        <v>201</v>
      </c>
      <c r="BQ91" s="63">
        <f>LEN(Tabelle32[[#This Row],[Label 1
GFX-Unit]])</f>
        <v>14</v>
      </c>
      <c r="BR91" s="63"/>
      <c r="BS91" s="63"/>
      <c r="BT91" s="59"/>
      <c r="BU91" s="59"/>
      <c r="BV91" s="59" t="s">
        <v>214</v>
      </c>
      <c r="BW91" s="59" t="s">
        <v>215</v>
      </c>
      <c r="BX91" s="59" t="s">
        <v>377</v>
      </c>
      <c r="BY91" s="59">
        <v>5</v>
      </c>
    </row>
    <row r="92" spans="1:77" x14ac:dyDescent="0.2">
      <c r="A92" s="58" t="str">
        <f>CONCATENATE(Tabelle32[[#This Row],[Device ID]],".",Tabelle32[[#This Row],[Streamcounter]])</f>
        <v>382.05202</v>
      </c>
      <c r="B9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VGW-103_SDI05_AUDsend_0002</v>
      </c>
      <c r="C92" s="67"/>
      <c r="D92" s="61"/>
      <c r="E92" s="67"/>
      <c r="F92" s="59" t="str">
        <f>IFERROR(VLOOKUP(Tabelle32[[#This Row],[Device ID]],BOM!$B$3:$BQ$35,16,FALSE),"")</f>
        <v>R421 HD1 Backup</v>
      </c>
      <c r="G92" s="63">
        <f>VLOOKUP(Tabelle32[[#This Row],[SDI Interface]],BOM!$A$4:$B$35,2,FALSE)</f>
        <v>382</v>
      </c>
      <c r="H92" s="59" t="str">
        <f>BOM!$C$4</f>
        <v>VGW-103</v>
      </c>
      <c r="I92" s="59" t="str">
        <f>IFERROR(VLOOKUP(Tabelle32[[#This Row],[Device ID]],BOM!$B$3:$BQ$35,12,FALSE),"")</f>
        <v>Videoserver</v>
      </c>
      <c r="J92" s="59" t="str">
        <f>IFERROR(VLOOKUP(Tabelle32[[#This Row],[Device ID]],BOM!$B$3:$BQ$35,13,FALSE),"")</f>
        <v>TC.U1.223 | MDC</v>
      </c>
      <c r="K92" s="59" t="str">
        <f>IFERROR(VLOOKUP(Tabelle32[[#This Row],[Device ID]],BOM!$B$3:$BQ$35,14,FALSE),"")</f>
        <v>Imagine Comunications</v>
      </c>
      <c r="L92" s="59" t="str">
        <f>IFERROR(VLOOKUP(Tabelle32[[#This Row],[Device ID]],BOM!$B$3:$BQ$35,16,FALSE),"")</f>
        <v>R421 HD1 Backup</v>
      </c>
      <c r="M92" s="63" t="str">
        <f>IFERROR(VLOOKUP(Tabelle32[[#This Row],[Device ID]],BOM!$B$3:$BQ$35,17,FALSE),"")</f>
        <v>R421</v>
      </c>
      <c r="N92" s="59" t="str">
        <f>IFERROR(VLOOKUP(Tabelle32[[#This Row],[Device ID]],BOM!$B$3:$BQ$35,18,FALSE),"")</f>
        <v>TC.00.104 | R401</v>
      </c>
      <c r="O92" s="64"/>
      <c r="P92" s="64">
        <f>IFERROR(VLOOKUP(Tabelle32[[#This Row],[Device ID]],BOM!$B$3:$BO$50,20,FALSE),"")</f>
        <v>0</v>
      </c>
      <c r="Q92" s="64">
        <f>IFERROR(VLOOKUP(Tabelle32[[#This Row],[Device ID]],BOM!$B$3:$BO$50,21,FALSE),"")</f>
        <v>1</v>
      </c>
      <c r="R92" s="64">
        <f>IFERROR(VLOOKUP(Tabelle32[[#This Row],[Device ID]],BOM!$B$3:$BO$50,22,FALSE),"")</f>
        <v>0</v>
      </c>
      <c r="S92" s="64"/>
      <c r="T92" s="64"/>
      <c r="U92" s="59" t="str">
        <f>IFERROR(VLOOKUP(Tabelle32[[#This Row],[Device ID]],BOM!$B$3:$BQ$35,25,FALSE),"")</f>
        <v>Luis/Ivo</v>
      </c>
      <c r="V92" s="59" t="str">
        <f>IFERROR(VLOOKUP(Tabelle32[[#This Row],[Device ID]],BOM!$B$3:$BQ$35,26,FALSE),"")</f>
        <v>tpco-megw-vgw103.rta.st-net.media.int</v>
      </c>
      <c r="W92" s="59" t="str">
        <f>IFERROR(VLOOKUP(Tabelle32[[#This Row],[Device ID]],BOM!$B$3:$BQ$35,27,FALSE),"")</f>
        <v>10.120.236.50</v>
      </c>
      <c r="X92" s="59" t="str">
        <f>IFERROR(VLOOKUP(Tabelle32[[#This Row],[Device ID]],BOM!$B$3:$BQ$35,28,FALSE),"")</f>
        <v>AVCoreA</v>
      </c>
      <c r="Y92" s="59" t="str">
        <f>IFERROR(VLOOKUP(Tabelle32[[#This Row],[Device ID]],BOM!$B$3:$BQ$35,29,FALSE),"")</f>
        <v>5_36_1</v>
      </c>
      <c r="Z92" s="59" t="str">
        <f>IFERROR(VLOOKUP(Tabelle32[[#This Row],[Device ID]],BOM!$B$3:$BQ$35,30,FALSE),"")</f>
        <v>tpco-megw-vgw103.rtb.st-net.media.int</v>
      </c>
      <c r="AA92" s="59" t="str">
        <f>IFERROR(VLOOKUP(Tabelle32[[#This Row],[Device ID]],BOM!$B$3:$BQ$35,31,FALSE),"")</f>
        <v>10.120.236.54</v>
      </c>
      <c r="AB92" s="59" t="str">
        <f>IFERROR(VLOOKUP(Tabelle32[[#This Row],[Device ID]],BOM!$B$3:$BQ$35,32,FALSE),"")</f>
        <v>AVCoreB</v>
      </c>
      <c r="AC92" s="59" t="str">
        <f>IFERROR(VLOOKUP(Tabelle32[[#This Row],[Device ID]],BOM!$B$3:$BQ$35,33,FALSE),"")</f>
        <v>5_36_1</v>
      </c>
      <c r="AD92" s="59" t="str">
        <f>IFERROR(VLOOKUP(Tabelle32[[#This Row],[Device ID]],BOM!$B$3:$BQ$35,34,FALSE),"")</f>
        <v>tpco-megw-vgw103.st-net.media.int</v>
      </c>
      <c r="AE92" s="59" t="str">
        <f>IFERROR(VLOOKUP(Tabelle32[[#This Row],[Device ID]],BOM!$B$3:$BQ$35,35,FALSE),"")</f>
        <v>10.120.67.141</v>
      </c>
      <c r="AF92" s="59">
        <f>IFERROR(VLOOKUP(Tabelle32[[#This Row],[Device ID]],BOM!$B$3:$BQ$35,36,FALSE),"")</f>
        <v>0</v>
      </c>
      <c r="AG92" s="59">
        <f>IFERROR(VLOOKUP(Tabelle32[[#This Row],[Device ID]],BOM!$B$3:$BQ$35,37,FALSE),"")</f>
        <v>0</v>
      </c>
      <c r="AH92" s="59"/>
      <c r="AI92" s="59"/>
      <c r="AJ92" s="59"/>
      <c r="AK92" s="59"/>
      <c r="AL92" s="59" t="str">
        <f>IFERROR(VLOOKUP(Tabelle32[[#This Row],[Device ID]],BOM!$B$3:$BQ$35,42,FALSE),"")</f>
        <v>Imagine Communications SNP</v>
      </c>
      <c r="AM92" s="59" t="str">
        <f>IFERROR(VLOOKUP(Tabelle32[[#This Row],[Device ID]],BOM!$B$3:$BQ$35,43,FALSE),"")</f>
        <v>no</v>
      </c>
      <c r="AN92" s="59" t="str">
        <f>IFERROR(VLOOKUP(Tabelle32[[#This Row],[Device ID]],BOM!$B$3:$BQ$35,44,FALSE),"")</f>
        <v>yes</v>
      </c>
      <c r="AO92" s="59" t="str">
        <f>IFERROR(VLOOKUP(Tabelle32[[#This Row],[Device ID]],BOM!$B$3:$BQ$35,45,FALSE),"")</f>
        <v>no</v>
      </c>
      <c r="AP92" s="59" t="str">
        <f>IFERROR(CONCATENATE(Tabelle32[[#This Row],[Family
GFX-Unit]]," | ",Tabelle32[[#This Row],[Label 1
GFX-Unit]]," | ",Tabelle32[[#This Row],[Attached Device if Gateway]]),"")</f>
        <v>PLAYOUT R421 | HD1 Backup-002 | R421 HD1 Backup</v>
      </c>
      <c r="AQ92" s="59"/>
      <c r="AR92" s="90"/>
      <c r="AS92" s="90"/>
      <c r="AT92" s="90"/>
      <c r="AU92" s="90"/>
      <c r="AV92" s="90"/>
      <c r="AW92" s="90" t="s">
        <v>97</v>
      </c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73" t="s">
        <v>199</v>
      </c>
      <c r="BI92" s="30" t="str">
        <f>IF(COUNTA(Tabelle32[[#This Row],[Type:Vid_1080i50]:[Type:Anc_Prot]])&gt;0,"x","")</f>
        <v>x</v>
      </c>
      <c r="BJ92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92" s="59"/>
      <c r="BL92" s="59"/>
      <c r="BM92" s="63"/>
      <c r="BN92" s="63"/>
      <c r="BO92" s="100" t="s">
        <v>372</v>
      </c>
      <c r="BP92" s="94" t="s">
        <v>217</v>
      </c>
      <c r="BQ92" s="63">
        <f>LEN(Tabelle32[[#This Row],[Label 1
GFX-Unit]])</f>
        <v>14</v>
      </c>
      <c r="BR92" s="63"/>
      <c r="BS92" s="63"/>
      <c r="BT92" s="59"/>
      <c r="BU92" s="59"/>
      <c r="BV92" s="59" t="s">
        <v>218</v>
      </c>
      <c r="BW92" s="59" t="s">
        <v>219</v>
      </c>
      <c r="BX92" s="59" t="s">
        <v>378</v>
      </c>
      <c r="BY92" s="59">
        <v>5</v>
      </c>
    </row>
    <row r="93" spans="1:77" x14ac:dyDescent="0.2">
      <c r="A93" s="58" t="str">
        <f>CONCATENATE(Tabelle32[[#This Row],[Device ID]],".",Tabelle32[[#This Row],[Streamcounter]])</f>
        <v>382.05203</v>
      </c>
      <c r="B9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VGW-103_SDI05_AUDsend_0003</v>
      </c>
      <c r="C93" s="67"/>
      <c r="D93" s="61"/>
      <c r="E93" s="67"/>
      <c r="F93" s="59" t="str">
        <f>IFERROR(VLOOKUP(Tabelle32[[#This Row],[Device ID]],BOM!$B$3:$BQ$35,16,FALSE),"")</f>
        <v>R421 HD1 Backup</v>
      </c>
      <c r="G93" s="63">
        <f>VLOOKUP(Tabelle32[[#This Row],[SDI Interface]],BOM!$A$4:$B$35,2,FALSE)</f>
        <v>382</v>
      </c>
      <c r="H93" s="59" t="str">
        <f>BOM!$C$4</f>
        <v>VGW-103</v>
      </c>
      <c r="I93" s="59" t="str">
        <f>IFERROR(VLOOKUP(Tabelle32[[#This Row],[Device ID]],BOM!$B$3:$BQ$35,12,FALSE),"")</f>
        <v>Videoserver</v>
      </c>
      <c r="J93" s="59" t="str">
        <f>IFERROR(VLOOKUP(Tabelle32[[#This Row],[Device ID]],BOM!$B$3:$BQ$35,13,FALSE),"")</f>
        <v>TC.U1.223 | MDC</v>
      </c>
      <c r="K93" s="59" t="str">
        <f>IFERROR(VLOOKUP(Tabelle32[[#This Row],[Device ID]],BOM!$B$3:$BQ$35,14,FALSE),"")</f>
        <v>Imagine Comunications</v>
      </c>
      <c r="L93" s="59" t="str">
        <f>IFERROR(VLOOKUP(Tabelle32[[#This Row],[Device ID]],BOM!$B$3:$BQ$35,16,FALSE),"")</f>
        <v>R421 HD1 Backup</v>
      </c>
      <c r="M93" s="63" t="str">
        <f>IFERROR(VLOOKUP(Tabelle32[[#This Row],[Device ID]],BOM!$B$3:$BQ$35,17,FALSE),"")</f>
        <v>R421</v>
      </c>
      <c r="N93" s="59" t="str">
        <f>IFERROR(VLOOKUP(Tabelle32[[#This Row],[Device ID]],BOM!$B$3:$BQ$35,18,FALSE),"")</f>
        <v>TC.00.104 | R401</v>
      </c>
      <c r="O93" s="64"/>
      <c r="P93" s="64">
        <f>IFERROR(VLOOKUP(Tabelle32[[#This Row],[Device ID]],BOM!$B$3:$BO$50,20,FALSE),"")</f>
        <v>0</v>
      </c>
      <c r="Q93" s="64">
        <f>IFERROR(VLOOKUP(Tabelle32[[#This Row],[Device ID]],BOM!$B$3:$BO$50,21,FALSE),"")</f>
        <v>1</v>
      </c>
      <c r="R93" s="64">
        <f>IFERROR(VLOOKUP(Tabelle32[[#This Row],[Device ID]],BOM!$B$3:$BO$50,22,FALSE),"")</f>
        <v>0</v>
      </c>
      <c r="S93" s="64"/>
      <c r="T93" s="64"/>
      <c r="U93" s="59" t="str">
        <f>IFERROR(VLOOKUP(Tabelle32[[#This Row],[Device ID]],BOM!$B$3:$BQ$35,25,FALSE),"")</f>
        <v>Luis/Ivo</v>
      </c>
      <c r="V93" s="59" t="str">
        <f>IFERROR(VLOOKUP(Tabelle32[[#This Row],[Device ID]],BOM!$B$3:$BQ$35,26,FALSE),"")</f>
        <v>tpco-megw-vgw103.rta.st-net.media.int</v>
      </c>
      <c r="W93" s="59" t="str">
        <f>IFERROR(VLOOKUP(Tabelle32[[#This Row],[Device ID]],BOM!$B$3:$BQ$35,27,FALSE),"")</f>
        <v>10.120.236.50</v>
      </c>
      <c r="X93" s="59" t="str">
        <f>IFERROR(VLOOKUP(Tabelle32[[#This Row],[Device ID]],BOM!$B$3:$BQ$35,28,FALSE),"")</f>
        <v>AVCoreA</v>
      </c>
      <c r="Y93" s="59" t="str">
        <f>IFERROR(VLOOKUP(Tabelle32[[#This Row],[Device ID]],BOM!$B$3:$BQ$35,29,FALSE),"")</f>
        <v>5_36_1</v>
      </c>
      <c r="Z93" s="59" t="str">
        <f>IFERROR(VLOOKUP(Tabelle32[[#This Row],[Device ID]],BOM!$B$3:$BQ$35,30,FALSE),"")</f>
        <v>tpco-megw-vgw103.rtb.st-net.media.int</v>
      </c>
      <c r="AA93" s="59" t="str">
        <f>IFERROR(VLOOKUP(Tabelle32[[#This Row],[Device ID]],BOM!$B$3:$BQ$35,31,FALSE),"")</f>
        <v>10.120.236.54</v>
      </c>
      <c r="AB93" s="59" t="str">
        <f>IFERROR(VLOOKUP(Tabelle32[[#This Row],[Device ID]],BOM!$B$3:$BQ$35,32,FALSE),"")</f>
        <v>AVCoreB</v>
      </c>
      <c r="AC93" s="59" t="str">
        <f>IFERROR(VLOOKUP(Tabelle32[[#This Row],[Device ID]],BOM!$B$3:$BQ$35,33,FALSE),"")</f>
        <v>5_36_1</v>
      </c>
      <c r="AD93" s="59" t="str">
        <f>IFERROR(VLOOKUP(Tabelle32[[#This Row],[Device ID]],BOM!$B$3:$BQ$35,34,FALSE),"")</f>
        <v>tpco-megw-vgw103.st-net.media.int</v>
      </c>
      <c r="AE93" s="59" t="str">
        <f>IFERROR(VLOOKUP(Tabelle32[[#This Row],[Device ID]],BOM!$B$3:$BQ$35,35,FALSE),"")</f>
        <v>10.120.67.141</v>
      </c>
      <c r="AF93" s="59">
        <f>IFERROR(VLOOKUP(Tabelle32[[#This Row],[Device ID]],BOM!$B$3:$BQ$35,36,FALSE),"")</f>
        <v>0</v>
      </c>
      <c r="AG93" s="59">
        <f>IFERROR(VLOOKUP(Tabelle32[[#This Row],[Device ID]],BOM!$B$3:$BQ$35,37,FALSE),"")</f>
        <v>0</v>
      </c>
      <c r="AH93" s="59"/>
      <c r="AI93" s="59"/>
      <c r="AJ93" s="59"/>
      <c r="AK93" s="59"/>
      <c r="AL93" s="59" t="str">
        <f>IFERROR(VLOOKUP(Tabelle32[[#This Row],[Device ID]],BOM!$B$3:$BQ$35,42,FALSE),"")</f>
        <v>Imagine Communications SNP</v>
      </c>
      <c r="AM93" s="59" t="str">
        <f>IFERROR(VLOOKUP(Tabelle32[[#This Row],[Device ID]],BOM!$B$3:$BQ$35,43,FALSE),"")</f>
        <v>no</v>
      </c>
      <c r="AN93" s="59" t="str">
        <f>IFERROR(VLOOKUP(Tabelle32[[#This Row],[Device ID]],BOM!$B$3:$BQ$35,44,FALSE),"")</f>
        <v>yes</v>
      </c>
      <c r="AO93" s="59" t="str">
        <f>IFERROR(VLOOKUP(Tabelle32[[#This Row],[Device ID]],BOM!$B$3:$BQ$35,45,FALSE),"")</f>
        <v>no</v>
      </c>
      <c r="AP93" s="59" t="str">
        <f>IFERROR(CONCATENATE(Tabelle32[[#This Row],[Family
GFX-Unit]]," | ",Tabelle32[[#This Row],[Label 1
GFX-Unit]]," | ",Tabelle32[[#This Row],[Attached Device if Gateway]]),"")</f>
        <v>PLAYOUT R421 | HD1 Backup-003 | R421 HD1 Backup</v>
      </c>
      <c r="AQ93" s="59"/>
      <c r="AR93" s="90"/>
      <c r="AS93" s="90"/>
      <c r="AT93" s="90"/>
      <c r="AU93" s="90"/>
      <c r="AV93" s="90"/>
      <c r="AW93" s="90" t="s">
        <v>97</v>
      </c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73" t="s">
        <v>199</v>
      </c>
      <c r="BI93" s="30" t="str">
        <f>IF(COUNTA(Tabelle32[[#This Row],[Type:Vid_1080i50]:[Type:Anc_Prot]])&gt;0,"x","")</f>
        <v>x</v>
      </c>
      <c r="BJ9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93" s="59"/>
      <c r="BL93" s="59"/>
      <c r="BM93" s="63"/>
      <c r="BN93" s="63"/>
      <c r="BO93" s="100" t="s">
        <v>372</v>
      </c>
      <c r="BP93" s="94" t="s">
        <v>221</v>
      </c>
      <c r="BQ93" s="63">
        <f>LEN(Tabelle32[[#This Row],[Label 1
GFX-Unit]])</f>
        <v>14</v>
      </c>
      <c r="BR93" s="63"/>
      <c r="BS93" s="63"/>
      <c r="BT93" s="59"/>
      <c r="BU93" s="59"/>
      <c r="BV93" s="59" t="s">
        <v>222</v>
      </c>
      <c r="BW93" s="59" t="s">
        <v>223</v>
      </c>
      <c r="BX93" s="59" t="s">
        <v>379</v>
      </c>
      <c r="BY93" s="59">
        <v>5</v>
      </c>
    </row>
    <row r="94" spans="1:77" x14ac:dyDescent="0.2">
      <c r="A94" s="58" t="str">
        <f>CONCATENATE(Tabelle32[[#This Row],[Device ID]],".",Tabelle32[[#This Row],[Streamcounter]])</f>
        <v>382.05204</v>
      </c>
      <c r="B9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VGW-103_SDI05_AUDsend_0004</v>
      </c>
      <c r="C94" s="60"/>
      <c r="D94" s="61"/>
      <c r="E94" s="62"/>
      <c r="F94" s="59" t="str">
        <f>IFERROR(VLOOKUP(Tabelle32[[#This Row],[Device ID]],BOM!$B$3:$BQ$35,16,FALSE),"")</f>
        <v>R421 HD1 Backup</v>
      </c>
      <c r="G94" s="63">
        <f>VLOOKUP(Tabelle32[[#This Row],[SDI Interface]],BOM!$A$4:$B$35,2,FALSE)</f>
        <v>382</v>
      </c>
      <c r="H94" s="59" t="str">
        <f>BOM!$C$4</f>
        <v>VGW-103</v>
      </c>
      <c r="I94" s="59" t="str">
        <f>IFERROR(VLOOKUP(Tabelle32[[#This Row],[Device ID]],BOM!$B$3:$BQ$35,12,FALSE),"")</f>
        <v>Videoserver</v>
      </c>
      <c r="J94" s="59" t="str">
        <f>IFERROR(VLOOKUP(Tabelle32[[#This Row],[Device ID]],BOM!$B$3:$BQ$35,13,FALSE),"")</f>
        <v>TC.U1.223 | MDC</v>
      </c>
      <c r="K94" s="59" t="str">
        <f>IFERROR(VLOOKUP(Tabelle32[[#This Row],[Device ID]],BOM!$B$3:$BQ$35,14,FALSE),"")</f>
        <v>Imagine Comunications</v>
      </c>
      <c r="L94" s="59" t="str">
        <f>IFERROR(VLOOKUP(Tabelle32[[#This Row],[Device ID]],BOM!$B$3:$BQ$35,16,FALSE),"")</f>
        <v>R421 HD1 Backup</v>
      </c>
      <c r="M94" s="63" t="str">
        <f>IFERROR(VLOOKUP(Tabelle32[[#This Row],[Device ID]],BOM!$B$3:$BQ$35,17,FALSE),"")</f>
        <v>R421</v>
      </c>
      <c r="N94" s="59" t="str">
        <f>IFERROR(VLOOKUP(Tabelle32[[#This Row],[Device ID]],BOM!$B$3:$BQ$35,18,FALSE),"")</f>
        <v>TC.00.104 | R401</v>
      </c>
      <c r="O94" s="64"/>
      <c r="P94" s="64">
        <f>IFERROR(VLOOKUP(Tabelle32[[#This Row],[Device ID]],BOM!$B$3:$BO$50,20,FALSE),"")</f>
        <v>0</v>
      </c>
      <c r="Q94" s="64">
        <f>IFERROR(VLOOKUP(Tabelle32[[#This Row],[Device ID]],BOM!$B$3:$BO$50,21,FALSE),"")</f>
        <v>1</v>
      </c>
      <c r="R94" s="64">
        <f>IFERROR(VLOOKUP(Tabelle32[[#This Row],[Device ID]],BOM!$B$3:$BO$50,22,FALSE),"")</f>
        <v>0</v>
      </c>
      <c r="S94" s="64"/>
      <c r="T94" s="64"/>
      <c r="U94" s="59" t="str">
        <f>IFERROR(VLOOKUP(Tabelle32[[#This Row],[Device ID]],BOM!$B$3:$BQ$35,25,FALSE),"")</f>
        <v>Luis/Ivo</v>
      </c>
      <c r="V94" s="59" t="str">
        <f>IFERROR(VLOOKUP(Tabelle32[[#This Row],[Device ID]],BOM!$B$3:$BQ$35,26,FALSE),"")</f>
        <v>tpco-megw-vgw103.rta.st-net.media.int</v>
      </c>
      <c r="W94" s="59" t="str">
        <f>IFERROR(VLOOKUP(Tabelle32[[#This Row],[Device ID]],BOM!$B$3:$BQ$35,27,FALSE),"")</f>
        <v>10.120.236.50</v>
      </c>
      <c r="X94" s="59" t="str">
        <f>IFERROR(VLOOKUP(Tabelle32[[#This Row],[Device ID]],BOM!$B$3:$BQ$35,28,FALSE),"")</f>
        <v>AVCoreA</v>
      </c>
      <c r="Y94" s="59" t="str">
        <f>IFERROR(VLOOKUP(Tabelle32[[#This Row],[Device ID]],BOM!$B$3:$BQ$35,29,FALSE),"")</f>
        <v>5_36_1</v>
      </c>
      <c r="Z94" s="59" t="str">
        <f>IFERROR(VLOOKUP(Tabelle32[[#This Row],[Device ID]],BOM!$B$3:$BQ$35,30,FALSE),"")</f>
        <v>tpco-megw-vgw103.rtb.st-net.media.int</v>
      </c>
      <c r="AA94" s="59" t="str">
        <f>IFERROR(VLOOKUP(Tabelle32[[#This Row],[Device ID]],BOM!$B$3:$BQ$35,31,FALSE),"")</f>
        <v>10.120.236.54</v>
      </c>
      <c r="AB94" s="59" t="str">
        <f>IFERROR(VLOOKUP(Tabelle32[[#This Row],[Device ID]],BOM!$B$3:$BQ$35,32,FALSE),"")</f>
        <v>AVCoreB</v>
      </c>
      <c r="AC94" s="59" t="str">
        <f>IFERROR(VLOOKUP(Tabelle32[[#This Row],[Device ID]],BOM!$B$3:$BQ$35,33,FALSE),"")</f>
        <v>5_36_1</v>
      </c>
      <c r="AD94" s="59" t="str">
        <f>IFERROR(VLOOKUP(Tabelle32[[#This Row],[Device ID]],BOM!$B$3:$BQ$35,34,FALSE),"")</f>
        <v>tpco-megw-vgw103.st-net.media.int</v>
      </c>
      <c r="AE94" s="59" t="str">
        <f>IFERROR(VLOOKUP(Tabelle32[[#This Row],[Device ID]],BOM!$B$3:$BQ$35,35,FALSE),"")</f>
        <v>10.120.67.141</v>
      </c>
      <c r="AF94" s="59">
        <f>IFERROR(VLOOKUP(Tabelle32[[#This Row],[Device ID]],BOM!$B$3:$BQ$35,36,FALSE),"")</f>
        <v>0</v>
      </c>
      <c r="AG94" s="59">
        <f>IFERROR(VLOOKUP(Tabelle32[[#This Row],[Device ID]],BOM!$B$3:$BQ$35,37,FALSE),"")</f>
        <v>0</v>
      </c>
      <c r="AH94" s="59"/>
      <c r="AI94" s="59"/>
      <c r="AJ94" s="59"/>
      <c r="AK94" s="59"/>
      <c r="AL94" s="59" t="str">
        <f>IFERROR(VLOOKUP(Tabelle32[[#This Row],[Device ID]],BOM!$B$3:$BQ$35,42,FALSE),"")</f>
        <v>Imagine Communications SNP</v>
      </c>
      <c r="AM94" s="59" t="str">
        <f>IFERROR(VLOOKUP(Tabelle32[[#This Row],[Device ID]],BOM!$B$3:$BQ$35,43,FALSE),"")</f>
        <v>no</v>
      </c>
      <c r="AN94" s="59" t="str">
        <f>IFERROR(VLOOKUP(Tabelle32[[#This Row],[Device ID]],BOM!$B$3:$BQ$35,44,FALSE),"")</f>
        <v>yes</v>
      </c>
      <c r="AO94" s="59" t="str">
        <f>IFERROR(VLOOKUP(Tabelle32[[#This Row],[Device ID]],BOM!$B$3:$BQ$35,45,FALSE),"")</f>
        <v>no</v>
      </c>
      <c r="AP94" s="59" t="str">
        <f>IFERROR(CONCATENATE(Tabelle32[[#This Row],[Family
GFX-Unit]]," | ",Tabelle32[[#This Row],[Label 1
GFX-Unit]]," | ",Tabelle32[[#This Row],[Attached Device if Gateway]]),"")</f>
        <v>PLAYOUT R421 | HD1 Backup-004 | R421 HD1 Backup</v>
      </c>
      <c r="AQ94" s="59"/>
      <c r="AR94" s="90"/>
      <c r="AS94" s="90"/>
      <c r="AT94" s="90"/>
      <c r="AU94" s="90"/>
      <c r="AV94" s="90"/>
      <c r="AW94" s="90"/>
      <c r="AX94" s="90"/>
      <c r="AY94" s="90"/>
      <c r="AZ94" s="90" t="s">
        <v>97</v>
      </c>
      <c r="BA94" s="90"/>
      <c r="BB94" s="90"/>
      <c r="BC94" s="90"/>
      <c r="BD94" s="90"/>
      <c r="BE94" s="90"/>
      <c r="BF94" s="90"/>
      <c r="BG94" s="90"/>
      <c r="BH94" s="73" t="s">
        <v>199</v>
      </c>
      <c r="BI94" s="30" t="str">
        <f>IF(COUNTA(Tabelle32[[#This Row],[Type:Vid_1080i50]:[Type:Anc_Prot]])&gt;0,"x","")</f>
        <v>x</v>
      </c>
      <c r="BJ9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94" s="59"/>
      <c r="BL94" s="59"/>
      <c r="BM94" s="63"/>
      <c r="BN94" s="63"/>
      <c r="BO94" s="100" t="s">
        <v>372</v>
      </c>
      <c r="BP94" s="94" t="s">
        <v>225</v>
      </c>
      <c r="BQ94" s="63">
        <f>LEN(Tabelle32[[#This Row],[Label 1
GFX-Unit]])</f>
        <v>14</v>
      </c>
      <c r="BR94" s="63"/>
      <c r="BS94" s="63"/>
      <c r="BT94" s="59"/>
      <c r="BU94" s="59"/>
      <c r="BV94" s="59" t="s">
        <v>226</v>
      </c>
      <c r="BW94" s="59" t="s">
        <v>227</v>
      </c>
      <c r="BX94" s="59" t="s">
        <v>380</v>
      </c>
      <c r="BY94" s="59">
        <v>5</v>
      </c>
    </row>
    <row r="95" spans="1:77" x14ac:dyDescent="0.2">
      <c r="A95" s="58" t="str">
        <f>CONCATENATE(Tabelle32[[#This Row],[Device ID]],".",Tabelle32[[#This Row],[Streamcounter]])</f>
        <v>382.05205</v>
      </c>
      <c r="B9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VGW-103_SDI05_AUDsend_0005</v>
      </c>
      <c r="C95" s="60"/>
      <c r="D95" s="61"/>
      <c r="E95" s="62"/>
      <c r="F95" s="59" t="str">
        <f>IFERROR(VLOOKUP(Tabelle32[[#This Row],[Device ID]],BOM!$B$3:$BQ$35,16,FALSE),"")</f>
        <v>R421 HD1 Backup</v>
      </c>
      <c r="G95" s="63">
        <f>VLOOKUP(Tabelle32[[#This Row],[SDI Interface]],BOM!$A$4:$B$35,2,FALSE)</f>
        <v>382</v>
      </c>
      <c r="H95" s="59" t="str">
        <f>BOM!$C$4</f>
        <v>VGW-103</v>
      </c>
      <c r="I95" s="59" t="str">
        <f>IFERROR(VLOOKUP(Tabelle32[[#This Row],[Device ID]],BOM!$B$3:$BQ$35,12,FALSE),"")</f>
        <v>Videoserver</v>
      </c>
      <c r="J95" s="59" t="str">
        <f>IFERROR(VLOOKUP(Tabelle32[[#This Row],[Device ID]],BOM!$B$3:$BQ$35,13,FALSE),"")</f>
        <v>TC.U1.223 | MDC</v>
      </c>
      <c r="K95" s="59" t="str">
        <f>IFERROR(VLOOKUP(Tabelle32[[#This Row],[Device ID]],BOM!$B$3:$BQ$35,14,FALSE),"")</f>
        <v>Imagine Comunications</v>
      </c>
      <c r="L95" s="59" t="str">
        <f>IFERROR(VLOOKUP(Tabelle32[[#This Row],[Device ID]],BOM!$B$3:$BQ$35,16,FALSE),"")</f>
        <v>R421 HD1 Backup</v>
      </c>
      <c r="M95" s="63" t="str">
        <f>IFERROR(VLOOKUP(Tabelle32[[#This Row],[Device ID]],BOM!$B$3:$BQ$35,17,FALSE),"")</f>
        <v>R421</v>
      </c>
      <c r="N95" s="59" t="str">
        <f>IFERROR(VLOOKUP(Tabelle32[[#This Row],[Device ID]],BOM!$B$3:$BQ$35,18,FALSE),"")</f>
        <v>TC.00.104 | R401</v>
      </c>
      <c r="O95" s="64"/>
      <c r="P95" s="64">
        <f>IFERROR(VLOOKUP(Tabelle32[[#This Row],[Device ID]],BOM!$B$3:$BO$50,20,FALSE),"")</f>
        <v>0</v>
      </c>
      <c r="Q95" s="64">
        <f>IFERROR(VLOOKUP(Tabelle32[[#This Row],[Device ID]],BOM!$B$3:$BO$50,21,FALSE),"")</f>
        <v>1</v>
      </c>
      <c r="R95" s="64">
        <f>IFERROR(VLOOKUP(Tabelle32[[#This Row],[Device ID]],BOM!$B$3:$BO$50,22,FALSE),"")</f>
        <v>0</v>
      </c>
      <c r="S95" s="64"/>
      <c r="T95" s="64"/>
      <c r="U95" s="59" t="str">
        <f>IFERROR(VLOOKUP(Tabelle32[[#This Row],[Device ID]],BOM!$B$3:$BQ$35,25,FALSE),"")</f>
        <v>Luis/Ivo</v>
      </c>
      <c r="V95" s="59" t="str">
        <f>IFERROR(VLOOKUP(Tabelle32[[#This Row],[Device ID]],BOM!$B$3:$BQ$35,26,FALSE),"")</f>
        <v>tpco-megw-vgw103.rta.st-net.media.int</v>
      </c>
      <c r="W95" s="59" t="str">
        <f>IFERROR(VLOOKUP(Tabelle32[[#This Row],[Device ID]],BOM!$B$3:$BQ$35,27,FALSE),"")</f>
        <v>10.120.236.50</v>
      </c>
      <c r="X95" s="59" t="str">
        <f>IFERROR(VLOOKUP(Tabelle32[[#This Row],[Device ID]],BOM!$B$3:$BQ$35,28,FALSE),"")</f>
        <v>AVCoreA</v>
      </c>
      <c r="Y95" s="59" t="str">
        <f>IFERROR(VLOOKUP(Tabelle32[[#This Row],[Device ID]],BOM!$B$3:$BQ$35,29,FALSE),"")</f>
        <v>5_36_1</v>
      </c>
      <c r="Z95" s="59" t="str">
        <f>IFERROR(VLOOKUP(Tabelle32[[#This Row],[Device ID]],BOM!$B$3:$BQ$35,30,FALSE),"")</f>
        <v>tpco-megw-vgw103.rtb.st-net.media.int</v>
      </c>
      <c r="AA95" s="59" t="str">
        <f>IFERROR(VLOOKUP(Tabelle32[[#This Row],[Device ID]],BOM!$B$3:$BQ$35,31,FALSE),"")</f>
        <v>10.120.236.54</v>
      </c>
      <c r="AB95" s="59" t="str">
        <f>IFERROR(VLOOKUP(Tabelle32[[#This Row],[Device ID]],BOM!$B$3:$BQ$35,32,FALSE),"")</f>
        <v>AVCoreB</v>
      </c>
      <c r="AC95" s="59" t="str">
        <f>IFERROR(VLOOKUP(Tabelle32[[#This Row],[Device ID]],BOM!$B$3:$BQ$35,33,FALSE),"")</f>
        <v>5_36_1</v>
      </c>
      <c r="AD95" s="59" t="str">
        <f>IFERROR(VLOOKUP(Tabelle32[[#This Row],[Device ID]],BOM!$B$3:$BQ$35,34,FALSE),"")</f>
        <v>tpco-megw-vgw103.st-net.media.int</v>
      </c>
      <c r="AE95" s="59" t="str">
        <f>IFERROR(VLOOKUP(Tabelle32[[#This Row],[Device ID]],BOM!$B$3:$BQ$35,35,FALSE),"")</f>
        <v>10.120.67.141</v>
      </c>
      <c r="AF95" s="59">
        <f>IFERROR(VLOOKUP(Tabelle32[[#This Row],[Device ID]],BOM!$B$3:$BQ$35,36,FALSE),"")</f>
        <v>0</v>
      </c>
      <c r="AG95" s="59">
        <f>IFERROR(VLOOKUP(Tabelle32[[#This Row],[Device ID]],BOM!$B$3:$BQ$35,37,FALSE),"")</f>
        <v>0</v>
      </c>
      <c r="AH95" s="59"/>
      <c r="AI95" s="59"/>
      <c r="AJ95" s="59"/>
      <c r="AK95" s="59"/>
      <c r="AL95" s="59" t="str">
        <f>IFERROR(VLOOKUP(Tabelle32[[#This Row],[Device ID]],BOM!$B$3:$BQ$35,42,FALSE),"")</f>
        <v>Imagine Communications SNP</v>
      </c>
      <c r="AM95" s="59" t="str">
        <f>IFERROR(VLOOKUP(Tabelle32[[#This Row],[Device ID]],BOM!$B$3:$BQ$35,43,FALSE),"")</f>
        <v>no</v>
      </c>
      <c r="AN95" s="59" t="str">
        <f>IFERROR(VLOOKUP(Tabelle32[[#This Row],[Device ID]],BOM!$B$3:$BQ$35,44,FALSE),"")</f>
        <v>yes</v>
      </c>
      <c r="AO95" s="59" t="str">
        <f>IFERROR(VLOOKUP(Tabelle32[[#This Row],[Device ID]],BOM!$B$3:$BQ$35,45,FALSE),"")</f>
        <v>no</v>
      </c>
      <c r="AP95" s="59" t="str">
        <f>IFERROR(CONCATENATE(Tabelle32[[#This Row],[Family
GFX-Unit]]," | ",Tabelle32[[#This Row],[Label 1
GFX-Unit]]," | ",Tabelle32[[#This Row],[Attached Device if Gateway]]),"")</f>
        <v>PLAYOUT R421 | HD1 Backup-005 | R421 HD1 Backup</v>
      </c>
      <c r="AQ95" s="59"/>
      <c r="AR95" s="90"/>
      <c r="AS95" s="90"/>
      <c r="AT95" s="90"/>
      <c r="AU95" s="90"/>
      <c r="AV95" s="90"/>
      <c r="AW95" s="90" t="s">
        <v>97</v>
      </c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73" t="s">
        <v>199</v>
      </c>
      <c r="BI95" s="30" t="str">
        <f>IF(COUNTA(Tabelle32[[#This Row],[Type:Vid_1080i50]:[Type:Anc_Prot]])&gt;0,"x","")</f>
        <v>x</v>
      </c>
      <c r="BJ9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95" s="59"/>
      <c r="BL95" s="59"/>
      <c r="BM95" s="63"/>
      <c r="BN95" s="63"/>
      <c r="BO95" s="100" t="s">
        <v>372</v>
      </c>
      <c r="BP95" s="94" t="s">
        <v>229</v>
      </c>
      <c r="BQ95" s="63">
        <f>LEN(Tabelle32[[#This Row],[Label 1
GFX-Unit]])</f>
        <v>14</v>
      </c>
      <c r="BR95" s="63"/>
      <c r="BS95" s="63"/>
      <c r="BT95" s="59"/>
      <c r="BU95" s="59"/>
      <c r="BV95" s="59" t="s">
        <v>230</v>
      </c>
      <c r="BW95" s="59" t="s">
        <v>231</v>
      </c>
      <c r="BX95" s="59" t="s">
        <v>381</v>
      </c>
      <c r="BY95" s="59">
        <v>5</v>
      </c>
    </row>
    <row r="96" spans="1:77" x14ac:dyDescent="0.2">
      <c r="A96" s="58" t="str">
        <f>CONCATENATE(Tabelle32[[#This Row],[Device ID]],".",Tabelle32[[#This Row],[Streamcounter]])</f>
        <v>382.05206</v>
      </c>
      <c r="B9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VGW-103_SDI05_AUDsend_0006</v>
      </c>
      <c r="C96" s="60"/>
      <c r="D96" s="61"/>
      <c r="E96" s="62"/>
      <c r="F96" s="59" t="str">
        <f>IFERROR(VLOOKUP(Tabelle32[[#This Row],[Device ID]],BOM!$B$3:$BQ$35,16,FALSE),"")</f>
        <v>R421 HD1 Backup</v>
      </c>
      <c r="G96" s="63">
        <f>VLOOKUP(Tabelle32[[#This Row],[SDI Interface]],BOM!$A$4:$B$35,2,FALSE)</f>
        <v>382</v>
      </c>
      <c r="H96" s="59" t="str">
        <f>BOM!$C$4</f>
        <v>VGW-103</v>
      </c>
      <c r="I96" s="59" t="str">
        <f>IFERROR(VLOOKUP(Tabelle32[[#This Row],[Device ID]],BOM!$B$3:$BQ$35,12,FALSE),"")</f>
        <v>Videoserver</v>
      </c>
      <c r="J96" s="59" t="str">
        <f>IFERROR(VLOOKUP(Tabelle32[[#This Row],[Device ID]],BOM!$B$3:$BQ$35,13,FALSE),"")</f>
        <v>TC.U1.223 | MDC</v>
      </c>
      <c r="K96" s="59" t="str">
        <f>IFERROR(VLOOKUP(Tabelle32[[#This Row],[Device ID]],BOM!$B$3:$BQ$35,14,FALSE),"")</f>
        <v>Imagine Comunications</v>
      </c>
      <c r="L96" s="59" t="str">
        <f>IFERROR(VLOOKUP(Tabelle32[[#This Row],[Device ID]],BOM!$B$3:$BQ$35,16,FALSE),"")</f>
        <v>R421 HD1 Backup</v>
      </c>
      <c r="M96" s="63" t="str">
        <f>IFERROR(VLOOKUP(Tabelle32[[#This Row],[Device ID]],BOM!$B$3:$BQ$35,17,FALSE),"")</f>
        <v>R421</v>
      </c>
      <c r="N96" s="59" t="str">
        <f>IFERROR(VLOOKUP(Tabelle32[[#This Row],[Device ID]],BOM!$B$3:$BQ$35,18,FALSE),"")</f>
        <v>TC.00.104 | R401</v>
      </c>
      <c r="O96" s="64"/>
      <c r="P96" s="64">
        <f>IFERROR(VLOOKUP(Tabelle32[[#This Row],[Device ID]],BOM!$B$3:$BO$50,20,FALSE),"")</f>
        <v>0</v>
      </c>
      <c r="Q96" s="64">
        <f>IFERROR(VLOOKUP(Tabelle32[[#This Row],[Device ID]],BOM!$B$3:$BO$50,21,FALSE),"")</f>
        <v>1</v>
      </c>
      <c r="R96" s="64">
        <f>IFERROR(VLOOKUP(Tabelle32[[#This Row],[Device ID]],BOM!$B$3:$BO$50,22,FALSE),"")</f>
        <v>0</v>
      </c>
      <c r="S96" s="64"/>
      <c r="T96" s="64"/>
      <c r="U96" s="59" t="str">
        <f>IFERROR(VLOOKUP(Tabelle32[[#This Row],[Device ID]],BOM!$B$3:$BQ$35,25,FALSE),"")</f>
        <v>Luis/Ivo</v>
      </c>
      <c r="V96" s="59" t="str">
        <f>IFERROR(VLOOKUP(Tabelle32[[#This Row],[Device ID]],BOM!$B$3:$BQ$35,26,FALSE),"")</f>
        <v>tpco-megw-vgw103.rta.st-net.media.int</v>
      </c>
      <c r="W96" s="59" t="str">
        <f>IFERROR(VLOOKUP(Tabelle32[[#This Row],[Device ID]],BOM!$B$3:$BQ$35,27,FALSE),"")</f>
        <v>10.120.236.50</v>
      </c>
      <c r="X96" s="59" t="str">
        <f>IFERROR(VLOOKUP(Tabelle32[[#This Row],[Device ID]],BOM!$B$3:$BQ$35,28,FALSE),"")</f>
        <v>AVCoreA</v>
      </c>
      <c r="Y96" s="59" t="str">
        <f>IFERROR(VLOOKUP(Tabelle32[[#This Row],[Device ID]],BOM!$B$3:$BQ$35,29,FALSE),"")</f>
        <v>5_36_1</v>
      </c>
      <c r="Z96" s="59" t="str">
        <f>IFERROR(VLOOKUP(Tabelle32[[#This Row],[Device ID]],BOM!$B$3:$BQ$35,30,FALSE),"")</f>
        <v>tpco-megw-vgw103.rtb.st-net.media.int</v>
      </c>
      <c r="AA96" s="59" t="str">
        <f>IFERROR(VLOOKUP(Tabelle32[[#This Row],[Device ID]],BOM!$B$3:$BQ$35,31,FALSE),"")</f>
        <v>10.120.236.54</v>
      </c>
      <c r="AB96" s="59" t="str">
        <f>IFERROR(VLOOKUP(Tabelle32[[#This Row],[Device ID]],BOM!$B$3:$BQ$35,32,FALSE),"")</f>
        <v>AVCoreB</v>
      </c>
      <c r="AC96" s="59" t="str">
        <f>IFERROR(VLOOKUP(Tabelle32[[#This Row],[Device ID]],BOM!$B$3:$BQ$35,33,FALSE),"")</f>
        <v>5_36_1</v>
      </c>
      <c r="AD96" s="59" t="str">
        <f>IFERROR(VLOOKUP(Tabelle32[[#This Row],[Device ID]],BOM!$B$3:$BQ$35,34,FALSE),"")</f>
        <v>tpco-megw-vgw103.st-net.media.int</v>
      </c>
      <c r="AE96" s="59" t="str">
        <f>IFERROR(VLOOKUP(Tabelle32[[#This Row],[Device ID]],BOM!$B$3:$BQ$35,35,FALSE),"")</f>
        <v>10.120.67.141</v>
      </c>
      <c r="AF96" s="59">
        <f>IFERROR(VLOOKUP(Tabelle32[[#This Row],[Device ID]],BOM!$B$3:$BQ$35,36,FALSE),"")</f>
        <v>0</v>
      </c>
      <c r="AG96" s="59">
        <f>IFERROR(VLOOKUP(Tabelle32[[#This Row],[Device ID]],BOM!$B$3:$BQ$35,37,FALSE),"")</f>
        <v>0</v>
      </c>
      <c r="AH96" s="59"/>
      <c r="AI96" s="59"/>
      <c r="AJ96" s="59"/>
      <c r="AK96" s="59"/>
      <c r="AL96" s="59" t="str">
        <f>IFERROR(VLOOKUP(Tabelle32[[#This Row],[Device ID]],BOM!$B$3:$BQ$35,42,FALSE),"")</f>
        <v>Imagine Communications SNP</v>
      </c>
      <c r="AM96" s="59" t="str">
        <f>IFERROR(VLOOKUP(Tabelle32[[#This Row],[Device ID]],BOM!$B$3:$BQ$35,43,FALSE),"")</f>
        <v>no</v>
      </c>
      <c r="AN96" s="59" t="str">
        <f>IFERROR(VLOOKUP(Tabelle32[[#This Row],[Device ID]],BOM!$B$3:$BQ$35,44,FALSE),"")</f>
        <v>yes</v>
      </c>
      <c r="AO96" s="59" t="str">
        <f>IFERROR(VLOOKUP(Tabelle32[[#This Row],[Device ID]],BOM!$B$3:$BQ$35,45,FALSE),"")</f>
        <v>no</v>
      </c>
      <c r="AP96" s="59" t="str">
        <f>IFERROR(CONCATENATE(Tabelle32[[#This Row],[Family
GFX-Unit]]," | ",Tabelle32[[#This Row],[Label 1
GFX-Unit]]," | ",Tabelle32[[#This Row],[Attached Device if Gateway]]),"")</f>
        <v>PLAYOUT R421 | HD1 Backup-006 | R421 HD1 Backup</v>
      </c>
      <c r="AQ96" s="59"/>
      <c r="AR96" s="90"/>
      <c r="AS96" s="90"/>
      <c r="AT96" s="90"/>
      <c r="AU96" s="90"/>
      <c r="AV96" s="90"/>
      <c r="AW96" s="90" t="s">
        <v>97</v>
      </c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73" t="s">
        <v>199</v>
      </c>
      <c r="BI96" s="30" t="str">
        <f>IF(COUNTA(Tabelle32[[#This Row],[Type:Vid_1080i50]:[Type:Anc_Prot]])&gt;0,"x","")</f>
        <v>x</v>
      </c>
      <c r="BJ96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96" s="59"/>
      <c r="BL96" s="59"/>
      <c r="BM96" s="63"/>
      <c r="BN96" s="63"/>
      <c r="BO96" s="100" t="s">
        <v>372</v>
      </c>
      <c r="BP96" s="94" t="s">
        <v>233</v>
      </c>
      <c r="BQ96" s="63">
        <f>LEN(Tabelle32[[#This Row],[Label 1
GFX-Unit]])</f>
        <v>14</v>
      </c>
      <c r="BR96" s="63"/>
      <c r="BS96" s="63"/>
      <c r="BT96" s="59"/>
      <c r="BU96" s="59"/>
      <c r="BV96" s="59" t="s">
        <v>234</v>
      </c>
      <c r="BW96" s="59" t="s">
        <v>235</v>
      </c>
      <c r="BX96" s="59" t="s">
        <v>382</v>
      </c>
      <c r="BY96" s="59">
        <v>5</v>
      </c>
    </row>
    <row r="97" spans="1:77" x14ac:dyDescent="0.2">
      <c r="A97" s="58" t="str">
        <f>CONCATENATE(Tabelle32[[#This Row],[Device ID]],".",Tabelle32[[#This Row],[Streamcounter]])</f>
        <v>382.05207</v>
      </c>
      <c r="B9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VGW-103_SDI05_AUDsend_0007</v>
      </c>
      <c r="C97" s="60"/>
      <c r="D97" s="61"/>
      <c r="E97" s="62"/>
      <c r="F97" s="59" t="str">
        <f>IFERROR(VLOOKUP(Tabelle32[[#This Row],[Device ID]],BOM!$B$3:$BQ$35,16,FALSE),"")</f>
        <v>R421 HD1 Backup</v>
      </c>
      <c r="G97" s="63">
        <f>VLOOKUP(Tabelle32[[#This Row],[SDI Interface]],BOM!$A$4:$B$35,2,FALSE)</f>
        <v>382</v>
      </c>
      <c r="H97" s="59" t="str">
        <f>BOM!$C$4</f>
        <v>VGW-103</v>
      </c>
      <c r="I97" s="59" t="str">
        <f>IFERROR(VLOOKUP(Tabelle32[[#This Row],[Device ID]],BOM!$B$3:$BQ$35,12,FALSE),"")</f>
        <v>Videoserver</v>
      </c>
      <c r="J97" s="59" t="str">
        <f>IFERROR(VLOOKUP(Tabelle32[[#This Row],[Device ID]],BOM!$B$3:$BQ$35,13,FALSE),"")</f>
        <v>TC.U1.223 | MDC</v>
      </c>
      <c r="K97" s="59" t="str">
        <f>IFERROR(VLOOKUP(Tabelle32[[#This Row],[Device ID]],BOM!$B$3:$BQ$35,14,FALSE),"")</f>
        <v>Imagine Comunications</v>
      </c>
      <c r="L97" s="59" t="str">
        <f>IFERROR(VLOOKUP(Tabelle32[[#This Row],[Device ID]],BOM!$B$3:$BQ$35,16,FALSE),"")</f>
        <v>R421 HD1 Backup</v>
      </c>
      <c r="M97" s="63" t="str">
        <f>IFERROR(VLOOKUP(Tabelle32[[#This Row],[Device ID]],BOM!$B$3:$BQ$35,17,FALSE),"")</f>
        <v>R421</v>
      </c>
      <c r="N97" s="59" t="str">
        <f>IFERROR(VLOOKUP(Tabelle32[[#This Row],[Device ID]],BOM!$B$3:$BQ$35,18,FALSE),"")</f>
        <v>TC.00.104 | R401</v>
      </c>
      <c r="O97" s="64"/>
      <c r="P97" s="64">
        <f>IFERROR(VLOOKUP(Tabelle32[[#This Row],[Device ID]],BOM!$B$3:$BO$50,20,FALSE),"")</f>
        <v>0</v>
      </c>
      <c r="Q97" s="64">
        <f>IFERROR(VLOOKUP(Tabelle32[[#This Row],[Device ID]],BOM!$B$3:$BO$50,21,FALSE),"")</f>
        <v>1</v>
      </c>
      <c r="R97" s="64">
        <f>IFERROR(VLOOKUP(Tabelle32[[#This Row],[Device ID]],BOM!$B$3:$BO$50,22,FALSE),"")</f>
        <v>0</v>
      </c>
      <c r="S97" s="64"/>
      <c r="T97" s="64"/>
      <c r="U97" s="59" t="str">
        <f>IFERROR(VLOOKUP(Tabelle32[[#This Row],[Device ID]],BOM!$B$3:$BQ$35,25,FALSE),"")</f>
        <v>Luis/Ivo</v>
      </c>
      <c r="V97" s="59" t="str">
        <f>IFERROR(VLOOKUP(Tabelle32[[#This Row],[Device ID]],BOM!$B$3:$BQ$35,26,FALSE),"")</f>
        <v>tpco-megw-vgw103.rta.st-net.media.int</v>
      </c>
      <c r="W97" s="59" t="str">
        <f>IFERROR(VLOOKUP(Tabelle32[[#This Row],[Device ID]],BOM!$B$3:$BQ$35,27,FALSE),"")</f>
        <v>10.120.236.50</v>
      </c>
      <c r="X97" s="59" t="str">
        <f>IFERROR(VLOOKUP(Tabelle32[[#This Row],[Device ID]],BOM!$B$3:$BQ$35,28,FALSE),"")</f>
        <v>AVCoreA</v>
      </c>
      <c r="Y97" s="59" t="str">
        <f>IFERROR(VLOOKUP(Tabelle32[[#This Row],[Device ID]],BOM!$B$3:$BQ$35,29,FALSE),"")</f>
        <v>5_36_1</v>
      </c>
      <c r="Z97" s="59" t="str">
        <f>IFERROR(VLOOKUP(Tabelle32[[#This Row],[Device ID]],BOM!$B$3:$BQ$35,30,FALSE),"")</f>
        <v>tpco-megw-vgw103.rtb.st-net.media.int</v>
      </c>
      <c r="AA97" s="59" t="str">
        <f>IFERROR(VLOOKUP(Tabelle32[[#This Row],[Device ID]],BOM!$B$3:$BQ$35,31,FALSE),"")</f>
        <v>10.120.236.54</v>
      </c>
      <c r="AB97" s="59" t="str">
        <f>IFERROR(VLOOKUP(Tabelle32[[#This Row],[Device ID]],BOM!$B$3:$BQ$35,32,FALSE),"")</f>
        <v>AVCoreB</v>
      </c>
      <c r="AC97" s="59" t="str">
        <f>IFERROR(VLOOKUP(Tabelle32[[#This Row],[Device ID]],BOM!$B$3:$BQ$35,33,FALSE),"")</f>
        <v>5_36_1</v>
      </c>
      <c r="AD97" s="59" t="str">
        <f>IFERROR(VLOOKUP(Tabelle32[[#This Row],[Device ID]],BOM!$B$3:$BQ$35,34,FALSE),"")</f>
        <v>tpco-megw-vgw103.st-net.media.int</v>
      </c>
      <c r="AE97" s="59" t="str">
        <f>IFERROR(VLOOKUP(Tabelle32[[#This Row],[Device ID]],BOM!$B$3:$BQ$35,35,FALSE),"")</f>
        <v>10.120.67.141</v>
      </c>
      <c r="AF97" s="59">
        <f>IFERROR(VLOOKUP(Tabelle32[[#This Row],[Device ID]],BOM!$B$3:$BQ$35,36,FALSE),"")</f>
        <v>0</v>
      </c>
      <c r="AG97" s="59">
        <f>IFERROR(VLOOKUP(Tabelle32[[#This Row],[Device ID]],BOM!$B$3:$BQ$35,37,FALSE),"")</f>
        <v>0</v>
      </c>
      <c r="AH97" s="59"/>
      <c r="AI97" s="59"/>
      <c r="AJ97" s="59"/>
      <c r="AK97" s="59"/>
      <c r="AL97" s="59" t="str">
        <f>IFERROR(VLOOKUP(Tabelle32[[#This Row],[Device ID]],BOM!$B$3:$BQ$35,42,FALSE),"")</f>
        <v>Imagine Communications SNP</v>
      </c>
      <c r="AM97" s="59" t="str">
        <f>IFERROR(VLOOKUP(Tabelle32[[#This Row],[Device ID]],BOM!$B$3:$BQ$35,43,FALSE),"")</f>
        <v>no</v>
      </c>
      <c r="AN97" s="59" t="str">
        <f>IFERROR(VLOOKUP(Tabelle32[[#This Row],[Device ID]],BOM!$B$3:$BQ$35,44,FALSE),"")</f>
        <v>yes</v>
      </c>
      <c r="AO97" s="59" t="str">
        <f>IFERROR(VLOOKUP(Tabelle32[[#This Row],[Device ID]],BOM!$B$3:$BQ$35,45,FALSE),"")</f>
        <v>no</v>
      </c>
      <c r="AP97" s="59" t="str">
        <f>IFERROR(CONCATENATE(Tabelle32[[#This Row],[Family
GFX-Unit]]," | ",Tabelle32[[#This Row],[Label 1
GFX-Unit]]," | ",Tabelle32[[#This Row],[Attached Device if Gateway]]),"")</f>
        <v>PLAYOUT R421 | HD1 Backup-007 | R421 HD1 Backup</v>
      </c>
      <c r="AQ97" s="59"/>
      <c r="AR97" s="90"/>
      <c r="AS97" s="90"/>
      <c r="AT97" s="90"/>
      <c r="AU97" s="90"/>
      <c r="AV97" s="90"/>
      <c r="AW97" s="90"/>
      <c r="AX97" s="90"/>
      <c r="AY97" s="90"/>
      <c r="AZ97" s="90" t="s">
        <v>97</v>
      </c>
      <c r="BA97" s="90"/>
      <c r="BB97" s="90"/>
      <c r="BC97" s="90"/>
      <c r="BD97" s="90"/>
      <c r="BE97" s="90"/>
      <c r="BF97" s="90"/>
      <c r="BG97" s="90"/>
      <c r="BH97" s="73" t="s">
        <v>199</v>
      </c>
      <c r="BI97" s="30" t="str">
        <f>IF(COUNTA(Tabelle32[[#This Row],[Type:Vid_1080i50]:[Type:Anc_Prot]])&gt;0,"x","")</f>
        <v>x</v>
      </c>
      <c r="BJ9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97" s="59"/>
      <c r="BL97" s="59"/>
      <c r="BM97" s="63"/>
      <c r="BN97" s="63"/>
      <c r="BO97" s="100" t="s">
        <v>372</v>
      </c>
      <c r="BP97" s="94" t="s">
        <v>237</v>
      </c>
      <c r="BQ97" s="63">
        <f>LEN(Tabelle32[[#This Row],[Label 1
GFX-Unit]])</f>
        <v>14</v>
      </c>
      <c r="BR97" s="63"/>
      <c r="BS97" s="63"/>
      <c r="BT97" s="59"/>
      <c r="BU97" s="59"/>
      <c r="BV97" s="59" t="s">
        <v>238</v>
      </c>
      <c r="BW97" s="59" t="s">
        <v>239</v>
      </c>
      <c r="BX97" s="59" t="s">
        <v>383</v>
      </c>
      <c r="BY97" s="59">
        <v>5</v>
      </c>
    </row>
    <row r="98" spans="1:77" x14ac:dyDescent="0.2">
      <c r="A98" s="58" t="str">
        <f>CONCATENATE(Tabelle32[[#This Row],[Device ID]],".",Tabelle32[[#This Row],[Streamcounter]])</f>
        <v>382.05208</v>
      </c>
      <c r="B9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VGW-103_SDI05_AUDsend_0008</v>
      </c>
      <c r="C98" s="60"/>
      <c r="D98" s="61"/>
      <c r="E98" s="62"/>
      <c r="F98" s="59" t="str">
        <f>IFERROR(VLOOKUP(Tabelle32[[#This Row],[Device ID]],BOM!$B$3:$BQ$35,16,FALSE),"")</f>
        <v>R421 HD1 Backup</v>
      </c>
      <c r="G98" s="63">
        <f>VLOOKUP(Tabelle32[[#This Row],[SDI Interface]],BOM!$A$4:$B$35,2,FALSE)</f>
        <v>382</v>
      </c>
      <c r="H98" s="59" t="str">
        <f>BOM!$C$4</f>
        <v>VGW-103</v>
      </c>
      <c r="I98" s="59" t="str">
        <f>IFERROR(VLOOKUP(Tabelle32[[#This Row],[Device ID]],BOM!$B$3:$BQ$35,12,FALSE),"")</f>
        <v>Videoserver</v>
      </c>
      <c r="J98" s="59" t="str">
        <f>IFERROR(VLOOKUP(Tabelle32[[#This Row],[Device ID]],BOM!$B$3:$BQ$35,13,FALSE),"")</f>
        <v>TC.U1.223 | MDC</v>
      </c>
      <c r="K98" s="59" t="str">
        <f>IFERROR(VLOOKUP(Tabelle32[[#This Row],[Device ID]],BOM!$B$3:$BQ$35,14,FALSE),"")</f>
        <v>Imagine Comunications</v>
      </c>
      <c r="L98" s="59" t="str">
        <f>IFERROR(VLOOKUP(Tabelle32[[#This Row],[Device ID]],BOM!$B$3:$BQ$35,16,FALSE),"")</f>
        <v>R421 HD1 Backup</v>
      </c>
      <c r="M98" s="63" t="str">
        <f>IFERROR(VLOOKUP(Tabelle32[[#This Row],[Device ID]],BOM!$B$3:$BQ$35,17,FALSE),"")</f>
        <v>R421</v>
      </c>
      <c r="N98" s="59" t="str">
        <f>IFERROR(VLOOKUP(Tabelle32[[#This Row],[Device ID]],BOM!$B$3:$BQ$35,18,FALSE),"")</f>
        <v>TC.00.104 | R401</v>
      </c>
      <c r="O98" s="64"/>
      <c r="P98" s="64">
        <f>IFERROR(VLOOKUP(Tabelle32[[#This Row],[Device ID]],BOM!$B$3:$BO$50,20,FALSE),"")</f>
        <v>0</v>
      </c>
      <c r="Q98" s="64">
        <f>IFERROR(VLOOKUP(Tabelle32[[#This Row],[Device ID]],BOM!$B$3:$BO$50,21,FALSE),"")</f>
        <v>1</v>
      </c>
      <c r="R98" s="64">
        <f>IFERROR(VLOOKUP(Tabelle32[[#This Row],[Device ID]],BOM!$B$3:$BO$50,22,FALSE),"")</f>
        <v>0</v>
      </c>
      <c r="S98" s="64"/>
      <c r="T98" s="64"/>
      <c r="U98" s="59" t="str">
        <f>IFERROR(VLOOKUP(Tabelle32[[#This Row],[Device ID]],BOM!$B$3:$BQ$35,25,FALSE),"")</f>
        <v>Luis/Ivo</v>
      </c>
      <c r="V98" s="59" t="str">
        <f>IFERROR(VLOOKUP(Tabelle32[[#This Row],[Device ID]],BOM!$B$3:$BQ$35,26,FALSE),"")</f>
        <v>tpco-megw-vgw103.rta.st-net.media.int</v>
      </c>
      <c r="W98" s="59" t="str">
        <f>IFERROR(VLOOKUP(Tabelle32[[#This Row],[Device ID]],BOM!$B$3:$BQ$35,27,FALSE),"")</f>
        <v>10.120.236.50</v>
      </c>
      <c r="X98" s="59" t="str">
        <f>IFERROR(VLOOKUP(Tabelle32[[#This Row],[Device ID]],BOM!$B$3:$BQ$35,28,FALSE),"")</f>
        <v>AVCoreA</v>
      </c>
      <c r="Y98" s="59" t="str">
        <f>IFERROR(VLOOKUP(Tabelle32[[#This Row],[Device ID]],BOM!$B$3:$BQ$35,29,FALSE),"")</f>
        <v>5_36_1</v>
      </c>
      <c r="Z98" s="59" t="str">
        <f>IFERROR(VLOOKUP(Tabelle32[[#This Row],[Device ID]],BOM!$B$3:$BQ$35,30,FALSE),"")</f>
        <v>tpco-megw-vgw103.rtb.st-net.media.int</v>
      </c>
      <c r="AA98" s="59" t="str">
        <f>IFERROR(VLOOKUP(Tabelle32[[#This Row],[Device ID]],BOM!$B$3:$BQ$35,31,FALSE),"")</f>
        <v>10.120.236.54</v>
      </c>
      <c r="AB98" s="59" t="str">
        <f>IFERROR(VLOOKUP(Tabelle32[[#This Row],[Device ID]],BOM!$B$3:$BQ$35,32,FALSE),"")</f>
        <v>AVCoreB</v>
      </c>
      <c r="AC98" s="59" t="str">
        <f>IFERROR(VLOOKUP(Tabelle32[[#This Row],[Device ID]],BOM!$B$3:$BQ$35,33,FALSE),"")</f>
        <v>5_36_1</v>
      </c>
      <c r="AD98" s="59" t="str">
        <f>IFERROR(VLOOKUP(Tabelle32[[#This Row],[Device ID]],BOM!$B$3:$BQ$35,34,FALSE),"")</f>
        <v>tpco-megw-vgw103.st-net.media.int</v>
      </c>
      <c r="AE98" s="59" t="str">
        <f>IFERROR(VLOOKUP(Tabelle32[[#This Row],[Device ID]],BOM!$B$3:$BQ$35,35,FALSE),"")</f>
        <v>10.120.67.141</v>
      </c>
      <c r="AF98" s="59">
        <f>IFERROR(VLOOKUP(Tabelle32[[#This Row],[Device ID]],BOM!$B$3:$BQ$35,36,FALSE),"")</f>
        <v>0</v>
      </c>
      <c r="AG98" s="59">
        <f>IFERROR(VLOOKUP(Tabelle32[[#This Row],[Device ID]],BOM!$B$3:$BQ$35,37,FALSE),"")</f>
        <v>0</v>
      </c>
      <c r="AH98" s="59"/>
      <c r="AI98" s="59"/>
      <c r="AJ98" s="59"/>
      <c r="AK98" s="59"/>
      <c r="AL98" s="59" t="str">
        <f>IFERROR(VLOOKUP(Tabelle32[[#This Row],[Device ID]],BOM!$B$3:$BQ$35,42,FALSE),"")</f>
        <v>Imagine Communications SNP</v>
      </c>
      <c r="AM98" s="59" t="str">
        <f>IFERROR(VLOOKUP(Tabelle32[[#This Row],[Device ID]],BOM!$B$3:$BQ$35,43,FALSE),"")</f>
        <v>no</v>
      </c>
      <c r="AN98" s="59" t="str">
        <f>IFERROR(VLOOKUP(Tabelle32[[#This Row],[Device ID]],BOM!$B$3:$BQ$35,44,FALSE),"")</f>
        <v>yes</v>
      </c>
      <c r="AO98" s="59" t="str">
        <f>IFERROR(VLOOKUP(Tabelle32[[#This Row],[Device ID]],BOM!$B$3:$BQ$35,45,FALSE),"")</f>
        <v>no</v>
      </c>
      <c r="AP98" s="59" t="str">
        <f>IFERROR(CONCATENATE(Tabelle32[[#This Row],[Family
GFX-Unit]]," | ",Tabelle32[[#This Row],[Label 1
GFX-Unit]]," | ",Tabelle32[[#This Row],[Attached Device if Gateway]]),"")</f>
        <v>PLAYOUT R421 | HD1 Backup-008 | R421 HD1 Backup</v>
      </c>
      <c r="AQ98" s="59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 t="s">
        <v>97</v>
      </c>
      <c r="BD98" s="90"/>
      <c r="BE98" s="90"/>
      <c r="BF98" s="90"/>
      <c r="BG98" s="90"/>
      <c r="BH98" s="73" t="s">
        <v>199</v>
      </c>
      <c r="BI98" s="30" t="str">
        <f>IF(COUNTA(Tabelle32[[#This Row],[Type:Vid_1080i50]:[Type:Anc_Prot]])&gt;0,"x","")</f>
        <v>x</v>
      </c>
      <c r="BJ98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98" s="59"/>
      <c r="BL98" s="59"/>
      <c r="BM98" s="63"/>
      <c r="BN98" s="63"/>
      <c r="BO98" s="100" t="s">
        <v>372</v>
      </c>
      <c r="BP98" s="94" t="s">
        <v>241</v>
      </c>
      <c r="BQ98" s="63">
        <f>LEN(Tabelle32[[#This Row],[Label 1
GFX-Unit]])</f>
        <v>14</v>
      </c>
      <c r="BR98" s="63"/>
      <c r="BS98" s="63"/>
      <c r="BT98" s="59"/>
      <c r="BU98" s="59"/>
      <c r="BV98" s="59" t="s">
        <v>242</v>
      </c>
      <c r="BW98" s="59" t="s">
        <v>243</v>
      </c>
      <c r="BX98" s="59" t="s">
        <v>384</v>
      </c>
      <c r="BY98" s="59">
        <v>5</v>
      </c>
    </row>
    <row r="99" spans="1:77" hidden="1" x14ac:dyDescent="0.2">
      <c r="A99" s="58" t="str">
        <f>CONCATENATE(Tabelle32[[#This Row],[Device ID]],".",Tabelle32[[#This Row],[Streamcounter]])</f>
        <v>382.05209</v>
      </c>
      <c r="B9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VGW-103_SDI05_AUDsend_0009</v>
      </c>
      <c r="C99" s="60"/>
      <c r="D99" s="61"/>
      <c r="E99" s="62"/>
      <c r="F99" s="59" t="str">
        <f>IFERROR(VLOOKUP(Tabelle32[[#This Row],[Device ID]],BOM!$B$3:$BQ$35,16,FALSE),"")</f>
        <v>R421 HD1 Backup</v>
      </c>
      <c r="G99" s="63">
        <f>VLOOKUP(Tabelle32[[#This Row],[SDI Interface]],BOM!$A$4:$B$35,2,FALSE)</f>
        <v>382</v>
      </c>
      <c r="H99" s="59" t="str">
        <f>BOM!$C$4</f>
        <v>VGW-103</v>
      </c>
      <c r="I99" s="59" t="str">
        <f>IFERROR(VLOOKUP(Tabelle32[[#This Row],[Device ID]],BOM!$B$3:$BQ$35,12,FALSE),"")</f>
        <v>Videoserver</v>
      </c>
      <c r="J99" s="59" t="str">
        <f>IFERROR(VLOOKUP(Tabelle32[[#This Row],[Device ID]],BOM!$B$3:$BQ$35,13,FALSE),"")</f>
        <v>TC.U1.223 | MDC</v>
      </c>
      <c r="K99" s="59" t="str">
        <f>IFERROR(VLOOKUP(Tabelle32[[#This Row],[Device ID]],BOM!$B$3:$BQ$35,14,FALSE),"")</f>
        <v>Imagine Comunications</v>
      </c>
      <c r="L99" s="59" t="str">
        <f>IFERROR(VLOOKUP(Tabelle32[[#This Row],[Device ID]],BOM!$B$3:$BQ$35,16,FALSE),"")</f>
        <v>R421 HD1 Backup</v>
      </c>
      <c r="M99" s="63" t="str">
        <f>IFERROR(VLOOKUP(Tabelle32[[#This Row],[Device ID]],BOM!$B$3:$BQ$35,17,FALSE),"")</f>
        <v>R421</v>
      </c>
      <c r="N99" s="59" t="str">
        <f>IFERROR(VLOOKUP(Tabelle32[[#This Row],[Device ID]],BOM!$B$3:$BQ$35,18,FALSE),"")</f>
        <v>TC.00.104 | R401</v>
      </c>
      <c r="O99" s="64"/>
      <c r="P99" s="64">
        <f>IFERROR(VLOOKUP(Tabelle32[[#This Row],[Device ID]],BOM!$B$3:$BO$50,20,FALSE),"")</f>
        <v>0</v>
      </c>
      <c r="Q99" s="64">
        <f>IFERROR(VLOOKUP(Tabelle32[[#This Row],[Device ID]],BOM!$B$3:$BO$50,21,FALSE),"")</f>
        <v>1</v>
      </c>
      <c r="R99" s="64">
        <f>IFERROR(VLOOKUP(Tabelle32[[#This Row],[Device ID]],BOM!$B$3:$BO$50,22,FALSE),"")</f>
        <v>0</v>
      </c>
      <c r="S99" s="64"/>
      <c r="T99" s="64"/>
      <c r="U99" s="59" t="str">
        <f>IFERROR(VLOOKUP(Tabelle32[[#This Row],[Device ID]],BOM!$B$3:$BQ$35,25,FALSE),"")</f>
        <v>Luis/Ivo</v>
      </c>
      <c r="V99" s="59" t="str">
        <f>IFERROR(VLOOKUP(Tabelle32[[#This Row],[Device ID]],BOM!$B$3:$BQ$35,26,FALSE),"")</f>
        <v>tpco-megw-vgw103.rta.st-net.media.int</v>
      </c>
      <c r="W99" s="59" t="str">
        <f>IFERROR(VLOOKUP(Tabelle32[[#This Row],[Device ID]],BOM!$B$3:$BQ$35,27,FALSE),"")</f>
        <v>10.120.236.50</v>
      </c>
      <c r="X99" s="59" t="str">
        <f>IFERROR(VLOOKUP(Tabelle32[[#This Row],[Device ID]],BOM!$B$3:$BQ$35,28,FALSE),"")</f>
        <v>AVCoreA</v>
      </c>
      <c r="Y99" s="59" t="str">
        <f>IFERROR(VLOOKUP(Tabelle32[[#This Row],[Device ID]],BOM!$B$3:$BQ$35,29,FALSE),"")</f>
        <v>5_36_1</v>
      </c>
      <c r="Z99" s="59" t="str">
        <f>IFERROR(VLOOKUP(Tabelle32[[#This Row],[Device ID]],BOM!$B$3:$BQ$35,30,FALSE),"")</f>
        <v>tpco-megw-vgw103.rtb.st-net.media.int</v>
      </c>
      <c r="AA99" s="59" t="str">
        <f>IFERROR(VLOOKUP(Tabelle32[[#This Row],[Device ID]],BOM!$B$3:$BQ$35,31,FALSE),"")</f>
        <v>10.120.236.54</v>
      </c>
      <c r="AB99" s="59" t="str">
        <f>IFERROR(VLOOKUP(Tabelle32[[#This Row],[Device ID]],BOM!$B$3:$BQ$35,32,FALSE),"")</f>
        <v>AVCoreB</v>
      </c>
      <c r="AC99" s="59" t="str">
        <f>IFERROR(VLOOKUP(Tabelle32[[#This Row],[Device ID]],BOM!$B$3:$BQ$35,33,FALSE),"")</f>
        <v>5_36_1</v>
      </c>
      <c r="AD99" s="59" t="str">
        <f>IFERROR(VLOOKUP(Tabelle32[[#This Row],[Device ID]],BOM!$B$3:$BQ$35,34,FALSE),"")</f>
        <v>tpco-megw-vgw103.st-net.media.int</v>
      </c>
      <c r="AE99" s="59" t="str">
        <f>IFERROR(VLOOKUP(Tabelle32[[#This Row],[Device ID]],BOM!$B$3:$BQ$35,35,FALSE),"")</f>
        <v>10.120.67.141</v>
      </c>
      <c r="AF99" s="59">
        <f>IFERROR(VLOOKUP(Tabelle32[[#This Row],[Device ID]],BOM!$B$3:$BQ$35,36,FALSE),"")</f>
        <v>0</v>
      </c>
      <c r="AG99" s="59">
        <f>IFERROR(VLOOKUP(Tabelle32[[#This Row],[Device ID]],BOM!$B$3:$BQ$35,37,FALSE),"")</f>
        <v>0</v>
      </c>
      <c r="AH99" s="59"/>
      <c r="AI99" s="59"/>
      <c r="AJ99" s="59"/>
      <c r="AK99" s="59"/>
      <c r="AL99" s="59" t="str">
        <f>IFERROR(VLOOKUP(Tabelle32[[#This Row],[Device ID]],BOM!$B$3:$BQ$35,42,FALSE),"")</f>
        <v>Imagine Communications SNP</v>
      </c>
      <c r="AM99" s="59" t="str">
        <f>IFERROR(VLOOKUP(Tabelle32[[#This Row],[Device ID]],BOM!$B$3:$BQ$35,43,FALSE),"")</f>
        <v>no</v>
      </c>
      <c r="AN99" s="59" t="str">
        <f>IFERROR(VLOOKUP(Tabelle32[[#This Row],[Device ID]],BOM!$B$3:$BQ$35,44,FALSE),"")</f>
        <v>yes</v>
      </c>
      <c r="AO99" s="59" t="str">
        <f>IFERROR(VLOOKUP(Tabelle32[[#This Row],[Device ID]],BOM!$B$3:$BQ$35,45,FALSE),"")</f>
        <v>no</v>
      </c>
      <c r="AP99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99" s="59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73" t="s">
        <v>199</v>
      </c>
      <c r="BI99" s="30" t="str">
        <f>IF(COUNTA(Tabelle32[[#This Row],[Type:Vid_1080i50]:[Type:Anc_Prot]])&gt;0,"x","")</f>
        <v/>
      </c>
      <c r="BJ99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99" s="59"/>
      <c r="BL99" s="59"/>
      <c r="BM99" s="63"/>
      <c r="BN99" s="63"/>
      <c r="BO99" s="99"/>
      <c r="BP99" s="106"/>
      <c r="BQ99" s="63">
        <f>LEN(Tabelle32[[#This Row],[Label 1
GFX-Unit]])</f>
        <v>0</v>
      </c>
      <c r="BR99" s="63"/>
      <c r="BS99" s="63"/>
      <c r="BT99" s="59"/>
      <c r="BU99" s="59"/>
      <c r="BV99" s="59" t="s">
        <v>245</v>
      </c>
      <c r="BW99" s="59" t="s">
        <v>246</v>
      </c>
      <c r="BX99" s="59" t="s">
        <v>385</v>
      </c>
      <c r="BY99" s="59">
        <v>5</v>
      </c>
    </row>
    <row r="100" spans="1:77" hidden="1" x14ac:dyDescent="0.2">
      <c r="A100" s="58" t="str">
        <f>CONCATENATE(Tabelle32[[#This Row],[Device ID]],".",Tabelle32[[#This Row],[Streamcounter]])</f>
        <v>382.05210</v>
      </c>
      <c r="B10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VGW-103_SDI05_AUDsend_0010</v>
      </c>
      <c r="C100" s="60"/>
      <c r="D100" s="61"/>
      <c r="E100" s="62"/>
      <c r="F100" s="59" t="str">
        <f>IFERROR(VLOOKUP(Tabelle32[[#This Row],[Device ID]],BOM!$B$3:$BQ$35,16,FALSE),"")</f>
        <v>R421 HD1 Backup</v>
      </c>
      <c r="G100" s="63">
        <f>VLOOKUP(Tabelle32[[#This Row],[SDI Interface]],BOM!$A$4:$B$35,2,FALSE)</f>
        <v>382</v>
      </c>
      <c r="H100" s="59" t="str">
        <f>BOM!$C$4</f>
        <v>VGW-103</v>
      </c>
      <c r="I100" s="59" t="str">
        <f>IFERROR(VLOOKUP(Tabelle32[[#This Row],[Device ID]],BOM!$B$3:$BQ$35,12,FALSE),"")</f>
        <v>Videoserver</v>
      </c>
      <c r="J100" s="59" t="str">
        <f>IFERROR(VLOOKUP(Tabelle32[[#This Row],[Device ID]],BOM!$B$3:$BQ$35,13,FALSE),"")</f>
        <v>TC.U1.223 | MDC</v>
      </c>
      <c r="K100" s="59" t="str">
        <f>IFERROR(VLOOKUP(Tabelle32[[#This Row],[Device ID]],BOM!$B$3:$BQ$35,14,FALSE),"")</f>
        <v>Imagine Comunications</v>
      </c>
      <c r="L100" s="59" t="str">
        <f>IFERROR(VLOOKUP(Tabelle32[[#This Row],[Device ID]],BOM!$B$3:$BQ$35,16,FALSE),"")</f>
        <v>R421 HD1 Backup</v>
      </c>
      <c r="M100" s="63" t="str">
        <f>IFERROR(VLOOKUP(Tabelle32[[#This Row],[Device ID]],BOM!$B$3:$BQ$35,17,FALSE),"")</f>
        <v>R421</v>
      </c>
      <c r="N100" s="59" t="str">
        <f>IFERROR(VLOOKUP(Tabelle32[[#This Row],[Device ID]],BOM!$B$3:$BQ$35,18,FALSE),"")</f>
        <v>TC.00.104 | R401</v>
      </c>
      <c r="O100" s="64"/>
      <c r="P100" s="64">
        <f>IFERROR(VLOOKUP(Tabelle32[[#This Row],[Device ID]],BOM!$B$3:$BO$50,20,FALSE),"")</f>
        <v>0</v>
      </c>
      <c r="Q100" s="64">
        <f>IFERROR(VLOOKUP(Tabelle32[[#This Row],[Device ID]],BOM!$B$3:$BO$50,21,FALSE),"")</f>
        <v>1</v>
      </c>
      <c r="R100" s="64">
        <f>IFERROR(VLOOKUP(Tabelle32[[#This Row],[Device ID]],BOM!$B$3:$BO$50,22,FALSE),"")</f>
        <v>0</v>
      </c>
      <c r="S100" s="64"/>
      <c r="T100" s="64"/>
      <c r="U100" s="59" t="str">
        <f>IFERROR(VLOOKUP(Tabelle32[[#This Row],[Device ID]],BOM!$B$3:$BQ$35,25,FALSE),"")</f>
        <v>Luis/Ivo</v>
      </c>
      <c r="V100" s="59" t="str">
        <f>IFERROR(VLOOKUP(Tabelle32[[#This Row],[Device ID]],BOM!$B$3:$BQ$35,26,FALSE),"")</f>
        <v>tpco-megw-vgw103.rta.st-net.media.int</v>
      </c>
      <c r="W100" s="59" t="str">
        <f>IFERROR(VLOOKUP(Tabelle32[[#This Row],[Device ID]],BOM!$B$3:$BQ$35,27,FALSE),"")</f>
        <v>10.120.236.50</v>
      </c>
      <c r="X100" s="59" t="str">
        <f>IFERROR(VLOOKUP(Tabelle32[[#This Row],[Device ID]],BOM!$B$3:$BQ$35,28,FALSE),"")</f>
        <v>AVCoreA</v>
      </c>
      <c r="Y100" s="59" t="str">
        <f>IFERROR(VLOOKUP(Tabelle32[[#This Row],[Device ID]],BOM!$B$3:$BQ$35,29,FALSE),"")</f>
        <v>5_36_1</v>
      </c>
      <c r="Z100" s="59" t="str">
        <f>IFERROR(VLOOKUP(Tabelle32[[#This Row],[Device ID]],BOM!$B$3:$BQ$35,30,FALSE),"")</f>
        <v>tpco-megw-vgw103.rtb.st-net.media.int</v>
      </c>
      <c r="AA100" s="59" t="str">
        <f>IFERROR(VLOOKUP(Tabelle32[[#This Row],[Device ID]],BOM!$B$3:$BQ$35,31,FALSE),"")</f>
        <v>10.120.236.54</v>
      </c>
      <c r="AB100" s="59" t="str">
        <f>IFERROR(VLOOKUP(Tabelle32[[#This Row],[Device ID]],BOM!$B$3:$BQ$35,32,FALSE),"")</f>
        <v>AVCoreB</v>
      </c>
      <c r="AC100" s="59" t="str">
        <f>IFERROR(VLOOKUP(Tabelle32[[#This Row],[Device ID]],BOM!$B$3:$BQ$35,33,FALSE),"")</f>
        <v>5_36_1</v>
      </c>
      <c r="AD100" s="59" t="str">
        <f>IFERROR(VLOOKUP(Tabelle32[[#This Row],[Device ID]],BOM!$B$3:$BQ$35,34,FALSE),"")</f>
        <v>tpco-megw-vgw103.st-net.media.int</v>
      </c>
      <c r="AE100" s="59" t="str">
        <f>IFERROR(VLOOKUP(Tabelle32[[#This Row],[Device ID]],BOM!$B$3:$BQ$35,35,FALSE),"")</f>
        <v>10.120.67.141</v>
      </c>
      <c r="AF100" s="59">
        <f>IFERROR(VLOOKUP(Tabelle32[[#This Row],[Device ID]],BOM!$B$3:$BQ$35,36,FALSE),"")</f>
        <v>0</v>
      </c>
      <c r="AG100" s="59">
        <f>IFERROR(VLOOKUP(Tabelle32[[#This Row],[Device ID]],BOM!$B$3:$BQ$35,37,FALSE),"")</f>
        <v>0</v>
      </c>
      <c r="AH100" s="59"/>
      <c r="AI100" s="59"/>
      <c r="AJ100" s="59"/>
      <c r="AK100" s="59"/>
      <c r="AL100" s="59" t="str">
        <f>IFERROR(VLOOKUP(Tabelle32[[#This Row],[Device ID]],BOM!$B$3:$BQ$35,42,FALSE),"")</f>
        <v>Imagine Communications SNP</v>
      </c>
      <c r="AM100" s="59" t="str">
        <f>IFERROR(VLOOKUP(Tabelle32[[#This Row],[Device ID]],BOM!$B$3:$BQ$35,43,FALSE),"")</f>
        <v>no</v>
      </c>
      <c r="AN100" s="59" t="str">
        <f>IFERROR(VLOOKUP(Tabelle32[[#This Row],[Device ID]],BOM!$B$3:$BQ$35,44,FALSE),"")</f>
        <v>yes</v>
      </c>
      <c r="AO100" s="59" t="str">
        <f>IFERROR(VLOOKUP(Tabelle32[[#This Row],[Device ID]],BOM!$B$3:$BQ$35,45,FALSE),"")</f>
        <v>no</v>
      </c>
      <c r="AP100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100" s="59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73" t="s">
        <v>199</v>
      </c>
      <c r="BI100" s="30" t="str">
        <f>IF(COUNTA(Tabelle32[[#This Row],[Type:Vid_1080i50]:[Type:Anc_Prot]])&gt;0,"x","")</f>
        <v/>
      </c>
      <c r="BJ100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00" s="59"/>
      <c r="BL100" s="59"/>
      <c r="BM100" s="63"/>
      <c r="BN100" s="63"/>
      <c r="BO100" s="99"/>
      <c r="BP100" s="106"/>
      <c r="BQ100" s="63">
        <f>LEN(Tabelle32[[#This Row],[Label 1
GFX-Unit]])</f>
        <v>0</v>
      </c>
      <c r="BR100" s="63"/>
      <c r="BS100" s="63"/>
      <c r="BT100" s="59"/>
      <c r="BU100" s="59"/>
      <c r="BV100" s="59" t="s">
        <v>248</v>
      </c>
      <c r="BW100" s="59" t="s">
        <v>249</v>
      </c>
      <c r="BX100" s="59" t="s">
        <v>386</v>
      </c>
      <c r="BY100" s="59">
        <v>5</v>
      </c>
    </row>
    <row r="101" spans="1:77" hidden="1" x14ac:dyDescent="0.2">
      <c r="A101" s="58" t="str">
        <f>CONCATENATE(Tabelle32[[#This Row],[Device ID]],".",Tabelle32[[#This Row],[Streamcounter]])</f>
        <v>382.05211</v>
      </c>
      <c r="B10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VGW-103_SDI05_AUDsend_0011</v>
      </c>
      <c r="C101" s="60"/>
      <c r="D101" s="61"/>
      <c r="E101" s="62"/>
      <c r="F101" s="59" t="str">
        <f>IFERROR(VLOOKUP(Tabelle32[[#This Row],[Device ID]],BOM!$B$3:$BQ$35,16,FALSE),"")</f>
        <v>R421 HD1 Backup</v>
      </c>
      <c r="G101" s="63">
        <f>VLOOKUP(Tabelle32[[#This Row],[SDI Interface]],BOM!$A$4:$B$35,2,FALSE)</f>
        <v>382</v>
      </c>
      <c r="H101" s="59" t="str">
        <f>BOM!$C$4</f>
        <v>VGW-103</v>
      </c>
      <c r="I101" s="59" t="str">
        <f>IFERROR(VLOOKUP(Tabelle32[[#This Row],[Device ID]],BOM!$B$3:$BQ$35,12,FALSE),"")</f>
        <v>Videoserver</v>
      </c>
      <c r="J101" s="59" t="str">
        <f>IFERROR(VLOOKUP(Tabelle32[[#This Row],[Device ID]],BOM!$B$3:$BQ$35,13,FALSE),"")</f>
        <v>TC.U1.223 | MDC</v>
      </c>
      <c r="K101" s="59" t="str">
        <f>IFERROR(VLOOKUP(Tabelle32[[#This Row],[Device ID]],BOM!$B$3:$BQ$35,14,FALSE),"")</f>
        <v>Imagine Comunications</v>
      </c>
      <c r="L101" s="59" t="str">
        <f>IFERROR(VLOOKUP(Tabelle32[[#This Row],[Device ID]],BOM!$B$3:$BQ$35,16,FALSE),"")</f>
        <v>R421 HD1 Backup</v>
      </c>
      <c r="M101" s="63" t="str">
        <f>IFERROR(VLOOKUP(Tabelle32[[#This Row],[Device ID]],BOM!$B$3:$BQ$35,17,FALSE),"")</f>
        <v>R421</v>
      </c>
      <c r="N101" s="59" t="str">
        <f>IFERROR(VLOOKUP(Tabelle32[[#This Row],[Device ID]],BOM!$B$3:$BQ$35,18,FALSE),"")</f>
        <v>TC.00.104 | R401</v>
      </c>
      <c r="O101" s="64"/>
      <c r="P101" s="64">
        <f>IFERROR(VLOOKUP(Tabelle32[[#This Row],[Device ID]],BOM!$B$3:$BO$50,20,FALSE),"")</f>
        <v>0</v>
      </c>
      <c r="Q101" s="64">
        <f>IFERROR(VLOOKUP(Tabelle32[[#This Row],[Device ID]],BOM!$B$3:$BO$50,21,FALSE),"")</f>
        <v>1</v>
      </c>
      <c r="R101" s="64">
        <f>IFERROR(VLOOKUP(Tabelle32[[#This Row],[Device ID]],BOM!$B$3:$BO$50,22,FALSE),"")</f>
        <v>0</v>
      </c>
      <c r="S101" s="64"/>
      <c r="T101" s="64"/>
      <c r="U101" s="59" t="str">
        <f>IFERROR(VLOOKUP(Tabelle32[[#This Row],[Device ID]],BOM!$B$3:$BQ$35,25,FALSE),"")</f>
        <v>Luis/Ivo</v>
      </c>
      <c r="V101" s="59" t="str">
        <f>IFERROR(VLOOKUP(Tabelle32[[#This Row],[Device ID]],BOM!$B$3:$BQ$35,26,FALSE),"")</f>
        <v>tpco-megw-vgw103.rta.st-net.media.int</v>
      </c>
      <c r="W101" s="59" t="str">
        <f>IFERROR(VLOOKUP(Tabelle32[[#This Row],[Device ID]],BOM!$B$3:$BQ$35,27,FALSE),"")</f>
        <v>10.120.236.50</v>
      </c>
      <c r="X101" s="59" t="str">
        <f>IFERROR(VLOOKUP(Tabelle32[[#This Row],[Device ID]],BOM!$B$3:$BQ$35,28,FALSE),"")</f>
        <v>AVCoreA</v>
      </c>
      <c r="Y101" s="59" t="str">
        <f>IFERROR(VLOOKUP(Tabelle32[[#This Row],[Device ID]],BOM!$B$3:$BQ$35,29,FALSE),"")</f>
        <v>5_36_1</v>
      </c>
      <c r="Z101" s="59" t="str">
        <f>IFERROR(VLOOKUP(Tabelle32[[#This Row],[Device ID]],BOM!$B$3:$BQ$35,30,FALSE),"")</f>
        <v>tpco-megw-vgw103.rtb.st-net.media.int</v>
      </c>
      <c r="AA101" s="59" t="str">
        <f>IFERROR(VLOOKUP(Tabelle32[[#This Row],[Device ID]],BOM!$B$3:$BQ$35,31,FALSE),"")</f>
        <v>10.120.236.54</v>
      </c>
      <c r="AB101" s="59" t="str">
        <f>IFERROR(VLOOKUP(Tabelle32[[#This Row],[Device ID]],BOM!$B$3:$BQ$35,32,FALSE),"")</f>
        <v>AVCoreB</v>
      </c>
      <c r="AC101" s="59" t="str">
        <f>IFERROR(VLOOKUP(Tabelle32[[#This Row],[Device ID]],BOM!$B$3:$BQ$35,33,FALSE),"")</f>
        <v>5_36_1</v>
      </c>
      <c r="AD101" s="59" t="str">
        <f>IFERROR(VLOOKUP(Tabelle32[[#This Row],[Device ID]],BOM!$B$3:$BQ$35,34,FALSE),"")</f>
        <v>tpco-megw-vgw103.st-net.media.int</v>
      </c>
      <c r="AE101" s="59" t="str">
        <f>IFERROR(VLOOKUP(Tabelle32[[#This Row],[Device ID]],BOM!$B$3:$BQ$35,35,FALSE),"")</f>
        <v>10.120.67.141</v>
      </c>
      <c r="AF101" s="59">
        <f>IFERROR(VLOOKUP(Tabelle32[[#This Row],[Device ID]],BOM!$B$3:$BQ$35,36,FALSE),"")</f>
        <v>0</v>
      </c>
      <c r="AG101" s="59">
        <f>IFERROR(VLOOKUP(Tabelle32[[#This Row],[Device ID]],BOM!$B$3:$BQ$35,37,FALSE),"")</f>
        <v>0</v>
      </c>
      <c r="AH101" s="59"/>
      <c r="AI101" s="59"/>
      <c r="AJ101" s="59"/>
      <c r="AK101" s="59"/>
      <c r="AL101" s="59" t="str">
        <f>IFERROR(VLOOKUP(Tabelle32[[#This Row],[Device ID]],BOM!$B$3:$BQ$35,42,FALSE),"")</f>
        <v>Imagine Communications SNP</v>
      </c>
      <c r="AM101" s="59" t="str">
        <f>IFERROR(VLOOKUP(Tabelle32[[#This Row],[Device ID]],BOM!$B$3:$BQ$35,43,FALSE),"")</f>
        <v>no</v>
      </c>
      <c r="AN101" s="59" t="str">
        <f>IFERROR(VLOOKUP(Tabelle32[[#This Row],[Device ID]],BOM!$B$3:$BQ$35,44,FALSE),"")</f>
        <v>yes</v>
      </c>
      <c r="AO101" s="59" t="str">
        <f>IFERROR(VLOOKUP(Tabelle32[[#This Row],[Device ID]],BOM!$B$3:$BQ$35,45,FALSE),"")</f>
        <v>no</v>
      </c>
      <c r="AP101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101" s="59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73" t="s">
        <v>199</v>
      </c>
      <c r="BI101" s="30" t="str">
        <f>IF(COUNTA(Tabelle32[[#This Row],[Type:Vid_1080i50]:[Type:Anc_Prot]])&gt;0,"x","")</f>
        <v/>
      </c>
      <c r="BJ101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01" s="59"/>
      <c r="BL101" s="59"/>
      <c r="BM101" s="63"/>
      <c r="BN101" s="63"/>
      <c r="BO101" s="99"/>
      <c r="BP101" s="106"/>
      <c r="BQ101" s="63">
        <f>LEN(Tabelle32[[#This Row],[Label 1
GFX-Unit]])</f>
        <v>0</v>
      </c>
      <c r="BR101" s="63"/>
      <c r="BS101" s="63"/>
      <c r="BT101" s="59"/>
      <c r="BU101" s="59"/>
      <c r="BV101" s="59" t="s">
        <v>251</v>
      </c>
      <c r="BW101" s="59" t="s">
        <v>252</v>
      </c>
      <c r="BX101" s="59" t="s">
        <v>387</v>
      </c>
      <c r="BY101" s="59">
        <v>5</v>
      </c>
    </row>
    <row r="102" spans="1:77" hidden="1" x14ac:dyDescent="0.2">
      <c r="A102" s="58" t="str">
        <f>CONCATENATE(Tabelle32[[#This Row],[Device ID]],".",Tabelle32[[#This Row],[Streamcounter]])</f>
        <v>382.05212</v>
      </c>
      <c r="B10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VGW-103_SDI05_AUDsend_0012</v>
      </c>
      <c r="C102" s="60"/>
      <c r="D102" s="61"/>
      <c r="E102" s="62"/>
      <c r="F102" s="59" t="str">
        <f>IFERROR(VLOOKUP(Tabelle32[[#This Row],[Device ID]],BOM!$B$3:$BQ$35,16,FALSE),"")</f>
        <v>R421 HD1 Backup</v>
      </c>
      <c r="G102" s="63">
        <f>VLOOKUP(Tabelle32[[#This Row],[SDI Interface]],BOM!$A$4:$B$35,2,FALSE)</f>
        <v>382</v>
      </c>
      <c r="H102" s="59" t="str">
        <f>BOM!$C$4</f>
        <v>VGW-103</v>
      </c>
      <c r="I102" s="59" t="str">
        <f>IFERROR(VLOOKUP(Tabelle32[[#This Row],[Device ID]],BOM!$B$3:$BQ$35,12,FALSE),"")</f>
        <v>Videoserver</v>
      </c>
      <c r="J102" s="59" t="str">
        <f>IFERROR(VLOOKUP(Tabelle32[[#This Row],[Device ID]],BOM!$B$3:$BQ$35,13,FALSE),"")</f>
        <v>TC.U1.223 | MDC</v>
      </c>
      <c r="K102" s="59" t="str">
        <f>IFERROR(VLOOKUP(Tabelle32[[#This Row],[Device ID]],BOM!$B$3:$BQ$35,14,FALSE),"")</f>
        <v>Imagine Comunications</v>
      </c>
      <c r="L102" s="59" t="str">
        <f>IFERROR(VLOOKUP(Tabelle32[[#This Row],[Device ID]],BOM!$B$3:$BQ$35,16,FALSE),"")</f>
        <v>R421 HD1 Backup</v>
      </c>
      <c r="M102" s="63" t="str">
        <f>IFERROR(VLOOKUP(Tabelle32[[#This Row],[Device ID]],BOM!$B$3:$BQ$35,17,FALSE),"")</f>
        <v>R421</v>
      </c>
      <c r="N102" s="59" t="str">
        <f>IFERROR(VLOOKUP(Tabelle32[[#This Row],[Device ID]],BOM!$B$3:$BQ$35,18,FALSE),"")</f>
        <v>TC.00.104 | R401</v>
      </c>
      <c r="O102" s="64"/>
      <c r="P102" s="64">
        <f>IFERROR(VLOOKUP(Tabelle32[[#This Row],[Device ID]],BOM!$B$3:$BO$50,20,FALSE),"")</f>
        <v>0</v>
      </c>
      <c r="Q102" s="64">
        <f>IFERROR(VLOOKUP(Tabelle32[[#This Row],[Device ID]],BOM!$B$3:$BO$50,21,FALSE),"")</f>
        <v>1</v>
      </c>
      <c r="R102" s="64">
        <f>IFERROR(VLOOKUP(Tabelle32[[#This Row],[Device ID]],BOM!$B$3:$BO$50,22,FALSE),"")</f>
        <v>0</v>
      </c>
      <c r="S102" s="64"/>
      <c r="T102" s="64"/>
      <c r="U102" s="59" t="str">
        <f>IFERROR(VLOOKUP(Tabelle32[[#This Row],[Device ID]],BOM!$B$3:$BQ$35,25,FALSE),"")</f>
        <v>Luis/Ivo</v>
      </c>
      <c r="V102" s="59" t="str">
        <f>IFERROR(VLOOKUP(Tabelle32[[#This Row],[Device ID]],BOM!$B$3:$BQ$35,26,FALSE),"")</f>
        <v>tpco-megw-vgw103.rta.st-net.media.int</v>
      </c>
      <c r="W102" s="59" t="str">
        <f>IFERROR(VLOOKUP(Tabelle32[[#This Row],[Device ID]],BOM!$B$3:$BQ$35,27,FALSE),"")</f>
        <v>10.120.236.50</v>
      </c>
      <c r="X102" s="59" t="str">
        <f>IFERROR(VLOOKUP(Tabelle32[[#This Row],[Device ID]],BOM!$B$3:$BQ$35,28,FALSE),"")</f>
        <v>AVCoreA</v>
      </c>
      <c r="Y102" s="59" t="str">
        <f>IFERROR(VLOOKUP(Tabelle32[[#This Row],[Device ID]],BOM!$B$3:$BQ$35,29,FALSE),"")</f>
        <v>5_36_1</v>
      </c>
      <c r="Z102" s="59" t="str">
        <f>IFERROR(VLOOKUP(Tabelle32[[#This Row],[Device ID]],BOM!$B$3:$BQ$35,30,FALSE),"")</f>
        <v>tpco-megw-vgw103.rtb.st-net.media.int</v>
      </c>
      <c r="AA102" s="59" t="str">
        <f>IFERROR(VLOOKUP(Tabelle32[[#This Row],[Device ID]],BOM!$B$3:$BQ$35,31,FALSE),"")</f>
        <v>10.120.236.54</v>
      </c>
      <c r="AB102" s="59" t="str">
        <f>IFERROR(VLOOKUP(Tabelle32[[#This Row],[Device ID]],BOM!$B$3:$BQ$35,32,FALSE),"")</f>
        <v>AVCoreB</v>
      </c>
      <c r="AC102" s="59" t="str">
        <f>IFERROR(VLOOKUP(Tabelle32[[#This Row],[Device ID]],BOM!$B$3:$BQ$35,33,FALSE),"")</f>
        <v>5_36_1</v>
      </c>
      <c r="AD102" s="59" t="str">
        <f>IFERROR(VLOOKUP(Tabelle32[[#This Row],[Device ID]],BOM!$B$3:$BQ$35,34,FALSE),"")</f>
        <v>tpco-megw-vgw103.st-net.media.int</v>
      </c>
      <c r="AE102" s="59" t="str">
        <f>IFERROR(VLOOKUP(Tabelle32[[#This Row],[Device ID]],BOM!$B$3:$BQ$35,35,FALSE),"")</f>
        <v>10.120.67.141</v>
      </c>
      <c r="AF102" s="59">
        <f>IFERROR(VLOOKUP(Tabelle32[[#This Row],[Device ID]],BOM!$B$3:$BQ$35,36,FALSE),"")</f>
        <v>0</v>
      </c>
      <c r="AG102" s="59">
        <f>IFERROR(VLOOKUP(Tabelle32[[#This Row],[Device ID]],BOM!$B$3:$BQ$35,37,FALSE),"")</f>
        <v>0</v>
      </c>
      <c r="AH102" s="59"/>
      <c r="AI102" s="59"/>
      <c r="AJ102" s="59"/>
      <c r="AK102" s="59"/>
      <c r="AL102" s="59" t="str">
        <f>IFERROR(VLOOKUP(Tabelle32[[#This Row],[Device ID]],BOM!$B$3:$BQ$35,42,FALSE),"")</f>
        <v>Imagine Communications SNP</v>
      </c>
      <c r="AM102" s="59" t="str">
        <f>IFERROR(VLOOKUP(Tabelle32[[#This Row],[Device ID]],BOM!$B$3:$BQ$35,43,FALSE),"")</f>
        <v>no</v>
      </c>
      <c r="AN102" s="59" t="str">
        <f>IFERROR(VLOOKUP(Tabelle32[[#This Row],[Device ID]],BOM!$B$3:$BQ$35,44,FALSE),"")</f>
        <v>yes</v>
      </c>
      <c r="AO102" s="59" t="str">
        <f>IFERROR(VLOOKUP(Tabelle32[[#This Row],[Device ID]],BOM!$B$3:$BQ$35,45,FALSE),"")</f>
        <v>no</v>
      </c>
      <c r="AP102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102" s="59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73" t="s">
        <v>199</v>
      </c>
      <c r="BI102" s="30" t="str">
        <f>IF(COUNTA(Tabelle32[[#This Row],[Type:Vid_1080i50]:[Type:Anc_Prot]])&gt;0,"x","")</f>
        <v/>
      </c>
      <c r="BJ102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02" s="59"/>
      <c r="BL102" s="59"/>
      <c r="BM102" s="63"/>
      <c r="BN102" s="63"/>
      <c r="BO102" s="99"/>
      <c r="BP102" s="106"/>
      <c r="BQ102" s="63">
        <f>LEN(Tabelle32[[#This Row],[Label 1
GFX-Unit]])</f>
        <v>0</v>
      </c>
      <c r="BR102" s="63"/>
      <c r="BS102" s="63"/>
      <c r="BT102" s="59"/>
      <c r="BU102" s="59"/>
      <c r="BV102" s="59" t="s">
        <v>254</v>
      </c>
      <c r="BW102" s="59" t="s">
        <v>255</v>
      </c>
      <c r="BX102" s="59" t="s">
        <v>388</v>
      </c>
      <c r="BY102" s="59">
        <v>5</v>
      </c>
    </row>
    <row r="103" spans="1:77" hidden="1" x14ac:dyDescent="0.2">
      <c r="A103" s="58" t="str">
        <f>CONCATENATE(Tabelle32[[#This Row],[Device ID]],".",Tabelle32[[#This Row],[Streamcounter]])</f>
        <v>382.05213</v>
      </c>
      <c r="B10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VGW-103_SDI05_AUDsend_0013</v>
      </c>
      <c r="C103" s="60"/>
      <c r="D103" s="61"/>
      <c r="E103" s="62"/>
      <c r="F103" s="59" t="str">
        <f>IFERROR(VLOOKUP(Tabelle32[[#This Row],[Device ID]],BOM!$B$3:$BQ$35,16,FALSE),"")</f>
        <v>R421 HD1 Backup</v>
      </c>
      <c r="G103" s="63">
        <f>VLOOKUP(Tabelle32[[#This Row],[SDI Interface]],BOM!$A$4:$B$35,2,FALSE)</f>
        <v>382</v>
      </c>
      <c r="H103" s="59" t="str">
        <f>BOM!$C$4</f>
        <v>VGW-103</v>
      </c>
      <c r="I103" s="59" t="str">
        <f>IFERROR(VLOOKUP(Tabelle32[[#This Row],[Device ID]],BOM!$B$3:$BQ$35,12,FALSE),"")</f>
        <v>Videoserver</v>
      </c>
      <c r="J103" s="59" t="str">
        <f>IFERROR(VLOOKUP(Tabelle32[[#This Row],[Device ID]],BOM!$B$3:$BQ$35,13,FALSE),"")</f>
        <v>TC.U1.223 | MDC</v>
      </c>
      <c r="K103" s="59" t="str">
        <f>IFERROR(VLOOKUP(Tabelle32[[#This Row],[Device ID]],BOM!$B$3:$BQ$35,14,FALSE),"")</f>
        <v>Imagine Comunications</v>
      </c>
      <c r="L103" s="59" t="str">
        <f>IFERROR(VLOOKUP(Tabelle32[[#This Row],[Device ID]],BOM!$B$3:$BQ$35,16,FALSE),"")</f>
        <v>R421 HD1 Backup</v>
      </c>
      <c r="M103" s="63" t="str">
        <f>IFERROR(VLOOKUP(Tabelle32[[#This Row],[Device ID]],BOM!$B$3:$BQ$35,17,FALSE),"")</f>
        <v>R421</v>
      </c>
      <c r="N103" s="59" t="str">
        <f>IFERROR(VLOOKUP(Tabelle32[[#This Row],[Device ID]],BOM!$B$3:$BQ$35,18,FALSE),"")</f>
        <v>TC.00.104 | R401</v>
      </c>
      <c r="O103" s="64"/>
      <c r="P103" s="64">
        <f>IFERROR(VLOOKUP(Tabelle32[[#This Row],[Device ID]],BOM!$B$3:$BO$50,20,FALSE),"")</f>
        <v>0</v>
      </c>
      <c r="Q103" s="64">
        <f>IFERROR(VLOOKUP(Tabelle32[[#This Row],[Device ID]],BOM!$B$3:$BO$50,21,FALSE),"")</f>
        <v>1</v>
      </c>
      <c r="R103" s="64">
        <f>IFERROR(VLOOKUP(Tabelle32[[#This Row],[Device ID]],BOM!$B$3:$BO$50,22,FALSE),"")</f>
        <v>0</v>
      </c>
      <c r="S103" s="64"/>
      <c r="T103" s="64"/>
      <c r="U103" s="59" t="str">
        <f>IFERROR(VLOOKUP(Tabelle32[[#This Row],[Device ID]],BOM!$B$3:$BQ$35,25,FALSE),"")</f>
        <v>Luis/Ivo</v>
      </c>
      <c r="V103" s="59" t="str">
        <f>IFERROR(VLOOKUP(Tabelle32[[#This Row],[Device ID]],BOM!$B$3:$BQ$35,26,FALSE),"")</f>
        <v>tpco-megw-vgw103.rta.st-net.media.int</v>
      </c>
      <c r="W103" s="59" t="str">
        <f>IFERROR(VLOOKUP(Tabelle32[[#This Row],[Device ID]],BOM!$B$3:$BQ$35,27,FALSE),"")</f>
        <v>10.120.236.50</v>
      </c>
      <c r="X103" s="59" t="str">
        <f>IFERROR(VLOOKUP(Tabelle32[[#This Row],[Device ID]],BOM!$B$3:$BQ$35,28,FALSE),"")</f>
        <v>AVCoreA</v>
      </c>
      <c r="Y103" s="59" t="str">
        <f>IFERROR(VLOOKUP(Tabelle32[[#This Row],[Device ID]],BOM!$B$3:$BQ$35,29,FALSE),"")</f>
        <v>5_36_1</v>
      </c>
      <c r="Z103" s="59" t="str">
        <f>IFERROR(VLOOKUP(Tabelle32[[#This Row],[Device ID]],BOM!$B$3:$BQ$35,30,FALSE),"")</f>
        <v>tpco-megw-vgw103.rtb.st-net.media.int</v>
      </c>
      <c r="AA103" s="59" t="str">
        <f>IFERROR(VLOOKUP(Tabelle32[[#This Row],[Device ID]],BOM!$B$3:$BQ$35,31,FALSE),"")</f>
        <v>10.120.236.54</v>
      </c>
      <c r="AB103" s="59" t="str">
        <f>IFERROR(VLOOKUP(Tabelle32[[#This Row],[Device ID]],BOM!$B$3:$BQ$35,32,FALSE),"")</f>
        <v>AVCoreB</v>
      </c>
      <c r="AC103" s="59" t="str">
        <f>IFERROR(VLOOKUP(Tabelle32[[#This Row],[Device ID]],BOM!$B$3:$BQ$35,33,FALSE),"")</f>
        <v>5_36_1</v>
      </c>
      <c r="AD103" s="59" t="str">
        <f>IFERROR(VLOOKUP(Tabelle32[[#This Row],[Device ID]],BOM!$B$3:$BQ$35,34,FALSE),"")</f>
        <v>tpco-megw-vgw103.st-net.media.int</v>
      </c>
      <c r="AE103" s="59" t="str">
        <f>IFERROR(VLOOKUP(Tabelle32[[#This Row],[Device ID]],BOM!$B$3:$BQ$35,35,FALSE),"")</f>
        <v>10.120.67.141</v>
      </c>
      <c r="AF103" s="59">
        <f>IFERROR(VLOOKUP(Tabelle32[[#This Row],[Device ID]],BOM!$B$3:$BQ$35,36,FALSE),"")</f>
        <v>0</v>
      </c>
      <c r="AG103" s="59">
        <f>IFERROR(VLOOKUP(Tabelle32[[#This Row],[Device ID]],BOM!$B$3:$BQ$35,37,FALSE),"")</f>
        <v>0</v>
      </c>
      <c r="AH103" s="59"/>
      <c r="AI103" s="59"/>
      <c r="AJ103" s="59"/>
      <c r="AK103" s="59"/>
      <c r="AL103" s="59" t="str">
        <f>IFERROR(VLOOKUP(Tabelle32[[#This Row],[Device ID]],BOM!$B$3:$BQ$35,42,FALSE),"")</f>
        <v>Imagine Communications SNP</v>
      </c>
      <c r="AM103" s="59" t="str">
        <f>IFERROR(VLOOKUP(Tabelle32[[#This Row],[Device ID]],BOM!$B$3:$BQ$35,43,FALSE),"")</f>
        <v>no</v>
      </c>
      <c r="AN103" s="59" t="str">
        <f>IFERROR(VLOOKUP(Tabelle32[[#This Row],[Device ID]],BOM!$B$3:$BQ$35,44,FALSE),"")</f>
        <v>yes</v>
      </c>
      <c r="AO103" s="59" t="str">
        <f>IFERROR(VLOOKUP(Tabelle32[[#This Row],[Device ID]],BOM!$B$3:$BQ$35,45,FALSE),"")</f>
        <v>no</v>
      </c>
      <c r="AP103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103" s="59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73" t="s">
        <v>199</v>
      </c>
      <c r="BI103" s="30" t="str">
        <f>IF(COUNTA(Tabelle32[[#This Row],[Type:Vid_1080i50]:[Type:Anc_Prot]])&gt;0,"x","")</f>
        <v/>
      </c>
      <c r="BJ103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03" s="59"/>
      <c r="BL103" s="59"/>
      <c r="BM103" s="63"/>
      <c r="BN103" s="63"/>
      <c r="BO103" s="99"/>
      <c r="BP103" s="106"/>
      <c r="BQ103" s="63">
        <f>LEN(Tabelle32[[#This Row],[Label 1
GFX-Unit]])</f>
        <v>0</v>
      </c>
      <c r="BR103" s="63"/>
      <c r="BS103" s="63"/>
      <c r="BT103" s="59"/>
      <c r="BU103" s="59"/>
      <c r="BV103" s="59" t="s">
        <v>257</v>
      </c>
      <c r="BW103" s="59" t="s">
        <v>258</v>
      </c>
      <c r="BX103" s="59" t="s">
        <v>389</v>
      </c>
      <c r="BY103" s="59">
        <v>5</v>
      </c>
    </row>
    <row r="104" spans="1:77" hidden="1" x14ac:dyDescent="0.2">
      <c r="A104" s="58" t="str">
        <f>CONCATENATE(Tabelle32[[#This Row],[Device ID]],".",Tabelle32[[#This Row],[Streamcounter]])</f>
        <v>382.05214</v>
      </c>
      <c r="B10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VGW-103_SDI05_AUDsend_0014</v>
      </c>
      <c r="C104" s="60"/>
      <c r="D104" s="61"/>
      <c r="E104" s="62"/>
      <c r="F104" s="59" t="str">
        <f>IFERROR(VLOOKUP(Tabelle32[[#This Row],[Device ID]],BOM!$B$3:$BQ$35,16,FALSE),"")</f>
        <v>R421 HD1 Backup</v>
      </c>
      <c r="G104" s="63">
        <f>VLOOKUP(Tabelle32[[#This Row],[SDI Interface]],BOM!$A$4:$B$35,2,FALSE)</f>
        <v>382</v>
      </c>
      <c r="H104" s="59" t="str">
        <f>BOM!$C$4</f>
        <v>VGW-103</v>
      </c>
      <c r="I104" s="59" t="str">
        <f>IFERROR(VLOOKUP(Tabelle32[[#This Row],[Device ID]],BOM!$B$3:$BQ$35,12,FALSE),"")</f>
        <v>Videoserver</v>
      </c>
      <c r="J104" s="59" t="str">
        <f>IFERROR(VLOOKUP(Tabelle32[[#This Row],[Device ID]],BOM!$B$3:$BQ$35,13,FALSE),"")</f>
        <v>TC.U1.223 | MDC</v>
      </c>
      <c r="K104" s="59" t="str">
        <f>IFERROR(VLOOKUP(Tabelle32[[#This Row],[Device ID]],BOM!$B$3:$BQ$35,14,FALSE),"")</f>
        <v>Imagine Comunications</v>
      </c>
      <c r="L104" s="59" t="str">
        <f>IFERROR(VLOOKUP(Tabelle32[[#This Row],[Device ID]],BOM!$B$3:$BQ$35,16,FALSE),"")</f>
        <v>R421 HD1 Backup</v>
      </c>
      <c r="M104" s="63" t="str">
        <f>IFERROR(VLOOKUP(Tabelle32[[#This Row],[Device ID]],BOM!$B$3:$BQ$35,17,FALSE),"")</f>
        <v>R421</v>
      </c>
      <c r="N104" s="59" t="str">
        <f>IFERROR(VLOOKUP(Tabelle32[[#This Row],[Device ID]],BOM!$B$3:$BQ$35,18,FALSE),"")</f>
        <v>TC.00.104 | R401</v>
      </c>
      <c r="O104" s="64"/>
      <c r="P104" s="64">
        <f>IFERROR(VLOOKUP(Tabelle32[[#This Row],[Device ID]],BOM!$B$3:$BO$50,20,FALSE),"")</f>
        <v>0</v>
      </c>
      <c r="Q104" s="64">
        <f>IFERROR(VLOOKUP(Tabelle32[[#This Row],[Device ID]],BOM!$B$3:$BO$50,21,FALSE),"")</f>
        <v>1</v>
      </c>
      <c r="R104" s="64">
        <f>IFERROR(VLOOKUP(Tabelle32[[#This Row],[Device ID]],BOM!$B$3:$BO$50,22,FALSE),"")</f>
        <v>0</v>
      </c>
      <c r="S104" s="64"/>
      <c r="T104" s="64"/>
      <c r="U104" s="59" t="str">
        <f>IFERROR(VLOOKUP(Tabelle32[[#This Row],[Device ID]],BOM!$B$3:$BQ$35,25,FALSE),"")</f>
        <v>Luis/Ivo</v>
      </c>
      <c r="V104" s="59" t="str">
        <f>IFERROR(VLOOKUP(Tabelle32[[#This Row],[Device ID]],BOM!$B$3:$BQ$35,26,FALSE),"")</f>
        <v>tpco-megw-vgw103.rta.st-net.media.int</v>
      </c>
      <c r="W104" s="59" t="str">
        <f>IFERROR(VLOOKUP(Tabelle32[[#This Row],[Device ID]],BOM!$B$3:$BQ$35,27,FALSE),"")</f>
        <v>10.120.236.50</v>
      </c>
      <c r="X104" s="59" t="str">
        <f>IFERROR(VLOOKUP(Tabelle32[[#This Row],[Device ID]],BOM!$B$3:$BQ$35,28,FALSE),"")</f>
        <v>AVCoreA</v>
      </c>
      <c r="Y104" s="59" t="str">
        <f>IFERROR(VLOOKUP(Tabelle32[[#This Row],[Device ID]],BOM!$B$3:$BQ$35,29,FALSE),"")</f>
        <v>5_36_1</v>
      </c>
      <c r="Z104" s="59" t="str">
        <f>IFERROR(VLOOKUP(Tabelle32[[#This Row],[Device ID]],BOM!$B$3:$BQ$35,30,FALSE),"")</f>
        <v>tpco-megw-vgw103.rtb.st-net.media.int</v>
      </c>
      <c r="AA104" s="59" t="str">
        <f>IFERROR(VLOOKUP(Tabelle32[[#This Row],[Device ID]],BOM!$B$3:$BQ$35,31,FALSE),"")</f>
        <v>10.120.236.54</v>
      </c>
      <c r="AB104" s="59" t="str">
        <f>IFERROR(VLOOKUP(Tabelle32[[#This Row],[Device ID]],BOM!$B$3:$BQ$35,32,FALSE),"")</f>
        <v>AVCoreB</v>
      </c>
      <c r="AC104" s="59" t="str">
        <f>IFERROR(VLOOKUP(Tabelle32[[#This Row],[Device ID]],BOM!$B$3:$BQ$35,33,FALSE),"")</f>
        <v>5_36_1</v>
      </c>
      <c r="AD104" s="59" t="str">
        <f>IFERROR(VLOOKUP(Tabelle32[[#This Row],[Device ID]],BOM!$B$3:$BQ$35,34,FALSE),"")</f>
        <v>tpco-megw-vgw103.st-net.media.int</v>
      </c>
      <c r="AE104" s="59" t="str">
        <f>IFERROR(VLOOKUP(Tabelle32[[#This Row],[Device ID]],BOM!$B$3:$BQ$35,35,FALSE),"")</f>
        <v>10.120.67.141</v>
      </c>
      <c r="AF104" s="59">
        <f>IFERROR(VLOOKUP(Tabelle32[[#This Row],[Device ID]],BOM!$B$3:$BQ$35,36,FALSE),"")</f>
        <v>0</v>
      </c>
      <c r="AG104" s="59">
        <f>IFERROR(VLOOKUP(Tabelle32[[#This Row],[Device ID]],BOM!$B$3:$BQ$35,37,FALSE),"")</f>
        <v>0</v>
      </c>
      <c r="AH104" s="59"/>
      <c r="AI104" s="59"/>
      <c r="AJ104" s="59"/>
      <c r="AK104" s="59"/>
      <c r="AL104" s="59" t="str">
        <f>IFERROR(VLOOKUP(Tabelle32[[#This Row],[Device ID]],BOM!$B$3:$BQ$35,42,FALSE),"")</f>
        <v>Imagine Communications SNP</v>
      </c>
      <c r="AM104" s="59" t="str">
        <f>IFERROR(VLOOKUP(Tabelle32[[#This Row],[Device ID]],BOM!$B$3:$BQ$35,43,FALSE),"")</f>
        <v>no</v>
      </c>
      <c r="AN104" s="59" t="str">
        <f>IFERROR(VLOOKUP(Tabelle32[[#This Row],[Device ID]],BOM!$B$3:$BQ$35,44,FALSE),"")</f>
        <v>yes</v>
      </c>
      <c r="AO104" s="59" t="str">
        <f>IFERROR(VLOOKUP(Tabelle32[[#This Row],[Device ID]],BOM!$B$3:$BQ$35,45,FALSE),"")</f>
        <v>no</v>
      </c>
      <c r="AP104" s="59" t="str">
        <f>IFERROR(CONCATENATE(Tabelle32[[#This Row],[Family
GFX-Unit]]," | ",Tabelle32[[#This Row],[Label 1
GFX-Unit]]," | ",Tabelle32[[#This Row],[Attached Device if Gateway]]),"")</f>
        <v xml:space="preserve"> |  | R421 HD1 Backup</v>
      </c>
      <c r="AQ104" s="59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73" t="s">
        <v>199</v>
      </c>
      <c r="BI104" s="30" t="str">
        <f>IF(COUNTA(Tabelle32[[#This Row],[Type:Vid_1080i50]:[Type:Anc_Prot]])&gt;0,"x","")</f>
        <v/>
      </c>
      <c r="BJ104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04" s="59"/>
      <c r="BL104" s="59"/>
      <c r="BM104" s="63"/>
      <c r="BN104" s="63"/>
      <c r="BO104" s="99"/>
      <c r="BP104" s="106"/>
      <c r="BQ104" s="63">
        <f>LEN(Tabelle32[[#This Row],[Label 1
GFX-Unit]])</f>
        <v>0</v>
      </c>
      <c r="BR104" s="63"/>
      <c r="BS104" s="63"/>
      <c r="BT104" s="59"/>
      <c r="BU104" s="59"/>
      <c r="BV104" s="59" t="s">
        <v>260</v>
      </c>
      <c r="BW104" s="59" t="s">
        <v>261</v>
      </c>
      <c r="BX104" s="59" t="s">
        <v>390</v>
      </c>
      <c r="BY104" s="59">
        <v>5</v>
      </c>
    </row>
    <row r="105" spans="1:77" x14ac:dyDescent="0.2">
      <c r="A105" s="58" t="str">
        <f>CONCATENATE(Tabelle32[[#This Row],[Device ID]],".",Tabelle32[[#This Row],[Streamcounter]])</f>
        <v>382.05215</v>
      </c>
      <c r="B10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VGW-103_SDI05_AUDsend_0015</v>
      </c>
      <c r="C105" s="60"/>
      <c r="D105" s="61"/>
      <c r="E105" s="62"/>
      <c r="F105" s="59" t="str">
        <f>IFERROR(VLOOKUP(Tabelle32[[#This Row],[Device ID]],BOM!$B$3:$BQ$35,16,FALSE),"")</f>
        <v>R421 HD1 Backup</v>
      </c>
      <c r="G105" s="63">
        <f>VLOOKUP(Tabelle32[[#This Row],[SDI Interface]],BOM!$A$4:$B$35,2,FALSE)</f>
        <v>382</v>
      </c>
      <c r="H105" s="59" t="str">
        <f>BOM!$C$4</f>
        <v>VGW-103</v>
      </c>
      <c r="I105" s="59" t="str">
        <f>IFERROR(VLOOKUP(Tabelle32[[#This Row],[Device ID]],BOM!$B$3:$BQ$35,12,FALSE),"")</f>
        <v>Videoserver</v>
      </c>
      <c r="J105" s="59" t="str">
        <f>IFERROR(VLOOKUP(Tabelle32[[#This Row],[Device ID]],BOM!$B$3:$BQ$35,13,FALSE),"")</f>
        <v>TC.U1.223 | MDC</v>
      </c>
      <c r="K105" s="59" t="str">
        <f>IFERROR(VLOOKUP(Tabelle32[[#This Row],[Device ID]],BOM!$B$3:$BQ$35,14,FALSE),"")</f>
        <v>Imagine Comunications</v>
      </c>
      <c r="L105" s="59" t="str">
        <f>IFERROR(VLOOKUP(Tabelle32[[#This Row],[Device ID]],BOM!$B$3:$BQ$35,16,FALSE),"")</f>
        <v>R421 HD1 Backup</v>
      </c>
      <c r="M105" s="63" t="str">
        <f>IFERROR(VLOOKUP(Tabelle32[[#This Row],[Device ID]],BOM!$B$3:$BQ$35,17,FALSE),"")</f>
        <v>R421</v>
      </c>
      <c r="N105" s="59" t="str">
        <f>IFERROR(VLOOKUP(Tabelle32[[#This Row],[Device ID]],BOM!$B$3:$BQ$35,18,FALSE),"")</f>
        <v>TC.00.104 | R401</v>
      </c>
      <c r="O105" s="64"/>
      <c r="P105" s="64">
        <f>IFERROR(VLOOKUP(Tabelle32[[#This Row],[Device ID]],BOM!$B$3:$BO$50,20,FALSE),"")</f>
        <v>0</v>
      </c>
      <c r="Q105" s="64">
        <f>IFERROR(VLOOKUP(Tabelle32[[#This Row],[Device ID]],BOM!$B$3:$BO$50,21,FALSE),"")</f>
        <v>1</v>
      </c>
      <c r="R105" s="64">
        <f>IFERROR(VLOOKUP(Tabelle32[[#This Row],[Device ID]],BOM!$B$3:$BO$50,22,FALSE),"")</f>
        <v>0</v>
      </c>
      <c r="S105" s="64"/>
      <c r="T105" s="64"/>
      <c r="U105" s="59" t="str">
        <f>IFERROR(VLOOKUP(Tabelle32[[#This Row],[Device ID]],BOM!$B$3:$BQ$35,25,FALSE),"")</f>
        <v>Luis/Ivo</v>
      </c>
      <c r="V105" s="59" t="str">
        <f>IFERROR(VLOOKUP(Tabelle32[[#This Row],[Device ID]],BOM!$B$3:$BQ$35,26,FALSE),"")</f>
        <v>tpco-megw-vgw103.rta.st-net.media.int</v>
      </c>
      <c r="W105" s="59" t="str">
        <f>IFERROR(VLOOKUP(Tabelle32[[#This Row],[Device ID]],BOM!$B$3:$BQ$35,27,FALSE),"")</f>
        <v>10.120.236.50</v>
      </c>
      <c r="X105" s="59" t="str">
        <f>IFERROR(VLOOKUP(Tabelle32[[#This Row],[Device ID]],BOM!$B$3:$BQ$35,28,FALSE),"")</f>
        <v>AVCoreA</v>
      </c>
      <c r="Y105" s="59" t="str">
        <f>IFERROR(VLOOKUP(Tabelle32[[#This Row],[Device ID]],BOM!$B$3:$BQ$35,29,FALSE),"")</f>
        <v>5_36_1</v>
      </c>
      <c r="Z105" s="59" t="str">
        <f>IFERROR(VLOOKUP(Tabelle32[[#This Row],[Device ID]],BOM!$B$3:$BQ$35,30,FALSE),"")</f>
        <v>tpco-megw-vgw103.rtb.st-net.media.int</v>
      </c>
      <c r="AA105" s="59" t="str">
        <f>IFERROR(VLOOKUP(Tabelle32[[#This Row],[Device ID]],BOM!$B$3:$BQ$35,31,FALSE),"")</f>
        <v>10.120.236.54</v>
      </c>
      <c r="AB105" s="59" t="str">
        <f>IFERROR(VLOOKUP(Tabelle32[[#This Row],[Device ID]],BOM!$B$3:$BQ$35,32,FALSE),"")</f>
        <v>AVCoreB</v>
      </c>
      <c r="AC105" s="59" t="str">
        <f>IFERROR(VLOOKUP(Tabelle32[[#This Row],[Device ID]],BOM!$B$3:$BQ$35,33,FALSE),"")</f>
        <v>5_36_1</v>
      </c>
      <c r="AD105" s="59" t="str">
        <f>IFERROR(VLOOKUP(Tabelle32[[#This Row],[Device ID]],BOM!$B$3:$BQ$35,34,FALSE),"")</f>
        <v>tpco-megw-vgw103.st-net.media.int</v>
      </c>
      <c r="AE105" s="59" t="str">
        <f>IFERROR(VLOOKUP(Tabelle32[[#This Row],[Device ID]],BOM!$B$3:$BQ$35,35,FALSE),"")</f>
        <v>10.120.67.141</v>
      </c>
      <c r="AF105" s="59">
        <f>IFERROR(VLOOKUP(Tabelle32[[#This Row],[Device ID]],BOM!$B$3:$BQ$35,36,FALSE),"")</f>
        <v>0</v>
      </c>
      <c r="AG105" s="59">
        <f>IFERROR(VLOOKUP(Tabelle32[[#This Row],[Device ID]],BOM!$B$3:$BQ$35,37,FALSE),"")</f>
        <v>0</v>
      </c>
      <c r="AH105" s="59"/>
      <c r="AI105" s="59"/>
      <c r="AJ105" s="59"/>
      <c r="AK105" s="59"/>
      <c r="AL105" s="59" t="str">
        <f>IFERROR(VLOOKUP(Tabelle32[[#This Row],[Device ID]],BOM!$B$3:$BQ$35,42,FALSE),"")</f>
        <v>Imagine Communications SNP</v>
      </c>
      <c r="AM105" s="59" t="str">
        <f>IFERROR(VLOOKUP(Tabelle32[[#This Row],[Device ID]],BOM!$B$3:$BQ$35,43,FALSE),"")</f>
        <v>no</v>
      </c>
      <c r="AN105" s="59" t="str">
        <f>IFERROR(VLOOKUP(Tabelle32[[#This Row],[Device ID]],BOM!$B$3:$BQ$35,44,FALSE),"")</f>
        <v>yes</v>
      </c>
      <c r="AO105" s="59" t="str">
        <f>IFERROR(VLOOKUP(Tabelle32[[#This Row],[Device ID]],BOM!$B$3:$BQ$35,45,FALSE),"")</f>
        <v>no</v>
      </c>
      <c r="AP105" s="59" t="str">
        <f>IFERROR(CONCATENATE(Tabelle32[[#This Row],[Family
GFX-Unit]]," | ",Tabelle32[[#This Row],[Label 1
GFX-Unit]]," | ",Tabelle32[[#This Row],[Attached Device if Gateway]]),"")</f>
        <v>PLAYOUT R421 | HD1 Backup-015 | R421 HD1 Backup</v>
      </c>
      <c r="AQ105" s="59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 t="s">
        <v>97</v>
      </c>
      <c r="BE105" s="90"/>
      <c r="BF105" s="90"/>
      <c r="BG105" s="90"/>
      <c r="BH105" s="73" t="s">
        <v>199</v>
      </c>
      <c r="BI105" s="30" t="str">
        <f>IF(COUNTA(Tabelle32[[#This Row],[Type:Vid_1080i50]:[Type:Anc_Prot]])&gt;0,"x","")</f>
        <v>x</v>
      </c>
      <c r="BJ105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105" s="59"/>
      <c r="BL105" s="59"/>
      <c r="BM105" s="63"/>
      <c r="BN105" s="63"/>
      <c r="BO105" s="100" t="s">
        <v>372</v>
      </c>
      <c r="BP105" s="94" t="s">
        <v>263</v>
      </c>
      <c r="BQ105" s="63">
        <f>LEN(Tabelle32[[#This Row],[Label 1
GFX-Unit]])</f>
        <v>14</v>
      </c>
      <c r="BR105" s="63"/>
      <c r="BS105" s="63"/>
      <c r="BT105" s="59"/>
      <c r="BU105" s="59"/>
      <c r="BV105" s="59" t="s">
        <v>264</v>
      </c>
      <c r="BW105" s="59" t="s">
        <v>265</v>
      </c>
      <c r="BX105" s="59" t="s">
        <v>391</v>
      </c>
      <c r="BY105" s="59">
        <v>5</v>
      </c>
    </row>
    <row r="106" spans="1:77" x14ac:dyDescent="0.2">
      <c r="A106" s="58" t="str">
        <f>CONCATENATE(Tabelle32[[#This Row],[Device ID]],".",Tabelle32[[#This Row],[Streamcounter]])</f>
        <v>382.05216</v>
      </c>
      <c r="B10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VGW-103_SDI05_AUDsend_0016</v>
      </c>
      <c r="C106" s="60"/>
      <c r="D106" s="61"/>
      <c r="E106" s="62"/>
      <c r="F106" s="59" t="str">
        <f>IFERROR(VLOOKUP(Tabelle32[[#This Row],[Device ID]],BOM!$B$3:$BQ$35,16,FALSE),"")</f>
        <v>R421 HD1 Backup</v>
      </c>
      <c r="G106" s="63">
        <f>VLOOKUP(Tabelle32[[#This Row],[SDI Interface]],BOM!$A$4:$B$35,2,FALSE)</f>
        <v>382</v>
      </c>
      <c r="H106" s="59" t="str">
        <f>BOM!$C$4</f>
        <v>VGW-103</v>
      </c>
      <c r="I106" s="59" t="str">
        <f>IFERROR(VLOOKUP(Tabelle32[[#This Row],[Device ID]],BOM!$B$3:$BQ$35,12,FALSE),"")</f>
        <v>Videoserver</v>
      </c>
      <c r="J106" s="59" t="str">
        <f>IFERROR(VLOOKUP(Tabelle32[[#This Row],[Device ID]],BOM!$B$3:$BQ$35,13,FALSE),"")</f>
        <v>TC.U1.223 | MDC</v>
      </c>
      <c r="K106" s="59" t="str">
        <f>IFERROR(VLOOKUP(Tabelle32[[#This Row],[Device ID]],BOM!$B$3:$BQ$35,14,FALSE),"")</f>
        <v>Imagine Comunications</v>
      </c>
      <c r="L106" s="59" t="str">
        <f>IFERROR(VLOOKUP(Tabelle32[[#This Row],[Device ID]],BOM!$B$3:$BQ$35,16,FALSE),"")</f>
        <v>R421 HD1 Backup</v>
      </c>
      <c r="M106" s="63" t="str">
        <f>IFERROR(VLOOKUP(Tabelle32[[#This Row],[Device ID]],BOM!$B$3:$BQ$35,17,FALSE),"")</f>
        <v>R421</v>
      </c>
      <c r="N106" s="59" t="str">
        <f>IFERROR(VLOOKUP(Tabelle32[[#This Row],[Device ID]],BOM!$B$3:$BQ$35,18,FALSE),"")</f>
        <v>TC.00.104 | R401</v>
      </c>
      <c r="O106" s="64"/>
      <c r="P106" s="64">
        <f>IFERROR(VLOOKUP(Tabelle32[[#This Row],[Device ID]],BOM!$B$3:$BO$50,20,FALSE),"")</f>
        <v>0</v>
      </c>
      <c r="Q106" s="64">
        <f>IFERROR(VLOOKUP(Tabelle32[[#This Row],[Device ID]],BOM!$B$3:$BO$50,21,FALSE),"")</f>
        <v>1</v>
      </c>
      <c r="R106" s="64">
        <f>IFERROR(VLOOKUP(Tabelle32[[#This Row],[Device ID]],BOM!$B$3:$BO$50,22,FALSE),"")</f>
        <v>0</v>
      </c>
      <c r="S106" s="64"/>
      <c r="T106" s="64"/>
      <c r="U106" s="59" t="str">
        <f>IFERROR(VLOOKUP(Tabelle32[[#This Row],[Device ID]],BOM!$B$3:$BQ$35,25,FALSE),"")</f>
        <v>Luis/Ivo</v>
      </c>
      <c r="V106" s="59" t="str">
        <f>IFERROR(VLOOKUP(Tabelle32[[#This Row],[Device ID]],BOM!$B$3:$BQ$35,26,FALSE),"")</f>
        <v>tpco-megw-vgw103.rta.st-net.media.int</v>
      </c>
      <c r="W106" s="59" t="str">
        <f>IFERROR(VLOOKUP(Tabelle32[[#This Row],[Device ID]],BOM!$B$3:$BQ$35,27,FALSE),"")</f>
        <v>10.120.236.50</v>
      </c>
      <c r="X106" s="59" t="str">
        <f>IFERROR(VLOOKUP(Tabelle32[[#This Row],[Device ID]],BOM!$B$3:$BQ$35,28,FALSE),"")</f>
        <v>AVCoreA</v>
      </c>
      <c r="Y106" s="59" t="str">
        <f>IFERROR(VLOOKUP(Tabelle32[[#This Row],[Device ID]],BOM!$B$3:$BQ$35,29,FALSE),"")</f>
        <v>5_36_1</v>
      </c>
      <c r="Z106" s="59" t="str">
        <f>IFERROR(VLOOKUP(Tabelle32[[#This Row],[Device ID]],BOM!$B$3:$BQ$35,30,FALSE),"")</f>
        <v>tpco-megw-vgw103.rtb.st-net.media.int</v>
      </c>
      <c r="AA106" s="59" t="str">
        <f>IFERROR(VLOOKUP(Tabelle32[[#This Row],[Device ID]],BOM!$B$3:$BQ$35,31,FALSE),"")</f>
        <v>10.120.236.54</v>
      </c>
      <c r="AB106" s="59" t="str">
        <f>IFERROR(VLOOKUP(Tabelle32[[#This Row],[Device ID]],BOM!$B$3:$BQ$35,32,FALSE),"")</f>
        <v>AVCoreB</v>
      </c>
      <c r="AC106" s="59" t="str">
        <f>IFERROR(VLOOKUP(Tabelle32[[#This Row],[Device ID]],BOM!$B$3:$BQ$35,33,FALSE),"")</f>
        <v>5_36_1</v>
      </c>
      <c r="AD106" s="59" t="str">
        <f>IFERROR(VLOOKUP(Tabelle32[[#This Row],[Device ID]],BOM!$B$3:$BQ$35,34,FALSE),"")</f>
        <v>tpco-megw-vgw103.st-net.media.int</v>
      </c>
      <c r="AE106" s="59" t="str">
        <f>IFERROR(VLOOKUP(Tabelle32[[#This Row],[Device ID]],BOM!$B$3:$BQ$35,35,FALSE),"")</f>
        <v>10.120.67.141</v>
      </c>
      <c r="AF106" s="59">
        <f>IFERROR(VLOOKUP(Tabelle32[[#This Row],[Device ID]],BOM!$B$3:$BQ$35,36,FALSE),"")</f>
        <v>0</v>
      </c>
      <c r="AG106" s="59">
        <f>IFERROR(VLOOKUP(Tabelle32[[#This Row],[Device ID]],BOM!$B$3:$BQ$35,37,FALSE),"")</f>
        <v>0</v>
      </c>
      <c r="AH106" s="59"/>
      <c r="AI106" s="59"/>
      <c r="AJ106" s="59"/>
      <c r="AK106" s="59"/>
      <c r="AL106" s="59" t="str">
        <f>IFERROR(VLOOKUP(Tabelle32[[#This Row],[Device ID]],BOM!$B$3:$BQ$35,42,FALSE),"")</f>
        <v>Imagine Communications SNP</v>
      </c>
      <c r="AM106" s="59" t="str">
        <f>IFERROR(VLOOKUP(Tabelle32[[#This Row],[Device ID]],BOM!$B$3:$BQ$35,43,FALSE),"")</f>
        <v>no</v>
      </c>
      <c r="AN106" s="59" t="str">
        <f>IFERROR(VLOOKUP(Tabelle32[[#This Row],[Device ID]],BOM!$B$3:$BQ$35,44,FALSE),"")</f>
        <v>yes</v>
      </c>
      <c r="AO106" s="59" t="str">
        <f>IFERROR(VLOOKUP(Tabelle32[[#This Row],[Device ID]],BOM!$B$3:$BQ$35,45,FALSE),"")</f>
        <v>no</v>
      </c>
      <c r="AP106" s="59" t="str">
        <f>IFERROR(CONCATENATE(Tabelle32[[#This Row],[Family
GFX-Unit]]," | ",Tabelle32[[#This Row],[Label 1
GFX-Unit]]," | ",Tabelle32[[#This Row],[Attached Device if Gateway]]),"")</f>
        <v>PLAYOUT R421 | HD1 Backup-016 | R421 HD1 Backup</v>
      </c>
      <c r="AQ106" s="59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 t="s">
        <v>97</v>
      </c>
      <c r="BE106" s="90"/>
      <c r="BF106" s="90"/>
      <c r="BG106" s="90"/>
      <c r="BH106" s="73" t="s">
        <v>199</v>
      </c>
      <c r="BI106" s="30" t="str">
        <f>IF(COUNTA(Tabelle32[[#This Row],[Type:Vid_1080i50]:[Type:Anc_Prot]])&gt;0,"x","")</f>
        <v>x</v>
      </c>
      <c r="BJ10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106" s="59"/>
      <c r="BL106" s="59"/>
      <c r="BM106" s="63"/>
      <c r="BN106" s="63"/>
      <c r="BO106" s="100" t="s">
        <v>372</v>
      </c>
      <c r="BP106" s="94" t="s">
        <v>267</v>
      </c>
      <c r="BQ106" s="75">
        <f>LEN(Tabelle32[[#This Row],[Label 1
GFX-Unit]])</f>
        <v>14</v>
      </c>
      <c r="BR106" s="63"/>
      <c r="BS106" s="63"/>
      <c r="BT106" s="59"/>
      <c r="BU106" s="59"/>
      <c r="BV106" s="59" t="s">
        <v>268</v>
      </c>
      <c r="BW106" s="59" t="s">
        <v>269</v>
      </c>
      <c r="BX106" s="59" t="s">
        <v>392</v>
      </c>
      <c r="BY106" s="59">
        <v>5</v>
      </c>
    </row>
    <row r="107" spans="1:77" x14ac:dyDescent="0.2">
      <c r="A107" s="58" t="str">
        <f>CONCATENATE(Tabelle32[[#This Row],[Device ID]],".",Tabelle32[[#This Row],[Streamcounter]])</f>
        <v>382.05101</v>
      </c>
      <c r="B10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VGW-103_SDI05_VIDsend_0001</v>
      </c>
      <c r="C107" s="60"/>
      <c r="D107" s="61"/>
      <c r="E107" s="62"/>
      <c r="F107" s="59" t="str">
        <f>IFERROR(VLOOKUP(Tabelle32[[#This Row],[Device ID]],BOM!$B$3:$BQ$35,16,FALSE),"")</f>
        <v>R421 HD1 Backup</v>
      </c>
      <c r="G107" s="63">
        <f>VLOOKUP(Tabelle32[[#This Row],[SDI Interface]],BOM!$A$4:$B$35,2,FALSE)</f>
        <v>382</v>
      </c>
      <c r="H107" s="59" t="str">
        <f>BOM!$C$4</f>
        <v>VGW-103</v>
      </c>
      <c r="I107" s="59" t="str">
        <f>IFERROR(VLOOKUP(Tabelle32[[#This Row],[Device ID]],BOM!$B$3:$BQ$35,12,FALSE),"")</f>
        <v>Videoserver</v>
      </c>
      <c r="J107" s="59" t="str">
        <f>IFERROR(VLOOKUP(Tabelle32[[#This Row],[Device ID]],BOM!$B$3:$BQ$35,13,FALSE),"")</f>
        <v>TC.U1.223 | MDC</v>
      </c>
      <c r="K107" s="59" t="str">
        <f>IFERROR(VLOOKUP(Tabelle32[[#This Row],[Device ID]],BOM!$B$3:$BQ$35,14,FALSE),"")</f>
        <v>Imagine Comunications</v>
      </c>
      <c r="L107" s="59" t="str">
        <f>IFERROR(VLOOKUP(Tabelle32[[#This Row],[Device ID]],BOM!$B$3:$BQ$35,16,FALSE),"")</f>
        <v>R421 HD1 Backup</v>
      </c>
      <c r="M107" s="63" t="str">
        <f>IFERROR(VLOOKUP(Tabelle32[[#This Row],[Device ID]],BOM!$B$3:$BQ$35,17,FALSE),"")</f>
        <v>R421</v>
      </c>
      <c r="N107" s="59" t="str">
        <f>IFERROR(VLOOKUP(Tabelle32[[#This Row],[Device ID]],BOM!$B$3:$BQ$35,18,FALSE),"")</f>
        <v>TC.00.104 | R401</v>
      </c>
      <c r="O107" s="64"/>
      <c r="P107" s="64">
        <f>IFERROR(VLOOKUP(Tabelle32[[#This Row],[Device ID]],BOM!$B$3:$BO$50,20,FALSE),"")</f>
        <v>0</v>
      </c>
      <c r="Q107" s="64">
        <f>IFERROR(VLOOKUP(Tabelle32[[#This Row],[Device ID]],BOM!$B$3:$BO$50,21,FALSE),"")</f>
        <v>1</v>
      </c>
      <c r="R107" s="64">
        <f>IFERROR(VLOOKUP(Tabelle32[[#This Row],[Device ID]],BOM!$B$3:$BO$50,22,FALSE),"")</f>
        <v>0</v>
      </c>
      <c r="S107" s="64"/>
      <c r="T107" s="64"/>
      <c r="U107" s="59" t="str">
        <f>IFERROR(VLOOKUP(Tabelle32[[#This Row],[Device ID]],BOM!$B$3:$BQ$35,25,FALSE),"")</f>
        <v>Luis/Ivo</v>
      </c>
      <c r="V107" s="59" t="str">
        <f>IFERROR(VLOOKUP(Tabelle32[[#This Row],[Device ID]],BOM!$B$3:$BQ$35,26,FALSE),"")</f>
        <v>tpco-megw-vgw103.rta.st-net.media.int</v>
      </c>
      <c r="W107" s="59" t="str">
        <f>IFERROR(VLOOKUP(Tabelle32[[#This Row],[Device ID]],BOM!$B$3:$BQ$35,27,FALSE),"")</f>
        <v>10.120.236.50</v>
      </c>
      <c r="X107" s="59" t="str">
        <f>IFERROR(VLOOKUP(Tabelle32[[#This Row],[Device ID]],BOM!$B$3:$BQ$35,28,FALSE),"")</f>
        <v>AVCoreA</v>
      </c>
      <c r="Y107" s="59" t="str">
        <f>IFERROR(VLOOKUP(Tabelle32[[#This Row],[Device ID]],BOM!$B$3:$BQ$35,29,FALSE),"")</f>
        <v>5_36_1</v>
      </c>
      <c r="Z107" s="59" t="str">
        <f>IFERROR(VLOOKUP(Tabelle32[[#This Row],[Device ID]],BOM!$B$3:$BQ$35,30,FALSE),"")</f>
        <v>tpco-megw-vgw103.rtb.st-net.media.int</v>
      </c>
      <c r="AA107" s="59" t="str">
        <f>IFERROR(VLOOKUP(Tabelle32[[#This Row],[Device ID]],BOM!$B$3:$BQ$35,31,FALSE),"")</f>
        <v>10.120.236.54</v>
      </c>
      <c r="AB107" s="59" t="str">
        <f>IFERROR(VLOOKUP(Tabelle32[[#This Row],[Device ID]],BOM!$B$3:$BQ$35,32,FALSE),"")</f>
        <v>AVCoreB</v>
      </c>
      <c r="AC107" s="59" t="str">
        <f>IFERROR(VLOOKUP(Tabelle32[[#This Row],[Device ID]],BOM!$B$3:$BQ$35,33,FALSE),"")</f>
        <v>5_36_1</v>
      </c>
      <c r="AD107" s="59" t="str">
        <f>IFERROR(VLOOKUP(Tabelle32[[#This Row],[Device ID]],BOM!$B$3:$BQ$35,34,FALSE),"")</f>
        <v>tpco-megw-vgw103.st-net.media.int</v>
      </c>
      <c r="AE107" s="59" t="str">
        <f>IFERROR(VLOOKUP(Tabelle32[[#This Row],[Device ID]],BOM!$B$3:$BQ$35,35,FALSE),"")</f>
        <v>10.120.67.141</v>
      </c>
      <c r="AF107" s="59">
        <f>IFERROR(VLOOKUP(Tabelle32[[#This Row],[Device ID]],BOM!$B$3:$BQ$35,36,FALSE),"")</f>
        <v>0</v>
      </c>
      <c r="AG107" s="59">
        <f>IFERROR(VLOOKUP(Tabelle32[[#This Row],[Device ID]],BOM!$B$3:$BQ$35,37,FALSE),"")</f>
        <v>0</v>
      </c>
      <c r="AH107" s="59"/>
      <c r="AI107" s="59"/>
      <c r="AJ107" s="59"/>
      <c r="AK107" s="59"/>
      <c r="AL107" s="59" t="str">
        <f>IFERROR(VLOOKUP(Tabelle32[[#This Row],[Device ID]],BOM!$B$3:$BQ$35,42,FALSE),"")</f>
        <v>Imagine Communications SNP</v>
      </c>
      <c r="AM107" s="59" t="str">
        <f>IFERROR(VLOOKUP(Tabelle32[[#This Row],[Device ID]],BOM!$B$3:$BQ$35,43,FALSE),"")</f>
        <v>no</v>
      </c>
      <c r="AN107" s="59" t="str">
        <f>IFERROR(VLOOKUP(Tabelle32[[#This Row],[Device ID]],BOM!$B$3:$BQ$35,44,FALSE),"")</f>
        <v>yes</v>
      </c>
      <c r="AO107" s="59" t="str">
        <f>IFERROR(VLOOKUP(Tabelle32[[#This Row],[Device ID]],BOM!$B$3:$BQ$35,45,FALSE),"")</f>
        <v>no</v>
      </c>
      <c r="AP107" s="59" t="str">
        <f>IFERROR(CONCATENATE(Tabelle32[[#This Row],[Family
GFX-Unit]]," | ",Tabelle32[[#This Row],[Label 1
GFX-Unit]]," | ",Tabelle32[[#This Row],[Attached Device if Gateway]]),"")</f>
        <v>PLAYOUT R421 | HD1 Backup | R421 HD1 Backup</v>
      </c>
      <c r="AQ107" s="59"/>
      <c r="AR107" s="90" t="s">
        <v>97</v>
      </c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73" t="s">
        <v>199</v>
      </c>
      <c r="BI107" s="30" t="str">
        <f>IF(COUNTA(Tabelle32[[#This Row],[Type:Vid_1080i50]:[Type:Anc_Prot]])&gt;0,"x","")</f>
        <v>x</v>
      </c>
      <c r="BJ107" s="67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107" s="59"/>
      <c r="BL107" s="59"/>
      <c r="BM107" s="63"/>
      <c r="BN107" s="63"/>
      <c r="BO107" s="100" t="s">
        <v>372</v>
      </c>
      <c r="BP107" s="102" t="s">
        <v>271</v>
      </c>
      <c r="BQ107" s="63">
        <f>LEN(Tabelle32[[#This Row],[Label 1
GFX-Unit]])</f>
        <v>10</v>
      </c>
      <c r="BR107" s="63"/>
      <c r="BS107" s="63"/>
      <c r="BT107" s="59"/>
      <c r="BU107" s="59"/>
      <c r="BV107" s="59" t="s">
        <v>272</v>
      </c>
      <c r="BW107" s="59" t="s">
        <v>273</v>
      </c>
      <c r="BX107" s="59" t="s">
        <v>393</v>
      </c>
      <c r="BY107" s="59">
        <v>5</v>
      </c>
    </row>
    <row r="108" spans="1:77" x14ac:dyDescent="0.2">
      <c r="A108" s="58" t="str">
        <f>CONCATENATE(Tabelle32[[#This Row],[Device ID]],".",Tabelle32[[#This Row],[Streamcounter]])</f>
        <v>383.06301</v>
      </c>
      <c r="B10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VGW-103_SDI06_ANCsend_0001</v>
      </c>
      <c r="C108" s="60"/>
      <c r="D108" s="61"/>
      <c r="E108" s="62"/>
      <c r="F108" s="59" t="str">
        <f>IFERROR(VLOOKUP(Tabelle32[[#This Row],[Device ID]],BOM!$B$3:$BQ$35,16,FALSE),"")</f>
        <v>R421 HD2 Backup</v>
      </c>
      <c r="G108" s="63">
        <f>VLOOKUP(Tabelle32[[#This Row],[SDI Interface]],BOM!$A$4:$B$35,2,FALSE)</f>
        <v>383</v>
      </c>
      <c r="H108" s="59" t="str">
        <f>BOM!$C$4</f>
        <v>VGW-103</v>
      </c>
      <c r="I108" s="59" t="str">
        <f>IFERROR(VLOOKUP(Tabelle32[[#This Row],[Device ID]],BOM!$B$3:$BQ$35,12,FALSE),"")</f>
        <v>Videoserver</v>
      </c>
      <c r="J108" s="59" t="str">
        <f>IFERROR(VLOOKUP(Tabelle32[[#This Row],[Device ID]],BOM!$B$3:$BQ$35,13,FALSE),"")</f>
        <v>TC.U1.223 | MDC</v>
      </c>
      <c r="K108" s="59" t="str">
        <f>IFERROR(VLOOKUP(Tabelle32[[#This Row],[Device ID]],BOM!$B$3:$BQ$35,14,FALSE),"")</f>
        <v>Imagine Comunications</v>
      </c>
      <c r="L108" s="59" t="str">
        <f>IFERROR(VLOOKUP(Tabelle32[[#This Row],[Device ID]],BOM!$B$3:$BQ$35,16,FALSE),"")</f>
        <v>R421 HD2 Backup</v>
      </c>
      <c r="M108" s="63" t="str">
        <f>IFERROR(VLOOKUP(Tabelle32[[#This Row],[Device ID]],BOM!$B$3:$BQ$35,17,FALSE),"")</f>
        <v>R421</v>
      </c>
      <c r="N108" s="59" t="str">
        <f>IFERROR(VLOOKUP(Tabelle32[[#This Row],[Device ID]],BOM!$B$3:$BQ$35,18,FALSE),"")</f>
        <v>TC.00.104 | R401</v>
      </c>
      <c r="O108" s="64"/>
      <c r="P108" s="64">
        <f>IFERROR(VLOOKUP(Tabelle32[[#This Row],[Device ID]],BOM!$B$3:$BO$50,20,FALSE),"")</f>
        <v>0</v>
      </c>
      <c r="Q108" s="64">
        <f>IFERROR(VLOOKUP(Tabelle32[[#This Row],[Device ID]],BOM!$B$3:$BO$50,21,FALSE),"")</f>
        <v>1</v>
      </c>
      <c r="R108" s="64">
        <f>IFERROR(VLOOKUP(Tabelle32[[#This Row],[Device ID]],BOM!$B$3:$BO$50,22,FALSE),"")</f>
        <v>0</v>
      </c>
      <c r="S108" s="64"/>
      <c r="T108" s="64"/>
      <c r="U108" s="59" t="str">
        <f>IFERROR(VLOOKUP(Tabelle32[[#This Row],[Device ID]],BOM!$B$3:$BQ$35,25,FALSE),"")</f>
        <v>Luis/Ivo</v>
      </c>
      <c r="V108" s="59" t="str">
        <f>IFERROR(VLOOKUP(Tabelle32[[#This Row],[Device ID]],BOM!$B$3:$BQ$35,26,FALSE),"")</f>
        <v>tpco-megw-vgw103.rta.st-net.media.int</v>
      </c>
      <c r="W108" s="59" t="str">
        <f>IFERROR(VLOOKUP(Tabelle32[[#This Row],[Device ID]],BOM!$B$3:$BQ$35,27,FALSE),"")</f>
        <v>10.120.236.50</v>
      </c>
      <c r="X108" s="59" t="str">
        <f>IFERROR(VLOOKUP(Tabelle32[[#This Row],[Device ID]],BOM!$B$3:$BQ$35,28,FALSE),"")</f>
        <v>AVCoreA</v>
      </c>
      <c r="Y108" s="59" t="str">
        <f>IFERROR(VLOOKUP(Tabelle32[[#This Row],[Device ID]],BOM!$B$3:$BQ$35,29,FALSE),"")</f>
        <v>5_36_1</v>
      </c>
      <c r="Z108" s="59" t="str">
        <f>IFERROR(VLOOKUP(Tabelle32[[#This Row],[Device ID]],BOM!$B$3:$BQ$35,30,FALSE),"")</f>
        <v>tpco-megw-vgw103.rtb.st-net.media.int</v>
      </c>
      <c r="AA108" s="59" t="str">
        <f>IFERROR(VLOOKUP(Tabelle32[[#This Row],[Device ID]],BOM!$B$3:$BQ$35,31,FALSE),"")</f>
        <v>10.120.236.54</v>
      </c>
      <c r="AB108" s="59" t="str">
        <f>IFERROR(VLOOKUP(Tabelle32[[#This Row],[Device ID]],BOM!$B$3:$BQ$35,32,FALSE),"")</f>
        <v>AVCoreB</v>
      </c>
      <c r="AC108" s="59" t="str">
        <f>IFERROR(VLOOKUP(Tabelle32[[#This Row],[Device ID]],BOM!$B$3:$BQ$35,33,FALSE),"")</f>
        <v>5_36_1</v>
      </c>
      <c r="AD108" s="59" t="str">
        <f>IFERROR(VLOOKUP(Tabelle32[[#This Row],[Device ID]],BOM!$B$3:$BQ$35,34,FALSE),"")</f>
        <v>tpco-megw-vgw103.st-net.media.int</v>
      </c>
      <c r="AE108" s="59" t="str">
        <f>IFERROR(VLOOKUP(Tabelle32[[#This Row],[Device ID]],BOM!$B$3:$BQ$35,35,FALSE),"")</f>
        <v>10.120.67.141</v>
      </c>
      <c r="AF108" s="59">
        <f>IFERROR(VLOOKUP(Tabelle32[[#This Row],[Device ID]],BOM!$B$3:$BQ$35,36,FALSE),"")</f>
        <v>0</v>
      </c>
      <c r="AG108" s="59">
        <f>IFERROR(VLOOKUP(Tabelle32[[#This Row],[Device ID]],BOM!$B$3:$BQ$35,37,FALSE),"")</f>
        <v>0</v>
      </c>
      <c r="AH108" s="59"/>
      <c r="AI108" s="59"/>
      <c r="AJ108" s="59"/>
      <c r="AK108" s="59"/>
      <c r="AL108" s="59" t="str">
        <f>IFERROR(VLOOKUP(Tabelle32[[#This Row],[Device ID]],BOM!$B$3:$BQ$35,42,FALSE),"")</f>
        <v>Imagine Communications SNP</v>
      </c>
      <c r="AM108" s="59" t="str">
        <f>IFERROR(VLOOKUP(Tabelle32[[#This Row],[Device ID]],BOM!$B$3:$BQ$35,43,FALSE),"")</f>
        <v>no</v>
      </c>
      <c r="AN108" s="59" t="str">
        <f>IFERROR(VLOOKUP(Tabelle32[[#This Row],[Device ID]],BOM!$B$3:$BQ$35,44,FALSE),"")</f>
        <v>yes</v>
      </c>
      <c r="AO108" s="59" t="str">
        <f>IFERROR(VLOOKUP(Tabelle32[[#This Row],[Device ID]],BOM!$B$3:$BQ$35,45,FALSE),"")</f>
        <v>no</v>
      </c>
      <c r="AP108" s="59" t="str">
        <f>IFERROR(CONCATENATE(Tabelle32[[#This Row],[Family
GFX-Unit]]," | ",Tabelle32[[#This Row],[Label 1
GFX-Unit]]," | ",Tabelle32[[#This Row],[Attached Device if Gateway]]),"")</f>
        <v>PLAYOUT R421 | HD2 Backup-001 | R421 HD2 Backup</v>
      </c>
      <c r="AQ108" s="59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 t="s">
        <v>97</v>
      </c>
      <c r="BH108" s="73" t="s">
        <v>199</v>
      </c>
      <c r="BI108" s="30" t="str">
        <f>IF(COUNTA(Tabelle32[[#This Row],[Type:Vid_1080i50]:[Type:Anc_Prot]])&gt;0,"x","")</f>
        <v>x</v>
      </c>
      <c r="BJ10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108" s="59"/>
      <c r="BL108" s="59"/>
      <c r="BM108" s="63"/>
      <c r="BN108" s="63"/>
      <c r="BO108" s="100" t="s">
        <v>372</v>
      </c>
      <c r="BP108" s="94" t="s">
        <v>275</v>
      </c>
      <c r="BQ108" s="75">
        <f>LEN(Tabelle32[[#This Row],[Label 1
GFX-Unit]])</f>
        <v>14</v>
      </c>
      <c r="BR108" s="63"/>
      <c r="BS108" s="63"/>
      <c r="BT108" s="59"/>
      <c r="BU108" s="59"/>
      <c r="BV108" s="59" t="s">
        <v>202</v>
      </c>
      <c r="BW108" s="59" t="s">
        <v>203</v>
      </c>
      <c r="BX108" s="59" t="s">
        <v>394</v>
      </c>
      <c r="BY108" s="59">
        <v>6</v>
      </c>
    </row>
    <row r="109" spans="1:77" hidden="1" x14ac:dyDescent="0.2">
      <c r="A109" s="58" t="str">
        <f>CONCATENATE(Tabelle32[[#This Row],[Device ID]],".",Tabelle32[[#This Row],[Streamcounter]])</f>
        <v>383.06302</v>
      </c>
      <c r="B10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VGW-103_SDI06_ANCsend_0002</v>
      </c>
      <c r="C109" s="60"/>
      <c r="D109" s="61"/>
      <c r="E109" s="62"/>
      <c r="F109" s="59" t="str">
        <f>IFERROR(VLOOKUP(Tabelle32[[#This Row],[Device ID]],BOM!$B$3:$BQ$35,16,FALSE),"")</f>
        <v>R421 HD2 Backup</v>
      </c>
      <c r="G109" s="63">
        <f>VLOOKUP(Tabelle32[[#This Row],[SDI Interface]],BOM!$A$4:$B$35,2,FALSE)</f>
        <v>383</v>
      </c>
      <c r="H109" s="59" t="str">
        <f>BOM!$C$4</f>
        <v>VGW-103</v>
      </c>
      <c r="I109" s="59" t="str">
        <f>IFERROR(VLOOKUP(Tabelle32[[#This Row],[Device ID]],BOM!$B$3:$BQ$35,12,FALSE),"")</f>
        <v>Videoserver</v>
      </c>
      <c r="J109" s="59" t="str">
        <f>IFERROR(VLOOKUP(Tabelle32[[#This Row],[Device ID]],BOM!$B$3:$BQ$35,13,FALSE),"")</f>
        <v>TC.U1.223 | MDC</v>
      </c>
      <c r="K109" s="59" t="str">
        <f>IFERROR(VLOOKUP(Tabelle32[[#This Row],[Device ID]],BOM!$B$3:$BQ$35,14,FALSE),"")</f>
        <v>Imagine Comunications</v>
      </c>
      <c r="L109" s="59" t="str">
        <f>IFERROR(VLOOKUP(Tabelle32[[#This Row],[Device ID]],BOM!$B$3:$BQ$35,16,FALSE),"")</f>
        <v>R421 HD2 Backup</v>
      </c>
      <c r="M109" s="63" t="str">
        <f>IFERROR(VLOOKUP(Tabelle32[[#This Row],[Device ID]],BOM!$B$3:$BQ$35,17,FALSE),"")</f>
        <v>R421</v>
      </c>
      <c r="N109" s="59" t="str">
        <f>IFERROR(VLOOKUP(Tabelle32[[#This Row],[Device ID]],BOM!$B$3:$BQ$35,18,FALSE),"")</f>
        <v>TC.00.104 | R401</v>
      </c>
      <c r="O109" s="64"/>
      <c r="P109" s="64">
        <f>IFERROR(VLOOKUP(Tabelle32[[#This Row],[Device ID]],BOM!$B$3:$BO$50,20,FALSE),"")</f>
        <v>0</v>
      </c>
      <c r="Q109" s="64">
        <f>IFERROR(VLOOKUP(Tabelle32[[#This Row],[Device ID]],BOM!$B$3:$BO$50,21,FALSE),"")</f>
        <v>1</v>
      </c>
      <c r="R109" s="64">
        <f>IFERROR(VLOOKUP(Tabelle32[[#This Row],[Device ID]],BOM!$B$3:$BO$50,22,FALSE),"")</f>
        <v>0</v>
      </c>
      <c r="S109" s="64"/>
      <c r="T109" s="64"/>
      <c r="U109" s="59" t="str">
        <f>IFERROR(VLOOKUP(Tabelle32[[#This Row],[Device ID]],BOM!$B$3:$BQ$35,25,FALSE),"")</f>
        <v>Luis/Ivo</v>
      </c>
      <c r="V109" s="59" t="str">
        <f>IFERROR(VLOOKUP(Tabelle32[[#This Row],[Device ID]],BOM!$B$3:$BQ$35,26,FALSE),"")</f>
        <v>tpco-megw-vgw103.rta.st-net.media.int</v>
      </c>
      <c r="W109" s="59" t="str">
        <f>IFERROR(VLOOKUP(Tabelle32[[#This Row],[Device ID]],BOM!$B$3:$BQ$35,27,FALSE),"")</f>
        <v>10.120.236.50</v>
      </c>
      <c r="X109" s="59" t="str">
        <f>IFERROR(VLOOKUP(Tabelle32[[#This Row],[Device ID]],BOM!$B$3:$BQ$35,28,FALSE),"")</f>
        <v>AVCoreA</v>
      </c>
      <c r="Y109" s="59" t="str">
        <f>IFERROR(VLOOKUP(Tabelle32[[#This Row],[Device ID]],BOM!$B$3:$BQ$35,29,FALSE),"")</f>
        <v>5_36_1</v>
      </c>
      <c r="Z109" s="59" t="str">
        <f>IFERROR(VLOOKUP(Tabelle32[[#This Row],[Device ID]],BOM!$B$3:$BQ$35,30,FALSE),"")</f>
        <v>tpco-megw-vgw103.rtb.st-net.media.int</v>
      </c>
      <c r="AA109" s="59" t="str">
        <f>IFERROR(VLOOKUP(Tabelle32[[#This Row],[Device ID]],BOM!$B$3:$BQ$35,31,FALSE),"")</f>
        <v>10.120.236.54</v>
      </c>
      <c r="AB109" s="59" t="str">
        <f>IFERROR(VLOOKUP(Tabelle32[[#This Row],[Device ID]],BOM!$B$3:$BQ$35,32,FALSE),"")</f>
        <v>AVCoreB</v>
      </c>
      <c r="AC109" s="59" t="str">
        <f>IFERROR(VLOOKUP(Tabelle32[[#This Row],[Device ID]],BOM!$B$3:$BQ$35,33,FALSE),"")</f>
        <v>5_36_1</v>
      </c>
      <c r="AD109" s="59" t="str">
        <f>IFERROR(VLOOKUP(Tabelle32[[#This Row],[Device ID]],BOM!$B$3:$BQ$35,34,FALSE),"")</f>
        <v>tpco-megw-vgw103.st-net.media.int</v>
      </c>
      <c r="AE109" s="59" t="str">
        <f>IFERROR(VLOOKUP(Tabelle32[[#This Row],[Device ID]],BOM!$B$3:$BQ$35,35,FALSE),"")</f>
        <v>10.120.67.141</v>
      </c>
      <c r="AF109" s="59">
        <f>IFERROR(VLOOKUP(Tabelle32[[#This Row],[Device ID]],BOM!$B$3:$BQ$35,36,FALSE),"")</f>
        <v>0</v>
      </c>
      <c r="AG109" s="59">
        <f>IFERROR(VLOOKUP(Tabelle32[[#This Row],[Device ID]],BOM!$B$3:$BQ$35,37,FALSE),"")</f>
        <v>0</v>
      </c>
      <c r="AH109" s="59"/>
      <c r="AI109" s="59"/>
      <c r="AJ109" s="59"/>
      <c r="AK109" s="59"/>
      <c r="AL109" s="59" t="str">
        <f>IFERROR(VLOOKUP(Tabelle32[[#This Row],[Device ID]],BOM!$B$3:$BQ$35,42,FALSE),"")</f>
        <v>Imagine Communications SNP</v>
      </c>
      <c r="AM109" s="59" t="str">
        <f>IFERROR(VLOOKUP(Tabelle32[[#This Row],[Device ID]],BOM!$B$3:$BQ$35,43,FALSE),"")</f>
        <v>no</v>
      </c>
      <c r="AN109" s="59" t="str">
        <f>IFERROR(VLOOKUP(Tabelle32[[#This Row],[Device ID]],BOM!$B$3:$BQ$35,44,FALSE),"")</f>
        <v>yes</v>
      </c>
      <c r="AO109" s="59" t="str">
        <f>IFERROR(VLOOKUP(Tabelle32[[#This Row],[Device ID]],BOM!$B$3:$BQ$35,45,FALSE),"")</f>
        <v>no</v>
      </c>
      <c r="AP109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09" s="59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73" t="s">
        <v>199</v>
      </c>
      <c r="BI109" s="30" t="str">
        <f>IF(COUNTA(Tabelle32[[#This Row],[Type:Vid_1080i50]:[Type:Anc_Prot]])&gt;0,"x","")</f>
        <v/>
      </c>
      <c r="BJ10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09" s="59"/>
      <c r="BL109" s="59"/>
      <c r="BM109" s="63"/>
      <c r="BN109" s="63"/>
      <c r="BO109" s="99"/>
      <c r="BP109" s="106"/>
      <c r="BQ109" s="75">
        <f>LEN(Tabelle32[[#This Row],[Label 1
GFX-Unit]])</f>
        <v>0</v>
      </c>
      <c r="BR109" s="63"/>
      <c r="BS109" s="63"/>
      <c r="BT109" s="59"/>
      <c r="BU109" s="59"/>
      <c r="BV109" s="59" t="s">
        <v>205</v>
      </c>
      <c r="BW109" s="59" t="s">
        <v>206</v>
      </c>
      <c r="BX109" s="59" t="s">
        <v>395</v>
      </c>
      <c r="BY109" s="59">
        <v>6</v>
      </c>
    </row>
    <row r="110" spans="1:77" hidden="1" x14ac:dyDescent="0.2">
      <c r="A110" s="58" t="str">
        <f>CONCATENATE(Tabelle32[[#This Row],[Device ID]],".",Tabelle32[[#This Row],[Streamcounter]])</f>
        <v>383.06303</v>
      </c>
      <c r="B11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VGW-103_SDI06_ANCsend_0003</v>
      </c>
      <c r="C110" s="60"/>
      <c r="D110" s="61"/>
      <c r="E110" s="62"/>
      <c r="F110" s="59" t="str">
        <f>IFERROR(VLOOKUP(Tabelle32[[#This Row],[Device ID]],BOM!$B$3:$BQ$35,16,FALSE),"")</f>
        <v>R421 HD2 Backup</v>
      </c>
      <c r="G110" s="63">
        <f>VLOOKUP(Tabelle32[[#This Row],[SDI Interface]],BOM!$A$4:$B$35,2,FALSE)</f>
        <v>383</v>
      </c>
      <c r="H110" s="59" t="str">
        <f>BOM!$C$4</f>
        <v>VGW-103</v>
      </c>
      <c r="I110" s="59" t="str">
        <f>IFERROR(VLOOKUP(Tabelle32[[#This Row],[Device ID]],BOM!$B$3:$BQ$35,12,FALSE),"")</f>
        <v>Videoserver</v>
      </c>
      <c r="J110" s="59" t="str">
        <f>IFERROR(VLOOKUP(Tabelle32[[#This Row],[Device ID]],BOM!$B$3:$BQ$35,13,FALSE),"")</f>
        <v>TC.U1.223 | MDC</v>
      </c>
      <c r="K110" s="59" t="str">
        <f>IFERROR(VLOOKUP(Tabelle32[[#This Row],[Device ID]],BOM!$B$3:$BQ$35,14,FALSE),"")</f>
        <v>Imagine Comunications</v>
      </c>
      <c r="L110" s="59" t="str">
        <f>IFERROR(VLOOKUP(Tabelle32[[#This Row],[Device ID]],BOM!$B$3:$BQ$35,16,FALSE),"")</f>
        <v>R421 HD2 Backup</v>
      </c>
      <c r="M110" s="63" t="str">
        <f>IFERROR(VLOOKUP(Tabelle32[[#This Row],[Device ID]],BOM!$B$3:$BQ$35,17,FALSE),"")</f>
        <v>R421</v>
      </c>
      <c r="N110" s="59" t="str">
        <f>IFERROR(VLOOKUP(Tabelle32[[#This Row],[Device ID]],BOM!$B$3:$BQ$35,18,FALSE),"")</f>
        <v>TC.00.104 | R401</v>
      </c>
      <c r="O110" s="64"/>
      <c r="P110" s="64">
        <f>IFERROR(VLOOKUP(Tabelle32[[#This Row],[Device ID]],BOM!$B$3:$BO$50,20,FALSE),"")</f>
        <v>0</v>
      </c>
      <c r="Q110" s="64">
        <f>IFERROR(VLOOKUP(Tabelle32[[#This Row],[Device ID]],BOM!$B$3:$BO$50,21,FALSE),"")</f>
        <v>1</v>
      </c>
      <c r="R110" s="64">
        <f>IFERROR(VLOOKUP(Tabelle32[[#This Row],[Device ID]],BOM!$B$3:$BO$50,22,FALSE),"")</f>
        <v>0</v>
      </c>
      <c r="S110" s="64"/>
      <c r="T110" s="64"/>
      <c r="U110" s="59" t="str">
        <f>IFERROR(VLOOKUP(Tabelle32[[#This Row],[Device ID]],BOM!$B$3:$BQ$35,25,FALSE),"")</f>
        <v>Luis/Ivo</v>
      </c>
      <c r="V110" s="59" t="str">
        <f>IFERROR(VLOOKUP(Tabelle32[[#This Row],[Device ID]],BOM!$B$3:$BQ$35,26,FALSE),"")</f>
        <v>tpco-megw-vgw103.rta.st-net.media.int</v>
      </c>
      <c r="W110" s="59" t="str">
        <f>IFERROR(VLOOKUP(Tabelle32[[#This Row],[Device ID]],BOM!$B$3:$BQ$35,27,FALSE),"")</f>
        <v>10.120.236.50</v>
      </c>
      <c r="X110" s="59" t="str">
        <f>IFERROR(VLOOKUP(Tabelle32[[#This Row],[Device ID]],BOM!$B$3:$BQ$35,28,FALSE),"")</f>
        <v>AVCoreA</v>
      </c>
      <c r="Y110" s="59" t="str">
        <f>IFERROR(VLOOKUP(Tabelle32[[#This Row],[Device ID]],BOM!$B$3:$BQ$35,29,FALSE),"")</f>
        <v>5_36_1</v>
      </c>
      <c r="Z110" s="59" t="str">
        <f>IFERROR(VLOOKUP(Tabelle32[[#This Row],[Device ID]],BOM!$B$3:$BQ$35,30,FALSE),"")</f>
        <v>tpco-megw-vgw103.rtb.st-net.media.int</v>
      </c>
      <c r="AA110" s="59" t="str">
        <f>IFERROR(VLOOKUP(Tabelle32[[#This Row],[Device ID]],BOM!$B$3:$BQ$35,31,FALSE),"")</f>
        <v>10.120.236.54</v>
      </c>
      <c r="AB110" s="59" t="str">
        <f>IFERROR(VLOOKUP(Tabelle32[[#This Row],[Device ID]],BOM!$B$3:$BQ$35,32,FALSE),"")</f>
        <v>AVCoreB</v>
      </c>
      <c r="AC110" s="59" t="str">
        <f>IFERROR(VLOOKUP(Tabelle32[[#This Row],[Device ID]],BOM!$B$3:$BQ$35,33,FALSE),"")</f>
        <v>5_36_1</v>
      </c>
      <c r="AD110" s="59" t="str">
        <f>IFERROR(VLOOKUP(Tabelle32[[#This Row],[Device ID]],BOM!$B$3:$BQ$35,34,FALSE),"")</f>
        <v>tpco-megw-vgw103.st-net.media.int</v>
      </c>
      <c r="AE110" s="59" t="str">
        <f>IFERROR(VLOOKUP(Tabelle32[[#This Row],[Device ID]],BOM!$B$3:$BQ$35,35,FALSE),"")</f>
        <v>10.120.67.141</v>
      </c>
      <c r="AF110" s="59">
        <f>IFERROR(VLOOKUP(Tabelle32[[#This Row],[Device ID]],BOM!$B$3:$BQ$35,36,FALSE),"")</f>
        <v>0</v>
      </c>
      <c r="AG110" s="59">
        <f>IFERROR(VLOOKUP(Tabelle32[[#This Row],[Device ID]],BOM!$B$3:$BQ$35,37,FALSE),"")</f>
        <v>0</v>
      </c>
      <c r="AH110" s="59"/>
      <c r="AI110" s="59"/>
      <c r="AJ110" s="59"/>
      <c r="AK110" s="59"/>
      <c r="AL110" s="59" t="str">
        <f>IFERROR(VLOOKUP(Tabelle32[[#This Row],[Device ID]],BOM!$B$3:$BQ$35,42,FALSE),"")</f>
        <v>Imagine Communications SNP</v>
      </c>
      <c r="AM110" s="59" t="str">
        <f>IFERROR(VLOOKUP(Tabelle32[[#This Row],[Device ID]],BOM!$B$3:$BQ$35,43,FALSE),"")</f>
        <v>no</v>
      </c>
      <c r="AN110" s="59" t="str">
        <f>IFERROR(VLOOKUP(Tabelle32[[#This Row],[Device ID]],BOM!$B$3:$BQ$35,44,FALSE),"")</f>
        <v>yes</v>
      </c>
      <c r="AO110" s="59" t="str">
        <f>IFERROR(VLOOKUP(Tabelle32[[#This Row],[Device ID]],BOM!$B$3:$BQ$35,45,FALSE),"")</f>
        <v>no</v>
      </c>
      <c r="AP110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10" s="59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73" t="s">
        <v>199</v>
      </c>
      <c r="BI110" s="30" t="str">
        <f>IF(COUNTA(Tabelle32[[#This Row],[Type:Vid_1080i50]:[Type:Anc_Prot]])&gt;0,"x","")</f>
        <v/>
      </c>
      <c r="BJ11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10" s="59"/>
      <c r="BL110" s="59"/>
      <c r="BM110" s="63"/>
      <c r="BN110" s="63"/>
      <c r="BO110" s="99"/>
      <c r="BP110" s="106"/>
      <c r="BQ110" s="75">
        <f>LEN(Tabelle32[[#This Row],[Label 1
GFX-Unit]])</f>
        <v>0</v>
      </c>
      <c r="BR110" s="63"/>
      <c r="BS110" s="63"/>
      <c r="BT110" s="59"/>
      <c r="BU110" s="59"/>
      <c r="BV110" s="59" t="s">
        <v>208</v>
      </c>
      <c r="BW110" s="59" t="s">
        <v>209</v>
      </c>
      <c r="BX110" s="59" t="s">
        <v>396</v>
      </c>
      <c r="BY110" s="59">
        <v>6</v>
      </c>
    </row>
    <row r="111" spans="1:77" hidden="1" x14ac:dyDescent="0.2">
      <c r="A111" s="58" t="str">
        <f>CONCATENATE(Tabelle32[[#This Row],[Device ID]],".",Tabelle32[[#This Row],[Streamcounter]])</f>
        <v>383.06304</v>
      </c>
      <c r="B11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VGW-103_SDI06_ANCsend_0004</v>
      </c>
      <c r="C111" s="60"/>
      <c r="D111" s="61"/>
      <c r="E111" s="62"/>
      <c r="F111" s="59" t="str">
        <f>IFERROR(VLOOKUP(Tabelle32[[#This Row],[Device ID]],BOM!$B$3:$BQ$35,16,FALSE),"")</f>
        <v>R421 HD2 Backup</v>
      </c>
      <c r="G111" s="63">
        <f>VLOOKUP(Tabelle32[[#This Row],[SDI Interface]],BOM!$A$4:$B$35,2,FALSE)</f>
        <v>383</v>
      </c>
      <c r="H111" s="59" t="str">
        <f>BOM!$C$4</f>
        <v>VGW-103</v>
      </c>
      <c r="I111" s="59" t="str">
        <f>IFERROR(VLOOKUP(Tabelle32[[#This Row],[Device ID]],BOM!$B$3:$BQ$35,12,FALSE),"")</f>
        <v>Videoserver</v>
      </c>
      <c r="J111" s="59" t="str">
        <f>IFERROR(VLOOKUP(Tabelle32[[#This Row],[Device ID]],BOM!$B$3:$BQ$35,13,FALSE),"")</f>
        <v>TC.U1.223 | MDC</v>
      </c>
      <c r="K111" s="59" t="str">
        <f>IFERROR(VLOOKUP(Tabelle32[[#This Row],[Device ID]],BOM!$B$3:$BQ$35,14,FALSE),"")</f>
        <v>Imagine Comunications</v>
      </c>
      <c r="L111" s="59" t="str">
        <f>IFERROR(VLOOKUP(Tabelle32[[#This Row],[Device ID]],BOM!$B$3:$BQ$35,16,FALSE),"")</f>
        <v>R421 HD2 Backup</v>
      </c>
      <c r="M111" s="63" t="str">
        <f>IFERROR(VLOOKUP(Tabelle32[[#This Row],[Device ID]],BOM!$B$3:$BQ$35,17,FALSE),"")</f>
        <v>R421</v>
      </c>
      <c r="N111" s="59" t="str">
        <f>IFERROR(VLOOKUP(Tabelle32[[#This Row],[Device ID]],BOM!$B$3:$BQ$35,18,FALSE),"")</f>
        <v>TC.00.104 | R401</v>
      </c>
      <c r="O111" s="64"/>
      <c r="P111" s="64">
        <f>IFERROR(VLOOKUP(Tabelle32[[#This Row],[Device ID]],BOM!$B$3:$BO$50,20,FALSE),"")</f>
        <v>0</v>
      </c>
      <c r="Q111" s="64">
        <f>IFERROR(VLOOKUP(Tabelle32[[#This Row],[Device ID]],BOM!$B$3:$BO$50,21,FALSE),"")</f>
        <v>1</v>
      </c>
      <c r="R111" s="64">
        <f>IFERROR(VLOOKUP(Tabelle32[[#This Row],[Device ID]],BOM!$B$3:$BO$50,22,FALSE),"")</f>
        <v>0</v>
      </c>
      <c r="S111" s="64"/>
      <c r="T111" s="64"/>
      <c r="U111" s="59" t="str">
        <f>IFERROR(VLOOKUP(Tabelle32[[#This Row],[Device ID]],BOM!$B$3:$BQ$35,25,FALSE),"")</f>
        <v>Luis/Ivo</v>
      </c>
      <c r="V111" s="59" t="str">
        <f>IFERROR(VLOOKUP(Tabelle32[[#This Row],[Device ID]],BOM!$B$3:$BQ$35,26,FALSE),"")</f>
        <v>tpco-megw-vgw103.rta.st-net.media.int</v>
      </c>
      <c r="W111" s="59" t="str">
        <f>IFERROR(VLOOKUP(Tabelle32[[#This Row],[Device ID]],BOM!$B$3:$BQ$35,27,FALSE),"")</f>
        <v>10.120.236.50</v>
      </c>
      <c r="X111" s="59" t="str">
        <f>IFERROR(VLOOKUP(Tabelle32[[#This Row],[Device ID]],BOM!$B$3:$BQ$35,28,FALSE),"")</f>
        <v>AVCoreA</v>
      </c>
      <c r="Y111" s="59" t="str">
        <f>IFERROR(VLOOKUP(Tabelle32[[#This Row],[Device ID]],BOM!$B$3:$BQ$35,29,FALSE),"")</f>
        <v>5_36_1</v>
      </c>
      <c r="Z111" s="59" t="str">
        <f>IFERROR(VLOOKUP(Tabelle32[[#This Row],[Device ID]],BOM!$B$3:$BQ$35,30,FALSE),"")</f>
        <v>tpco-megw-vgw103.rtb.st-net.media.int</v>
      </c>
      <c r="AA111" s="59" t="str">
        <f>IFERROR(VLOOKUP(Tabelle32[[#This Row],[Device ID]],BOM!$B$3:$BQ$35,31,FALSE),"")</f>
        <v>10.120.236.54</v>
      </c>
      <c r="AB111" s="59" t="str">
        <f>IFERROR(VLOOKUP(Tabelle32[[#This Row],[Device ID]],BOM!$B$3:$BQ$35,32,FALSE),"")</f>
        <v>AVCoreB</v>
      </c>
      <c r="AC111" s="59" t="str">
        <f>IFERROR(VLOOKUP(Tabelle32[[#This Row],[Device ID]],BOM!$B$3:$BQ$35,33,FALSE),"")</f>
        <v>5_36_1</v>
      </c>
      <c r="AD111" s="59" t="str">
        <f>IFERROR(VLOOKUP(Tabelle32[[#This Row],[Device ID]],BOM!$B$3:$BQ$35,34,FALSE),"")</f>
        <v>tpco-megw-vgw103.st-net.media.int</v>
      </c>
      <c r="AE111" s="59" t="str">
        <f>IFERROR(VLOOKUP(Tabelle32[[#This Row],[Device ID]],BOM!$B$3:$BQ$35,35,FALSE),"")</f>
        <v>10.120.67.141</v>
      </c>
      <c r="AF111" s="59">
        <f>IFERROR(VLOOKUP(Tabelle32[[#This Row],[Device ID]],BOM!$B$3:$BQ$35,36,FALSE),"")</f>
        <v>0</v>
      </c>
      <c r="AG111" s="59">
        <f>IFERROR(VLOOKUP(Tabelle32[[#This Row],[Device ID]],BOM!$B$3:$BQ$35,37,FALSE),"")</f>
        <v>0</v>
      </c>
      <c r="AH111" s="59"/>
      <c r="AI111" s="59"/>
      <c r="AJ111" s="59"/>
      <c r="AK111" s="59"/>
      <c r="AL111" s="59" t="str">
        <f>IFERROR(VLOOKUP(Tabelle32[[#This Row],[Device ID]],BOM!$B$3:$BQ$35,42,FALSE),"")</f>
        <v>Imagine Communications SNP</v>
      </c>
      <c r="AM111" s="59" t="str">
        <f>IFERROR(VLOOKUP(Tabelle32[[#This Row],[Device ID]],BOM!$B$3:$BQ$35,43,FALSE),"")</f>
        <v>no</v>
      </c>
      <c r="AN111" s="59" t="str">
        <f>IFERROR(VLOOKUP(Tabelle32[[#This Row],[Device ID]],BOM!$B$3:$BQ$35,44,FALSE),"")</f>
        <v>yes</v>
      </c>
      <c r="AO111" s="59" t="str">
        <f>IFERROR(VLOOKUP(Tabelle32[[#This Row],[Device ID]],BOM!$B$3:$BQ$35,45,FALSE),"")</f>
        <v>no</v>
      </c>
      <c r="AP111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11" s="59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73" t="s">
        <v>199</v>
      </c>
      <c r="BI111" s="30" t="str">
        <f>IF(COUNTA(Tabelle32[[#This Row],[Type:Vid_1080i50]:[Type:Anc_Prot]])&gt;0,"x","")</f>
        <v/>
      </c>
      <c r="BJ11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11" s="59"/>
      <c r="BL111" s="59"/>
      <c r="BM111" s="63"/>
      <c r="BN111" s="63"/>
      <c r="BO111" s="99"/>
      <c r="BP111" s="106"/>
      <c r="BQ111" s="75">
        <f>LEN(Tabelle32[[#This Row],[Label 1
GFX-Unit]])</f>
        <v>0</v>
      </c>
      <c r="BR111" s="63"/>
      <c r="BS111" s="63"/>
      <c r="BT111" s="59"/>
      <c r="BU111" s="59"/>
      <c r="BV111" s="59" t="s">
        <v>211</v>
      </c>
      <c r="BW111" s="59" t="s">
        <v>212</v>
      </c>
      <c r="BX111" s="59" t="s">
        <v>397</v>
      </c>
      <c r="BY111" s="59">
        <v>6</v>
      </c>
    </row>
    <row r="112" spans="1:77" x14ac:dyDescent="0.2">
      <c r="A112" s="58" t="str">
        <f>CONCATENATE(Tabelle32[[#This Row],[Device ID]],".",Tabelle32[[#This Row],[Streamcounter]])</f>
        <v>383.06201</v>
      </c>
      <c r="B11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VGW-103_SDI06_AUDsend_0001</v>
      </c>
      <c r="C112" s="67"/>
      <c r="D112" s="61"/>
      <c r="E112" s="67"/>
      <c r="F112" s="59" t="str">
        <f>IFERROR(VLOOKUP(Tabelle32[[#This Row],[Device ID]],BOM!$B$3:$BQ$35,16,FALSE),"")</f>
        <v>R421 HD2 Backup</v>
      </c>
      <c r="G112" s="63">
        <f>VLOOKUP(Tabelle32[[#This Row],[SDI Interface]],BOM!$A$4:$B$35,2,FALSE)</f>
        <v>383</v>
      </c>
      <c r="H112" s="59" t="str">
        <f>BOM!$C$4</f>
        <v>VGW-103</v>
      </c>
      <c r="I112" s="59" t="str">
        <f>IFERROR(VLOOKUP(Tabelle32[[#This Row],[Device ID]],BOM!$B$3:$BQ$35,12,FALSE),"")</f>
        <v>Videoserver</v>
      </c>
      <c r="J112" s="59" t="str">
        <f>IFERROR(VLOOKUP(Tabelle32[[#This Row],[Device ID]],BOM!$B$3:$BQ$35,13,FALSE),"")</f>
        <v>TC.U1.223 | MDC</v>
      </c>
      <c r="K112" s="59" t="str">
        <f>IFERROR(VLOOKUP(Tabelle32[[#This Row],[Device ID]],BOM!$B$3:$BQ$35,14,FALSE),"")</f>
        <v>Imagine Comunications</v>
      </c>
      <c r="L112" s="59" t="str">
        <f>IFERROR(VLOOKUP(Tabelle32[[#This Row],[Device ID]],BOM!$B$3:$BQ$35,16,FALSE),"")</f>
        <v>R421 HD2 Backup</v>
      </c>
      <c r="M112" s="63" t="str">
        <f>IFERROR(VLOOKUP(Tabelle32[[#This Row],[Device ID]],BOM!$B$3:$BQ$35,17,FALSE),"")</f>
        <v>R421</v>
      </c>
      <c r="N112" s="59" t="str">
        <f>IFERROR(VLOOKUP(Tabelle32[[#This Row],[Device ID]],BOM!$B$3:$BQ$35,18,FALSE),"")</f>
        <v>TC.00.104 | R401</v>
      </c>
      <c r="O112" s="64"/>
      <c r="P112" s="64">
        <f>IFERROR(VLOOKUP(Tabelle32[[#This Row],[Device ID]],BOM!$B$3:$BO$50,20,FALSE),"")</f>
        <v>0</v>
      </c>
      <c r="Q112" s="64">
        <f>IFERROR(VLOOKUP(Tabelle32[[#This Row],[Device ID]],BOM!$B$3:$BO$50,21,FALSE),"")</f>
        <v>1</v>
      </c>
      <c r="R112" s="64">
        <f>IFERROR(VLOOKUP(Tabelle32[[#This Row],[Device ID]],BOM!$B$3:$BO$50,22,FALSE),"")</f>
        <v>0</v>
      </c>
      <c r="S112" s="64"/>
      <c r="T112" s="64"/>
      <c r="U112" s="59" t="str">
        <f>IFERROR(VLOOKUP(Tabelle32[[#This Row],[Device ID]],BOM!$B$3:$BQ$35,25,FALSE),"")</f>
        <v>Luis/Ivo</v>
      </c>
      <c r="V112" s="59" t="str">
        <f>IFERROR(VLOOKUP(Tabelle32[[#This Row],[Device ID]],BOM!$B$3:$BQ$35,26,FALSE),"")</f>
        <v>tpco-megw-vgw103.rta.st-net.media.int</v>
      </c>
      <c r="W112" s="59" t="str">
        <f>IFERROR(VLOOKUP(Tabelle32[[#This Row],[Device ID]],BOM!$B$3:$BQ$35,27,FALSE),"")</f>
        <v>10.120.236.50</v>
      </c>
      <c r="X112" s="59" t="str">
        <f>IFERROR(VLOOKUP(Tabelle32[[#This Row],[Device ID]],BOM!$B$3:$BQ$35,28,FALSE),"")</f>
        <v>AVCoreA</v>
      </c>
      <c r="Y112" s="59" t="str">
        <f>IFERROR(VLOOKUP(Tabelle32[[#This Row],[Device ID]],BOM!$B$3:$BQ$35,29,FALSE),"")</f>
        <v>5_36_1</v>
      </c>
      <c r="Z112" s="59" t="str">
        <f>IFERROR(VLOOKUP(Tabelle32[[#This Row],[Device ID]],BOM!$B$3:$BQ$35,30,FALSE),"")</f>
        <v>tpco-megw-vgw103.rtb.st-net.media.int</v>
      </c>
      <c r="AA112" s="59" t="str">
        <f>IFERROR(VLOOKUP(Tabelle32[[#This Row],[Device ID]],BOM!$B$3:$BQ$35,31,FALSE),"")</f>
        <v>10.120.236.54</v>
      </c>
      <c r="AB112" s="59" t="str">
        <f>IFERROR(VLOOKUP(Tabelle32[[#This Row],[Device ID]],BOM!$B$3:$BQ$35,32,FALSE),"")</f>
        <v>AVCoreB</v>
      </c>
      <c r="AC112" s="59" t="str">
        <f>IFERROR(VLOOKUP(Tabelle32[[#This Row],[Device ID]],BOM!$B$3:$BQ$35,33,FALSE),"")</f>
        <v>5_36_1</v>
      </c>
      <c r="AD112" s="59" t="str">
        <f>IFERROR(VLOOKUP(Tabelle32[[#This Row],[Device ID]],BOM!$B$3:$BQ$35,34,FALSE),"")</f>
        <v>tpco-megw-vgw103.st-net.media.int</v>
      </c>
      <c r="AE112" s="59" t="str">
        <f>IFERROR(VLOOKUP(Tabelle32[[#This Row],[Device ID]],BOM!$B$3:$BQ$35,35,FALSE),"")</f>
        <v>10.120.67.141</v>
      </c>
      <c r="AF112" s="59">
        <f>IFERROR(VLOOKUP(Tabelle32[[#This Row],[Device ID]],BOM!$B$3:$BQ$35,36,FALSE),"")</f>
        <v>0</v>
      </c>
      <c r="AG112" s="59">
        <f>IFERROR(VLOOKUP(Tabelle32[[#This Row],[Device ID]],BOM!$B$3:$BQ$35,37,FALSE),"")</f>
        <v>0</v>
      </c>
      <c r="AH112" s="59"/>
      <c r="AI112" s="59"/>
      <c r="AJ112" s="59"/>
      <c r="AK112" s="59"/>
      <c r="AL112" s="59" t="str">
        <f>IFERROR(VLOOKUP(Tabelle32[[#This Row],[Device ID]],BOM!$B$3:$BQ$35,42,FALSE),"")</f>
        <v>Imagine Communications SNP</v>
      </c>
      <c r="AM112" s="59" t="str">
        <f>IFERROR(VLOOKUP(Tabelle32[[#This Row],[Device ID]],BOM!$B$3:$BQ$35,43,FALSE),"")</f>
        <v>no</v>
      </c>
      <c r="AN112" s="59" t="str">
        <f>IFERROR(VLOOKUP(Tabelle32[[#This Row],[Device ID]],BOM!$B$3:$BQ$35,44,FALSE),"")</f>
        <v>yes</v>
      </c>
      <c r="AO112" s="59" t="str">
        <f>IFERROR(VLOOKUP(Tabelle32[[#This Row],[Device ID]],BOM!$B$3:$BQ$35,45,FALSE),"")</f>
        <v>no</v>
      </c>
      <c r="AP112" s="59" t="str">
        <f>IFERROR(CONCATENATE(Tabelle32[[#This Row],[Family
GFX-Unit]]," | ",Tabelle32[[#This Row],[Label 1
GFX-Unit]]," | ",Tabelle32[[#This Row],[Attached Device if Gateway]]),"")</f>
        <v>PLAYOUT R421 | HD2 Backup-001 | R421 HD2 Backup</v>
      </c>
      <c r="AQ112" s="59"/>
      <c r="AR112" s="90"/>
      <c r="AS112" s="90"/>
      <c r="AT112" s="90"/>
      <c r="AU112" s="90"/>
      <c r="AV112" s="90"/>
      <c r="AW112" s="90"/>
      <c r="AX112" s="90"/>
      <c r="AY112" s="90"/>
      <c r="AZ112" s="90" t="s">
        <v>97</v>
      </c>
      <c r="BA112" s="90"/>
      <c r="BB112" s="90"/>
      <c r="BC112" s="90"/>
      <c r="BD112" s="90"/>
      <c r="BE112" s="90"/>
      <c r="BF112" s="90"/>
      <c r="BG112" s="90"/>
      <c r="BH112" s="73" t="s">
        <v>199</v>
      </c>
      <c r="BI112" s="30" t="str">
        <f>IF(COUNTA(Tabelle32[[#This Row],[Type:Vid_1080i50]:[Type:Anc_Prot]])&gt;0,"x","")</f>
        <v>x</v>
      </c>
      <c r="BJ11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12" s="59"/>
      <c r="BL112" s="59"/>
      <c r="BM112" s="63"/>
      <c r="BN112" s="63"/>
      <c r="BO112" s="100" t="s">
        <v>372</v>
      </c>
      <c r="BP112" s="94" t="s">
        <v>275</v>
      </c>
      <c r="BQ112" s="75">
        <f>LEN(Tabelle32[[#This Row],[Label 1
GFX-Unit]])</f>
        <v>14</v>
      </c>
      <c r="BR112" s="63"/>
      <c r="BS112" s="63"/>
      <c r="BT112" s="59"/>
      <c r="BU112" s="59"/>
      <c r="BV112" s="59" t="s">
        <v>214</v>
      </c>
      <c r="BW112" s="59" t="s">
        <v>215</v>
      </c>
      <c r="BX112" s="59" t="s">
        <v>398</v>
      </c>
      <c r="BY112" s="59">
        <v>6</v>
      </c>
    </row>
    <row r="113" spans="1:77" x14ac:dyDescent="0.2">
      <c r="A113" s="58" t="str">
        <f>CONCATENATE(Tabelle32[[#This Row],[Device ID]],".",Tabelle32[[#This Row],[Streamcounter]])</f>
        <v>383.06202</v>
      </c>
      <c r="B11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VGW-103_SDI06_AUDsend_0002</v>
      </c>
      <c r="C113" s="67"/>
      <c r="D113" s="61"/>
      <c r="E113" s="67"/>
      <c r="F113" s="59" t="str">
        <f>IFERROR(VLOOKUP(Tabelle32[[#This Row],[Device ID]],BOM!$B$3:$BQ$35,16,FALSE),"")</f>
        <v>R421 HD2 Backup</v>
      </c>
      <c r="G113" s="63">
        <f>VLOOKUP(Tabelle32[[#This Row],[SDI Interface]],BOM!$A$4:$B$35,2,FALSE)</f>
        <v>383</v>
      </c>
      <c r="H113" s="59" t="str">
        <f>BOM!$C$4</f>
        <v>VGW-103</v>
      </c>
      <c r="I113" s="59" t="str">
        <f>IFERROR(VLOOKUP(Tabelle32[[#This Row],[Device ID]],BOM!$B$3:$BQ$35,12,FALSE),"")</f>
        <v>Videoserver</v>
      </c>
      <c r="J113" s="59" t="str">
        <f>IFERROR(VLOOKUP(Tabelle32[[#This Row],[Device ID]],BOM!$B$3:$BQ$35,13,FALSE),"")</f>
        <v>TC.U1.223 | MDC</v>
      </c>
      <c r="K113" s="59" t="str">
        <f>IFERROR(VLOOKUP(Tabelle32[[#This Row],[Device ID]],BOM!$B$3:$BQ$35,14,FALSE),"")</f>
        <v>Imagine Comunications</v>
      </c>
      <c r="L113" s="59" t="str">
        <f>IFERROR(VLOOKUP(Tabelle32[[#This Row],[Device ID]],BOM!$B$3:$BQ$35,16,FALSE),"")</f>
        <v>R421 HD2 Backup</v>
      </c>
      <c r="M113" s="63" t="str">
        <f>IFERROR(VLOOKUP(Tabelle32[[#This Row],[Device ID]],BOM!$B$3:$BQ$35,17,FALSE),"")</f>
        <v>R421</v>
      </c>
      <c r="N113" s="59" t="str">
        <f>IFERROR(VLOOKUP(Tabelle32[[#This Row],[Device ID]],BOM!$B$3:$BQ$35,18,FALSE),"")</f>
        <v>TC.00.104 | R401</v>
      </c>
      <c r="O113" s="64"/>
      <c r="P113" s="64">
        <f>IFERROR(VLOOKUP(Tabelle32[[#This Row],[Device ID]],BOM!$B$3:$BO$50,20,FALSE),"")</f>
        <v>0</v>
      </c>
      <c r="Q113" s="64">
        <f>IFERROR(VLOOKUP(Tabelle32[[#This Row],[Device ID]],BOM!$B$3:$BO$50,21,FALSE),"")</f>
        <v>1</v>
      </c>
      <c r="R113" s="64">
        <f>IFERROR(VLOOKUP(Tabelle32[[#This Row],[Device ID]],BOM!$B$3:$BO$50,22,FALSE),"")</f>
        <v>0</v>
      </c>
      <c r="S113" s="64"/>
      <c r="T113" s="64"/>
      <c r="U113" s="59" t="str">
        <f>IFERROR(VLOOKUP(Tabelle32[[#This Row],[Device ID]],BOM!$B$3:$BQ$35,25,FALSE),"")</f>
        <v>Luis/Ivo</v>
      </c>
      <c r="V113" s="59" t="str">
        <f>IFERROR(VLOOKUP(Tabelle32[[#This Row],[Device ID]],BOM!$B$3:$BQ$35,26,FALSE),"")</f>
        <v>tpco-megw-vgw103.rta.st-net.media.int</v>
      </c>
      <c r="W113" s="59" t="str">
        <f>IFERROR(VLOOKUP(Tabelle32[[#This Row],[Device ID]],BOM!$B$3:$BQ$35,27,FALSE),"")</f>
        <v>10.120.236.50</v>
      </c>
      <c r="X113" s="59" t="str">
        <f>IFERROR(VLOOKUP(Tabelle32[[#This Row],[Device ID]],BOM!$B$3:$BQ$35,28,FALSE),"")</f>
        <v>AVCoreA</v>
      </c>
      <c r="Y113" s="59" t="str">
        <f>IFERROR(VLOOKUP(Tabelle32[[#This Row],[Device ID]],BOM!$B$3:$BQ$35,29,FALSE),"")</f>
        <v>5_36_1</v>
      </c>
      <c r="Z113" s="59" t="str">
        <f>IFERROR(VLOOKUP(Tabelle32[[#This Row],[Device ID]],BOM!$B$3:$BQ$35,30,FALSE),"")</f>
        <v>tpco-megw-vgw103.rtb.st-net.media.int</v>
      </c>
      <c r="AA113" s="59" t="str">
        <f>IFERROR(VLOOKUP(Tabelle32[[#This Row],[Device ID]],BOM!$B$3:$BQ$35,31,FALSE),"")</f>
        <v>10.120.236.54</v>
      </c>
      <c r="AB113" s="59" t="str">
        <f>IFERROR(VLOOKUP(Tabelle32[[#This Row],[Device ID]],BOM!$B$3:$BQ$35,32,FALSE),"")</f>
        <v>AVCoreB</v>
      </c>
      <c r="AC113" s="59" t="str">
        <f>IFERROR(VLOOKUP(Tabelle32[[#This Row],[Device ID]],BOM!$B$3:$BQ$35,33,FALSE),"")</f>
        <v>5_36_1</v>
      </c>
      <c r="AD113" s="59" t="str">
        <f>IFERROR(VLOOKUP(Tabelle32[[#This Row],[Device ID]],BOM!$B$3:$BQ$35,34,FALSE),"")</f>
        <v>tpco-megw-vgw103.st-net.media.int</v>
      </c>
      <c r="AE113" s="59" t="str">
        <f>IFERROR(VLOOKUP(Tabelle32[[#This Row],[Device ID]],BOM!$B$3:$BQ$35,35,FALSE),"")</f>
        <v>10.120.67.141</v>
      </c>
      <c r="AF113" s="59">
        <f>IFERROR(VLOOKUP(Tabelle32[[#This Row],[Device ID]],BOM!$B$3:$BQ$35,36,FALSE),"")</f>
        <v>0</v>
      </c>
      <c r="AG113" s="59">
        <f>IFERROR(VLOOKUP(Tabelle32[[#This Row],[Device ID]],BOM!$B$3:$BQ$35,37,FALSE),"")</f>
        <v>0</v>
      </c>
      <c r="AH113" s="59"/>
      <c r="AI113" s="59"/>
      <c r="AJ113" s="59"/>
      <c r="AK113" s="59"/>
      <c r="AL113" s="59" t="str">
        <f>IFERROR(VLOOKUP(Tabelle32[[#This Row],[Device ID]],BOM!$B$3:$BQ$35,42,FALSE),"")</f>
        <v>Imagine Communications SNP</v>
      </c>
      <c r="AM113" s="59" t="str">
        <f>IFERROR(VLOOKUP(Tabelle32[[#This Row],[Device ID]],BOM!$B$3:$BQ$35,43,FALSE),"")</f>
        <v>no</v>
      </c>
      <c r="AN113" s="59" t="str">
        <f>IFERROR(VLOOKUP(Tabelle32[[#This Row],[Device ID]],BOM!$B$3:$BQ$35,44,FALSE),"")</f>
        <v>yes</v>
      </c>
      <c r="AO113" s="59" t="str">
        <f>IFERROR(VLOOKUP(Tabelle32[[#This Row],[Device ID]],BOM!$B$3:$BQ$35,45,FALSE),"")</f>
        <v>no</v>
      </c>
      <c r="AP113" s="59" t="str">
        <f>IFERROR(CONCATENATE(Tabelle32[[#This Row],[Family
GFX-Unit]]," | ",Tabelle32[[#This Row],[Label 1
GFX-Unit]]," | ",Tabelle32[[#This Row],[Attached Device if Gateway]]),"")</f>
        <v>PLAYOUT R421 | HD2 Backup-002 | R421 HD2 Backup</v>
      </c>
      <c r="AQ113" s="59"/>
      <c r="AR113" s="90"/>
      <c r="AS113" s="90"/>
      <c r="AT113" s="90"/>
      <c r="AU113" s="90"/>
      <c r="AV113" s="90"/>
      <c r="AW113" s="90" t="s">
        <v>97</v>
      </c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73" t="s">
        <v>199</v>
      </c>
      <c r="BI113" s="30" t="str">
        <f>IF(COUNTA(Tabelle32[[#This Row],[Type:Vid_1080i50]:[Type:Anc_Prot]])&gt;0,"x","")</f>
        <v>x</v>
      </c>
      <c r="BJ11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13" s="59"/>
      <c r="BL113" s="59"/>
      <c r="BM113" s="63"/>
      <c r="BN113" s="63"/>
      <c r="BO113" s="100" t="s">
        <v>372</v>
      </c>
      <c r="BP113" s="94" t="s">
        <v>281</v>
      </c>
      <c r="BQ113" s="75">
        <f>LEN(Tabelle32[[#This Row],[Label 1
GFX-Unit]])</f>
        <v>14</v>
      </c>
      <c r="BR113" s="63"/>
      <c r="BS113" s="63"/>
      <c r="BT113" s="59"/>
      <c r="BU113" s="59"/>
      <c r="BV113" s="59" t="s">
        <v>218</v>
      </c>
      <c r="BW113" s="59" t="s">
        <v>219</v>
      </c>
      <c r="BX113" s="59" t="s">
        <v>399</v>
      </c>
      <c r="BY113" s="59">
        <v>6</v>
      </c>
    </row>
    <row r="114" spans="1:77" x14ac:dyDescent="0.2">
      <c r="A114" s="58" t="str">
        <f>CONCATENATE(Tabelle32[[#This Row],[Device ID]],".",Tabelle32[[#This Row],[Streamcounter]])</f>
        <v>383.06203</v>
      </c>
      <c r="B11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VGW-103_SDI06_AUDsend_0003</v>
      </c>
      <c r="C114" s="67"/>
      <c r="D114" s="61"/>
      <c r="E114" s="67"/>
      <c r="F114" s="59" t="str">
        <f>IFERROR(VLOOKUP(Tabelle32[[#This Row],[Device ID]],BOM!$B$3:$BQ$35,16,FALSE),"")</f>
        <v>R421 HD2 Backup</v>
      </c>
      <c r="G114" s="63">
        <f>VLOOKUP(Tabelle32[[#This Row],[SDI Interface]],BOM!$A$4:$B$35,2,FALSE)</f>
        <v>383</v>
      </c>
      <c r="H114" s="59" t="str">
        <f>BOM!$C$4</f>
        <v>VGW-103</v>
      </c>
      <c r="I114" s="59" t="str">
        <f>IFERROR(VLOOKUP(Tabelle32[[#This Row],[Device ID]],BOM!$B$3:$BQ$35,12,FALSE),"")</f>
        <v>Videoserver</v>
      </c>
      <c r="J114" s="59" t="str">
        <f>IFERROR(VLOOKUP(Tabelle32[[#This Row],[Device ID]],BOM!$B$3:$BQ$35,13,FALSE),"")</f>
        <v>TC.U1.223 | MDC</v>
      </c>
      <c r="K114" s="59" t="str">
        <f>IFERROR(VLOOKUP(Tabelle32[[#This Row],[Device ID]],BOM!$B$3:$BQ$35,14,FALSE),"")</f>
        <v>Imagine Comunications</v>
      </c>
      <c r="L114" s="59" t="str">
        <f>IFERROR(VLOOKUP(Tabelle32[[#This Row],[Device ID]],BOM!$B$3:$BQ$35,16,FALSE),"")</f>
        <v>R421 HD2 Backup</v>
      </c>
      <c r="M114" s="63" t="str">
        <f>IFERROR(VLOOKUP(Tabelle32[[#This Row],[Device ID]],BOM!$B$3:$BQ$35,17,FALSE),"")</f>
        <v>R421</v>
      </c>
      <c r="N114" s="59" t="str">
        <f>IFERROR(VLOOKUP(Tabelle32[[#This Row],[Device ID]],BOM!$B$3:$BQ$35,18,FALSE),"")</f>
        <v>TC.00.104 | R401</v>
      </c>
      <c r="O114" s="64"/>
      <c r="P114" s="64">
        <f>IFERROR(VLOOKUP(Tabelle32[[#This Row],[Device ID]],BOM!$B$3:$BO$50,20,FALSE),"")</f>
        <v>0</v>
      </c>
      <c r="Q114" s="64">
        <f>IFERROR(VLOOKUP(Tabelle32[[#This Row],[Device ID]],BOM!$B$3:$BO$50,21,FALSE),"")</f>
        <v>1</v>
      </c>
      <c r="R114" s="64">
        <f>IFERROR(VLOOKUP(Tabelle32[[#This Row],[Device ID]],BOM!$B$3:$BO$50,22,FALSE),"")</f>
        <v>0</v>
      </c>
      <c r="S114" s="64"/>
      <c r="T114" s="64"/>
      <c r="U114" s="59" t="str">
        <f>IFERROR(VLOOKUP(Tabelle32[[#This Row],[Device ID]],BOM!$B$3:$BQ$35,25,FALSE),"")</f>
        <v>Luis/Ivo</v>
      </c>
      <c r="V114" s="59" t="str">
        <f>IFERROR(VLOOKUP(Tabelle32[[#This Row],[Device ID]],BOM!$B$3:$BQ$35,26,FALSE),"")</f>
        <v>tpco-megw-vgw103.rta.st-net.media.int</v>
      </c>
      <c r="W114" s="59" t="str">
        <f>IFERROR(VLOOKUP(Tabelle32[[#This Row],[Device ID]],BOM!$B$3:$BQ$35,27,FALSE),"")</f>
        <v>10.120.236.50</v>
      </c>
      <c r="X114" s="59" t="str">
        <f>IFERROR(VLOOKUP(Tabelle32[[#This Row],[Device ID]],BOM!$B$3:$BQ$35,28,FALSE),"")</f>
        <v>AVCoreA</v>
      </c>
      <c r="Y114" s="59" t="str">
        <f>IFERROR(VLOOKUP(Tabelle32[[#This Row],[Device ID]],BOM!$B$3:$BQ$35,29,FALSE),"")</f>
        <v>5_36_1</v>
      </c>
      <c r="Z114" s="59" t="str">
        <f>IFERROR(VLOOKUP(Tabelle32[[#This Row],[Device ID]],BOM!$B$3:$BQ$35,30,FALSE),"")</f>
        <v>tpco-megw-vgw103.rtb.st-net.media.int</v>
      </c>
      <c r="AA114" s="59" t="str">
        <f>IFERROR(VLOOKUP(Tabelle32[[#This Row],[Device ID]],BOM!$B$3:$BQ$35,31,FALSE),"")</f>
        <v>10.120.236.54</v>
      </c>
      <c r="AB114" s="59" t="str">
        <f>IFERROR(VLOOKUP(Tabelle32[[#This Row],[Device ID]],BOM!$B$3:$BQ$35,32,FALSE),"")</f>
        <v>AVCoreB</v>
      </c>
      <c r="AC114" s="59" t="str">
        <f>IFERROR(VLOOKUP(Tabelle32[[#This Row],[Device ID]],BOM!$B$3:$BQ$35,33,FALSE),"")</f>
        <v>5_36_1</v>
      </c>
      <c r="AD114" s="59" t="str">
        <f>IFERROR(VLOOKUP(Tabelle32[[#This Row],[Device ID]],BOM!$B$3:$BQ$35,34,FALSE),"")</f>
        <v>tpco-megw-vgw103.st-net.media.int</v>
      </c>
      <c r="AE114" s="59" t="str">
        <f>IFERROR(VLOOKUP(Tabelle32[[#This Row],[Device ID]],BOM!$B$3:$BQ$35,35,FALSE),"")</f>
        <v>10.120.67.141</v>
      </c>
      <c r="AF114" s="59">
        <f>IFERROR(VLOOKUP(Tabelle32[[#This Row],[Device ID]],BOM!$B$3:$BQ$35,36,FALSE),"")</f>
        <v>0</v>
      </c>
      <c r="AG114" s="59">
        <f>IFERROR(VLOOKUP(Tabelle32[[#This Row],[Device ID]],BOM!$B$3:$BQ$35,37,FALSE),"")</f>
        <v>0</v>
      </c>
      <c r="AH114" s="59"/>
      <c r="AI114" s="59"/>
      <c r="AJ114" s="59"/>
      <c r="AK114" s="59"/>
      <c r="AL114" s="59" t="str">
        <f>IFERROR(VLOOKUP(Tabelle32[[#This Row],[Device ID]],BOM!$B$3:$BQ$35,42,FALSE),"")</f>
        <v>Imagine Communications SNP</v>
      </c>
      <c r="AM114" s="59" t="str">
        <f>IFERROR(VLOOKUP(Tabelle32[[#This Row],[Device ID]],BOM!$B$3:$BQ$35,43,FALSE),"")</f>
        <v>no</v>
      </c>
      <c r="AN114" s="59" t="str">
        <f>IFERROR(VLOOKUP(Tabelle32[[#This Row],[Device ID]],BOM!$B$3:$BQ$35,44,FALSE),"")</f>
        <v>yes</v>
      </c>
      <c r="AO114" s="59" t="str">
        <f>IFERROR(VLOOKUP(Tabelle32[[#This Row],[Device ID]],BOM!$B$3:$BQ$35,45,FALSE),"")</f>
        <v>no</v>
      </c>
      <c r="AP114" s="59" t="str">
        <f>IFERROR(CONCATENATE(Tabelle32[[#This Row],[Family
GFX-Unit]]," | ",Tabelle32[[#This Row],[Label 1
GFX-Unit]]," | ",Tabelle32[[#This Row],[Attached Device if Gateway]]),"")</f>
        <v>PLAYOUT R421 | HD2 Backup-003 | R421 HD2 Backup</v>
      </c>
      <c r="AQ114" s="59"/>
      <c r="AR114" s="90"/>
      <c r="AS114" s="90"/>
      <c r="AT114" s="90"/>
      <c r="AU114" s="90"/>
      <c r="AV114" s="90"/>
      <c r="AW114" s="90" t="s">
        <v>97</v>
      </c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73" t="s">
        <v>199</v>
      </c>
      <c r="BI114" s="30" t="str">
        <f>IF(COUNTA(Tabelle32[[#This Row],[Type:Vid_1080i50]:[Type:Anc_Prot]])&gt;0,"x","")</f>
        <v>x</v>
      </c>
      <c r="BJ11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14" s="59"/>
      <c r="BL114" s="59"/>
      <c r="BM114" s="63"/>
      <c r="BN114" s="63"/>
      <c r="BO114" s="100" t="s">
        <v>372</v>
      </c>
      <c r="BP114" s="94" t="s">
        <v>283</v>
      </c>
      <c r="BQ114" s="75">
        <f>LEN(Tabelle32[[#This Row],[Label 1
GFX-Unit]])</f>
        <v>14</v>
      </c>
      <c r="BR114" s="63"/>
      <c r="BS114" s="63"/>
      <c r="BT114" s="59"/>
      <c r="BU114" s="59"/>
      <c r="BV114" s="59" t="s">
        <v>222</v>
      </c>
      <c r="BW114" s="59" t="s">
        <v>223</v>
      </c>
      <c r="BX114" s="59" t="s">
        <v>400</v>
      </c>
      <c r="BY114" s="59">
        <v>6</v>
      </c>
    </row>
    <row r="115" spans="1:77" x14ac:dyDescent="0.2">
      <c r="A115" s="58" t="str">
        <f>CONCATENATE(Tabelle32[[#This Row],[Device ID]],".",Tabelle32[[#This Row],[Streamcounter]])</f>
        <v>383.06204</v>
      </c>
      <c r="B11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VGW-103_SDI06_AUDsend_0004</v>
      </c>
      <c r="C115" s="60"/>
      <c r="D115" s="61"/>
      <c r="E115" s="62"/>
      <c r="F115" s="59" t="str">
        <f>IFERROR(VLOOKUP(Tabelle32[[#This Row],[Device ID]],BOM!$B$3:$BQ$35,16,FALSE),"")</f>
        <v>R421 HD2 Backup</v>
      </c>
      <c r="G115" s="63">
        <f>VLOOKUP(Tabelle32[[#This Row],[SDI Interface]],BOM!$A$4:$B$35,2,FALSE)</f>
        <v>383</v>
      </c>
      <c r="H115" s="59" t="str">
        <f>BOM!$C$4</f>
        <v>VGW-103</v>
      </c>
      <c r="I115" s="59" t="str">
        <f>IFERROR(VLOOKUP(Tabelle32[[#This Row],[Device ID]],BOM!$B$3:$BQ$35,12,FALSE),"")</f>
        <v>Videoserver</v>
      </c>
      <c r="J115" s="59" t="str">
        <f>IFERROR(VLOOKUP(Tabelle32[[#This Row],[Device ID]],BOM!$B$3:$BQ$35,13,FALSE),"")</f>
        <v>TC.U1.223 | MDC</v>
      </c>
      <c r="K115" s="59" t="str">
        <f>IFERROR(VLOOKUP(Tabelle32[[#This Row],[Device ID]],BOM!$B$3:$BQ$35,14,FALSE),"")</f>
        <v>Imagine Comunications</v>
      </c>
      <c r="L115" s="59" t="str">
        <f>IFERROR(VLOOKUP(Tabelle32[[#This Row],[Device ID]],BOM!$B$3:$BQ$35,16,FALSE),"")</f>
        <v>R421 HD2 Backup</v>
      </c>
      <c r="M115" s="63" t="str">
        <f>IFERROR(VLOOKUP(Tabelle32[[#This Row],[Device ID]],BOM!$B$3:$BQ$35,17,FALSE),"")</f>
        <v>R421</v>
      </c>
      <c r="N115" s="59" t="str">
        <f>IFERROR(VLOOKUP(Tabelle32[[#This Row],[Device ID]],BOM!$B$3:$BQ$35,18,FALSE),"")</f>
        <v>TC.00.104 | R401</v>
      </c>
      <c r="O115" s="64"/>
      <c r="P115" s="64">
        <f>IFERROR(VLOOKUP(Tabelle32[[#This Row],[Device ID]],BOM!$B$3:$BO$50,20,FALSE),"")</f>
        <v>0</v>
      </c>
      <c r="Q115" s="64">
        <f>IFERROR(VLOOKUP(Tabelle32[[#This Row],[Device ID]],BOM!$B$3:$BO$50,21,FALSE),"")</f>
        <v>1</v>
      </c>
      <c r="R115" s="64">
        <f>IFERROR(VLOOKUP(Tabelle32[[#This Row],[Device ID]],BOM!$B$3:$BO$50,22,FALSE),"")</f>
        <v>0</v>
      </c>
      <c r="S115" s="64"/>
      <c r="T115" s="64"/>
      <c r="U115" s="59" t="str">
        <f>IFERROR(VLOOKUP(Tabelle32[[#This Row],[Device ID]],BOM!$B$3:$BQ$35,25,FALSE),"")</f>
        <v>Luis/Ivo</v>
      </c>
      <c r="V115" s="59" t="str">
        <f>IFERROR(VLOOKUP(Tabelle32[[#This Row],[Device ID]],BOM!$B$3:$BQ$35,26,FALSE),"")</f>
        <v>tpco-megw-vgw103.rta.st-net.media.int</v>
      </c>
      <c r="W115" s="59" t="str">
        <f>IFERROR(VLOOKUP(Tabelle32[[#This Row],[Device ID]],BOM!$B$3:$BQ$35,27,FALSE),"")</f>
        <v>10.120.236.50</v>
      </c>
      <c r="X115" s="59" t="str">
        <f>IFERROR(VLOOKUP(Tabelle32[[#This Row],[Device ID]],BOM!$B$3:$BQ$35,28,FALSE),"")</f>
        <v>AVCoreA</v>
      </c>
      <c r="Y115" s="59" t="str">
        <f>IFERROR(VLOOKUP(Tabelle32[[#This Row],[Device ID]],BOM!$B$3:$BQ$35,29,FALSE),"")</f>
        <v>5_36_1</v>
      </c>
      <c r="Z115" s="59" t="str">
        <f>IFERROR(VLOOKUP(Tabelle32[[#This Row],[Device ID]],BOM!$B$3:$BQ$35,30,FALSE),"")</f>
        <v>tpco-megw-vgw103.rtb.st-net.media.int</v>
      </c>
      <c r="AA115" s="59" t="str">
        <f>IFERROR(VLOOKUP(Tabelle32[[#This Row],[Device ID]],BOM!$B$3:$BQ$35,31,FALSE),"")</f>
        <v>10.120.236.54</v>
      </c>
      <c r="AB115" s="59" t="str">
        <f>IFERROR(VLOOKUP(Tabelle32[[#This Row],[Device ID]],BOM!$B$3:$BQ$35,32,FALSE),"")</f>
        <v>AVCoreB</v>
      </c>
      <c r="AC115" s="59" t="str">
        <f>IFERROR(VLOOKUP(Tabelle32[[#This Row],[Device ID]],BOM!$B$3:$BQ$35,33,FALSE),"")</f>
        <v>5_36_1</v>
      </c>
      <c r="AD115" s="59" t="str">
        <f>IFERROR(VLOOKUP(Tabelle32[[#This Row],[Device ID]],BOM!$B$3:$BQ$35,34,FALSE),"")</f>
        <v>tpco-megw-vgw103.st-net.media.int</v>
      </c>
      <c r="AE115" s="59" t="str">
        <f>IFERROR(VLOOKUP(Tabelle32[[#This Row],[Device ID]],BOM!$B$3:$BQ$35,35,FALSE),"")</f>
        <v>10.120.67.141</v>
      </c>
      <c r="AF115" s="59">
        <f>IFERROR(VLOOKUP(Tabelle32[[#This Row],[Device ID]],BOM!$B$3:$BQ$35,36,FALSE),"")</f>
        <v>0</v>
      </c>
      <c r="AG115" s="59">
        <f>IFERROR(VLOOKUP(Tabelle32[[#This Row],[Device ID]],BOM!$B$3:$BQ$35,37,FALSE),"")</f>
        <v>0</v>
      </c>
      <c r="AH115" s="59"/>
      <c r="AI115" s="59"/>
      <c r="AJ115" s="59"/>
      <c r="AK115" s="59"/>
      <c r="AL115" s="59" t="str">
        <f>IFERROR(VLOOKUP(Tabelle32[[#This Row],[Device ID]],BOM!$B$3:$BQ$35,42,FALSE),"")</f>
        <v>Imagine Communications SNP</v>
      </c>
      <c r="AM115" s="59" t="str">
        <f>IFERROR(VLOOKUP(Tabelle32[[#This Row],[Device ID]],BOM!$B$3:$BQ$35,43,FALSE),"")</f>
        <v>no</v>
      </c>
      <c r="AN115" s="59" t="str">
        <f>IFERROR(VLOOKUP(Tabelle32[[#This Row],[Device ID]],BOM!$B$3:$BQ$35,44,FALSE),"")</f>
        <v>yes</v>
      </c>
      <c r="AO115" s="59" t="str">
        <f>IFERROR(VLOOKUP(Tabelle32[[#This Row],[Device ID]],BOM!$B$3:$BQ$35,45,FALSE),"")</f>
        <v>no</v>
      </c>
      <c r="AP115" s="59" t="str">
        <f>IFERROR(CONCATENATE(Tabelle32[[#This Row],[Family
GFX-Unit]]," | ",Tabelle32[[#This Row],[Label 1
GFX-Unit]]," | ",Tabelle32[[#This Row],[Attached Device if Gateway]]),"")</f>
        <v>PLAYOUT R421 | HD2 Backup-004 | R421 HD2 Backup</v>
      </c>
      <c r="AQ115" s="59"/>
      <c r="AR115" s="90"/>
      <c r="AS115" s="90"/>
      <c r="AT115" s="90"/>
      <c r="AU115" s="90"/>
      <c r="AV115" s="90"/>
      <c r="AW115" s="90"/>
      <c r="AX115" s="90"/>
      <c r="AY115" s="90"/>
      <c r="AZ115" s="90" t="s">
        <v>97</v>
      </c>
      <c r="BA115" s="90"/>
      <c r="BB115" s="90"/>
      <c r="BC115" s="90"/>
      <c r="BD115" s="90"/>
      <c r="BE115" s="90"/>
      <c r="BF115" s="90"/>
      <c r="BG115" s="90"/>
      <c r="BH115" s="73" t="s">
        <v>199</v>
      </c>
      <c r="BI115" s="30" t="str">
        <f>IF(COUNTA(Tabelle32[[#This Row],[Type:Vid_1080i50]:[Type:Anc_Prot]])&gt;0,"x","")</f>
        <v>x</v>
      </c>
      <c r="BJ11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15" s="59"/>
      <c r="BL115" s="59"/>
      <c r="BM115" s="63"/>
      <c r="BN115" s="63"/>
      <c r="BO115" s="100" t="s">
        <v>372</v>
      </c>
      <c r="BP115" s="94" t="s">
        <v>285</v>
      </c>
      <c r="BQ115" s="75">
        <f>LEN(Tabelle32[[#This Row],[Label 1
GFX-Unit]])</f>
        <v>14</v>
      </c>
      <c r="BR115" s="63"/>
      <c r="BS115" s="63"/>
      <c r="BT115" s="59"/>
      <c r="BU115" s="59"/>
      <c r="BV115" s="59" t="s">
        <v>226</v>
      </c>
      <c r="BW115" s="59" t="s">
        <v>227</v>
      </c>
      <c r="BX115" s="59" t="s">
        <v>401</v>
      </c>
      <c r="BY115" s="59">
        <v>6</v>
      </c>
    </row>
    <row r="116" spans="1:77" x14ac:dyDescent="0.2">
      <c r="A116" s="58" t="str">
        <f>CONCATENATE(Tabelle32[[#This Row],[Device ID]],".",Tabelle32[[#This Row],[Streamcounter]])</f>
        <v>383.06205</v>
      </c>
      <c r="B11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VGW-103_SDI06_AUDsend_0005</v>
      </c>
      <c r="C116" s="60"/>
      <c r="D116" s="61"/>
      <c r="E116" s="62"/>
      <c r="F116" s="59" t="str">
        <f>IFERROR(VLOOKUP(Tabelle32[[#This Row],[Device ID]],BOM!$B$3:$BQ$35,16,FALSE),"")</f>
        <v>R421 HD2 Backup</v>
      </c>
      <c r="G116" s="63">
        <f>VLOOKUP(Tabelle32[[#This Row],[SDI Interface]],BOM!$A$4:$B$35,2,FALSE)</f>
        <v>383</v>
      </c>
      <c r="H116" s="59" t="str">
        <f>BOM!$C$4</f>
        <v>VGW-103</v>
      </c>
      <c r="I116" s="59" t="str">
        <f>IFERROR(VLOOKUP(Tabelle32[[#This Row],[Device ID]],BOM!$B$3:$BQ$35,12,FALSE),"")</f>
        <v>Videoserver</v>
      </c>
      <c r="J116" s="59" t="str">
        <f>IFERROR(VLOOKUP(Tabelle32[[#This Row],[Device ID]],BOM!$B$3:$BQ$35,13,FALSE),"")</f>
        <v>TC.U1.223 | MDC</v>
      </c>
      <c r="K116" s="59" t="str">
        <f>IFERROR(VLOOKUP(Tabelle32[[#This Row],[Device ID]],BOM!$B$3:$BQ$35,14,FALSE),"")</f>
        <v>Imagine Comunications</v>
      </c>
      <c r="L116" s="59" t="str">
        <f>IFERROR(VLOOKUP(Tabelle32[[#This Row],[Device ID]],BOM!$B$3:$BQ$35,16,FALSE),"")</f>
        <v>R421 HD2 Backup</v>
      </c>
      <c r="M116" s="63" t="str">
        <f>IFERROR(VLOOKUP(Tabelle32[[#This Row],[Device ID]],BOM!$B$3:$BQ$35,17,FALSE),"")</f>
        <v>R421</v>
      </c>
      <c r="N116" s="59" t="str">
        <f>IFERROR(VLOOKUP(Tabelle32[[#This Row],[Device ID]],BOM!$B$3:$BQ$35,18,FALSE),"")</f>
        <v>TC.00.104 | R401</v>
      </c>
      <c r="O116" s="64"/>
      <c r="P116" s="64">
        <f>IFERROR(VLOOKUP(Tabelle32[[#This Row],[Device ID]],BOM!$B$3:$BO$50,20,FALSE),"")</f>
        <v>0</v>
      </c>
      <c r="Q116" s="64">
        <f>IFERROR(VLOOKUP(Tabelle32[[#This Row],[Device ID]],BOM!$B$3:$BO$50,21,FALSE),"")</f>
        <v>1</v>
      </c>
      <c r="R116" s="64">
        <f>IFERROR(VLOOKUP(Tabelle32[[#This Row],[Device ID]],BOM!$B$3:$BO$50,22,FALSE),"")</f>
        <v>0</v>
      </c>
      <c r="S116" s="64"/>
      <c r="T116" s="64"/>
      <c r="U116" s="59" t="str">
        <f>IFERROR(VLOOKUP(Tabelle32[[#This Row],[Device ID]],BOM!$B$3:$BQ$35,25,FALSE),"")</f>
        <v>Luis/Ivo</v>
      </c>
      <c r="V116" s="59" t="str">
        <f>IFERROR(VLOOKUP(Tabelle32[[#This Row],[Device ID]],BOM!$B$3:$BQ$35,26,FALSE),"")</f>
        <v>tpco-megw-vgw103.rta.st-net.media.int</v>
      </c>
      <c r="W116" s="59" t="str">
        <f>IFERROR(VLOOKUP(Tabelle32[[#This Row],[Device ID]],BOM!$B$3:$BQ$35,27,FALSE),"")</f>
        <v>10.120.236.50</v>
      </c>
      <c r="X116" s="59" t="str">
        <f>IFERROR(VLOOKUP(Tabelle32[[#This Row],[Device ID]],BOM!$B$3:$BQ$35,28,FALSE),"")</f>
        <v>AVCoreA</v>
      </c>
      <c r="Y116" s="59" t="str">
        <f>IFERROR(VLOOKUP(Tabelle32[[#This Row],[Device ID]],BOM!$B$3:$BQ$35,29,FALSE),"")</f>
        <v>5_36_1</v>
      </c>
      <c r="Z116" s="59" t="str">
        <f>IFERROR(VLOOKUP(Tabelle32[[#This Row],[Device ID]],BOM!$B$3:$BQ$35,30,FALSE),"")</f>
        <v>tpco-megw-vgw103.rtb.st-net.media.int</v>
      </c>
      <c r="AA116" s="59" t="str">
        <f>IFERROR(VLOOKUP(Tabelle32[[#This Row],[Device ID]],BOM!$B$3:$BQ$35,31,FALSE),"")</f>
        <v>10.120.236.54</v>
      </c>
      <c r="AB116" s="59" t="str">
        <f>IFERROR(VLOOKUP(Tabelle32[[#This Row],[Device ID]],BOM!$B$3:$BQ$35,32,FALSE),"")</f>
        <v>AVCoreB</v>
      </c>
      <c r="AC116" s="59" t="str">
        <f>IFERROR(VLOOKUP(Tabelle32[[#This Row],[Device ID]],BOM!$B$3:$BQ$35,33,FALSE),"")</f>
        <v>5_36_1</v>
      </c>
      <c r="AD116" s="59" t="str">
        <f>IFERROR(VLOOKUP(Tabelle32[[#This Row],[Device ID]],BOM!$B$3:$BQ$35,34,FALSE),"")</f>
        <v>tpco-megw-vgw103.st-net.media.int</v>
      </c>
      <c r="AE116" s="59" t="str">
        <f>IFERROR(VLOOKUP(Tabelle32[[#This Row],[Device ID]],BOM!$B$3:$BQ$35,35,FALSE),"")</f>
        <v>10.120.67.141</v>
      </c>
      <c r="AF116" s="59">
        <f>IFERROR(VLOOKUP(Tabelle32[[#This Row],[Device ID]],BOM!$B$3:$BQ$35,36,FALSE),"")</f>
        <v>0</v>
      </c>
      <c r="AG116" s="59">
        <f>IFERROR(VLOOKUP(Tabelle32[[#This Row],[Device ID]],BOM!$B$3:$BQ$35,37,FALSE),"")</f>
        <v>0</v>
      </c>
      <c r="AH116" s="59"/>
      <c r="AI116" s="59"/>
      <c r="AJ116" s="59"/>
      <c r="AK116" s="59"/>
      <c r="AL116" s="59" t="str">
        <f>IFERROR(VLOOKUP(Tabelle32[[#This Row],[Device ID]],BOM!$B$3:$BQ$35,42,FALSE),"")</f>
        <v>Imagine Communications SNP</v>
      </c>
      <c r="AM116" s="59" t="str">
        <f>IFERROR(VLOOKUP(Tabelle32[[#This Row],[Device ID]],BOM!$B$3:$BQ$35,43,FALSE),"")</f>
        <v>no</v>
      </c>
      <c r="AN116" s="59" t="str">
        <f>IFERROR(VLOOKUP(Tabelle32[[#This Row],[Device ID]],BOM!$B$3:$BQ$35,44,FALSE),"")</f>
        <v>yes</v>
      </c>
      <c r="AO116" s="59" t="str">
        <f>IFERROR(VLOOKUP(Tabelle32[[#This Row],[Device ID]],BOM!$B$3:$BQ$35,45,FALSE),"")</f>
        <v>no</v>
      </c>
      <c r="AP116" s="59" t="str">
        <f>IFERROR(CONCATENATE(Tabelle32[[#This Row],[Family
GFX-Unit]]," | ",Tabelle32[[#This Row],[Label 1
GFX-Unit]]," | ",Tabelle32[[#This Row],[Attached Device if Gateway]]),"")</f>
        <v>PLAYOUT R421 | HD2 Backup-005 | R421 HD2 Backup</v>
      </c>
      <c r="AQ116" s="59"/>
      <c r="AR116" s="90"/>
      <c r="AS116" s="90"/>
      <c r="AT116" s="90"/>
      <c r="AU116" s="90"/>
      <c r="AV116" s="90"/>
      <c r="AW116" s="90" t="s">
        <v>97</v>
      </c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73" t="s">
        <v>199</v>
      </c>
      <c r="BI116" s="30" t="str">
        <f>IF(COUNTA(Tabelle32[[#This Row],[Type:Vid_1080i50]:[Type:Anc_Prot]])&gt;0,"x","")</f>
        <v>x</v>
      </c>
      <c r="BJ11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16" s="59"/>
      <c r="BL116" s="59"/>
      <c r="BM116" s="63"/>
      <c r="BN116" s="63"/>
      <c r="BO116" s="100" t="s">
        <v>372</v>
      </c>
      <c r="BP116" s="94" t="s">
        <v>287</v>
      </c>
      <c r="BQ116" s="75">
        <f>LEN(Tabelle32[[#This Row],[Label 1
GFX-Unit]])</f>
        <v>14</v>
      </c>
      <c r="BR116" s="63"/>
      <c r="BS116" s="63"/>
      <c r="BT116" s="59"/>
      <c r="BU116" s="59"/>
      <c r="BV116" s="59" t="s">
        <v>230</v>
      </c>
      <c r="BW116" s="59" t="s">
        <v>231</v>
      </c>
      <c r="BX116" s="59" t="s">
        <v>402</v>
      </c>
      <c r="BY116" s="59">
        <v>6</v>
      </c>
    </row>
    <row r="117" spans="1:77" x14ac:dyDescent="0.2">
      <c r="A117" s="58" t="str">
        <f>CONCATENATE(Tabelle32[[#This Row],[Device ID]],".",Tabelle32[[#This Row],[Streamcounter]])</f>
        <v>383.06206</v>
      </c>
      <c r="B11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VGW-103_SDI06_AUDsend_0006</v>
      </c>
      <c r="C117" s="60"/>
      <c r="D117" s="61"/>
      <c r="E117" s="62"/>
      <c r="F117" s="59" t="str">
        <f>IFERROR(VLOOKUP(Tabelle32[[#This Row],[Device ID]],BOM!$B$3:$BQ$35,16,FALSE),"")</f>
        <v>R421 HD2 Backup</v>
      </c>
      <c r="G117" s="63">
        <f>VLOOKUP(Tabelle32[[#This Row],[SDI Interface]],BOM!$A$4:$B$35,2,FALSE)</f>
        <v>383</v>
      </c>
      <c r="H117" s="59" t="str">
        <f>BOM!$C$4</f>
        <v>VGW-103</v>
      </c>
      <c r="I117" s="59" t="str">
        <f>IFERROR(VLOOKUP(Tabelle32[[#This Row],[Device ID]],BOM!$B$3:$BQ$35,12,FALSE),"")</f>
        <v>Videoserver</v>
      </c>
      <c r="J117" s="59" t="str">
        <f>IFERROR(VLOOKUP(Tabelle32[[#This Row],[Device ID]],BOM!$B$3:$BQ$35,13,FALSE),"")</f>
        <v>TC.U1.223 | MDC</v>
      </c>
      <c r="K117" s="59" t="str">
        <f>IFERROR(VLOOKUP(Tabelle32[[#This Row],[Device ID]],BOM!$B$3:$BQ$35,14,FALSE),"")</f>
        <v>Imagine Comunications</v>
      </c>
      <c r="L117" s="59" t="str">
        <f>IFERROR(VLOOKUP(Tabelle32[[#This Row],[Device ID]],BOM!$B$3:$BQ$35,16,FALSE),"")</f>
        <v>R421 HD2 Backup</v>
      </c>
      <c r="M117" s="63" t="str">
        <f>IFERROR(VLOOKUP(Tabelle32[[#This Row],[Device ID]],BOM!$B$3:$BQ$35,17,FALSE),"")</f>
        <v>R421</v>
      </c>
      <c r="N117" s="59" t="str">
        <f>IFERROR(VLOOKUP(Tabelle32[[#This Row],[Device ID]],BOM!$B$3:$BQ$35,18,FALSE),"")</f>
        <v>TC.00.104 | R401</v>
      </c>
      <c r="O117" s="64"/>
      <c r="P117" s="64">
        <f>IFERROR(VLOOKUP(Tabelle32[[#This Row],[Device ID]],BOM!$B$3:$BO$50,20,FALSE),"")</f>
        <v>0</v>
      </c>
      <c r="Q117" s="64">
        <f>IFERROR(VLOOKUP(Tabelle32[[#This Row],[Device ID]],BOM!$B$3:$BO$50,21,FALSE),"")</f>
        <v>1</v>
      </c>
      <c r="R117" s="64">
        <f>IFERROR(VLOOKUP(Tabelle32[[#This Row],[Device ID]],BOM!$B$3:$BO$50,22,FALSE),"")</f>
        <v>0</v>
      </c>
      <c r="S117" s="64"/>
      <c r="T117" s="64"/>
      <c r="U117" s="59" t="str">
        <f>IFERROR(VLOOKUP(Tabelle32[[#This Row],[Device ID]],BOM!$B$3:$BQ$35,25,FALSE),"")</f>
        <v>Luis/Ivo</v>
      </c>
      <c r="V117" s="59" t="str">
        <f>IFERROR(VLOOKUP(Tabelle32[[#This Row],[Device ID]],BOM!$B$3:$BQ$35,26,FALSE),"")</f>
        <v>tpco-megw-vgw103.rta.st-net.media.int</v>
      </c>
      <c r="W117" s="59" t="str">
        <f>IFERROR(VLOOKUP(Tabelle32[[#This Row],[Device ID]],BOM!$B$3:$BQ$35,27,FALSE),"")</f>
        <v>10.120.236.50</v>
      </c>
      <c r="X117" s="59" t="str">
        <f>IFERROR(VLOOKUP(Tabelle32[[#This Row],[Device ID]],BOM!$B$3:$BQ$35,28,FALSE),"")</f>
        <v>AVCoreA</v>
      </c>
      <c r="Y117" s="59" t="str">
        <f>IFERROR(VLOOKUP(Tabelle32[[#This Row],[Device ID]],BOM!$B$3:$BQ$35,29,FALSE),"")</f>
        <v>5_36_1</v>
      </c>
      <c r="Z117" s="59" t="str">
        <f>IFERROR(VLOOKUP(Tabelle32[[#This Row],[Device ID]],BOM!$B$3:$BQ$35,30,FALSE),"")</f>
        <v>tpco-megw-vgw103.rtb.st-net.media.int</v>
      </c>
      <c r="AA117" s="59" t="str">
        <f>IFERROR(VLOOKUP(Tabelle32[[#This Row],[Device ID]],BOM!$B$3:$BQ$35,31,FALSE),"")</f>
        <v>10.120.236.54</v>
      </c>
      <c r="AB117" s="59" t="str">
        <f>IFERROR(VLOOKUP(Tabelle32[[#This Row],[Device ID]],BOM!$B$3:$BQ$35,32,FALSE),"")</f>
        <v>AVCoreB</v>
      </c>
      <c r="AC117" s="59" t="str">
        <f>IFERROR(VLOOKUP(Tabelle32[[#This Row],[Device ID]],BOM!$B$3:$BQ$35,33,FALSE),"")</f>
        <v>5_36_1</v>
      </c>
      <c r="AD117" s="59" t="str">
        <f>IFERROR(VLOOKUP(Tabelle32[[#This Row],[Device ID]],BOM!$B$3:$BQ$35,34,FALSE),"")</f>
        <v>tpco-megw-vgw103.st-net.media.int</v>
      </c>
      <c r="AE117" s="59" t="str">
        <f>IFERROR(VLOOKUP(Tabelle32[[#This Row],[Device ID]],BOM!$B$3:$BQ$35,35,FALSE),"")</f>
        <v>10.120.67.141</v>
      </c>
      <c r="AF117" s="59">
        <f>IFERROR(VLOOKUP(Tabelle32[[#This Row],[Device ID]],BOM!$B$3:$BQ$35,36,FALSE),"")</f>
        <v>0</v>
      </c>
      <c r="AG117" s="59">
        <f>IFERROR(VLOOKUP(Tabelle32[[#This Row],[Device ID]],BOM!$B$3:$BQ$35,37,FALSE),"")</f>
        <v>0</v>
      </c>
      <c r="AH117" s="59"/>
      <c r="AI117" s="59"/>
      <c r="AJ117" s="59"/>
      <c r="AK117" s="59"/>
      <c r="AL117" s="59" t="str">
        <f>IFERROR(VLOOKUP(Tabelle32[[#This Row],[Device ID]],BOM!$B$3:$BQ$35,42,FALSE),"")</f>
        <v>Imagine Communications SNP</v>
      </c>
      <c r="AM117" s="59" t="str">
        <f>IFERROR(VLOOKUP(Tabelle32[[#This Row],[Device ID]],BOM!$B$3:$BQ$35,43,FALSE),"")</f>
        <v>no</v>
      </c>
      <c r="AN117" s="59" t="str">
        <f>IFERROR(VLOOKUP(Tabelle32[[#This Row],[Device ID]],BOM!$B$3:$BQ$35,44,FALSE),"")</f>
        <v>yes</v>
      </c>
      <c r="AO117" s="59" t="str">
        <f>IFERROR(VLOOKUP(Tabelle32[[#This Row],[Device ID]],BOM!$B$3:$BQ$35,45,FALSE),"")</f>
        <v>no</v>
      </c>
      <c r="AP117" s="59" t="str">
        <f>IFERROR(CONCATENATE(Tabelle32[[#This Row],[Family
GFX-Unit]]," | ",Tabelle32[[#This Row],[Label 1
GFX-Unit]]," | ",Tabelle32[[#This Row],[Attached Device if Gateway]]),"")</f>
        <v>PLAYOUT R421 | HD2 Backup-006 | R421 HD2 Backup</v>
      </c>
      <c r="AQ117" s="59"/>
      <c r="AR117" s="90"/>
      <c r="AS117" s="90"/>
      <c r="AT117" s="90"/>
      <c r="AU117" s="90"/>
      <c r="AV117" s="90"/>
      <c r="AW117" s="90" t="s">
        <v>97</v>
      </c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73" t="s">
        <v>199</v>
      </c>
      <c r="BI117" s="30" t="str">
        <f>IF(COUNTA(Tabelle32[[#This Row],[Type:Vid_1080i50]:[Type:Anc_Prot]])&gt;0,"x","")</f>
        <v>x</v>
      </c>
      <c r="BJ11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17" s="59"/>
      <c r="BL117" s="59"/>
      <c r="BM117" s="63"/>
      <c r="BN117" s="63"/>
      <c r="BO117" s="100" t="s">
        <v>372</v>
      </c>
      <c r="BP117" s="94" t="s">
        <v>289</v>
      </c>
      <c r="BQ117" s="75">
        <f>LEN(Tabelle32[[#This Row],[Label 1
GFX-Unit]])</f>
        <v>14</v>
      </c>
      <c r="BR117" s="63"/>
      <c r="BS117" s="63"/>
      <c r="BT117" s="59"/>
      <c r="BU117" s="59"/>
      <c r="BV117" s="59" t="s">
        <v>234</v>
      </c>
      <c r="BW117" s="59" t="s">
        <v>235</v>
      </c>
      <c r="BX117" s="59" t="s">
        <v>403</v>
      </c>
      <c r="BY117" s="59">
        <v>6</v>
      </c>
    </row>
    <row r="118" spans="1:77" x14ac:dyDescent="0.2">
      <c r="A118" s="58" t="str">
        <f>CONCATENATE(Tabelle32[[#This Row],[Device ID]],".",Tabelle32[[#This Row],[Streamcounter]])</f>
        <v>383.06207</v>
      </c>
      <c r="B11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VGW-103_SDI06_AUDsend_0007</v>
      </c>
      <c r="C118" s="60"/>
      <c r="D118" s="61"/>
      <c r="E118" s="62"/>
      <c r="F118" s="59" t="str">
        <f>IFERROR(VLOOKUP(Tabelle32[[#This Row],[Device ID]],BOM!$B$3:$BQ$35,16,FALSE),"")</f>
        <v>R421 HD2 Backup</v>
      </c>
      <c r="G118" s="63">
        <f>VLOOKUP(Tabelle32[[#This Row],[SDI Interface]],BOM!$A$4:$B$35,2,FALSE)</f>
        <v>383</v>
      </c>
      <c r="H118" s="59" t="str">
        <f>BOM!$C$4</f>
        <v>VGW-103</v>
      </c>
      <c r="I118" s="59" t="str">
        <f>IFERROR(VLOOKUP(Tabelle32[[#This Row],[Device ID]],BOM!$B$3:$BQ$35,12,FALSE),"")</f>
        <v>Videoserver</v>
      </c>
      <c r="J118" s="59" t="str">
        <f>IFERROR(VLOOKUP(Tabelle32[[#This Row],[Device ID]],BOM!$B$3:$BQ$35,13,FALSE),"")</f>
        <v>TC.U1.223 | MDC</v>
      </c>
      <c r="K118" s="59" t="str">
        <f>IFERROR(VLOOKUP(Tabelle32[[#This Row],[Device ID]],BOM!$B$3:$BQ$35,14,FALSE),"")</f>
        <v>Imagine Comunications</v>
      </c>
      <c r="L118" s="59" t="str">
        <f>IFERROR(VLOOKUP(Tabelle32[[#This Row],[Device ID]],BOM!$B$3:$BQ$35,16,FALSE),"")</f>
        <v>R421 HD2 Backup</v>
      </c>
      <c r="M118" s="63" t="str">
        <f>IFERROR(VLOOKUP(Tabelle32[[#This Row],[Device ID]],BOM!$B$3:$BQ$35,17,FALSE),"")</f>
        <v>R421</v>
      </c>
      <c r="N118" s="59" t="str">
        <f>IFERROR(VLOOKUP(Tabelle32[[#This Row],[Device ID]],BOM!$B$3:$BQ$35,18,FALSE),"")</f>
        <v>TC.00.104 | R401</v>
      </c>
      <c r="O118" s="64"/>
      <c r="P118" s="64">
        <f>IFERROR(VLOOKUP(Tabelle32[[#This Row],[Device ID]],BOM!$B$3:$BO$50,20,FALSE),"")</f>
        <v>0</v>
      </c>
      <c r="Q118" s="64">
        <f>IFERROR(VLOOKUP(Tabelle32[[#This Row],[Device ID]],BOM!$B$3:$BO$50,21,FALSE),"")</f>
        <v>1</v>
      </c>
      <c r="R118" s="64">
        <f>IFERROR(VLOOKUP(Tabelle32[[#This Row],[Device ID]],BOM!$B$3:$BO$50,22,FALSE),"")</f>
        <v>0</v>
      </c>
      <c r="S118" s="64"/>
      <c r="T118" s="64"/>
      <c r="U118" s="59" t="str">
        <f>IFERROR(VLOOKUP(Tabelle32[[#This Row],[Device ID]],BOM!$B$3:$BQ$35,25,FALSE),"")</f>
        <v>Luis/Ivo</v>
      </c>
      <c r="V118" s="59" t="str">
        <f>IFERROR(VLOOKUP(Tabelle32[[#This Row],[Device ID]],BOM!$B$3:$BQ$35,26,FALSE),"")</f>
        <v>tpco-megw-vgw103.rta.st-net.media.int</v>
      </c>
      <c r="W118" s="59" t="str">
        <f>IFERROR(VLOOKUP(Tabelle32[[#This Row],[Device ID]],BOM!$B$3:$BQ$35,27,FALSE),"")</f>
        <v>10.120.236.50</v>
      </c>
      <c r="X118" s="59" t="str">
        <f>IFERROR(VLOOKUP(Tabelle32[[#This Row],[Device ID]],BOM!$B$3:$BQ$35,28,FALSE),"")</f>
        <v>AVCoreA</v>
      </c>
      <c r="Y118" s="59" t="str">
        <f>IFERROR(VLOOKUP(Tabelle32[[#This Row],[Device ID]],BOM!$B$3:$BQ$35,29,FALSE),"")</f>
        <v>5_36_1</v>
      </c>
      <c r="Z118" s="59" t="str">
        <f>IFERROR(VLOOKUP(Tabelle32[[#This Row],[Device ID]],BOM!$B$3:$BQ$35,30,FALSE),"")</f>
        <v>tpco-megw-vgw103.rtb.st-net.media.int</v>
      </c>
      <c r="AA118" s="59" t="str">
        <f>IFERROR(VLOOKUP(Tabelle32[[#This Row],[Device ID]],BOM!$B$3:$BQ$35,31,FALSE),"")</f>
        <v>10.120.236.54</v>
      </c>
      <c r="AB118" s="59" t="str">
        <f>IFERROR(VLOOKUP(Tabelle32[[#This Row],[Device ID]],BOM!$B$3:$BQ$35,32,FALSE),"")</f>
        <v>AVCoreB</v>
      </c>
      <c r="AC118" s="59" t="str">
        <f>IFERROR(VLOOKUP(Tabelle32[[#This Row],[Device ID]],BOM!$B$3:$BQ$35,33,FALSE),"")</f>
        <v>5_36_1</v>
      </c>
      <c r="AD118" s="59" t="str">
        <f>IFERROR(VLOOKUP(Tabelle32[[#This Row],[Device ID]],BOM!$B$3:$BQ$35,34,FALSE),"")</f>
        <v>tpco-megw-vgw103.st-net.media.int</v>
      </c>
      <c r="AE118" s="59" t="str">
        <f>IFERROR(VLOOKUP(Tabelle32[[#This Row],[Device ID]],BOM!$B$3:$BQ$35,35,FALSE),"")</f>
        <v>10.120.67.141</v>
      </c>
      <c r="AF118" s="59">
        <f>IFERROR(VLOOKUP(Tabelle32[[#This Row],[Device ID]],BOM!$B$3:$BQ$35,36,FALSE),"")</f>
        <v>0</v>
      </c>
      <c r="AG118" s="59">
        <f>IFERROR(VLOOKUP(Tabelle32[[#This Row],[Device ID]],BOM!$B$3:$BQ$35,37,FALSE),"")</f>
        <v>0</v>
      </c>
      <c r="AH118" s="59"/>
      <c r="AI118" s="59"/>
      <c r="AJ118" s="59"/>
      <c r="AK118" s="59"/>
      <c r="AL118" s="59" t="str">
        <f>IFERROR(VLOOKUP(Tabelle32[[#This Row],[Device ID]],BOM!$B$3:$BQ$35,42,FALSE),"")</f>
        <v>Imagine Communications SNP</v>
      </c>
      <c r="AM118" s="59" t="str">
        <f>IFERROR(VLOOKUP(Tabelle32[[#This Row],[Device ID]],BOM!$B$3:$BQ$35,43,FALSE),"")</f>
        <v>no</v>
      </c>
      <c r="AN118" s="59" t="str">
        <f>IFERROR(VLOOKUP(Tabelle32[[#This Row],[Device ID]],BOM!$B$3:$BQ$35,44,FALSE),"")</f>
        <v>yes</v>
      </c>
      <c r="AO118" s="59" t="str">
        <f>IFERROR(VLOOKUP(Tabelle32[[#This Row],[Device ID]],BOM!$B$3:$BQ$35,45,FALSE),"")</f>
        <v>no</v>
      </c>
      <c r="AP118" s="59" t="str">
        <f>IFERROR(CONCATENATE(Tabelle32[[#This Row],[Family
GFX-Unit]]," | ",Tabelle32[[#This Row],[Label 1
GFX-Unit]]," | ",Tabelle32[[#This Row],[Attached Device if Gateway]]),"")</f>
        <v>PLAYOUT R421 | HD2 Backup-007 | R421 HD2 Backup</v>
      </c>
      <c r="AQ118" s="59"/>
      <c r="AR118" s="90"/>
      <c r="AS118" s="90"/>
      <c r="AT118" s="90"/>
      <c r="AU118" s="90"/>
      <c r="AV118" s="90"/>
      <c r="AW118" s="90"/>
      <c r="AX118" s="90"/>
      <c r="AY118" s="90"/>
      <c r="AZ118" s="90" t="s">
        <v>97</v>
      </c>
      <c r="BA118" s="90"/>
      <c r="BB118" s="90"/>
      <c r="BC118" s="90"/>
      <c r="BD118" s="90"/>
      <c r="BE118" s="90"/>
      <c r="BF118" s="90"/>
      <c r="BG118" s="90"/>
      <c r="BH118" s="73" t="s">
        <v>199</v>
      </c>
      <c r="BI118" s="30" t="str">
        <f>IF(COUNTA(Tabelle32[[#This Row],[Type:Vid_1080i50]:[Type:Anc_Prot]])&gt;0,"x","")</f>
        <v>x</v>
      </c>
      <c r="BJ11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18" s="59"/>
      <c r="BL118" s="59"/>
      <c r="BM118" s="63"/>
      <c r="BN118" s="63"/>
      <c r="BO118" s="100" t="s">
        <v>372</v>
      </c>
      <c r="BP118" s="94" t="s">
        <v>291</v>
      </c>
      <c r="BQ118" s="75">
        <f>LEN(Tabelle32[[#This Row],[Label 1
GFX-Unit]])</f>
        <v>14</v>
      </c>
      <c r="BR118" s="63"/>
      <c r="BS118" s="63"/>
      <c r="BT118" s="59"/>
      <c r="BU118" s="59"/>
      <c r="BV118" s="59" t="s">
        <v>238</v>
      </c>
      <c r="BW118" s="59" t="s">
        <v>239</v>
      </c>
      <c r="BX118" s="59" t="s">
        <v>404</v>
      </c>
      <c r="BY118" s="59">
        <v>6</v>
      </c>
    </row>
    <row r="119" spans="1:77" x14ac:dyDescent="0.2">
      <c r="A119" s="58" t="str">
        <f>CONCATENATE(Tabelle32[[#This Row],[Device ID]],".",Tabelle32[[#This Row],[Streamcounter]])</f>
        <v>383.06208</v>
      </c>
      <c r="B11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VGW-103_SDI06_AUDsend_0008</v>
      </c>
      <c r="C119" s="60"/>
      <c r="D119" s="61"/>
      <c r="E119" s="62"/>
      <c r="F119" s="59" t="str">
        <f>IFERROR(VLOOKUP(Tabelle32[[#This Row],[Device ID]],BOM!$B$3:$BQ$35,16,FALSE),"")</f>
        <v>R421 HD2 Backup</v>
      </c>
      <c r="G119" s="63">
        <f>VLOOKUP(Tabelle32[[#This Row],[SDI Interface]],BOM!$A$4:$B$35,2,FALSE)</f>
        <v>383</v>
      </c>
      <c r="H119" s="59" t="str">
        <f>BOM!$C$4</f>
        <v>VGW-103</v>
      </c>
      <c r="I119" s="59" t="str">
        <f>IFERROR(VLOOKUP(Tabelle32[[#This Row],[Device ID]],BOM!$B$3:$BQ$35,12,FALSE),"")</f>
        <v>Videoserver</v>
      </c>
      <c r="J119" s="59" t="str">
        <f>IFERROR(VLOOKUP(Tabelle32[[#This Row],[Device ID]],BOM!$B$3:$BQ$35,13,FALSE),"")</f>
        <v>TC.U1.223 | MDC</v>
      </c>
      <c r="K119" s="59" t="str">
        <f>IFERROR(VLOOKUP(Tabelle32[[#This Row],[Device ID]],BOM!$B$3:$BQ$35,14,FALSE),"")</f>
        <v>Imagine Comunications</v>
      </c>
      <c r="L119" s="59" t="str">
        <f>IFERROR(VLOOKUP(Tabelle32[[#This Row],[Device ID]],BOM!$B$3:$BQ$35,16,FALSE),"")</f>
        <v>R421 HD2 Backup</v>
      </c>
      <c r="M119" s="63" t="str">
        <f>IFERROR(VLOOKUP(Tabelle32[[#This Row],[Device ID]],BOM!$B$3:$BQ$35,17,FALSE),"")</f>
        <v>R421</v>
      </c>
      <c r="N119" s="59" t="str">
        <f>IFERROR(VLOOKUP(Tabelle32[[#This Row],[Device ID]],BOM!$B$3:$BQ$35,18,FALSE),"")</f>
        <v>TC.00.104 | R401</v>
      </c>
      <c r="O119" s="64"/>
      <c r="P119" s="64">
        <f>IFERROR(VLOOKUP(Tabelle32[[#This Row],[Device ID]],BOM!$B$3:$BO$50,20,FALSE),"")</f>
        <v>0</v>
      </c>
      <c r="Q119" s="64">
        <f>IFERROR(VLOOKUP(Tabelle32[[#This Row],[Device ID]],BOM!$B$3:$BO$50,21,FALSE),"")</f>
        <v>1</v>
      </c>
      <c r="R119" s="64">
        <f>IFERROR(VLOOKUP(Tabelle32[[#This Row],[Device ID]],BOM!$B$3:$BO$50,22,FALSE),"")</f>
        <v>0</v>
      </c>
      <c r="S119" s="64"/>
      <c r="T119" s="64"/>
      <c r="U119" s="59" t="str">
        <f>IFERROR(VLOOKUP(Tabelle32[[#This Row],[Device ID]],BOM!$B$3:$BQ$35,25,FALSE),"")</f>
        <v>Luis/Ivo</v>
      </c>
      <c r="V119" s="59" t="str">
        <f>IFERROR(VLOOKUP(Tabelle32[[#This Row],[Device ID]],BOM!$B$3:$BQ$35,26,FALSE),"")</f>
        <v>tpco-megw-vgw103.rta.st-net.media.int</v>
      </c>
      <c r="W119" s="59" t="str">
        <f>IFERROR(VLOOKUP(Tabelle32[[#This Row],[Device ID]],BOM!$B$3:$BQ$35,27,FALSE),"")</f>
        <v>10.120.236.50</v>
      </c>
      <c r="X119" s="59" t="str">
        <f>IFERROR(VLOOKUP(Tabelle32[[#This Row],[Device ID]],BOM!$B$3:$BQ$35,28,FALSE),"")</f>
        <v>AVCoreA</v>
      </c>
      <c r="Y119" s="59" t="str">
        <f>IFERROR(VLOOKUP(Tabelle32[[#This Row],[Device ID]],BOM!$B$3:$BQ$35,29,FALSE),"")</f>
        <v>5_36_1</v>
      </c>
      <c r="Z119" s="59" t="str">
        <f>IFERROR(VLOOKUP(Tabelle32[[#This Row],[Device ID]],BOM!$B$3:$BQ$35,30,FALSE),"")</f>
        <v>tpco-megw-vgw103.rtb.st-net.media.int</v>
      </c>
      <c r="AA119" s="59" t="str">
        <f>IFERROR(VLOOKUP(Tabelle32[[#This Row],[Device ID]],BOM!$B$3:$BQ$35,31,FALSE),"")</f>
        <v>10.120.236.54</v>
      </c>
      <c r="AB119" s="59" t="str">
        <f>IFERROR(VLOOKUP(Tabelle32[[#This Row],[Device ID]],BOM!$B$3:$BQ$35,32,FALSE),"")</f>
        <v>AVCoreB</v>
      </c>
      <c r="AC119" s="59" t="str">
        <f>IFERROR(VLOOKUP(Tabelle32[[#This Row],[Device ID]],BOM!$B$3:$BQ$35,33,FALSE),"")</f>
        <v>5_36_1</v>
      </c>
      <c r="AD119" s="59" t="str">
        <f>IFERROR(VLOOKUP(Tabelle32[[#This Row],[Device ID]],BOM!$B$3:$BQ$35,34,FALSE),"")</f>
        <v>tpco-megw-vgw103.st-net.media.int</v>
      </c>
      <c r="AE119" s="59" t="str">
        <f>IFERROR(VLOOKUP(Tabelle32[[#This Row],[Device ID]],BOM!$B$3:$BQ$35,35,FALSE),"")</f>
        <v>10.120.67.141</v>
      </c>
      <c r="AF119" s="59">
        <f>IFERROR(VLOOKUP(Tabelle32[[#This Row],[Device ID]],BOM!$B$3:$BQ$35,36,FALSE),"")</f>
        <v>0</v>
      </c>
      <c r="AG119" s="59">
        <f>IFERROR(VLOOKUP(Tabelle32[[#This Row],[Device ID]],BOM!$B$3:$BQ$35,37,FALSE),"")</f>
        <v>0</v>
      </c>
      <c r="AH119" s="59"/>
      <c r="AI119" s="59"/>
      <c r="AJ119" s="59"/>
      <c r="AK119" s="59"/>
      <c r="AL119" s="59" t="str">
        <f>IFERROR(VLOOKUP(Tabelle32[[#This Row],[Device ID]],BOM!$B$3:$BQ$35,42,FALSE),"")</f>
        <v>Imagine Communications SNP</v>
      </c>
      <c r="AM119" s="59" t="str">
        <f>IFERROR(VLOOKUP(Tabelle32[[#This Row],[Device ID]],BOM!$B$3:$BQ$35,43,FALSE),"")</f>
        <v>no</v>
      </c>
      <c r="AN119" s="59" t="str">
        <f>IFERROR(VLOOKUP(Tabelle32[[#This Row],[Device ID]],BOM!$B$3:$BQ$35,44,FALSE),"")</f>
        <v>yes</v>
      </c>
      <c r="AO119" s="59" t="str">
        <f>IFERROR(VLOOKUP(Tabelle32[[#This Row],[Device ID]],BOM!$B$3:$BQ$35,45,FALSE),"")</f>
        <v>no</v>
      </c>
      <c r="AP119" s="59" t="str">
        <f>IFERROR(CONCATENATE(Tabelle32[[#This Row],[Family
GFX-Unit]]," | ",Tabelle32[[#This Row],[Label 1
GFX-Unit]]," | ",Tabelle32[[#This Row],[Attached Device if Gateway]]),"")</f>
        <v>PLAYOUT R421 | HD2 Backup-008 | R421 HD2 Backup</v>
      </c>
      <c r="AQ119" s="59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 t="s">
        <v>97</v>
      </c>
      <c r="BD119" s="90"/>
      <c r="BE119" s="90"/>
      <c r="BF119" s="90"/>
      <c r="BG119" s="90"/>
      <c r="BH119" s="73" t="s">
        <v>199</v>
      </c>
      <c r="BI119" s="30" t="str">
        <f>IF(COUNTA(Tabelle32[[#This Row],[Type:Vid_1080i50]:[Type:Anc_Prot]])&gt;0,"x","")</f>
        <v>x</v>
      </c>
      <c r="BJ11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119" s="59"/>
      <c r="BL119" s="59"/>
      <c r="BM119" s="63"/>
      <c r="BN119" s="63"/>
      <c r="BO119" s="100" t="s">
        <v>372</v>
      </c>
      <c r="BP119" s="94" t="s">
        <v>293</v>
      </c>
      <c r="BQ119" s="75">
        <f>LEN(Tabelle32[[#This Row],[Label 1
GFX-Unit]])</f>
        <v>14</v>
      </c>
      <c r="BR119" s="63"/>
      <c r="BS119" s="63"/>
      <c r="BT119" s="59"/>
      <c r="BU119" s="59"/>
      <c r="BV119" s="59" t="s">
        <v>242</v>
      </c>
      <c r="BW119" s="59" t="s">
        <v>243</v>
      </c>
      <c r="BX119" s="59" t="s">
        <v>405</v>
      </c>
      <c r="BY119" s="59">
        <v>6</v>
      </c>
    </row>
    <row r="120" spans="1:77" hidden="1" x14ac:dyDescent="0.2">
      <c r="A120" s="58" t="str">
        <f>CONCATENATE(Tabelle32[[#This Row],[Device ID]],".",Tabelle32[[#This Row],[Streamcounter]])</f>
        <v>383.06209</v>
      </c>
      <c r="B12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VGW-103_SDI06_AUDsend_0009</v>
      </c>
      <c r="C120" s="60"/>
      <c r="D120" s="61"/>
      <c r="E120" s="62"/>
      <c r="F120" s="59" t="str">
        <f>IFERROR(VLOOKUP(Tabelle32[[#This Row],[Device ID]],BOM!$B$3:$BQ$35,16,FALSE),"")</f>
        <v>R421 HD2 Backup</v>
      </c>
      <c r="G120" s="63">
        <f>VLOOKUP(Tabelle32[[#This Row],[SDI Interface]],BOM!$A$4:$B$35,2,FALSE)</f>
        <v>383</v>
      </c>
      <c r="H120" s="59" t="str">
        <f>BOM!$C$4</f>
        <v>VGW-103</v>
      </c>
      <c r="I120" s="59" t="str">
        <f>IFERROR(VLOOKUP(Tabelle32[[#This Row],[Device ID]],BOM!$B$3:$BQ$35,12,FALSE),"")</f>
        <v>Videoserver</v>
      </c>
      <c r="J120" s="59" t="str">
        <f>IFERROR(VLOOKUP(Tabelle32[[#This Row],[Device ID]],BOM!$B$3:$BQ$35,13,FALSE),"")</f>
        <v>TC.U1.223 | MDC</v>
      </c>
      <c r="K120" s="59" t="str">
        <f>IFERROR(VLOOKUP(Tabelle32[[#This Row],[Device ID]],BOM!$B$3:$BQ$35,14,FALSE),"")</f>
        <v>Imagine Comunications</v>
      </c>
      <c r="L120" s="59" t="str">
        <f>IFERROR(VLOOKUP(Tabelle32[[#This Row],[Device ID]],BOM!$B$3:$BQ$35,16,FALSE),"")</f>
        <v>R421 HD2 Backup</v>
      </c>
      <c r="M120" s="63" t="str">
        <f>IFERROR(VLOOKUP(Tabelle32[[#This Row],[Device ID]],BOM!$B$3:$BQ$35,17,FALSE),"")</f>
        <v>R421</v>
      </c>
      <c r="N120" s="59" t="str">
        <f>IFERROR(VLOOKUP(Tabelle32[[#This Row],[Device ID]],BOM!$B$3:$BQ$35,18,FALSE),"")</f>
        <v>TC.00.104 | R401</v>
      </c>
      <c r="O120" s="64"/>
      <c r="P120" s="64">
        <f>IFERROR(VLOOKUP(Tabelle32[[#This Row],[Device ID]],BOM!$B$3:$BO$50,20,FALSE),"")</f>
        <v>0</v>
      </c>
      <c r="Q120" s="64">
        <f>IFERROR(VLOOKUP(Tabelle32[[#This Row],[Device ID]],BOM!$B$3:$BO$50,21,FALSE),"")</f>
        <v>1</v>
      </c>
      <c r="R120" s="64">
        <f>IFERROR(VLOOKUP(Tabelle32[[#This Row],[Device ID]],BOM!$B$3:$BO$50,22,FALSE),"")</f>
        <v>0</v>
      </c>
      <c r="S120" s="64"/>
      <c r="T120" s="64"/>
      <c r="U120" s="59" t="str">
        <f>IFERROR(VLOOKUP(Tabelle32[[#This Row],[Device ID]],BOM!$B$3:$BQ$35,25,FALSE),"")</f>
        <v>Luis/Ivo</v>
      </c>
      <c r="V120" s="59" t="str">
        <f>IFERROR(VLOOKUP(Tabelle32[[#This Row],[Device ID]],BOM!$B$3:$BQ$35,26,FALSE),"")</f>
        <v>tpco-megw-vgw103.rta.st-net.media.int</v>
      </c>
      <c r="W120" s="59" t="str">
        <f>IFERROR(VLOOKUP(Tabelle32[[#This Row],[Device ID]],BOM!$B$3:$BQ$35,27,FALSE),"")</f>
        <v>10.120.236.50</v>
      </c>
      <c r="X120" s="59" t="str">
        <f>IFERROR(VLOOKUP(Tabelle32[[#This Row],[Device ID]],BOM!$B$3:$BQ$35,28,FALSE),"")</f>
        <v>AVCoreA</v>
      </c>
      <c r="Y120" s="59" t="str">
        <f>IFERROR(VLOOKUP(Tabelle32[[#This Row],[Device ID]],BOM!$B$3:$BQ$35,29,FALSE),"")</f>
        <v>5_36_1</v>
      </c>
      <c r="Z120" s="59" t="str">
        <f>IFERROR(VLOOKUP(Tabelle32[[#This Row],[Device ID]],BOM!$B$3:$BQ$35,30,FALSE),"")</f>
        <v>tpco-megw-vgw103.rtb.st-net.media.int</v>
      </c>
      <c r="AA120" s="59" t="str">
        <f>IFERROR(VLOOKUP(Tabelle32[[#This Row],[Device ID]],BOM!$B$3:$BQ$35,31,FALSE),"")</f>
        <v>10.120.236.54</v>
      </c>
      <c r="AB120" s="59" t="str">
        <f>IFERROR(VLOOKUP(Tabelle32[[#This Row],[Device ID]],BOM!$B$3:$BQ$35,32,FALSE),"")</f>
        <v>AVCoreB</v>
      </c>
      <c r="AC120" s="59" t="str">
        <f>IFERROR(VLOOKUP(Tabelle32[[#This Row],[Device ID]],BOM!$B$3:$BQ$35,33,FALSE),"")</f>
        <v>5_36_1</v>
      </c>
      <c r="AD120" s="59" t="str">
        <f>IFERROR(VLOOKUP(Tabelle32[[#This Row],[Device ID]],BOM!$B$3:$BQ$35,34,FALSE),"")</f>
        <v>tpco-megw-vgw103.st-net.media.int</v>
      </c>
      <c r="AE120" s="59" t="str">
        <f>IFERROR(VLOOKUP(Tabelle32[[#This Row],[Device ID]],BOM!$B$3:$BQ$35,35,FALSE),"")</f>
        <v>10.120.67.141</v>
      </c>
      <c r="AF120" s="59">
        <f>IFERROR(VLOOKUP(Tabelle32[[#This Row],[Device ID]],BOM!$B$3:$BQ$35,36,FALSE),"")</f>
        <v>0</v>
      </c>
      <c r="AG120" s="59">
        <f>IFERROR(VLOOKUP(Tabelle32[[#This Row],[Device ID]],BOM!$B$3:$BQ$35,37,FALSE),"")</f>
        <v>0</v>
      </c>
      <c r="AH120" s="59"/>
      <c r="AI120" s="59"/>
      <c r="AJ120" s="59"/>
      <c r="AK120" s="59"/>
      <c r="AL120" s="59" t="str">
        <f>IFERROR(VLOOKUP(Tabelle32[[#This Row],[Device ID]],BOM!$B$3:$BQ$35,42,FALSE),"")</f>
        <v>Imagine Communications SNP</v>
      </c>
      <c r="AM120" s="59" t="str">
        <f>IFERROR(VLOOKUP(Tabelle32[[#This Row],[Device ID]],BOM!$B$3:$BQ$35,43,FALSE),"")</f>
        <v>no</v>
      </c>
      <c r="AN120" s="59" t="str">
        <f>IFERROR(VLOOKUP(Tabelle32[[#This Row],[Device ID]],BOM!$B$3:$BQ$35,44,FALSE),"")</f>
        <v>yes</v>
      </c>
      <c r="AO120" s="59" t="str">
        <f>IFERROR(VLOOKUP(Tabelle32[[#This Row],[Device ID]],BOM!$B$3:$BQ$35,45,FALSE),"")</f>
        <v>no</v>
      </c>
      <c r="AP120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20" s="59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73" t="s">
        <v>199</v>
      </c>
      <c r="BI120" s="30" t="str">
        <f>IF(COUNTA(Tabelle32[[#This Row],[Type:Vid_1080i50]:[Type:Anc_Prot]])&gt;0,"x","")</f>
        <v/>
      </c>
      <c r="BJ12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20" s="59"/>
      <c r="BL120" s="59"/>
      <c r="BM120" s="63"/>
      <c r="BN120" s="63"/>
      <c r="BO120" s="99"/>
      <c r="BP120" s="106"/>
      <c r="BQ120" s="75">
        <f>LEN(Tabelle32[[#This Row],[Label 1
GFX-Unit]])</f>
        <v>0</v>
      </c>
      <c r="BR120" s="63"/>
      <c r="BS120" s="63"/>
      <c r="BT120" s="59"/>
      <c r="BU120" s="59"/>
      <c r="BV120" s="59" t="s">
        <v>245</v>
      </c>
      <c r="BW120" s="59" t="s">
        <v>246</v>
      </c>
      <c r="BX120" s="59" t="s">
        <v>406</v>
      </c>
      <c r="BY120" s="59">
        <v>6</v>
      </c>
    </row>
    <row r="121" spans="1:77" hidden="1" x14ac:dyDescent="0.2">
      <c r="A121" s="58" t="str">
        <f>CONCATENATE(Tabelle32[[#This Row],[Device ID]],".",Tabelle32[[#This Row],[Streamcounter]])</f>
        <v>383.06210</v>
      </c>
      <c r="B12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VGW-103_SDI06_AUDsend_0010</v>
      </c>
      <c r="C121" s="60"/>
      <c r="D121" s="61"/>
      <c r="E121" s="62"/>
      <c r="F121" s="59" t="str">
        <f>IFERROR(VLOOKUP(Tabelle32[[#This Row],[Device ID]],BOM!$B$3:$BQ$35,16,FALSE),"")</f>
        <v>R421 HD2 Backup</v>
      </c>
      <c r="G121" s="63">
        <f>VLOOKUP(Tabelle32[[#This Row],[SDI Interface]],BOM!$A$4:$B$35,2,FALSE)</f>
        <v>383</v>
      </c>
      <c r="H121" s="59" t="str">
        <f>BOM!$C$4</f>
        <v>VGW-103</v>
      </c>
      <c r="I121" s="59" t="str">
        <f>IFERROR(VLOOKUP(Tabelle32[[#This Row],[Device ID]],BOM!$B$3:$BQ$35,12,FALSE),"")</f>
        <v>Videoserver</v>
      </c>
      <c r="J121" s="59" t="str">
        <f>IFERROR(VLOOKUP(Tabelle32[[#This Row],[Device ID]],BOM!$B$3:$BQ$35,13,FALSE),"")</f>
        <v>TC.U1.223 | MDC</v>
      </c>
      <c r="K121" s="59" t="str">
        <f>IFERROR(VLOOKUP(Tabelle32[[#This Row],[Device ID]],BOM!$B$3:$BQ$35,14,FALSE),"")</f>
        <v>Imagine Comunications</v>
      </c>
      <c r="L121" s="59" t="str">
        <f>IFERROR(VLOOKUP(Tabelle32[[#This Row],[Device ID]],BOM!$B$3:$BQ$35,16,FALSE),"")</f>
        <v>R421 HD2 Backup</v>
      </c>
      <c r="M121" s="63" t="str">
        <f>IFERROR(VLOOKUP(Tabelle32[[#This Row],[Device ID]],BOM!$B$3:$BQ$35,17,FALSE),"")</f>
        <v>R421</v>
      </c>
      <c r="N121" s="59" t="str">
        <f>IFERROR(VLOOKUP(Tabelle32[[#This Row],[Device ID]],BOM!$B$3:$BQ$35,18,FALSE),"")</f>
        <v>TC.00.104 | R401</v>
      </c>
      <c r="O121" s="64"/>
      <c r="P121" s="64">
        <f>IFERROR(VLOOKUP(Tabelle32[[#This Row],[Device ID]],BOM!$B$3:$BO$50,20,FALSE),"")</f>
        <v>0</v>
      </c>
      <c r="Q121" s="64">
        <f>IFERROR(VLOOKUP(Tabelle32[[#This Row],[Device ID]],BOM!$B$3:$BO$50,21,FALSE),"")</f>
        <v>1</v>
      </c>
      <c r="R121" s="64">
        <f>IFERROR(VLOOKUP(Tabelle32[[#This Row],[Device ID]],BOM!$B$3:$BO$50,22,FALSE),"")</f>
        <v>0</v>
      </c>
      <c r="S121" s="64"/>
      <c r="T121" s="64"/>
      <c r="U121" s="59" t="str">
        <f>IFERROR(VLOOKUP(Tabelle32[[#This Row],[Device ID]],BOM!$B$3:$BQ$35,25,FALSE),"")</f>
        <v>Luis/Ivo</v>
      </c>
      <c r="V121" s="59" t="str">
        <f>IFERROR(VLOOKUP(Tabelle32[[#This Row],[Device ID]],BOM!$B$3:$BQ$35,26,FALSE),"")</f>
        <v>tpco-megw-vgw103.rta.st-net.media.int</v>
      </c>
      <c r="W121" s="59" t="str">
        <f>IFERROR(VLOOKUP(Tabelle32[[#This Row],[Device ID]],BOM!$B$3:$BQ$35,27,FALSE),"")</f>
        <v>10.120.236.50</v>
      </c>
      <c r="X121" s="59" t="str">
        <f>IFERROR(VLOOKUP(Tabelle32[[#This Row],[Device ID]],BOM!$B$3:$BQ$35,28,FALSE),"")</f>
        <v>AVCoreA</v>
      </c>
      <c r="Y121" s="59" t="str">
        <f>IFERROR(VLOOKUP(Tabelle32[[#This Row],[Device ID]],BOM!$B$3:$BQ$35,29,FALSE),"")</f>
        <v>5_36_1</v>
      </c>
      <c r="Z121" s="59" t="str">
        <f>IFERROR(VLOOKUP(Tabelle32[[#This Row],[Device ID]],BOM!$B$3:$BQ$35,30,FALSE),"")</f>
        <v>tpco-megw-vgw103.rtb.st-net.media.int</v>
      </c>
      <c r="AA121" s="59" t="str">
        <f>IFERROR(VLOOKUP(Tabelle32[[#This Row],[Device ID]],BOM!$B$3:$BQ$35,31,FALSE),"")</f>
        <v>10.120.236.54</v>
      </c>
      <c r="AB121" s="59" t="str">
        <f>IFERROR(VLOOKUP(Tabelle32[[#This Row],[Device ID]],BOM!$B$3:$BQ$35,32,FALSE),"")</f>
        <v>AVCoreB</v>
      </c>
      <c r="AC121" s="59" t="str">
        <f>IFERROR(VLOOKUP(Tabelle32[[#This Row],[Device ID]],BOM!$B$3:$BQ$35,33,FALSE),"")</f>
        <v>5_36_1</v>
      </c>
      <c r="AD121" s="59" t="str">
        <f>IFERROR(VLOOKUP(Tabelle32[[#This Row],[Device ID]],BOM!$B$3:$BQ$35,34,FALSE),"")</f>
        <v>tpco-megw-vgw103.st-net.media.int</v>
      </c>
      <c r="AE121" s="59" t="str">
        <f>IFERROR(VLOOKUP(Tabelle32[[#This Row],[Device ID]],BOM!$B$3:$BQ$35,35,FALSE),"")</f>
        <v>10.120.67.141</v>
      </c>
      <c r="AF121" s="59">
        <f>IFERROR(VLOOKUP(Tabelle32[[#This Row],[Device ID]],BOM!$B$3:$BQ$35,36,FALSE),"")</f>
        <v>0</v>
      </c>
      <c r="AG121" s="59">
        <f>IFERROR(VLOOKUP(Tabelle32[[#This Row],[Device ID]],BOM!$B$3:$BQ$35,37,FALSE),"")</f>
        <v>0</v>
      </c>
      <c r="AH121" s="59"/>
      <c r="AI121" s="59"/>
      <c r="AJ121" s="59"/>
      <c r="AK121" s="59"/>
      <c r="AL121" s="59" t="str">
        <f>IFERROR(VLOOKUP(Tabelle32[[#This Row],[Device ID]],BOM!$B$3:$BQ$35,42,FALSE),"")</f>
        <v>Imagine Communications SNP</v>
      </c>
      <c r="AM121" s="59" t="str">
        <f>IFERROR(VLOOKUP(Tabelle32[[#This Row],[Device ID]],BOM!$B$3:$BQ$35,43,FALSE),"")</f>
        <v>no</v>
      </c>
      <c r="AN121" s="59" t="str">
        <f>IFERROR(VLOOKUP(Tabelle32[[#This Row],[Device ID]],BOM!$B$3:$BQ$35,44,FALSE),"")</f>
        <v>yes</v>
      </c>
      <c r="AO121" s="59" t="str">
        <f>IFERROR(VLOOKUP(Tabelle32[[#This Row],[Device ID]],BOM!$B$3:$BQ$35,45,FALSE),"")</f>
        <v>no</v>
      </c>
      <c r="AP121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21" s="59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73" t="s">
        <v>199</v>
      </c>
      <c r="BI121" s="30" t="str">
        <f>IF(COUNTA(Tabelle32[[#This Row],[Type:Vid_1080i50]:[Type:Anc_Prot]])&gt;0,"x","")</f>
        <v/>
      </c>
      <c r="BJ12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21" s="59"/>
      <c r="BL121" s="59"/>
      <c r="BM121" s="63"/>
      <c r="BN121" s="63"/>
      <c r="BO121" s="99"/>
      <c r="BP121" s="106"/>
      <c r="BQ121" s="75">
        <f>LEN(Tabelle32[[#This Row],[Label 1
GFX-Unit]])</f>
        <v>0</v>
      </c>
      <c r="BR121" s="63"/>
      <c r="BS121" s="63"/>
      <c r="BT121" s="59"/>
      <c r="BU121" s="59"/>
      <c r="BV121" s="59" t="s">
        <v>248</v>
      </c>
      <c r="BW121" s="59" t="s">
        <v>249</v>
      </c>
      <c r="BX121" s="59" t="s">
        <v>407</v>
      </c>
      <c r="BY121" s="59">
        <v>6</v>
      </c>
    </row>
    <row r="122" spans="1:77" hidden="1" x14ac:dyDescent="0.2">
      <c r="A122" s="58" t="str">
        <f>CONCATENATE(Tabelle32[[#This Row],[Device ID]],".",Tabelle32[[#This Row],[Streamcounter]])</f>
        <v>383.06211</v>
      </c>
      <c r="B12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VGW-103_SDI06_AUDsend_0011</v>
      </c>
      <c r="C122" s="60"/>
      <c r="D122" s="61"/>
      <c r="E122" s="62"/>
      <c r="F122" s="59" t="str">
        <f>IFERROR(VLOOKUP(Tabelle32[[#This Row],[Device ID]],BOM!$B$3:$BQ$35,16,FALSE),"")</f>
        <v>R421 HD2 Backup</v>
      </c>
      <c r="G122" s="63">
        <f>VLOOKUP(Tabelle32[[#This Row],[SDI Interface]],BOM!$A$4:$B$35,2,FALSE)</f>
        <v>383</v>
      </c>
      <c r="H122" s="59" t="str">
        <f>BOM!$C$4</f>
        <v>VGW-103</v>
      </c>
      <c r="I122" s="59" t="str">
        <f>IFERROR(VLOOKUP(Tabelle32[[#This Row],[Device ID]],BOM!$B$3:$BQ$35,12,FALSE),"")</f>
        <v>Videoserver</v>
      </c>
      <c r="J122" s="59" t="str">
        <f>IFERROR(VLOOKUP(Tabelle32[[#This Row],[Device ID]],BOM!$B$3:$BQ$35,13,FALSE),"")</f>
        <v>TC.U1.223 | MDC</v>
      </c>
      <c r="K122" s="59" t="str">
        <f>IFERROR(VLOOKUP(Tabelle32[[#This Row],[Device ID]],BOM!$B$3:$BQ$35,14,FALSE),"")</f>
        <v>Imagine Comunications</v>
      </c>
      <c r="L122" s="59" t="str">
        <f>IFERROR(VLOOKUP(Tabelle32[[#This Row],[Device ID]],BOM!$B$3:$BQ$35,16,FALSE),"")</f>
        <v>R421 HD2 Backup</v>
      </c>
      <c r="M122" s="63" t="str">
        <f>IFERROR(VLOOKUP(Tabelle32[[#This Row],[Device ID]],BOM!$B$3:$BQ$35,17,FALSE),"")</f>
        <v>R421</v>
      </c>
      <c r="N122" s="59" t="str">
        <f>IFERROR(VLOOKUP(Tabelle32[[#This Row],[Device ID]],BOM!$B$3:$BQ$35,18,FALSE),"")</f>
        <v>TC.00.104 | R401</v>
      </c>
      <c r="O122" s="64"/>
      <c r="P122" s="64">
        <f>IFERROR(VLOOKUP(Tabelle32[[#This Row],[Device ID]],BOM!$B$3:$BO$50,20,FALSE),"")</f>
        <v>0</v>
      </c>
      <c r="Q122" s="64">
        <f>IFERROR(VLOOKUP(Tabelle32[[#This Row],[Device ID]],BOM!$B$3:$BO$50,21,FALSE),"")</f>
        <v>1</v>
      </c>
      <c r="R122" s="64">
        <f>IFERROR(VLOOKUP(Tabelle32[[#This Row],[Device ID]],BOM!$B$3:$BO$50,22,FALSE),"")</f>
        <v>0</v>
      </c>
      <c r="S122" s="64"/>
      <c r="T122" s="64"/>
      <c r="U122" s="59" t="str">
        <f>IFERROR(VLOOKUP(Tabelle32[[#This Row],[Device ID]],BOM!$B$3:$BQ$35,25,FALSE),"")</f>
        <v>Luis/Ivo</v>
      </c>
      <c r="V122" s="59" t="str">
        <f>IFERROR(VLOOKUP(Tabelle32[[#This Row],[Device ID]],BOM!$B$3:$BQ$35,26,FALSE),"")</f>
        <v>tpco-megw-vgw103.rta.st-net.media.int</v>
      </c>
      <c r="W122" s="59" t="str">
        <f>IFERROR(VLOOKUP(Tabelle32[[#This Row],[Device ID]],BOM!$B$3:$BQ$35,27,FALSE),"")</f>
        <v>10.120.236.50</v>
      </c>
      <c r="X122" s="59" t="str">
        <f>IFERROR(VLOOKUP(Tabelle32[[#This Row],[Device ID]],BOM!$B$3:$BQ$35,28,FALSE),"")</f>
        <v>AVCoreA</v>
      </c>
      <c r="Y122" s="59" t="str">
        <f>IFERROR(VLOOKUP(Tabelle32[[#This Row],[Device ID]],BOM!$B$3:$BQ$35,29,FALSE),"")</f>
        <v>5_36_1</v>
      </c>
      <c r="Z122" s="59" t="str">
        <f>IFERROR(VLOOKUP(Tabelle32[[#This Row],[Device ID]],BOM!$B$3:$BQ$35,30,FALSE),"")</f>
        <v>tpco-megw-vgw103.rtb.st-net.media.int</v>
      </c>
      <c r="AA122" s="59" t="str">
        <f>IFERROR(VLOOKUP(Tabelle32[[#This Row],[Device ID]],BOM!$B$3:$BQ$35,31,FALSE),"")</f>
        <v>10.120.236.54</v>
      </c>
      <c r="AB122" s="59" t="str">
        <f>IFERROR(VLOOKUP(Tabelle32[[#This Row],[Device ID]],BOM!$B$3:$BQ$35,32,FALSE),"")</f>
        <v>AVCoreB</v>
      </c>
      <c r="AC122" s="59" t="str">
        <f>IFERROR(VLOOKUP(Tabelle32[[#This Row],[Device ID]],BOM!$B$3:$BQ$35,33,FALSE),"")</f>
        <v>5_36_1</v>
      </c>
      <c r="AD122" s="59" t="str">
        <f>IFERROR(VLOOKUP(Tabelle32[[#This Row],[Device ID]],BOM!$B$3:$BQ$35,34,FALSE),"")</f>
        <v>tpco-megw-vgw103.st-net.media.int</v>
      </c>
      <c r="AE122" s="59" t="str">
        <f>IFERROR(VLOOKUP(Tabelle32[[#This Row],[Device ID]],BOM!$B$3:$BQ$35,35,FALSE),"")</f>
        <v>10.120.67.141</v>
      </c>
      <c r="AF122" s="59">
        <f>IFERROR(VLOOKUP(Tabelle32[[#This Row],[Device ID]],BOM!$B$3:$BQ$35,36,FALSE),"")</f>
        <v>0</v>
      </c>
      <c r="AG122" s="59">
        <f>IFERROR(VLOOKUP(Tabelle32[[#This Row],[Device ID]],BOM!$B$3:$BQ$35,37,FALSE),"")</f>
        <v>0</v>
      </c>
      <c r="AH122" s="59"/>
      <c r="AI122" s="59"/>
      <c r="AJ122" s="59"/>
      <c r="AK122" s="59"/>
      <c r="AL122" s="59" t="str">
        <f>IFERROR(VLOOKUP(Tabelle32[[#This Row],[Device ID]],BOM!$B$3:$BQ$35,42,FALSE),"")</f>
        <v>Imagine Communications SNP</v>
      </c>
      <c r="AM122" s="59" t="str">
        <f>IFERROR(VLOOKUP(Tabelle32[[#This Row],[Device ID]],BOM!$B$3:$BQ$35,43,FALSE),"")</f>
        <v>no</v>
      </c>
      <c r="AN122" s="59" t="str">
        <f>IFERROR(VLOOKUP(Tabelle32[[#This Row],[Device ID]],BOM!$B$3:$BQ$35,44,FALSE),"")</f>
        <v>yes</v>
      </c>
      <c r="AO122" s="59" t="str">
        <f>IFERROR(VLOOKUP(Tabelle32[[#This Row],[Device ID]],BOM!$B$3:$BQ$35,45,FALSE),"")</f>
        <v>no</v>
      </c>
      <c r="AP122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22" s="59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73" t="s">
        <v>199</v>
      </c>
      <c r="BI122" s="30" t="str">
        <f>IF(COUNTA(Tabelle32[[#This Row],[Type:Vid_1080i50]:[Type:Anc_Prot]])&gt;0,"x","")</f>
        <v/>
      </c>
      <c r="BJ12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22" s="59"/>
      <c r="BL122" s="59"/>
      <c r="BM122" s="63"/>
      <c r="BN122" s="63"/>
      <c r="BO122" s="99"/>
      <c r="BP122" s="106"/>
      <c r="BQ122" s="75">
        <f>LEN(Tabelle32[[#This Row],[Label 1
GFX-Unit]])</f>
        <v>0</v>
      </c>
      <c r="BR122" s="63"/>
      <c r="BS122" s="63"/>
      <c r="BT122" s="59"/>
      <c r="BU122" s="59"/>
      <c r="BV122" s="59" t="s">
        <v>251</v>
      </c>
      <c r="BW122" s="59" t="s">
        <v>252</v>
      </c>
      <c r="BX122" s="59" t="s">
        <v>408</v>
      </c>
      <c r="BY122" s="59">
        <v>6</v>
      </c>
    </row>
    <row r="123" spans="1:77" hidden="1" x14ac:dyDescent="0.2">
      <c r="A123" s="58" t="str">
        <f>CONCATENATE(Tabelle32[[#This Row],[Device ID]],".",Tabelle32[[#This Row],[Streamcounter]])</f>
        <v>383.06212</v>
      </c>
      <c r="B12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VGW-103_SDI06_AUDsend_0012</v>
      </c>
      <c r="C123" s="60"/>
      <c r="D123" s="61"/>
      <c r="E123" s="62"/>
      <c r="F123" s="59" t="str">
        <f>IFERROR(VLOOKUP(Tabelle32[[#This Row],[Device ID]],BOM!$B$3:$BQ$35,16,FALSE),"")</f>
        <v>R421 HD2 Backup</v>
      </c>
      <c r="G123" s="63">
        <f>VLOOKUP(Tabelle32[[#This Row],[SDI Interface]],BOM!$A$4:$B$35,2,FALSE)</f>
        <v>383</v>
      </c>
      <c r="H123" s="59" t="str">
        <f>BOM!$C$4</f>
        <v>VGW-103</v>
      </c>
      <c r="I123" s="59" t="str">
        <f>IFERROR(VLOOKUP(Tabelle32[[#This Row],[Device ID]],BOM!$B$3:$BQ$35,12,FALSE),"")</f>
        <v>Videoserver</v>
      </c>
      <c r="J123" s="59" t="str">
        <f>IFERROR(VLOOKUP(Tabelle32[[#This Row],[Device ID]],BOM!$B$3:$BQ$35,13,FALSE),"")</f>
        <v>TC.U1.223 | MDC</v>
      </c>
      <c r="K123" s="59" t="str">
        <f>IFERROR(VLOOKUP(Tabelle32[[#This Row],[Device ID]],BOM!$B$3:$BQ$35,14,FALSE),"")</f>
        <v>Imagine Comunications</v>
      </c>
      <c r="L123" s="59" t="str">
        <f>IFERROR(VLOOKUP(Tabelle32[[#This Row],[Device ID]],BOM!$B$3:$BQ$35,16,FALSE),"")</f>
        <v>R421 HD2 Backup</v>
      </c>
      <c r="M123" s="63" t="str">
        <f>IFERROR(VLOOKUP(Tabelle32[[#This Row],[Device ID]],BOM!$B$3:$BQ$35,17,FALSE),"")</f>
        <v>R421</v>
      </c>
      <c r="N123" s="59" t="str">
        <f>IFERROR(VLOOKUP(Tabelle32[[#This Row],[Device ID]],BOM!$B$3:$BQ$35,18,FALSE),"")</f>
        <v>TC.00.104 | R401</v>
      </c>
      <c r="O123" s="64"/>
      <c r="P123" s="64">
        <f>IFERROR(VLOOKUP(Tabelle32[[#This Row],[Device ID]],BOM!$B$3:$BO$50,20,FALSE),"")</f>
        <v>0</v>
      </c>
      <c r="Q123" s="64">
        <f>IFERROR(VLOOKUP(Tabelle32[[#This Row],[Device ID]],BOM!$B$3:$BO$50,21,FALSE),"")</f>
        <v>1</v>
      </c>
      <c r="R123" s="64">
        <f>IFERROR(VLOOKUP(Tabelle32[[#This Row],[Device ID]],BOM!$B$3:$BO$50,22,FALSE),"")</f>
        <v>0</v>
      </c>
      <c r="S123" s="64"/>
      <c r="T123" s="64"/>
      <c r="U123" s="59" t="str">
        <f>IFERROR(VLOOKUP(Tabelle32[[#This Row],[Device ID]],BOM!$B$3:$BQ$35,25,FALSE),"")</f>
        <v>Luis/Ivo</v>
      </c>
      <c r="V123" s="59" t="str">
        <f>IFERROR(VLOOKUP(Tabelle32[[#This Row],[Device ID]],BOM!$B$3:$BQ$35,26,FALSE),"")</f>
        <v>tpco-megw-vgw103.rta.st-net.media.int</v>
      </c>
      <c r="W123" s="59" t="str">
        <f>IFERROR(VLOOKUP(Tabelle32[[#This Row],[Device ID]],BOM!$B$3:$BQ$35,27,FALSE),"")</f>
        <v>10.120.236.50</v>
      </c>
      <c r="X123" s="59" t="str">
        <f>IFERROR(VLOOKUP(Tabelle32[[#This Row],[Device ID]],BOM!$B$3:$BQ$35,28,FALSE),"")</f>
        <v>AVCoreA</v>
      </c>
      <c r="Y123" s="59" t="str">
        <f>IFERROR(VLOOKUP(Tabelle32[[#This Row],[Device ID]],BOM!$B$3:$BQ$35,29,FALSE),"")</f>
        <v>5_36_1</v>
      </c>
      <c r="Z123" s="59" t="str">
        <f>IFERROR(VLOOKUP(Tabelle32[[#This Row],[Device ID]],BOM!$B$3:$BQ$35,30,FALSE),"")</f>
        <v>tpco-megw-vgw103.rtb.st-net.media.int</v>
      </c>
      <c r="AA123" s="59" t="str">
        <f>IFERROR(VLOOKUP(Tabelle32[[#This Row],[Device ID]],BOM!$B$3:$BQ$35,31,FALSE),"")</f>
        <v>10.120.236.54</v>
      </c>
      <c r="AB123" s="59" t="str">
        <f>IFERROR(VLOOKUP(Tabelle32[[#This Row],[Device ID]],BOM!$B$3:$BQ$35,32,FALSE),"")</f>
        <v>AVCoreB</v>
      </c>
      <c r="AC123" s="59" t="str">
        <f>IFERROR(VLOOKUP(Tabelle32[[#This Row],[Device ID]],BOM!$B$3:$BQ$35,33,FALSE),"")</f>
        <v>5_36_1</v>
      </c>
      <c r="AD123" s="59" t="str">
        <f>IFERROR(VLOOKUP(Tabelle32[[#This Row],[Device ID]],BOM!$B$3:$BQ$35,34,FALSE),"")</f>
        <v>tpco-megw-vgw103.st-net.media.int</v>
      </c>
      <c r="AE123" s="59" t="str">
        <f>IFERROR(VLOOKUP(Tabelle32[[#This Row],[Device ID]],BOM!$B$3:$BQ$35,35,FALSE),"")</f>
        <v>10.120.67.141</v>
      </c>
      <c r="AF123" s="59">
        <f>IFERROR(VLOOKUP(Tabelle32[[#This Row],[Device ID]],BOM!$B$3:$BQ$35,36,FALSE),"")</f>
        <v>0</v>
      </c>
      <c r="AG123" s="59">
        <f>IFERROR(VLOOKUP(Tabelle32[[#This Row],[Device ID]],BOM!$B$3:$BQ$35,37,FALSE),"")</f>
        <v>0</v>
      </c>
      <c r="AH123" s="59"/>
      <c r="AI123" s="59"/>
      <c r="AJ123" s="59"/>
      <c r="AK123" s="59"/>
      <c r="AL123" s="59" t="str">
        <f>IFERROR(VLOOKUP(Tabelle32[[#This Row],[Device ID]],BOM!$B$3:$BQ$35,42,FALSE),"")</f>
        <v>Imagine Communications SNP</v>
      </c>
      <c r="AM123" s="59" t="str">
        <f>IFERROR(VLOOKUP(Tabelle32[[#This Row],[Device ID]],BOM!$B$3:$BQ$35,43,FALSE),"")</f>
        <v>no</v>
      </c>
      <c r="AN123" s="59" t="str">
        <f>IFERROR(VLOOKUP(Tabelle32[[#This Row],[Device ID]],BOM!$B$3:$BQ$35,44,FALSE),"")</f>
        <v>yes</v>
      </c>
      <c r="AO123" s="59" t="str">
        <f>IFERROR(VLOOKUP(Tabelle32[[#This Row],[Device ID]],BOM!$B$3:$BQ$35,45,FALSE),"")</f>
        <v>no</v>
      </c>
      <c r="AP123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23" s="59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73" t="s">
        <v>199</v>
      </c>
      <c r="BI123" s="30" t="str">
        <f>IF(COUNTA(Tabelle32[[#This Row],[Type:Vid_1080i50]:[Type:Anc_Prot]])&gt;0,"x","")</f>
        <v/>
      </c>
      <c r="BJ12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23" s="59"/>
      <c r="BL123" s="59"/>
      <c r="BM123" s="63"/>
      <c r="BN123" s="63"/>
      <c r="BO123" s="99"/>
      <c r="BP123" s="106"/>
      <c r="BQ123" s="75">
        <f>LEN(Tabelle32[[#This Row],[Label 1
GFX-Unit]])</f>
        <v>0</v>
      </c>
      <c r="BR123" s="63"/>
      <c r="BS123" s="63"/>
      <c r="BT123" s="59"/>
      <c r="BU123" s="59"/>
      <c r="BV123" s="59" t="s">
        <v>254</v>
      </c>
      <c r="BW123" s="59" t="s">
        <v>255</v>
      </c>
      <c r="BX123" s="59" t="s">
        <v>409</v>
      </c>
      <c r="BY123" s="59">
        <v>6</v>
      </c>
    </row>
    <row r="124" spans="1:77" hidden="1" x14ac:dyDescent="0.2">
      <c r="A124" s="58" t="str">
        <f>CONCATENATE(Tabelle32[[#This Row],[Device ID]],".",Tabelle32[[#This Row],[Streamcounter]])</f>
        <v>383.06213</v>
      </c>
      <c r="B12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VGW-103_SDI06_AUDsend_0013</v>
      </c>
      <c r="C124" s="60"/>
      <c r="D124" s="61"/>
      <c r="E124" s="62"/>
      <c r="F124" s="59" t="str">
        <f>IFERROR(VLOOKUP(Tabelle32[[#This Row],[Device ID]],BOM!$B$3:$BQ$35,16,FALSE),"")</f>
        <v>R421 HD2 Backup</v>
      </c>
      <c r="G124" s="63">
        <f>VLOOKUP(Tabelle32[[#This Row],[SDI Interface]],BOM!$A$4:$B$35,2,FALSE)</f>
        <v>383</v>
      </c>
      <c r="H124" s="59" t="str">
        <f>BOM!$C$4</f>
        <v>VGW-103</v>
      </c>
      <c r="I124" s="59" t="str">
        <f>IFERROR(VLOOKUP(Tabelle32[[#This Row],[Device ID]],BOM!$B$3:$BQ$35,12,FALSE),"")</f>
        <v>Videoserver</v>
      </c>
      <c r="J124" s="59" t="str">
        <f>IFERROR(VLOOKUP(Tabelle32[[#This Row],[Device ID]],BOM!$B$3:$BQ$35,13,FALSE),"")</f>
        <v>TC.U1.223 | MDC</v>
      </c>
      <c r="K124" s="59" t="str">
        <f>IFERROR(VLOOKUP(Tabelle32[[#This Row],[Device ID]],BOM!$B$3:$BQ$35,14,FALSE),"")</f>
        <v>Imagine Comunications</v>
      </c>
      <c r="L124" s="59" t="str">
        <f>IFERROR(VLOOKUP(Tabelle32[[#This Row],[Device ID]],BOM!$B$3:$BQ$35,16,FALSE),"")</f>
        <v>R421 HD2 Backup</v>
      </c>
      <c r="M124" s="63" t="str">
        <f>IFERROR(VLOOKUP(Tabelle32[[#This Row],[Device ID]],BOM!$B$3:$BQ$35,17,FALSE),"")</f>
        <v>R421</v>
      </c>
      <c r="N124" s="59" t="str">
        <f>IFERROR(VLOOKUP(Tabelle32[[#This Row],[Device ID]],BOM!$B$3:$BQ$35,18,FALSE),"")</f>
        <v>TC.00.104 | R401</v>
      </c>
      <c r="O124" s="64"/>
      <c r="P124" s="64">
        <f>IFERROR(VLOOKUP(Tabelle32[[#This Row],[Device ID]],BOM!$B$3:$BO$50,20,FALSE),"")</f>
        <v>0</v>
      </c>
      <c r="Q124" s="64">
        <f>IFERROR(VLOOKUP(Tabelle32[[#This Row],[Device ID]],BOM!$B$3:$BO$50,21,FALSE),"")</f>
        <v>1</v>
      </c>
      <c r="R124" s="64">
        <f>IFERROR(VLOOKUP(Tabelle32[[#This Row],[Device ID]],BOM!$B$3:$BO$50,22,FALSE),"")</f>
        <v>0</v>
      </c>
      <c r="S124" s="64"/>
      <c r="T124" s="64"/>
      <c r="U124" s="59" t="str">
        <f>IFERROR(VLOOKUP(Tabelle32[[#This Row],[Device ID]],BOM!$B$3:$BQ$35,25,FALSE),"")</f>
        <v>Luis/Ivo</v>
      </c>
      <c r="V124" s="59" t="str">
        <f>IFERROR(VLOOKUP(Tabelle32[[#This Row],[Device ID]],BOM!$B$3:$BQ$35,26,FALSE),"")</f>
        <v>tpco-megw-vgw103.rta.st-net.media.int</v>
      </c>
      <c r="W124" s="59" t="str">
        <f>IFERROR(VLOOKUP(Tabelle32[[#This Row],[Device ID]],BOM!$B$3:$BQ$35,27,FALSE),"")</f>
        <v>10.120.236.50</v>
      </c>
      <c r="X124" s="59" t="str">
        <f>IFERROR(VLOOKUP(Tabelle32[[#This Row],[Device ID]],BOM!$B$3:$BQ$35,28,FALSE),"")</f>
        <v>AVCoreA</v>
      </c>
      <c r="Y124" s="59" t="str">
        <f>IFERROR(VLOOKUP(Tabelle32[[#This Row],[Device ID]],BOM!$B$3:$BQ$35,29,FALSE),"")</f>
        <v>5_36_1</v>
      </c>
      <c r="Z124" s="59" t="str">
        <f>IFERROR(VLOOKUP(Tabelle32[[#This Row],[Device ID]],BOM!$B$3:$BQ$35,30,FALSE),"")</f>
        <v>tpco-megw-vgw103.rtb.st-net.media.int</v>
      </c>
      <c r="AA124" s="59" t="str">
        <f>IFERROR(VLOOKUP(Tabelle32[[#This Row],[Device ID]],BOM!$B$3:$BQ$35,31,FALSE),"")</f>
        <v>10.120.236.54</v>
      </c>
      <c r="AB124" s="59" t="str">
        <f>IFERROR(VLOOKUP(Tabelle32[[#This Row],[Device ID]],BOM!$B$3:$BQ$35,32,FALSE),"")</f>
        <v>AVCoreB</v>
      </c>
      <c r="AC124" s="59" t="str">
        <f>IFERROR(VLOOKUP(Tabelle32[[#This Row],[Device ID]],BOM!$B$3:$BQ$35,33,FALSE),"")</f>
        <v>5_36_1</v>
      </c>
      <c r="AD124" s="59" t="str">
        <f>IFERROR(VLOOKUP(Tabelle32[[#This Row],[Device ID]],BOM!$B$3:$BQ$35,34,FALSE),"")</f>
        <v>tpco-megw-vgw103.st-net.media.int</v>
      </c>
      <c r="AE124" s="59" t="str">
        <f>IFERROR(VLOOKUP(Tabelle32[[#This Row],[Device ID]],BOM!$B$3:$BQ$35,35,FALSE),"")</f>
        <v>10.120.67.141</v>
      </c>
      <c r="AF124" s="59">
        <f>IFERROR(VLOOKUP(Tabelle32[[#This Row],[Device ID]],BOM!$B$3:$BQ$35,36,FALSE),"")</f>
        <v>0</v>
      </c>
      <c r="AG124" s="59">
        <f>IFERROR(VLOOKUP(Tabelle32[[#This Row],[Device ID]],BOM!$B$3:$BQ$35,37,FALSE),"")</f>
        <v>0</v>
      </c>
      <c r="AH124" s="59"/>
      <c r="AI124" s="59"/>
      <c r="AJ124" s="59"/>
      <c r="AK124" s="59"/>
      <c r="AL124" s="59" t="str">
        <f>IFERROR(VLOOKUP(Tabelle32[[#This Row],[Device ID]],BOM!$B$3:$BQ$35,42,FALSE),"")</f>
        <v>Imagine Communications SNP</v>
      </c>
      <c r="AM124" s="59" t="str">
        <f>IFERROR(VLOOKUP(Tabelle32[[#This Row],[Device ID]],BOM!$B$3:$BQ$35,43,FALSE),"")</f>
        <v>no</v>
      </c>
      <c r="AN124" s="59" t="str">
        <f>IFERROR(VLOOKUP(Tabelle32[[#This Row],[Device ID]],BOM!$B$3:$BQ$35,44,FALSE),"")</f>
        <v>yes</v>
      </c>
      <c r="AO124" s="59" t="str">
        <f>IFERROR(VLOOKUP(Tabelle32[[#This Row],[Device ID]],BOM!$B$3:$BQ$35,45,FALSE),"")</f>
        <v>no</v>
      </c>
      <c r="AP124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24" s="59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73" t="s">
        <v>199</v>
      </c>
      <c r="BI124" s="30" t="str">
        <f>IF(COUNTA(Tabelle32[[#This Row],[Type:Vid_1080i50]:[Type:Anc_Prot]])&gt;0,"x","")</f>
        <v/>
      </c>
      <c r="BJ12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24" s="59"/>
      <c r="BL124" s="59"/>
      <c r="BM124" s="63"/>
      <c r="BN124" s="63"/>
      <c r="BO124" s="99"/>
      <c r="BP124" s="106"/>
      <c r="BQ124" s="75">
        <f>LEN(Tabelle32[[#This Row],[Label 1
GFX-Unit]])</f>
        <v>0</v>
      </c>
      <c r="BR124" s="63"/>
      <c r="BS124" s="63"/>
      <c r="BT124" s="59"/>
      <c r="BU124" s="59"/>
      <c r="BV124" s="59" t="s">
        <v>257</v>
      </c>
      <c r="BW124" s="59" t="s">
        <v>258</v>
      </c>
      <c r="BX124" s="59" t="s">
        <v>410</v>
      </c>
      <c r="BY124" s="59">
        <v>6</v>
      </c>
    </row>
    <row r="125" spans="1:77" hidden="1" x14ac:dyDescent="0.2">
      <c r="A125" s="58" t="str">
        <f>CONCATENATE(Tabelle32[[#This Row],[Device ID]],".",Tabelle32[[#This Row],[Streamcounter]])</f>
        <v>383.06214</v>
      </c>
      <c r="B12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VGW-103_SDI06_AUDsend_0014</v>
      </c>
      <c r="C125" s="60"/>
      <c r="D125" s="61"/>
      <c r="E125" s="62"/>
      <c r="F125" s="59" t="str">
        <f>IFERROR(VLOOKUP(Tabelle32[[#This Row],[Device ID]],BOM!$B$3:$BQ$35,16,FALSE),"")</f>
        <v>R421 HD2 Backup</v>
      </c>
      <c r="G125" s="63">
        <f>VLOOKUP(Tabelle32[[#This Row],[SDI Interface]],BOM!$A$4:$B$35,2,FALSE)</f>
        <v>383</v>
      </c>
      <c r="H125" s="59" t="str">
        <f>BOM!$C$4</f>
        <v>VGW-103</v>
      </c>
      <c r="I125" s="59" t="str">
        <f>IFERROR(VLOOKUP(Tabelle32[[#This Row],[Device ID]],BOM!$B$3:$BQ$35,12,FALSE),"")</f>
        <v>Videoserver</v>
      </c>
      <c r="J125" s="59" t="str">
        <f>IFERROR(VLOOKUP(Tabelle32[[#This Row],[Device ID]],BOM!$B$3:$BQ$35,13,FALSE),"")</f>
        <v>TC.U1.223 | MDC</v>
      </c>
      <c r="K125" s="59" t="str">
        <f>IFERROR(VLOOKUP(Tabelle32[[#This Row],[Device ID]],BOM!$B$3:$BQ$35,14,FALSE),"")</f>
        <v>Imagine Comunications</v>
      </c>
      <c r="L125" s="59" t="str">
        <f>IFERROR(VLOOKUP(Tabelle32[[#This Row],[Device ID]],BOM!$B$3:$BQ$35,16,FALSE),"")</f>
        <v>R421 HD2 Backup</v>
      </c>
      <c r="M125" s="63" t="str">
        <f>IFERROR(VLOOKUP(Tabelle32[[#This Row],[Device ID]],BOM!$B$3:$BQ$35,17,FALSE),"")</f>
        <v>R421</v>
      </c>
      <c r="N125" s="59" t="str">
        <f>IFERROR(VLOOKUP(Tabelle32[[#This Row],[Device ID]],BOM!$B$3:$BQ$35,18,FALSE),"")</f>
        <v>TC.00.104 | R401</v>
      </c>
      <c r="O125" s="64"/>
      <c r="P125" s="64">
        <f>IFERROR(VLOOKUP(Tabelle32[[#This Row],[Device ID]],BOM!$B$3:$BO$50,20,FALSE),"")</f>
        <v>0</v>
      </c>
      <c r="Q125" s="64">
        <f>IFERROR(VLOOKUP(Tabelle32[[#This Row],[Device ID]],BOM!$B$3:$BO$50,21,FALSE),"")</f>
        <v>1</v>
      </c>
      <c r="R125" s="64">
        <f>IFERROR(VLOOKUP(Tabelle32[[#This Row],[Device ID]],BOM!$B$3:$BO$50,22,FALSE),"")</f>
        <v>0</v>
      </c>
      <c r="S125" s="64"/>
      <c r="T125" s="64"/>
      <c r="U125" s="59" t="str">
        <f>IFERROR(VLOOKUP(Tabelle32[[#This Row],[Device ID]],BOM!$B$3:$BQ$35,25,FALSE),"")</f>
        <v>Luis/Ivo</v>
      </c>
      <c r="V125" s="59" t="str">
        <f>IFERROR(VLOOKUP(Tabelle32[[#This Row],[Device ID]],BOM!$B$3:$BQ$35,26,FALSE),"")</f>
        <v>tpco-megw-vgw103.rta.st-net.media.int</v>
      </c>
      <c r="W125" s="59" t="str">
        <f>IFERROR(VLOOKUP(Tabelle32[[#This Row],[Device ID]],BOM!$B$3:$BQ$35,27,FALSE),"")</f>
        <v>10.120.236.50</v>
      </c>
      <c r="X125" s="59" t="str">
        <f>IFERROR(VLOOKUP(Tabelle32[[#This Row],[Device ID]],BOM!$B$3:$BQ$35,28,FALSE),"")</f>
        <v>AVCoreA</v>
      </c>
      <c r="Y125" s="59" t="str">
        <f>IFERROR(VLOOKUP(Tabelle32[[#This Row],[Device ID]],BOM!$B$3:$BQ$35,29,FALSE),"")</f>
        <v>5_36_1</v>
      </c>
      <c r="Z125" s="59" t="str">
        <f>IFERROR(VLOOKUP(Tabelle32[[#This Row],[Device ID]],BOM!$B$3:$BQ$35,30,FALSE),"")</f>
        <v>tpco-megw-vgw103.rtb.st-net.media.int</v>
      </c>
      <c r="AA125" s="59" t="str">
        <f>IFERROR(VLOOKUP(Tabelle32[[#This Row],[Device ID]],BOM!$B$3:$BQ$35,31,FALSE),"")</f>
        <v>10.120.236.54</v>
      </c>
      <c r="AB125" s="59" t="str">
        <f>IFERROR(VLOOKUP(Tabelle32[[#This Row],[Device ID]],BOM!$B$3:$BQ$35,32,FALSE),"")</f>
        <v>AVCoreB</v>
      </c>
      <c r="AC125" s="59" t="str">
        <f>IFERROR(VLOOKUP(Tabelle32[[#This Row],[Device ID]],BOM!$B$3:$BQ$35,33,FALSE),"")</f>
        <v>5_36_1</v>
      </c>
      <c r="AD125" s="59" t="str">
        <f>IFERROR(VLOOKUP(Tabelle32[[#This Row],[Device ID]],BOM!$B$3:$BQ$35,34,FALSE),"")</f>
        <v>tpco-megw-vgw103.st-net.media.int</v>
      </c>
      <c r="AE125" s="59" t="str">
        <f>IFERROR(VLOOKUP(Tabelle32[[#This Row],[Device ID]],BOM!$B$3:$BQ$35,35,FALSE),"")</f>
        <v>10.120.67.141</v>
      </c>
      <c r="AF125" s="59">
        <f>IFERROR(VLOOKUP(Tabelle32[[#This Row],[Device ID]],BOM!$B$3:$BQ$35,36,FALSE),"")</f>
        <v>0</v>
      </c>
      <c r="AG125" s="59">
        <f>IFERROR(VLOOKUP(Tabelle32[[#This Row],[Device ID]],BOM!$B$3:$BQ$35,37,FALSE),"")</f>
        <v>0</v>
      </c>
      <c r="AH125" s="59"/>
      <c r="AI125" s="59"/>
      <c r="AJ125" s="59"/>
      <c r="AK125" s="59"/>
      <c r="AL125" s="59" t="str">
        <f>IFERROR(VLOOKUP(Tabelle32[[#This Row],[Device ID]],BOM!$B$3:$BQ$35,42,FALSE),"")</f>
        <v>Imagine Communications SNP</v>
      </c>
      <c r="AM125" s="59" t="str">
        <f>IFERROR(VLOOKUP(Tabelle32[[#This Row],[Device ID]],BOM!$B$3:$BQ$35,43,FALSE),"")</f>
        <v>no</v>
      </c>
      <c r="AN125" s="59" t="str">
        <f>IFERROR(VLOOKUP(Tabelle32[[#This Row],[Device ID]],BOM!$B$3:$BQ$35,44,FALSE),"")</f>
        <v>yes</v>
      </c>
      <c r="AO125" s="59" t="str">
        <f>IFERROR(VLOOKUP(Tabelle32[[#This Row],[Device ID]],BOM!$B$3:$BQ$35,45,FALSE),"")</f>
        <v>no</v>
      </c>
      <c r="AP125" s="59" t="str">
        <f>IFERROR(CONCATENATE(Tabelle32[[#This Row],[Family
GFX-Unit]]," | ",Tabelle32[[#This Row],[Label 1
GFX-Unit]]," | ",Tabelle32[[#This Row],[Attached Device if Gateway]]),"")</f>
        <v xml:space="preserve"> |  | R421 HD2 Backup</v>
      </c>
      <c r="AQ125" s="59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73" t="s">
        <v>199</v>
      </c>
      <c r="BI125" s="30" t="str">
        <f>IF(COUNTA(Tabelle32[[#This Row],[Type:Vid_1080i50]:[Type:Anc_Prot]])&gt;0,"x","")</f>
        <v/>
      </c>
      <c r="BJ12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25" s="59"/>
      <c r="BL125" s="59"/>
      <c r="BM125" s="63"/>
      <c r="BN125" s="63"/>
      <c r="BO125" s="99"/>
      <c r="BP125" s="106"/>
      <c r="BQ125" s="75">
        <f>LEN(Tabelle32[[#This Row],[Label 1
GFX-Unit]])</f>
        <v>0</v>
      </c>
      <c r="BR125" s="63"/>
      <c r="BS125" s="63"/>
      <c r="BT125" s="59"/>
      <c r="BU125" s="59"/>
      <c r="BV125" s="59" t="s">
        <v>260</v>
      </c>
      <c r="BW125" s="59" t="s">
        <v>261</v>
      </c>
      <c r="BX125" s="59" t="s">
        <v>411</v>
      </c>
      <c r="BY125" s="59">
        <v>6</v>
      </c>
    </row>
    <row r="126" spans="1:77" x14ac:dyDescent="0.2">
      <c r="A126" s="58" t="str">
        <f>CONCATENATE(Tabelle32[[#This Row],[Device ID]],".",Tabelle32[[#This Row],[Streamcounter]])</f>
        <v>383.06215</v>
      </c>
      <c r="B12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VGW-103_SDI06_AUDsend_0015</v>
      </c>
      <c r="C126" s="60"/>
      <c r="D126" s="61"/>
      <c r="E126" s="62"/>
      <c r="F126" s="59" t="str">
        <f>IFERROR(VLOOKUP(Tabelle32[[#This Row],[Device ID]],BOM!$B$3:$BQ$35,16,FALSE),"")</f>
        <v>R421 HD2 Backup</v>
      </c>
      <c r="G126" s="63">
        <f>VLOOKUP(Tabelle32[[#This Row],[SDI Interface]],BOM!$A$4:$B$35,2,FALSE)</f>
        <v>383</v>
      </c>
      <c r="H126" s="59" t="str">
        <f>BOM!$C$4</f>
        <v>VGW-103</v>
      </c>
      <c r="I126" s="59" t="str">
        <f>IFERROR(VLOOKUP(Tabelle32[[#This Row],[Device ID]],BOM!$B$3:$BQ$35,12,FALSE),"")</f>
        <v>Videoserver</v>
      </c>
      <c r="J126" s="59" t="str">
        <f>IFERROR(VLOOKUP(Tabelle32[[#This Row],[Device ID]],BOM!$B$3:$BQ$35,13,FALSE),"")</f>
        <v>TC.U1.223 | MDC</v>
      </c>
      <c r="K126" s="59" t="str">
        <f>IFERROR(VLOOKUP(Tabelle32[[#This Row],[Device ID]],BOM!$B$3:$BQ$35,14,FALSE),"")</f>
        <v>Imagine Comunications</v>
      </c>
      <c r="L126" s="59" t="str">
        <f>IFERROR(VLOOKUP(Tabelle32[[#This Row],[Device ID]],BOM!$B$3:$BQ$35,16,FALSE),"")</f>
        <v>R421 HD2 Backup</v>
      </c>
      <c r="M126" s="63" t="str">
        <f>IFERROR(VLOOKUP(Tabelle32[[#This Row],[Device ID]],BOM!$B$3:$BQ$35,17,FALSE),"")</f>
        <v>R421</v>
      </c>
      <c r="N126" s="59" t="str">
        <f>IFERROR(VLOOKUP(Tabelle32[[#This Row],[Device ID]],BOM!$B$3:$BQ$35,18,FALSE),"")</f>
        <v>TC.00.104 | R401</v>
      </c>
      <c r="O126" s="64"/>
      <c r="P126" s="64">
        <f>IFERROR(VLOOKUP(Tabelle32[[#This Row],[Device ID]],BOM!$B$3:$BO$50,20,FALSE),"")</f>
        <v>0</v>
      </c>
      <c r="Q126" s="64">
        <f>IFERROR(VLOOKUP(Tabelle32[[#This Row],[Device ID]],BOM!$B$3:$BO$50,21,FALSE),"")</f>
        <v>1</v>
      </c>
      <c r="R126" s="64">
        <f>IFERROR(VLOOKUP(Tabelle32[[#This Row],[Device ID]],BOM!$B$3:$BO$50,22,FALSE),"")</f>
        <v>0</v>
      </c>
      <c r="S126" s="64"/>
      <c r="T126" s="64"/>
      <c r="U126" s="59" t="str">
        <f>IFERROR(VLOOKUP(Tabelle32[[#This Row],[Device ID]],BOM!$B$3:$BQ$35,25,FALSE),"")</f>
        <v>Luis/Ivo</v>
      </c>
      <c r="V126" s="59" t="str">
        <f>IFERROR(VLOOKUP(Tabelle32[[#This Row],[Device ID]],BOM!$B$3:$BQ$35,26,FALSE),"")</f>
        <v>tpco-megw-vgw103.rta.st-net.media.int</v>
      </c>
      <c r="W126" s="59" t="str">
        <f>IFERROR(VLOOKUP(Tabelle32[[#This Row],[Device ID]],BOM!$B$3:$BQ$35,27,FALSE),"")</f>
        <v>10.120.236.50</v>
      </c>
      <c r="X126" s="59" t="str">
        <f>IFERROR(VLOOKUP(Tabelle32[[#This Row],[Device ID]],BOM!$B$3:$BQ$35,28,FALSE),"")</f>
        <v>AVCoreA</v>
      </c>
      <c r="Y126" s="59" t="str">
        <f>IFERROR(VLOOKUP(Tabelle32[[#This Row],[Device ID]],BOM!$B$3:$BQ$35,29,FALSE),"")</f>
        <v>5_36_1</v>
      </c>
      <c r="Z126" s="59" t="str">
        <f>IFERROR(VLOOKUP(Tabelle32[[#This Row],[Device ID]],BOM!$B$3:$BQ$35,30,FALSE),"")</f>
        <v>tpco-megw-vgw103.rtb.st-net.media.int</v>
      </c>
      <c r="AA126" s="59" t="str">
        <f>IFERROR(VLOOKUP(Tabelle32[[#This Row],[Device ID]],BOM!$B$3:$BQ$35,31,FALSE),"")</f>
        <v>10.120.236.54</v>
      </c>
      <c r="AB126" s="59" t="str">
        <f>IFERROR(VLOOKUP(Tabelle32[[#This Row],[Device ID]],BOM!$B$3:$BQ$35,32,FALSE),"")</f>
        <v>AVCoreB</v>
      </c>
      <c r="AC126" s="59" t="str">
        <f>IFERROR(VLOOKUP(Tabelle32[[#This Row],[Device ID]],BOM!$B$3:$BQ$35,33,FALSE),"")</f>
        <v>5_36_1</v>
      </c>
      <c r="AD126" s="59" t="str">
        <f>IFERROR(VLOOKUP(Tabelle32[[#This Row],[Device ID]],BOM!$B$3:$BQ$35,34,FALSE),"")</f>
        <v>tpco-megw-vgw103.st-net.media.int</v>
      </c>
      <c r="AE126" s="59" t="str">
        <f>IFERROR(VLOOKUP(Tabelle32[[#This Row],[Device ID]],BOM!$B$3:$BQ$35,35,FALSE),"")</f>
        <v>10.120.67.141</v>
      </c>
      <c r="AF126" s="59">
        <f>IFERROR(VLOOKUP(Tabelle32[[#This Row],[Device ID]],BOM!$B$3:$BQ$35,36,FALSE),"")</f>
        <v>0</v>
      </c>
      <c r="AG126" s="59">
        <f>IFERROR(VLOOKUP(Tabelle32[[#This Row],[Device ID]],BOM!$B$3:$BQ$35,37,FALSE),"")</f>
        <v>0</v>
      </c>
      <c r="AH126" s="59"/>
      <c r="AI126" s="59"/>
      <c r="AJ126" s="59"/>
      <c r="AK126" s="59"/>
      <c r="AL126" s="59" t="str">
        <f>IFERROR(VLOOKUP(Tabelle32[[#This Row],[Device ID]],BOM!$B$3:$BQ$35,42,FALSE),"")</f>
        <v>Imagine Communications SNP</v>
      </c>
      <c r="AM126" s="59" t="str">
        <f>IFERROR(VLOOKUP(Tabelle32[[#This Row],[Device ID]],BOM!$B$3:$BQ$35,43,FALSE),"")</f>
        <v>no</v>
      </c>
      <c r="AN126" s="59" t="str">
        <f>IFERROR(VLOOKUP(Tabelle32[[#This Row],[Device ID]],BOM!$B$3:$BQ$35,44,FALSE),"")</f>
        <v>yes</v>
      </c>
      <c r="AO126" s="59" t="str">
        <f>IFERROR(VLOOKUP(Tabelle32[[#This Row],[Device ID]],BOM!$B$3:$BQ$35,45,FALSE),"")</f>
        <v>no</v>
      </c>
      <c r="AP126" s="59" t="str">
        <f>IFERROR(CONCATENATE(Tabelle32[[#This Row],[Family
GFX-Unit]]," | ",Tabelle32[[#This Row],[Label 1
GFX-Unit]]," | ",Tabelle32[[#This Row],[Attached Device if Gateway]]),"")</f>
        <v>PLAYOUT R421 | HD2 Backup-015 | R421 HD2 Backup</v>
      </c>
      <c r="AQ126" s="59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 t="s">
        <v>97</v>
      </c>
      <c r="BE126" s="90"/>
      <c r="BF126" s="90"/>
      <c r="BG126" s="90"/>
      <c r="BH126" s="73" t="s">
        <v>199</v>
      </c>
      <c r="BI126" s="30" t="str">
        <f>IF(COUNTA(Tabelle32[[#This Row],[Type:Vid_1080i50]:[Type:Anc_Prot]])&gt;0,"x","")</f>
        <v>x</v>
      </c>
      <c r="BJ12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126" s="59"/>
      <c r="BL126" s="59"/>
      <c r="BM126" s="63"/>
      <c r="BN126" s="63"/>
      <c r="BO126" s="100" t="s">
        <v>372</v>
      </c>
      <c r="BP126" s="94" t="s">
        <v>301</v>
      </c>
      <c r="BQ126" s="75">
        <f>LEN(Tabelle32[[#This Row],[Label 1
GFX-Unit]])</f>
        <v>14</v>
      </c>
      <c r="BR126" s="63"/>
      <c r="BS126" s="63"/>
      <c r="BT126" s="59"/>
      <c r="BU126" s="59"/>
      <c r="BV126" s="59" t="s">
        <v>264</v>
      </c>
      <c r="BW126" s="59" t="s">
        <v>265</v>
      </c>
      <c r="BX126" s="59" t="s">
        <v>412</v>
      </c>
      <c r="BY126" s="59">
        <v>6</v>
      </c>
    </row>
    <row r="127" spans="1:77" x14ac:dyDescent="0.2">
      <c r="A127" s="58" t="str">
        <f>CONCATENATE(Tabelle32[[#This Row],[Device ID]],".",Tabelle32[[#This Row],[Streamcounter]])</f>
        <v>383.06216</v>
      </c>
      <c r="B12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VGW-103_SDI06_AUDsend_0016</v>
      </c>
      <c r="C127" s="60"/>
      <c r="D127" s="61"/>
      <c r="E127" s="62"/>
      <c r="F127" s="59" t="str">
        <f>IFERROR(VLOOKUP(Tabelle32[[#This Row],[Device ID]],BOM!$B$3:$BQ$35,16,FALSE),"")</f>
        <v>R421 HD2 Backup</v>
      </c>
      <c r="G127" s="63">
        <f>VLOOKUP(Tabelle32[[#This Row],[SDI Interface]],BOM!$A$4:$B$35,2,FALSE)</f>
        <v>383</v>
      </c>
      <c r="H127" s="59" t="str">
        <f>BOM!$C$4</f>
        <v>VGW-103</v>
      </c>
      <c r="I127" s="59" t="str">
        <f>IFERROR(VLOOKUP(Tabelle32[[#This Row],[Device ID]],BOM!$B$3:$BQ$35,12,FALSE),"")</f>
        <v>Videoserver</v>
      </c>
      <c r="J127" s="59" t="str">
        <f>IFERROR(VLOOKUP(Tabelle32[[#This Row],[Device ID]],BOM!$B$3:$BQ$35,13,FALSE),"")</f>
        <v>TC.U1.223 | MDC</v>
      </c>
      <c r="K127" s="59" t="str">
        <f>IFERROR(VLOOKUP(Tabelle32[[#This Row],[Device ID]],BOM!$B$3:$BQ$35,14,FALSE),"")</f>
        <v>Imagine Comunications</v>
      </c>
      <c r="L127" s="59" t="str">
        <f>IFERROR(VLOOKUP(Tabelle32[[#This Row],[Device ID]],BOM!$B$3:$BQ$35,16,FALSE),"")</f>
        <v>R421 HD2 Backup</v>
      </c>
      <c r="M127" s="63" t="str">
        <f>IFERROR(VLOOKUP(Tabelle32[[#This Row],[Device ID]],BOM!$B$3:$BQ$35,17,FALSE),"")</f>
        <v>R421</v>
      </c>
      <c r="N127" s="59" t="str">
        <f>IFERROR(VLOOKUP(Tabelle32[[#This Row],[Device ID]],BOM!$B$3:$BQ$35,18,FALSE),"")</f>
        <v>TC.00.104 | R401</v>
      </c>
      <c r="O127" s="64"/>
      <c r="P127" s="64">
        <f>IFERROR(VLOOKUP(Tabelle32[[#This Row],[Device ID]],BOM!$B$3:$BO$50,20,FALSE),"")</f>
        <v>0</v>
      </c>
      <c r="Q127" s="64">
        <f>IFERROR(VLOOKUP(Tabelle32[[#This Row],[Device ID]],BOM!$B$3:$BO$50,21,FALSE),"")</f>
        <v>1</v>
      </c>
      <c r="R127" s="64">
        <f>IFERROR(VLOOKUP(Tabelle32[[#This Row],[Device ID]],BOM!$B$3:$BO$50,22,FALSE),"")</f>
        <v>0</v>
      </c>
      <c r="S127" s="64"/>
      <c r="T127" s="64"/>
      <c r="U127" s="59" t="str">
        <f>IFERROR(VLOOKUP(Tabelle32[[#This Row],[Device ID]],BOM!$B$3:$BQ$35,25,FALSE),"")</f>
        <v>Luis/Ivo</v>
      </c>
      <c r="V127" s="59" t="str">
        <f>IFERROR(VLOOKUP(Tabelle32[[#This Row],[Device ID]],BOM!$B$3:$BQ$35,26,FALSE),"")</f>
        <v>tpco-megw-vgw103.rta.st-net.media.int</v>
      </c>
      <c r="W127" s="59" t="str">
        <f>IFERROR(VLOOKUP(Tabelle32[[#This Row],[Device ID]],BOM!$B$3:$BQ$35,27,FALSE),"")</f>
        <v>10.120.236.50</v>
      </c>
      <c r="X127" s="59" t="str">
        <f>IFERROR(VLOOKUP(Tabelle32[[#This Row],[Device ID]],BOM!$B$3:$BQ$35,28,FALSE),"")</f>
        <v>AVCoreA</v>
      </c>
      <c r="Y127" s="59" t="str">
        <f>IFERROR(VLOOKUP(Tabelle32[[#This Row],[Device ID]],BOM!$B$3:$BQ$35,29,FALSE),"")</f>
        <v>5_36_1</v>
      </c>
      <c r="Z127" s="59" t="str">
        <f>IFERROR(VLOOKUP(Tabelle32[[#This Row],[Device ID]],BOM!$B$3:$BQ$35,30,FALSE),"")</f>
        <v>tpco-megw-vgw103.rtb.st-net.media.int</v>
      </c>
      <c r="AA127" s="59" t="str">
        <f>IFERROR(VLOOKUP(Tabelle32[[#This Row],[Device ID]],BOM!$B$3:$BQ$35,31,FALSE),"")</f>
        <v>10.120.236.54</v>
      </c>
      <c r="AB127" s="59" t="str">
        <f>IFERROR(VLOOKUP(Tabelle32[[#This Row],[Device ID]],BOM!$B$3:$BQ$35,32,FALSE),"")</f>
        <v>AVCoreB</v>
      </c>
      <c r="AC127" s="59" t="str">
        <f>IFERROR(VLOOKUP(Tabelle32[[#This Row],[Device ID]],BOM!$B$3:$BQ$35,33,FALSE),"")</f>
        <v>5_36_1</v>
      </c>
      <c r="AD127" s="59" t="str">
        <f>IFERROR(VLOOKUP(Tabelle32[[#This Row],[Device ID]],BOM!$B$3:$BQ$35,34,FALSE),"")</f>
        <v>tpco-megw-vgw103.st-net.media.int</v>
      </c>
      <c r="AE127" s="59" t="str">
        <f>IFERROR(VLOOKUP(Tabelle32[[#This Row],[Device ID]],BOM!$B$3:$BQ$35,35,FALSE),"")</f>
        <v>10.120.67.141</v>
      </c>
      <c r="AF127" s="59">
        <f>IFERROR(VLOOKUP(Tabelle32[[#This Row],[Device ID]],BOM!$B$3:$BQ$35,36,FALSE),"")</f>
        <v>0</v>
      </c>
      <c r="AG127" s="59">
        <f>IFERROR(VLOOKUP(Tabelle32[[#This Row],[Device ID]],BOM!$B$3:$BQ$35,37,FALSE),"")</f>
        <v>0</v>
      </c>
      <c r="AH127" s="59"/>
      <c r="AI127" s="59"/>
      <c r="AJ127" s="59"/>
      <c r="AK127" s="59"/>
      <c r="AL127" s="59" t="str">
        <f>IFERROR(VLOOKUP(Tabelle32[[#This Row],[Device ID]],BOM!$B$3:$BQ$35,42,FALSE),"")</f>
        <v>Imagine Communications SNP</v>
      </c>
      <c r="AM127" s="59" t="str">
        <f>IFERROR(VLOOKUP(Tabelle32[[#This Row],[Device ID]],BOM!$B$3:$BQ$35,43,FALSE),"")</f>
        <v>no</v>
      </c>
      <c r="AN127" s="59" t="str">
        <f>IFERROR(VLOOKUP(Tabelle32[[#This Row],[Device ID]],BOM!$B$3:$BQ$35,44,FALSE),"")</f>
        <v>yes</v>
      </c>
      <c r="AO127" s="59" t="str">
        <f>IFERROR(VLOOKUP(Tabelle32[[#This Row],[Device ID]],BOM!$B$3:$BQ$35,45,FALSE),"")</f>
        <v>no</v>
      </c>
      <c r="AP127" s="59" t="str">
        <f>IFERROR(CONCATENATE(Tabelle32[[#This Row],[Family
GFX-Unit]]," | ",Tabelle32[[#This Row],[Label 1
GFX-Unit]]," | ",Tabelle32[[#This Row],[Attached Device if Gateway]]),"")</f>
        <v>PLAYOUT R421 | HD2 Backup-016 | R421 HD2 Backup</v>
      </c>
      <c r="AQ127" s="59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 t="s">
        <v>97</v>
      </c>
      <c r="BE127" s="90"/>
      <c r="BF127" s="90"/>
      <c r="BG127" s="90"/>
      <c r="BH127" s="73" t="s">
        <v>199</v>
      </c>
      <c r="BI127" s="30" t="str">
        <f>IF(COUNTA(Tabelle32[[#This Row],[Type:Vid_1080i50]:[Type:Anc_Prot]])&gt;0,"x","")</f>
        <v>x</v>
      </c>
      <c r="BJ12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127" s="59"/>
      <c r="BL127" s="59"/>
      <c r="BM127" s="63"/>
      <c r="BN127" s="63"/>
      <c r="BO127" s="100" t="s">
        <v>372</v>
      </c>
      <c r="BP127" s="94" t="s">
        <v>303</v>
      </c>
      <c r="BQ127" s="75">
        <f>LEN(Tabelle32[[#This Row],[Label 1
GFX-Unit]])</f>
        <v>14</v>
      </c>
      <c r="BR127" s="63"/>
      <c r="BS127" s="63"/>
      <c r="BT127" s="59"/>
      <c r="BU127" s="59"/>
      <c r="BV127" s="59" t="s">
        <v>268</v>
      </c>
      <c r="BW127" s="59" t="s">
        <v>269</v>
      </c>
      <c r="BX127" s="59" t="s">
        <v>413</v>
      </c>
      <c r="BY127" s="59">
        <v>6</v>
      </c>
    </row>
    <row r="128" spans="1:77" x14ac:dyDescent="0.2">
      <c r="A128" s="58" t="str">
        <f>CONCATENATE(Tabelle32[[#This Row],[Device ID]],".",Tabelle32[[#This Row],[Streamcounter]])</f>
        <v>383.06101</v>
      </c>
      <c r="B12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VGW-103_SDI06_VIDsend_0001</v>
      </c>
      <c r="C128" s="60"/>
      <c r="D128" s="61"/>
      <c r="E128" s="62"/>
      <c r="F128" s="59" t="str">
        <f>IFERROR(VLOOKUP(Tabelle32[[#This Row],[Device ID]],BOM!$B$3:$BQ$35,16,FALSE),"")</f>
        <v>R421 HD2 Backup</v>
      </c>
      <c r="G128" s="63">
        <f>VLOOKUP(Tabelle32[[#This Row],[SDI Interface]],BOM!$A$4:$B$35,2,FALSE)</f>
        <v>383</v>
      </c>
      <c r="H128" s="59" t="str">
        <f>BOM!$C$4</f>
        <v>VGW-103</v>
      </c>
      <c r="I128" s="59" t="str">
        <f>IFERROR(VLOOKUP(Tabelle32[[#This Row],[Device ID]],BOM!$B$3:$BQ$35,12,FALSE),"")</f>
        <v>Videoserver</v>
      </c>
      <c r="J128" s="59" t="str">
        <f>IFERROR(VLOOKUP(Tabelle32[[#This Row],[Device ID]],BOM!$B$3:$BQ$35,13,FALSE),"")</f>
        <v>TC.U1.223 | MDC</v>
      </c>
      <c r="K128" s="59" t="str">
        <f>IFERROR(VLOOKUP(Tabelle32[[#This Row],[Device ID]],BOM!$B$3:$BQ$35,14,FALSE),"")</f>
        <v>Imagine Comunications</v>
      </c>
      <c r="L128" s="59" t="str">
        <f>IFERROR(VLOOKUP(Tabelle32[[#This Row],[Device ID]],BOM!$B$3:$BQ$35,16,FALSE),"")</f>
        <v>R421 HD2 Backup</v>
      </c>
      <c r="M128" s="63" t="str">
        <f>IFERROR(VLOOKUP(Tabelle32[[#This Row],[Device ID]],BOM!$B$3:$BQ$35,17,FALSE),"")</f>
        <v>R421</v>
      </c>
      <c r="N128" s="59" t="str">
        <f>IFERROR(VLOOKUP(Tabelle32[[#This Row],[Device ID]],BOM!$B$3:$BQ$35,18,FALSE),"")</f>
        <v>TC.00.104 | R401</v>
      </c>
      <c r="O128" s="64"/>
      <c r="P128" s="64">
        <f>IFERROR(VLOOKUP(Tabelle32[[#This Row],[Device ID]],BOM!$B$3:$BO$50,20,FALSE),"")</f>
        <v>0</v>
      </c>
      <c r="Q128" s="64">
        <f>IFERROR(VLOOKUP(Tabelle32[[#This Row],[Device ID]],BOM!$B$3:$BO$50,21,FALSE),"")</f>
        <v>1</v>
      </c>
      <c r="R128" s="64">
        <f>IFERROR(VLOOKUP(Tabelle32[[#This Row],[Device ID]],BOM!$B$3:$BO$50,22,FALSE),"")</f>
        <v>0</v>
      </c>
      <c r="S128" s="64"/>
      <c r="T128" s="64"/>
      <c r="U128" s="59" t="str">
        <f>IFERROR(VLOOKUP(Tabelle32[[#This Row],[Device ID]],BOM!$B$3:$BQ$35,25,FALSE),"")</f>
        <v>Luis/Ivo</v>
      </c>
      <c r="V128" s="59" t="str">
        <f>IFERROR(VLOOKUP(Tabelle32[[#This Row],[Device ID]],BOM!$B$3:$BQ$35,26,FALSE),"")</f>
        <v>tpco-megw-vgw103.rta.st-net.media.int</v>
      </c>
      <c r="W128" s="59" t="str">
        <f>IFERROR(VLOOKUP(Tabelle32[[#This Row],[Device ID]],BOM!$B$3:$BQ$35,27,FALSE),"")</f>
        <v>10.120.236.50</v>
      </c>
      <c r="X128" s="59" t="str">
        <f>IFERROR(VLOOKUP(Tabelle32[[#This Row],[Device ID]],BOM!$B$3:$BQ$35,28,FALSE),"")</f>
        <v>AVCoreA</v>
      </c>
      <c r="Y128" s="59" t="str">
        <f>IFERROR(VLOOKUP(Tabelle32[[#This Row],[Device ID]],BOM!$B$3:$BQ$35,29,FALSE),"")</f>
        <v>5_36_1</v>
      </c>
      <c r="Z128" s="59" t="str">
        <f>IFERROR(VLOOKUP(Tabelle32[[#This Row],[Device ID]],BOM!$B$3:$BQ$35,30,FALSE),"")</f>
        <v>tpco-megw-vgw103.rtb.st-net.media.int</v>
      </c>
      <c r="AA128" s="59" t="str">
        <f>IFERROR(VLOOKUP(Tabelle32[[#This Row],[Device ID]],BOM!$B$3:$BQ$35,31,FALSE),"")</f>
        <v>10.120.236.54</v>
      </c>
      <c r="AB128" s="59" t="str">
        <f>IFERROR(VLOOKUP(Tabelle32[[#This Row],[Device ID]],BOM!$B$3:$BQ$35,32,FALSE),"")</f>
        <v>AVCoreB</v>
      </c>
      <c r="AC128" s="59" t="str">
        <f>IFERROR(VLOOKUP(Tabelle32[[#This Row],[Device ID]],BOM!$B$3:$BQ$35,33,FALSE),"")</f>
        <v>5_36_1</v>
      </c>
      <c r="AD128" s="59" t="str">
        <f>IFERROR(VLOOKUP(Tabelle32[[#This Row],[Device ID]],BOM!$B$3:$BQ$35,34,FALSE),"")</f>
        <v>tpco-megw-vgw103.st-net.media.int</v>
      </c>
      <c r="AE128" s="59" t="str">
        <f>IFERROR(VLOOKUP(Tabelle32[[#This Row],[Device ID]],BOM!$B$3:$BQ$35,35,FALSE),"")</f>
        <v>10.120.67.141</v>
      </c>
      <c r="AF128" s="59">
        <f>IFERROR(VLOOKUP(Tabelle32[[#This Row],[Device ID]],BOM!$B$3:$BQ$35,36,FALSE),"")</f>
        <v>0</v>
      </c>
      <c r="AG128" s="59">
        <f>IFERROR(VLOOKUP(Tabelle32[[#This Row],[Device ID]],BOM!$B$3:$BQ$35,37,FALSE),"")</f>
        <v>0</v>
      </c>
      <c r="AH128" s="59"/>
      <c r="AI128" s="59"/>
      <c r="AJ128" s="59"/>
      <c r="AK128" s="59"/>
      <c r="AL128" s="59" t="str">
        <f>IFERROR(VLOOKUP(Tabelle32[[#This Row],[Device ID]],BOM!$B$3:$BQ$35,42,FALSE),"")</f>
        <v>Imagine Communications SNP</v>
      </c>
      <c r="AM128" s="59" t="str">
        <f>IFERROR(VLOOKUP(Tabelle32[[#This Row],[Device ID]],BOM!$B$3:$BQ$35,43,FALSE),"")</f>
        <v>no</v>
      </c>
      <c r="AN128" s="59" t="str">
        <f>IFERROR(VLOOKUP(Tabelle32[[#This Row],[Device ID]],BOM!$B$3:$BQ$35,44,FALSE),"")</f>
        <v>yes</v>
      </c>
      <c r="AO128" s="59" t="str">
        <f>IFERROR(VLOOKUP(Tabelle32[[#This Row],[Device ID]],BOM!$B$3:$BQ$35,45,FALSE),"")</f>
        <v>no</v>
      </c>
      <c r="AP128" s="59" t="str">
        <f>IFERROR(CONCATENATE(Tabelle32[[#This Row],[Family
GFX-Unit]]," | ",Tabelle32[[#This Row],[Label 1
GFX-Unit]]," | ",Tabelle32[[#This Row],[Attached Device if Gateway]]),"")</f>
        <v>PLAYOUT R421 | HD2 Backup | R421 HD2 Backup</v>
      </c>
      <c r="AQ128" s="59"/>
      <c r="AR128" s="90" t="s">
        <v>97</v>
      </c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  <c r="BF128" s="90"/>
      <c r="BG128" s="90"/>
      <c r="BH128" s="73" t="s">
        <v>199</v>
      </c>
      <c r="BI128" s="30" t="str">
        <f>IF(COUNTA(Tabelle32[[#This Row],[Type:Vid_1080i50]:[Type:Anc_Prot]])&gt;0,"x","")</f>
        <v>x</v>
      </c>
      <c r="BJ12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128" s="59"/>
      <c r="BL128" s="59"/>
      <c r="BM128" s="63"/>
      <c r="BN128" s="63"/>
      <c r="BO128" s="100" t="s">
        <v>372</v>
      </c>
      <c r="BP128" s="102" t="s">
        <v>305</v>
      </c>
      <c r="BQ128" s="75">
        <f>LEN(Tabelle32[[#This Row],[Label 1
GFX-Unit]])</f>
        <v>10</v>
      </c>
      <c r="BR128" s="63"/>
      <c r="BS128" s="63"/>
      <c r="BT128" s="59"/>
      <c r="BU128" s="59"/>
      <c r="BV128" s="59" t="s">
        <v>272</v>
      </c>
      <c r="BW128" s="59" t="s">
        <v>273</v>
      </c>
      <c r="BX128" s="59" t="s">
        <v>414</v>
      </c>
      <c r="BY128" s="59">
        <v>6</v>
      </c>
    </row>
    <row r="129" spans="1:77" x14ac:dyDescent="0.2">
      <c r="A129" s="58" t="str">
        <f>CONCATENATE(Tabelle32[[#This Row],[Device ID]],".",Tabelle32[[#This Row],[Streamcounter]])</f>
        <v>384.07301</v>
      </c>
      <c r="B12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VGW-103_SDI07_ANCsend_0001</v>
      </c>
      <c r="C129" s="67"/>
      <c r="D129" s="61"/>
      <c r="E129" s="67"/>
      <c r="F129" s="59" t="str">
        <f>IFERROR(VLOOKUP(Tabelle32[[#This Row],[Device ID]],BOM!$B$3:$BQ$35,16,FALSE),"")</f>
        <v>MPA 431 HD1</v>
      </c>
      <c r="G129" s="63">
        <f>VLOOKUP(Tabelle32[[#This Row],[SDI Interface]],BOM!$A$4:$B$35,2,FALSE)</f>
        <v>384</v>
      </c>
      <c r="H129" s="59" t="str">
        <f>BOM!$C$4</f>
        <v>VGW-103</v>
      </c>
      <c r="I129" s="59" t="str">
        <f>IFERROR(VLOOKUP(Tabelle32[[#This Row],[Device ID]],BOM!$B$3:$BQ$35,12,FALSE),"")</f>
        <v>Videoserver</v>
      </c>
      <c r="J129" s="59" t="str">
        <f>IFERROR(VLOOKUP(Tabelle32[[#This Row],[Device ID]],BOM!$B$3:$BQ$35,13,FALSE),"")</f>
        <v>TC.U1.223 | MDC</v>
      </c>
      <c r="K129" s="59" t="str">
        <f>IFERROR(VLOOKUP(Tabelle32[[#This Row],[Device ID]],BOM!$B$3:$BQ$35,14,FALSE),"")</f>
        <v>Imagine Comunications</v>
      </c>
      <c r="L129" s="59" t="str">
        <f>IFERROR(VLOOKUP(Tabelle32[[#This Row],[Device ID]],BOM!$B$3:$BQ$35,16,FALSE),"")</f>
        <v>MPA 431 HD1</v>
      </c>
      <c r="M129" s="63" t="str">
        <f>IFERROR(VLOOKUP(Tabelle32[[#This Row],[Device ID]],BOM!$B$3:$BQ$35,17,FALSE),"")</f>
        <v>MPA 431</v>
      </c>
      <c r="N129" s="59" t="str">
        <f>IFERROR(VLOOKUP(Tabelle32[[#This Row],[Device ID]],BOM!$B$3:$BQ$35,18,FALSE),"")</f>
        <v>TC.03.021 | MPA431</v>
      </c>
      <c r="O129" s="64"/>
      <c r="P129" s="64">
        <f>IFERROR(VLOOKUP(Tabelle32[[#This Row],[Device ID]],BOM!$B$3:$BO$50,20,FALSE),"")</f>
        <v>0</v>
      </c>
      <c r="Q129" s="64">
        <f>IFERROR(VLOOKUP(Tabelle32[[#This Row],[Device ID]],BOM!$B$3:$BO$50,21,FALSE),"")</f>
        <v>1</v>
      </c>
      <c r="R129" s="64">
        <f>IFERROR(VLOOKUP(Tabelle32[[#This Row],[Device ID]],BOM!$B$3:$BO$50,22,FALSE),"")</f>
        <v>0</v>
      </c>
      <c r="S129" s="64"/>
      <c r="T129" s="64"/>
      <c r="U129" s="59" t="str">
        <f>IFERROR(VLOOKUP(Tabelle32[[#This Row],[Device ID]],BOM!$B$3:$BQ$35,25,FALSE),"")</f>
        <v>Luis/Ivo</v>
      </c>
      <c r="V129" s="59" t="str">
        <f>IFERROR(VLOOKUP(Tabelle32[[#This Row],[Device ID]],BOM!$B$3:$BQ$35,26,FALSE),"")</f>
        <v>tpco-megw-vgw103.rta.st-net.media.int</v>
      </c>
      <c r="W129" s="59" t="str">
        <f>IFERROR(VLOOKUP(Tabelle32[[#This Row],[Device ID]],BOM!$B$3:$BQ$35,27,FALSE),"")</f>
        <v>10.120.236.50</v>
      </c>
      <c r="X129" s="59" t="str">
        <f>IFERROR(VLOOKUP(Tabelle32[[#This Row],[Device ID]],BOM!$B$3:$BQ$35,28,FALSE),"")</f>
        <v>AVCoreA</v>
      </c>
      <c r="Y129" s="59" t="str">
        <f>IFERROR(VLOOKUP(Tabelle32[[#This Row],[Device ID]],BOM!$B$3:$BQ$35,29,FALSE),"")</f>
        <v>5_36_1</v>
      </c>
      <c r="Z129" s="59" t="str">
        <f>IFERROR(VLOOKUP(Tabelle32[[#This Row],[Device ID]],BOM!$B$3:$BQ$35,30,FALSE),"")</f>
        <v>tpco-megw-vgw103.rtb.st-net.media.int</v>
      </c>
      <c r="AA129" s="59" t="str">
        <f>IFERROR(VLOOKUP(Tabelle32[[#This Row],[Device ID]],BOM!$B$3:$BQ$35,31,FALSE),"")</f>
        <v>10.120.236.54</v>
      </c>
      <c r="AB129" s="59" t="str">
        <f>IFERROR(VLOOKUP(Tabelle32[[#This Row],[Device ID]],BOM!$B$3:$BQ$35,32,FALSE),"")</f>
        <v>AVCoreB</v>
      </c>
      <c r="AC129" s="59" t="str">
        <f>IFERROR(VLOOKUP(Tabelle32[[#This Row],[Device ID]],BOM!$B$3:$BQ$35,33,FALSE),"")</f>
        <v>5_36_1</v>
      </c>
      <c r="AD129" s="59" t="str">
        <f>IFERROR(VLOOKUP(Tabelle32[[#This Row],[Device ID]],BOM!$B$3:$BQ$35,34,FALSE),"")</f>
        <v>tpco-megw-vgw103.st-net.media.int</v>
      </c>
      <c r="AE129" s="59" t="str">
        <f>IFERROR(VLOOKUP(Tabelle32[[#This Row],[Device ID]],BOM!$B$3:$BQ$35,35,FALSE),"")</f>
        <v>10.120.67.141</v>
      </c>
      <c r="AF129" s="59">
        <f>IFERROR(VLOOKUP(Tabelle32[[#This Row],[Device ID]],BOM!$B$3:$BQ$35,36,FALSE),"")</f>
        <v>0</v>
      </c>
      <c r="AG129" s="59">
        <f>IFERROR(VLOOKUP(Tabelle32[[#This Row],[Device ID]],BOM!$B$3:$BQ$35,37,FALSE),"")</f>
        <v>0</v>
      </c>
      <c r="AH129" s="59"/>
      <c r="AI129" s="59"/>
      <c r="AJ129" s="59"/>
      <c r="AK129" s="59"/>
      <c r="AL129" s="59" t="str">
        <f>IFERROR(VLOOKUP(Tabelle32[[#This Row],[Device ID]],BOM!$B$3:$BQ$35,42,FALSE),"")</f>
        <v>Imagine Communications SNP</v>
      </c>
      <c r="AM129" s="59" t="str">
        <f>IFERROR(VLOOKUP(Tabelle32[[#This Row],[Device ID]],BOM!$B$3:$BQ$35,43,FALSE),"")</f>
        <v>no</v>
      </c>
      <c r="AN129" s="59" t="str">
        <f>IFERROR(VLOOKUP(Tabelle32[[#This Row],[Device ID]],BOM!$B$3:$BQ$35,44,FALSE),"")</f>
        <v>yes</v>
      </c>
      <c r="AO129" s="59" t="str">
        <f>IFERROR(VLOOKUP(Tabelle32[[#This Row],[Device ID]],BOM!$B$3:$BQ$35,45,FALSE),"")</f>
        <v>no</v>
      </c>
      <c r="AP129" s="59" t="str">
        <f>IFERROR(CONCATENATE(Tabelle32[[#This Row],[Family
GFX-Unit]]," | ",Tabelle32[[#This Row],[Label 1
GFX-Unit]]," | ",Tabelle32[[#This Row],[Attached Device if Gateway]]),"")</f>
        <v>PLAYOUT MPA431 | HD1-001 | MPA 431 HD1</v>
      </c>
      <c r="AQ129" s="59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 t="s">
        <v>97</v>
      </c>
      <c r="BH129" s="73" t="s">
        <v>199</v>
      </c>
      <c r="BI129" s="30" t="str">
        <f>IF(COUNTA(Tabelle32[[#This Row],[Type:Vid_1080i50]:[Type:Anc_Prot]])&gt;0,"x","")</f>
        <v>x</v>
      </c>
      <c r="BJ12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129" s="59"/>
      <c r="BL129" s="59"/>
      <c r="BM129" s="63"/>
      <c r="BN129" s="63"/>
      <c r="BO129" s="97" t="s">
        <v>415</v>
      </c>
      <c r="BP129" s="97" t="s">
        <v>308</v>
      </c>
      <c r="BQ129" s="75">
        <f>LEN(Tabelle32[[#This Row],[Label 1
GFX-Unit]])</f>
        <v>7</v>
      </c>
      <c r="BR129" s="63"/>
      <c r="BS129" s="63"/>
      <c r="BT129" s="59"/>
      <c r="BU129" s="59"/>
      <c r="BV129" s="59" t="s">
        <v>202</v>
      </c>
      <c r="BW129" s="59" t="s">
        <v>203</v>
      </c>
      <c r="BX129" s="59" t="s">
        <v>416</v>
      </c>
      <c r="BY129" s="59">
        <v>7</v>
      </c>
    </row>
    <row r="130" spans="1:77" hidden="1" x14ac:dyDescent="0.2">
      <c r="A130" s="58" t="str">
        <f>CONCATENATE(Tabelle32[[#This Row],[Device ID]],".",Tabelle32[[#This Row],[Streamcounter]])</f>
        <v>384.07302</v>
      </c>
      <c r="B13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VGW-103_SDI07_ANCsend_0002</v>
      </c>
      <c r="C130" s="67"/>
      <c r="D130" s="61"/>
      <c r="E130" s="67"/>
      <c r="F130" s="59" t="str">
        <f>IFERROR(VLOOKUP(Tabelle32[[#This Row],[Device ID]],BOM!$B$3:$BQ$35,16,FALSE),"")</f>
        <v>MPA 431 HD1</v>
      </c>
      <c r="G130" s="63">
        <f>VLOOKUP(Tabelle32[[#This Row],[SDI Interface]],BOM!$A$4:$B$35,2,FALSE)</f>
        <v>384</v>
      </c>
      <c r="H130" s="59" t="str">
        <f>BOM!$C$4</f>
        <v>VGW-103</v>
      </c>
      <c r="I130" s="59" t="str">
        <f>IFERROR(VLOOKUP(Tabelle32[[#This Row],[Device ID]],BOM!$B$3:$BQ$35,12,FALSE),"")</f>
        <v>Videoserver</v>
      </c>
      <c r="J130" s="59" t="str">
        <f>IFERROR(VLOOKUP(Tabelle32[[#This Row],[Device ID]],BOM!$B$3:$BQ$35,13,FALSE),"")</f>
        <v>TC.U1.223 | MDC</v>
      </c>
      <c r="K130" s="59" t="str">
        <f>IFERROR(VLOOKUP(Tabelle32[[#This Row],[Device ID]],BOM!$B$3:$BQ$35,14,FALSE),"")</f>
        <v>Imagine Comunications</v>
      </c>
      <c r="L130" s="59" t="str">
        <f>IFERROR(VLOOKUP(Tabelle32[[#This Row],[Device ID]],BOM!$B$3:$BQ$35,16,FALSE),"")</f>
        <v>MPA 431 HD1</v>
      </c>
      <c r="M130" s="63" t="str">
        <f>IFERROR(VLOOKUP(Tabelle32[[#This Row],[Device ID]],BOM!$B$3:$BQ$35,17,FALSE),"")</f>
        <v>MPA 431</v>
      </c>
      <c r="N130" s="59" t="str">
        <f>IFERROR(VLOOKUP(Tabelle32[[#This Row],[Device ID]],BOM!$B$3:$BQ$35,18,FALSE),"")</f>
        <v>TC.03.021 | MPA431</v>
      </c>
      <c r="O130" s="64"/>
      <c r="P130" s="64">
        <f>IFERROR(VLOOKUP(Tabelle32[[#This Row],[Device ID]],BOM!$B$3:$BO$50,20,FALSE),"")</f>
        <v>0</v>
      </c>
      <c r="Q130" s="64">
        <f>IFERROR(VLOOKUP(Tabelle32[[#This Row],[Device ID]],BOM!$B$3:$BO$50,21,FALSE),"")</f>
        <v>1</v>
      </c>
      <c r="R130" s="64">
        <f>IFERROR(VLOOKUP(Tabelle32[[#This Row],[Device ID]],BOM!$B$3:$BO$50,22,FALSE),"")</f>
        <v>0</v>
      </c>
      <c r="S130" s="64"/>
      <c r="T130" s="64"/>
      <c r="U130" s="59" t="str">
        <f>IFERROR(VLOOKUP(Tabelle32[[#This Row],[Device ID]],BOM!$B$3:$BQ$35,25,FALSE),"")</f>
        <v>Luis/Ivo</v>
      </c>
      <c r="V130" s="59" t="str">
        <f>IFERROR(VLOOKUP(Tabelle32[[#This Row],[Device ID]],BOM!$B$3:$BQ$35,26,FALSE),"")</f>
        <v>tpco-megw-vgw103.rta.st-net.media.int</v>
      </c>
      <c r="W130" s="59" t="str">
        <f>IFERROR(VLOOKUP(Tabelle32[[#This Row],[Device ID]],BOM!$B$3:$BQ$35,27,FALSE),"")</f>
        <v>10.120.236.50</v>
      </c>
      <c r="X130" s="59" t="str">
        <f>IFERROR(VLOOKUP(Tabelle32[[#This Row],[Device ID]],BOM!$B$3:$BQ$35,28,FALSE),"")</f>
        <v>AVCoreA</v>
      </c>
      <c r="Y130" s="59" t="str">
        <f>IFERROR(VLOOKUP(Tabelle32[[#This Row],[Device ID]],BOM!$B$3:$BQ$35,29,FALSE),"")</f>
        <v>5_36_1</v>
      </c>
      <c r="Z130" s="59" t="str">
        <f>IFERROR(VLOOKUP(Tabelle32[[#This Row],[Device ID]],BOM!$B$3:$BQ$35,30,FALSE),"")</f>
        <v>tpco-megw-vgw103.rtb.st-net.media.int</v>
      </c>
      <c r="AA130" s="59" t="str">
        <f>IFERROR(VLOOKUP(Tabelle32[[#This Row],[Device ID]],BOM!$B$3:$BQ$35,31,FALSE),"")</f>
        <v>10.120.236.54</v>
      </c>
      <c r="AB130" s="59" t="str">
        <f>IFERROR(VLOOKUP(Tabelle32[[#This Row],[Device ID]],BOM!$B$3:$BQ$35,32,FALSE),"")</f>
        <v>AVCoreB</v>
      </c>
      <c r="AC130" s="59" t="str">
        <f>IFERROR(VLOOKUP(Tabelle32[[#This Row],[Device ID]],BOM!$B$3:$BQ$35,33,FALSE),"")</f>
        <v>5_36_1</v>
      </c>
      <c r="AD130" s="59" t="str">
        <f>IFERROR(VLOOKUP(Tabelle32[[#This Row],[Device ID]],BOM!$B$3:$BQ$35,34,FALSE),"")</f>
        <v>tpco-megw-vgw103.st-net.media.int</v>
      </c>
      <c r="AE130" s="59" t="str">
        <f>IFERROR(VLOOKUP(Tabelle32[[#This Row],[Device ID]],BOM!$B$3:$BQ$35,35,FALSE),"")</f>
        <v>10.120.67.141</v>
      </c>
      <c r="AF130" s="59">
        <f>IFERROR(VLOOKUP(Tabelle32[[#This Row],[Device ID]],BOM!$B$3:$BQ$35,36,FALSE),"")</f>
        <v>0</v>
      </c>
      <c r="AG130" s="59">
        <f>IFERROR(VLOOKUP(Tabelle32[[#This Row],[Device ID]],BOM!$B$3:$BQ$35,37,FALSE),"")</f>
        <v>0</v>
      </c>
      <c r="AH130" s="59"/>
      <c r="AI130" s="59"/>
      <c r="AJ130" s="59"/>
      <c r="AK130" s="59"/>
      <c r="AL130" s="59" t="str">
        <f>IFERROR(VLOOKUP(Tabelle32[[#This Row],[Device ID]],BOM!$B$3:$BQ$35,42,FALSE),"")</f>
        <v>Imagine Communications SNP</v>
      </c>
      <c r="AM130" s="59" t="str">
        <f>IFERROR(VLOOKUP(Tabelle32[[#This Row],[Device ID]],BOM!$B$3:$BQ$35,43,FALSE),"")</f>
        <v>no</v>
      </c>
      <c r="AN130" s="59" t="str">
        <f>IFERROR(VLOOKUP(Tabelle32[[#This Row],[Device ID]],BOM!$B$3:$BQ$35,44,FALSE),"")</f>
        <v>yes</v>
      </c>
      <c r="AO130" s="59" t="str">
        <f>IFERROR(VLOOKUP(Tabelle32[[#This Row],[Device ID]],BOM!$B$3:$BQ$35,45,FALSE),"")</f>
        <v>no</v>
      </c>
      <c r="AP130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30" s="59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73" t="s">
        <v>199</v>
      </c>
      <c r="BI130" s="30" t="str">
        <f>IF(COUNTA(Tabelle32[[#This Row],[Type:Vid_1080i50]:[Type:Anc_Prot]])&gt;0,"x","")</f>
        <v/>
      </c>
      <c r="BJ13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30" s="59"/>
      <c r="BL130" s="59"/>
      <c r="BM130" s="63"/>
      <c r="BN130" s="63"/>
      <c r="BO130" s="96"/>
      <c r="BP130" s="96"/>
      <c r="BQ130" s="75">
        <f>LEN(Tabelle32[[#This Row],[Label 1
GFX-Unit]])</f>
        <v>0</v>
      </c>
      <c r="BR130" s="63"/>
      <c r="BS130" s="63"/>
      <c r="BT130" s="59"/>
      <c r="BU130" s="59"/>
      <c r="BV130" s="59" t="s">
        <v>205</v>
      </c>
      <c r="BW130" s="59" t="s">
        <v>206</v>
      </c>
      <c r="BX130" s="59" t="s">
        <v>417</v>
      </c>
      <c r="BY130" s="59">
        <v>7</v>
      </c>
    </row>
    <row r="131" spans="1:77" hidden="1" x14ac:dyDescent="0.2">
      <c r="A131" s="58" t="str">
        <f>CONCATENATE(Tabelle32[[#This Row],[Device ID]],".",Tabelle32[[#This Row],[Streamcounter]])</f>
        <v>384.07303</v>
      </c>
      <c r="B13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VGW-103_SDI07_ANCsend_0003</v>
      </c>
      <c r="C131" s="67"/>
      <c r="D131" s="61"/>
      <c r="E131" s="67"/>
      <c r="F131" s="59" t="str">
        <f>IFERROR(VLOOKUP(Tabelle32[[#This Row],[Device ID]],BOM!$B$3:$BQ$35,16,FALSE),"")</f>
        <v>MPA 431 HD1</v>
      </c>
      <c r="G131" s="63">
        <f>VLOOKUP(Tabelle32[[#This Row],[SDI Interface]],BOM!$A$4:$B$35,2,FALSE)</f>
        <v>384</v>
      </c>
      <c r="H131" s="59" t="str">
        <f>BOM!$C$4</f>
        <v>VGW-103</v>
      </c>
      <c r="I131" s="59" t="str">
        <f>IFERROR(VLOOKUP(Tabelle32[[#This Row],[Device ID]],BOM!$B$3:$BQ$35,12,FALSE),"")</f>
        <v>Videoserver</v>
      </c>
      <c r="J131" s="59" t="str">
        <f>IFERROR(VLOOKUP(Tabelle32[[#This Row],[Device ID]],BOM!$B$3:$BQ$35,13,FALSE),"")</f>
        <v>TC.U1.223 | MDC</v>
      </c>
      <c r="K131" s="59" t="str">
        <f>IFERROR(VLOOKUP(Tabelle32[[#This Row],[Device ID]],BOM!$B$3:$BQ$35,14,FALSE),"")</f>
        <v>Imagine Comunications</v>
      </c>
      <c r="L131" s="59" t="str">
        <f>IFERROR(VLOOKUP(Tabelle32[[#This Row],[Device ID]],BOM!$B$3:$BQ$35,16,FALSE),"")</f>
        <v>MPA 431 HD1</v>
      </c>
      <c r="M131" s="63" t="str">
        <f>IFERROR(VLOOKUP(Tabelle32[[#This Row],[Device ID]],BOM!$B$3:$BQ$35,17,FALSE),"")</f>
        <v>MPA 431</v>
      </c>
      <c r="N131" s="59" t="str">
        <f>IFERROR(VLOOKUP(Tabelle32[[#This Row],[Device ID]],BOM!$B$3:$BQ$35,18,FALSE),"")</f>
        <v>TC.03.021 | MPA431</v>
      </c>
      <c r="O131" s="64"/>
      <c r="P131" s="64">
        <f>IFERROR(VLOOKUP(Tabelle32[[#This Row],[Device ID]],BOM!$B$3:$BO$50,20,FALSE),"")</f>
        <v>0</v>
      </c>
      <c r="Q131" s="64">
        <f>IFERROR(VLOOKUP(Tabelle32[[#This Row],[Device ID]],BOM!$B$3:$BO$50,21,FALSE),"")</f>
        <v>1</v>
      </c>
      <c r="R131" s="64">
        <f>IFERROR(VLOOKUP(Tabelle32[[#This Row],[Device ID]],BOM!$B$3:$BO$50,22,FALSE),"")</f>
        <v>0</v>
      </c>
      <c r="S131" s="64"/>
      <c r="T131" s="64"/>
      <c r="U131" s="59" t="str">
        <f>IFERROR(VLOOKUP(Tabelle32[[#This Row],[Device ID]],BOM!$B$3:$BQ$35,25,FALSE),"")</f>
        <v>Luis/Ivo</v>
      </c>
      <c r="V131" s="59" t="str">
        <f>IFERROR(VLOOKUP(Tabelle32[[#This Row],[Device ID]],BOM!$B$3:$BQ$35,26,FALSE),"")</f>
        <v>tpco-megw-vgw103.rta.st-net.media.int</v>
      </c>
      <c r="W131" s="59" t="str">
        <f>IFERROR(VLOOKUP(Tabelle32[[#This Row],[Device ID]],BOM!$B$3:$BQ$35,27,FALSE),"")</f>
        <v>10.120.236.50</v>
      </c>
      <c r="X131" s="59" t="str">
        <f>IFERROR(VLOOKUP(Tabelle32[[#This Row],[Device ID]],BOM!$B$3:$BQ$35,28,FALSE),"")</f>
        <v>AVCoreA</v>
      </c>
      <c r="Y131" s="59" t="str">
        <f>IFERROR(VLOOKUP(Tabelle32[[#This Row],[Device ID]],BOM!$B$3:$BQ$35,29,FALSE),"")</f>
        <v>5_36_1</v>
      </c>
      <c r="Z131" s="59" t="str">
        <f>IFERROR(VLOOKUP(Tabelle32[[#This Row],[Device ID]],BOM!$B$3:$BQ$35,30,FALSE),"")</f>
        <v>tpco-megw-vgw103.rtb.st-net.media.int</v>
      </c>
      <c r="AA131" s="59" t="str">
        <f>IFERROR(VLOOKUP(Tabelle32[[#This Row],[Device ID]],BOM!$B$3:$BQ$35,31,FALSE),"")</f>
        <v>10.120.236.54</v>
      </c>
      <c r="AB131" s="59" t="str">
        <f>IFERROR(VLOOKUP(Tabelle32[[#This Row],[Device ID]],BOM!$B$3:$BQ$35,32,FALSE),"")</f>
        <v>AVCoreB</v>
      </c>
      <c r="AC131" s="59" t="str">
        <f>IFERROR(VLOOKUP(Tabelle32[[#This Row],[Device ID]],BOM!$B$3:$BQ$35,33,FALSE),"")</f>
        <v>5_36_1</v>
      </c>
      <c r="AD131" s="59" t="str">
        <f>IFERROR(VLOOKUP(Tabelle32[[#This Row],[Device ID]],BOM!$B$3:$BQ$35,34,FALSE),"")</f>
        <v>tpco-megw-vgw103.st-net.media.int</v>
      </c>
      <c r="AE131" s="59" t="str">
        <f>IFERROR(VLOOKUP(Tabelle32[[#This Row],[Device ID]],BOM!$B$3:$BQ$35,35,FALSE),"")</f>
        <v>10.120.67.141</v>
      </c>
      <c r="AF131" s="59">
        <f>IFERROR(VLOOKUP(Tabelle32[[#This Row],[Device ID]],BOM!$B$3:$BQ$35,36,FALSE),"")</f>
        <v>0</v>
      </c>
      <c r="AG131" s="59">
        <f>IFERROR(VLOOKUP(Tabelle32[[#This Row],[Device ID]],BOM!$B$3:$BQ$35,37,FALSE),"")</f>
        <v>0</v>
      </c>
      <c r="AH131" s="59"/>
      <c r="AI131" s="59"/>
      <c r="AJ131" s="59"/>
      <c r="AK131" s="59"/>
      <c r="AL131" s="59" t="str">
        <f>IFERROR(VLOOKUP(Tabelle32[[#This Row],[Device ID]],BOM!$B$3:$BQ$35,42,FALSE),"")</f>
        <v>Imagine Communications SNP</v>
      </c>
      <c r="AM131" s="59" t="str">
        <f>IFERROR(VLOOKUP(Tabelle32[[#This Row],[Device ID]],BOM!$B$3:$BQ$35,43,FALSE),"")</f>
        <v>no</v>
      </c>
      <c r="AN131" s="59" t="str">
        <f>IFERROR(VLOOKUP(Tabelle32[[#This Row],[Device ID]],BOM!$B$3:$BQ$35,44,FALSE),"")</f>
        <v>yes</v>
      </c>
      <c r="AO131" s="59" t="str">
        <f>IFERROR(VLOOKUP(Tabelle32[[#This Row],[Device ID]],BOM!$B$3:$BQ$35,45,FALSE),"")</f>
        <v>no</v>
      </c>
      <c r="AP131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31" s="59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73" t="s">
        <v>199</v>
      </c>
      <c r="BI131" s="30" t="str">
        <f>IF(COUNTA(Tabelle32[[#This Row],[Type:Vid_1080i50]:[Type:Anc_Prot]])&gt;0,"x","")</f>
        <v/>
      </c>
      <c r="BJ13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31" s="59"/>
      <c r="BL131" s="59"/>
      <c r="BM131" s="63"/>
      <c r="BN131" s="63"/>
      <c r="BO131" s="96"/>
      <c r="BP131" s="96"/>
      <c r="BQ131" s="75">
        <f>LEN(Tabelle32[[#This Row],[Label 1
GFX-Unit]])</f>
        <v>0</v>
      </c>
      <c r="BR131" s="63"/>
      <c r="BS131" s="63"/>
      <c r="BT131" s="59"/>
      <c r="BU131" s="59"/>
      <c r="BV131" s="59" t="s">
        <v>208</v>
      </c>
      <c r="BW131" s="59" t="s">
        <v>209</v>
      </c>
      <c r="BX131" s="59" t="s">
        <v>418</v>
      </c>
      <c r="BY131" s="59">
        <v>7</v>
      </c>
    </row>
    <row r="132" spans="1:77" hidden="1" x14ac:dyDescent="0.2">
      <c r="A132" s="58" t="str">
        <f>CONCATENATE(Tabelle32[[#This Row],[Device ID]],".",Tabelle32[[#This Row],[Streamcounter]])</f>
        <v>384.07304</v>
      </c>
      <c r="B13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VGW-103_SDI07_ANCsend_0004</v>
      </c>
      <c r="C132" s="60"/>
      <c r="D132" s="61"/>
      <c r="E132" s="62"/>
      <c r="F132" s="59" t="str">
        <f>IFERROR(VLOOKUP(Tabelle32[[#This Row],[Device ID]],BOM!$B$3:$BQ$35,16,FALSE),"")</f>
        <v>MPA 431 HD1</v>
      </c>
      <c r="G132" s="63">
        <f>VLOOKUP(Tabelle32[[#This Row],[SDI Interface]],BOM!$A$4:$B$35,2,FALSE)</f>
        <v>384</v>
      </c>
      <c r="H132" s="59" t="str">
        <f>BOM!$C$4</f>
        <v>VGW-103</v>
      </c>
      <c r="I132" s="59" t="str">
        <f>IFERROR(VLOOKUP(Tabelle32[[#This Row],[Device ID]],BOM!$B$3:$BQ$35,12,FALSE),"")</f>
        <v>Videoserver</v>
      </c>
      <c r="J132" s="59" t="str">
        <f>IFERROR(VLOOKUP(Tabelle32[[#This Row],[Device ID]],BOM!$B$3:$BQ$35,13,FALSE),"")</f>
        <v>TC.U1.223 | MDC</v>
      </c>
      <c r="K132" s="59" t="str">
        <f>IFERROR(VLOOKUP(Tabelle32[[#This Row],[Device ID]],BOM!$B$3:$BQ$35,14,FALSE),"")</f>
        <v>Imagine Comunications</v>
      </c>
      <c r="L132" s="59" t="str">
        <f>IFERROR(VLOOKUP(Tabelle32[[#This Row],[Device ID]],BOM!$B$3:$BQ$35,16,FALSE),"")</f>
        <v>MPA 431 HD1</v>
      </c>
      <c r="M132" s="63" t="str">
        <f>IFERROR(VLOOKUP(Tabelle32[[#This Row],[Device ID]],BOM!$B$3:$BQ$35,17,FALSE),"")</f>
        <v>MPA 431</v>
      </c>
      <c r="N132" s="59" t="str">
        <f>IFERROR(VLOOKUP(Tabelle32[[#This Row],[Device ID]],BOM!$B$3:$BQ$35,18,FALSE),"")</f>
        <v>TC.03.021 | MPA431</v>
      </c>
      <c r="O132" s="64"/>
      <c r="P132" s="64">
        <f>IFERROR(VLOOKUP(Tabelle32[[#This Row],[Device ID]],BOM!$B$3:$BO$50,20,FALSE),"")</f>
        <v>0</v>
      </c>
      <c r="Q132" s="64">
        <f>IFERROR(VLOOKUP(Tabelle32[[#This Row],[Device ID]],BOM!$B$3:$BO$50,21,FALSE),"")</f>
        <v>1</v>
      </c>
      <c r="R132" s="64">
        <f>IFERROR(VLOOKUP(Tabelle32[[#This Row],[Device ID]],BOM!$B$3:$BO$50,22,FALSE),"")</f>
        <v>0</v>
      </c>
      <c r="S132" s="64"/>
      <c r="T132" s="64"/>
      <c r="U132" s="59" t="str">
        <f>IFERROR(VLOOKUP(Tabelle32[[#This Row],[Device ID]],BOM!$B$3:$BQ$35,25,FALSE),"")</f>
        <v>Luis/Ivo</v>
      </c>
      <c r="V132" s="59" t="str">
        <f>IFERROR(VLOOKUP(Tabelle32[[#This Row],[Device ID]],BOM!$B$3:$BQ$35,26,FALSE),"")</f>
        <v>tpco-megw-vgw103.rta.st-net.media.int</v>
      </c>
      <c r="W132" s="59" t="str">
        <f>IFERROR(VLOOKUP(Tabelle32[[#This Row],[Device ID]],BOM!$B$3:$BQ$35,27,FALSE),"")</f>
        <v>10.120.236.50</v>
      </c>
      <c r="X132" s="59" t="str">
        <f>IFERROR(VLOOKUP(Tabelle32[[#This Row],[Device ID]],BOM!$B$3:$BQ$35,28,FALSE),"")</f>
        <v>AVCoreA</v>
      </c>
      <c r="Y132" s="59" t="str">
        <f>IFERROR(VLOOKUP(Tabelle32[[#This Row],[Device ID]],BOM!$B$3:$BQ$35,29,FALSE),"")</f>
        <v>5_36_1</v>
      </c>
      <c r="Z132" s="59" t="str">
        <f>IFERROR(VLOOKUP(Tabelle32[[#This Row],[Device ID]],BOM!$B$3:$BQ$35,30,FALSE),"")</f>
        <v>tpco-megw-vgw103.rtb.st-net.media.int</v>
      </c>
      <c r="AA132" s="59" t="str">
        <f>IFERROR(VLOOKUP(Tabelle32[[#This Row],[Device ID]],BOM!$B$3:$BQ$35,31,FALSE),"")</f>
        <v>10.120.236.54</v>
      </c>
      <c r="AB132" s="59" t="str">
        <f>IFERROR(VLOOKUP(Tabelle32[[#This Row],[Device ID]],BOM!$B$3:$BQ$35,32,FALSE),"")</f>
        <v>AVCoreB</v>
      </c>
      <c r="AC132" s="59" t="str">
        <f>IFERROR(VLOOKUP(Tabelle32[[#This Row],[Device ID]],BOM!$B$3:$BQ$35,33,FALSE),"")</f>
        <v>5_36_1</v>
      </c>
      <c r="AD132" s="59" t="str">
        <f>IFERROR(VLOOKUP(Tabelle32[[#This Row],[Device ID]],BOM!$B$3:$BQ$35,34,FALSE),"")</f>
        <v>tpco-megw-vgw103.st-net.media.int</v>
      </c>
      <c r="AE132" s="59" t="str">
        <f>IFERROR(VLOOKUP(Tabelle32[[#This Row],[Device ID]],BOM!$B$3:$BQ$35,35,FALSE),"")</f>
        <v>10.120.67.141</v>
      </c>
      <c r="AF132" s="59">
        <f>IFERROR(VLOOKUP(Tabelle32[[#This Row],[Device ID]],BOM!$B$3:$BQ$35,36,FALSE),"")</f>
        <v>0</v>
      </c>
      <c r="AG132" s="59">
        <f>IFERROR(VLOOKUP(Tabelle32[[#This Row],[Device ID]],BOM!$B$3:$BQ$35,37,FALSE),"")</f>
        <v>0</v>
      </c>
      <c r="AH132" s="59"/>
      <c r="AI132" s="59"/>
      <c r="AJ132" s="59"/>
      <c r="AK132" s="59"/>
      <c r="AL132" s="59" t="str">
        <f>IFERROR(VLOOKUP(Tabelle32[[#This Row],[Device ID]],BOM!$B$3:$BQ$35,42,FALSE),"")</f>
        <v>Imagine Communications SNP</v>
      </c>
      <c r="AM132" s="59" t="str">
        <f>IFERROR(VLOOKUP(Tabelle32[[#This Row],[Device ID]],BOM!$B$3:$BQ$35,43,FALSE),"")</f>
        <v>no</v>
      </c>
      <c r="AN132" s="59" t="str">
        <f>IFERROR(VLOOKUP(Tabelle32[[#This Row],[Device ID]],BOM!$B$3:$BQ$35,44,FALSE),"")</f>
        <v>yes</v>
      </c>
      <c r="AO132" s="59" t="str">
        <f>IFERROR(VLOOKUP(Tabelle32[[#This Row],[Device ID]],BOM!$B$3:$BQ$35,45,FALSE),"")</f>
        <v>no</v>
      </c>
      <c r="AP132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32" s="59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73" t="s">
        <v>199</v>
      </c>
      <c r="BI132" s="30" t="str">
        <f>IF(COUNTA(Tabelle32[[#This Row],[Type:Vid_1080i50]:[Type:Anc_Prot]])&gt;0,"x","")</f>
        <v/>
      </c>
      <c r="BJ13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32" s="59"/>
      <c r="BL132" s="59"/>
      <c r="BM132" s="63"/>
      <c r="BN132" s="63"/>
      <c r="BO132" s="96"/>
      <c r="BP132" s="96"/>
      <c r="BQ132" s="75">
        <f>LEN(Tabelle32[[#This Row],[Label 1
GFX-Unit]])</f>
        <v>0</v>
      </c>
      <c r="BR132" s="63"/>
      <c r="BS132" s="63"/>
      <c r="BT132" s="59"/>
      <c r="BU132" s="59"/>
      <c r="BV132" s="59" t="s">
        <v>211</v>
      </c>
      <c r="BW132" s="59" t="s">
        <v>212</v>
      </c>
      <c r="BX132" s="59" t="s">
        <v>419</v>
      </c>
      <c r="BY132" s="59">
        <v>7</v>
      </c>
    </row>
    <row r="133" spans="1:77" x14ac:dyDescent="0.2">
      <c r="A133" s="58" t="str">
        <f>CONCATENATE(Tabelle32[[#This Row],[Device ID]],".",Tabelle32[[#This Row],[Streamcounter]])</f>
        <v>384.07201</v>
      </c>
      <c r="B13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VGW-103_SDI07_AUDsend_0001</v>
      </c>
      <c r="C133" s="67"/>
      <c r="D133" s="61"/>
      <c r="E133" s="67"/>
      <c r="F133" s="59" t="str">
        <f>IFERROR(VLOOKUP(Tabelle32[[#This Row],[Device ID]],BOM!$B$3:$BQ$35,16,FALSE),"")</f>
        <v>MPA 431 HD1</v>
      </c>
      <c r="G133" s="63">
        <f>VLOOKUP(Tabelle32[[#This Row],[SDI Interface]],BOM!$A$4:$B$35,2,FALSE)</f>
        <v>384</v>
      </c>
      <c r="H133" s="59" t="str">
        <f>BOM!$C$4</f>
        <v>VGW-103</v>
      </c>
      <c r="I133" s="59" t="str">
        <f>IFERROR(VLOOKUP(Tabelle32[[#This Row],[Device ID]],BOM!$B$3:$BQ$35,12,FALSE),"")</f>
        <v>Videoserver</v>
      </c>
      <c r="J133" s="59" t="str">
        <f>IFERROR(VLOOKUP(Tabelle32[[#This Row],[Device ID]],BOM!$B$3:$BQ$35,13,FALSE),"")</f>
        <v>TC.U1.223 | MDC</v>
      </c>
      <c r="K133" s="59" t="str">
        <f>IFERROR(VLOOKUP(Tabelle32[[#This Row],[Device ID]],BOM!$B$3:$BQ$35,14,FALSE),"")</f>
        <v>Imagine Comunications</v>
      </c>
      <c r="L133" s="59" t="str">
        <f>IFERROR(VLOOKUP(Tabelle32[[#This Row],[Device ID]],BOM!$B$3:$BQ$35,16,FALSE),"")</f>
        <v>MPA 431 HD1</v>
      </c>
      <c r="M133" s="63" t="str">
        <f>IFERROR(VLOOKUP(Tabelle32[[#This Row],[Device ID]],BOM!$B$3:$BQ$35,17,FALSE),"")</f>
        <v>MPA 431</v>
      </c>
      <c r="N133" s="59" t="str">
        <f>IFERROR(VLOOKUP(Tabelle32[[#This Row],[Device ID]],BOM!$B$3:$BQ$35,18,FALSE),"")</f>
        <v>TC.03.021 | MPA431</v>
      </c>
      <c r="O133" s="64"/>
      <c r="P133" s="64">
        <f>IFERROR(VLOOKUP(Tabelle32[[#This Row],[Device ID]],BOM!$B$3:$BO$50,20,FALSE),"")</f>
        <v>0</v>
      </c>
      <c r="Q133" s="64">
        <f>IFERROR(VLOOKUP(Tabelle32[[#This Row],[Device ID]],BOM!$B$3:$BO$50,21,FALSE),"")</f>
        <v>1</v>
      </c>
      <c r="R133" s="64">
        <f>IFERROR(VLOOKUP(Tabelle32[[#This Row],[Device ID]],BOM!$B$3:$BO$50,22,FALSE),"")</f>
        <v>0</v>
      </c>
      <c r="S133" s="64"/>
      <c r="T133" s="64"/>
      <c r="U133" s="59" t="str">
        <f>IFERROR(VLOOKUP(Tabelle32[[#This Row],[Device ID]],BOM!$B$3:$BQ$35,25,FALSE),"")</f>
        <v>Luis/Ivo</v>
      </c>
      <c r="V133" s="59" t="str">
        <f>IFERROR(VLOOKUP(Tabelle32[[#This Row],[Device ID]],BOM!$B$3:$BQ$35,26,FALSE),"")</f>
        <v>tpco-megw-vgw103.rta.st-net.media.int</v>
      </c>
      <c r="W133" s="59" t="str">
        <f>IFERROR(VLOOKUP(Tabelle32[[#This Row],[Device ID]],BOM!$B$3:$BQ$35,27,FALSE),"")</f>
        <v>10.120.236.50</v>
      </c>
      <c r="X133" s="59" t="str">
        <f>IFERROR(VLOOKUP(Tabelle32[[#This Row],[Device ID]],BOM!$B$3:$BQ$35,28,FALSE),"")</f>
        <v>AVCoreA</v>
      </c>
      <c r="Y133" s="59" t="str">
        <f>IFERROR(VLOOKUP(Tabelle32[[#This Row],[Device ID]],BOM!$B$3:$BQ$35,29,FALSE),"")</f>
        <v>5_36_1</v>
      </c>
      <c r="Z133" s="59" t="str">
        <f>IFERROR(VLOOKUP(Tabelle32[[#This Row],[Device ID]],BOM!$B$3:$BQ$35,30,FALSE),"")</f>
        <v>tpco-megw-vgw103.rtb.st-net.media.int</v>
      </c>
      <c r="AA133" s="59" t="str">
        <f>IFERROR(VLOOKUP(Tabelle32[[#This Row],[Device ID]],BOM!$B$3:$BQ$35,31,FALSE),"")</f>
        <v>10.120.236.54</v>
      </c>
      <c r="AB133" s="59" t="str">
        <f>IFERROR(VLOOKUP(Tabelle32[[#This Row],[Device ID]],BOM!$B$3:$BQ$35,32,FALSE),"")</f>
        <v>AVCoreB</v>
      </c>
      <c r="AC133" s="59" t="str">
        <f>IFERROR(VLOOKUP(Tabelle32[[#This Row],[Device ID]],BOM!$B$3:$BQ$35,33,FALSE),"")</f>
        <v>5_36_1</v>
      </c>
      <c r="AD133" s="59" t="str">
        <f>IFERROR(VLOOKUP(Tabelle32[[#This Row],[Device ID]],BOM!$B$3:$BQ$35,34,FALSE),"")</f>
        <v>tpco-megw-vgw103.st-net.media.int</v>
      </c>
      <c r="AE133" s="59" t="str">
        <f>IFERROR(VLOOKUP(Tabelle32[[#This Row],[Device ID]],BOM!$B$3:$BQ$35,35,FALSE),"")</f>
        <v>10.120.67.141</v>
      </c>
      <c r="AF133" s="59">
        <f>IFERROR(VLOOKUP(Tabelle32[[#This Row],[Device ID]],BOM!$B$3:$BQ$35,36,FALSE),"")</f>
        <v>0</v>
      </c>
      <c r="AG133" s="59">
        <f>IFERROR(VLOOKUP(Tabelle32[[#This Row],[Device ID]],BOM!$B$3:$BQ$35,37,FALSE),"")</f>
        <v>0</v>
      </c>
      <c r="AH133" s="59"/>
      <c r="AI133" s="59"/>
      <c r="AJ133" s="59"/>
      <c r="AK133" s="59"/>
      <c r="AL133" s="59" t="str">
        <f>IFERROR(VLOOKUP(Tabelle32[[#This Row],[Device ID]],BOM!$B$3:$BQ$35,42,FALSE),"")</f>
        <v>Imagine Communications SNP</v>
      </c>
      <c r="AM133" s="59" t="str">
        <f>IFERROR(VLOOKUP(Tabelle32[[#This Row],[Device ID]],BOM!$B$3:$BQ$35,43,FALSE),"")</f>
        <v>no</v>
      </c>
      <c r="AN133" s="59" t="str">
        <f>IFERROR(VLOOKUP(Tabelle32[[#This Row],[Device ID]],BOM!$B$3:$BQ$35,44,FALSE),"")</f>
        <v>yes</v>
      </c>
      <c r="AO133" s="59" t="str">
        <f>IFERROR(VLOOKUP(Tabelle32[[#This Row],[Device ID]],BOM!$B$3:$BQ$35,45,FALSE),"")</f>
        <v>no</v>
      </c>
      <c r="AP133" s="59" t="str">
        <f>IFERROR(CONCATENATE(Tabelle32[[#This Row],[Family
GFX-Unit]]," | ",Tabelle32[[#This Row],[Label 1
GFX-Unit]]," | ",Tabelle32[[#This Row],[Attached Device if Gateway]]),"")</f>
        <v>PLAYOUT MPA431 | HD1-001 | MPA 431 HD1</v>
      </c>
      <c r="AQ133" s="59"/>
      <c r="AR133" s="90"/>
      <c r="AS133" s="90"/>
      <c r="AT133" s="90"/>
      <c r="AU133" s="90"/>
      <c r="AV133" s="90"/>
      <c r="AW133" s="90"/>
      <c r="AX133" s="90"/>
      <c r="AY133" s="90"/>
      <c r="AZ133" s="90" t="s">
        <v>97</v>
      </c>
      <c r="BA133" s="90"/>
      <c r="BB133" s="90"/>
      <c r="BC133" s="90"/>
      <c r="BD133" s="90"/>
      <c r="BE133" s="90"/>
      <c r="BF133" s="90"/>
      <c r="BG133" s="90"/>
      <c r="BH133" s="73" t="s">
        <v>199</v>
      </c>
      <c r="BI133" s="30" t="str">
        <f>IF(COUNTA(Tabelle32[[#This Row],[Type:Vid_1080i50]:[Type:Anc_Prot]])&gt;0,"x","")</f>
        <v>x</v>
      </c>
      <c r="BJ13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33" s="59"/>
      <c r="BL133" s="59"/>
      <c r="BM133" s="63"/>
      <c r="BN133" s="63"/>
      <c r="BO133" s="97" t="s">
        <v>415</v>
      </c>
      <c r="BP133" s="97" t="s">
        <v>308</v>
      </c>
      <c r="BQ133" s="75">
        <f>LEN(Tabelle32[[#This Row],[Label 1
GFX-Unit]])</f>
        <v>7</v>
      </c>
      <c r="BR133" s="63"/>
      <c r="BS133" s="63"/>
      <c r="BT133" s="59"/>
      <c r="BU133" s="59"/>
      <c r="BV133" s="59" t="s">
        <v>214</v>
      </c>
      <c r="BW133" s="59" t="s">
        <v>215</v>
      </c>
      <c r="BX133" s="59" t="s">
        <v>420</v>
      </c>
      <c r="BY133" s="59">
        <v>7</v>
      </c>
    </row>
    <row r="134" spans="1:77" x14ac:dyDescent="0.2">
      <c r="A134" s="58" t="str">
        <f>CONCATENATE(Tabelle32[[#This Row],[Device ID]],".",Tabelle32[[#This Row],[Streamcounter]])</f>
        <v>384.07202</v>
      </c>
      <c r="B13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VGW-103_SDI07_AUDsend_0002</v>
      </c>
      <c r="C134" s="67"/>
      <c r="D134" s="61"/>
      <c r="E134" s="67"/>
      <c r="F134" s="59" t="str">
        <f>IFERROR(VLOOKUP(Tabelle32[[#This Row],[Device ID]],BOM!$B$3:$BQ$35,16,FALSE),"")</f>
        <v>MPA 431 HD1</v>
      </c>
      <c r="G134" s="63">
        <f>VLOOKUP(Tabelle32[[#This Row],[SDI Interface]],BOM!$A$4:$B$35,2,FALSE)</f>
        <v>384</v>
      </c>
      <c r="H134" s="59" t="str">
        <f>BOM!$C$4</f>
        <v>VGW-103</v>
      </c>
      <c r="I134" s="59" t="str">
        <f>IFERROR(VLOOKUP(Tabelle32[[#This Row],[Device ID]],BOM!$B$3:$BQ$35,12,FALSE),"")</f>
        <v>Videoserver</v>
      </c>
      <c r="J134" s="59" t="str">
        <f>IFERROR(VLOOKUP(Tabelle32[[#This Row],[Device ID]],BOM!$B$3:$BQ$35,13,FALSE),"")</f>
        <v>TC.U1.223 | MDC</v>
      </c>
      <c r="K134" s="59" t="str">
        <f>IFERROR(VLOOKUP(Tabelle32[[#This Row],[Device ID]],BOM!$B$3:$BQ$35,14,FALSE),"")</f>
        <v>Imagine Comunications</v>
      </c>
      <c r="L134" s="59" t="str">
        <f>IFERROR(VLOOKUP(Tabelle32[[#This Row],[Device ID]],BOM!$B$3:$BQ$35,16,FALSE),"")</f>
        <v>MPA 431 HD1</v>
      </c>
      <c r="M134" s="63" t="str">
        <f>IFERROR(VLOOKUP(Tabelle32[[#This Row],[Device ID]],BOM!$B$3:$BQ$35,17,FALSE),"")</f>
        <v>MPA 431</v>
      </c>
      <c r="N134" s="59" t="str">
        <f>IFERROR(VLOOKUP(Tabelle32[[#This Row],[Device ID]],BOM!$B$3:$BQ$35,18,FALSE),"")</f>
        <v>TC.03.021 | MPA431</v>
      </c>
      <c r="O134" s="64"/>
      <c r="P134" s="64">
        <f>IFERROR(VLOOKUP(Tabelle32[[#This Row],[Device ID]],BOM!$B$3:$BO$50,20,FALSE),"")</f>
        <v>0</v>
      </c>
      <c r="Q134" s="64">
        <f>IFERROR(VLOOKUP(Tabelle32[[#This Row],[Device ID]],BOM!$B$3:$BO$50,21,FALSE),"")</f>
        <v>1</v>
      </c>
      <c r="R134" s="64">
        <f>IFERROR(VLOOKUP(Tabelle32[[#This Row],[Device ID]],BOM!$B$3:$BO$50,22,FALSE),"")</f>
        <v>0</v>
      </c>
      <c r="S134" s="64"/>
      <c r="T134" s="64"/>
      <c r="U134" s="59" t="str">
        <f>IFERROR(VLOOKUP(Tabelle32[[#This Row],[Device ID]],BOM!$B$3:$BQ$35,25,FALSE),"")</f>
        <v>Luis/Ivo</v>
      </c>
      <c r="V134" s="59" t="str">
        <f>IFERROR(VLOOKUP(Tabelle32[[#This Row],[Device ID]],BOM!$B$3:$BQ$35,26,FALSE),"")</f>
        <v>tpco-megw-vgw103.rta.st-net.media.int</v>
      </c>
      <c r="W134" s="59" t="str">
        <f>IFERROR(VLOOKUP(Tabelle32[[#This Row],[Device ID]],BOM!$B$3:$BQ$35,27,FALSE),"")</f>
        <v>10.120.236.50</v>
      </c>
      <c r="X134" s="59" t="str">
        <f>IFERROR(VLOOKUP(Tabelle32[[#This Row],[Device ID]],BOM!$B$3:$BQ$35,28,FALSE),"")</f>
        <v>AVCoreA</v>
      </c>
      <c r="Y134" s="59" t="str">
        <f>IFERROR(VLOOKUP(Tabelle32[[#This Row],[Device ID]],BOM!$B$3:$BQ$35,29,FALSE),"")</f>
        <v>5_36_1</v>
      </c>
      <c r="Z134" s="59" t="str">
        <f>IFERROR(VLOOKUP(Tabelle32[[#This Row],[Device ID]],BOM!$B$3:$BQ$35,30,FALSE),"")</f>
        <v>tpco-megw-vgw103.rtb.st-net.media.int</v>
      </c>
      <c r="AA134" s="59" t="str">
        <f>IFERROR(VLOOKUP(Tabelle32[[#This Row],[Device ID]],BOM!$B$3:$BQ$35,31,FALSE),"")</f>
        <v>10.120.236.54</v>
      </c>
      <c r="AB134" s="59" t="str">
        <f>IFERROR(VLOOKUP(Tabelle32[[#This Row],[Device ID]],BOM!$B$3:$BQ$35,32,FALSE),"")</f>
        <v>AVCoreB</v>
      </c>
      <c r="AC134" s="59" t="str">
        <f>IFERROR(VLOOKUP(Tabelle32[[#This Row],[Device ID]],BOM!$B$3:$BQ$35,33,FALSE),"")</f>
        <v>5_36_1</v>
      </c>
      <c r="AD134" s="59" t="str">
        <f>IFERROR(VLOOKUP(Tabelle32[[#This Row],[Device ID]],BOM!$B$3:$BQ$35,34,FALSE),"")</f>
        <v>tpco-megw-vgw103.st-net.media.int</v>
      </c>
      <c r="AE134" s="59" t="str">
        <f>IFERROR(VLOOKUP(Tabelle32[[#This Row],[Device ID]],BOM!$B$3:$BQ$35,35,FALSE),"")</f>
        <v>10.120.67.141</v>
      </c>
      <c r="AF134" s="59">
        <f>IFERROR(VLOOKUP(Tabelle32[[#This Row],[Device ID]],BOM!$B$3:$BQ$35,36,FALSE),"")</f>
        <v>0</v>
      </c>
      <c r="AG134" s="59">
        <f>IFERROR(VLOOKUP(Tabelle32[[#This Row],[Device ID]],BOM!$B$3:$BQ$35,37,FALSE),"")</f>
        <v>0</v>
      </c>
      <c r="AH134" s="59"/>
      <c r="AI134" s="59"/>
      <c r="AJ134" s="59"/>
      <c r="AK134" s="59"/>
      <c r="AL134" s="59" t="str">
        <f>IFERROR(VLOOKUP(Tabelle32[[#This Row],[Device ID]],BOM!$B$3:$BQ$35,42,FALSE),"")</f>
        <v>Imagine Communications SNP</v>
      </c>
      <c r="AM134" s="59" t="str">
        <f>IFERROR(VLOOKUP(Tabelle32[[#This Row],[Device ID]],BOM!$B$3:$BQ$35,43,FALSE),"")</f>
        <v>no</v>
      </c>
      <c r="AN134" s="59" t="str">
        <f>IFERROR(VLOOKUP(Tabelle32[[#This Row],[Device ID]],BOM!$B$3:$BQ$35,44,FALSE),"")</f>
        <v>yes</v>
      </c>
      <c r="AO134" s="59" t="str">
        <f>IFERROR(VLOOKUP(Tabelle32[[#This Row],[Device ID]],BOM!$B$3:$BQ$35,45,FALSE),"")</f>
        <v>no</v>
      </c>
      <c r="AP134" s="59" t="str">
        <f>IFERROR(CONCATENATE(Tabelle32[[#This Row],[Family
GFX-Unit]]," | ",Tabelle32[[#This Row],[Label 1
GFX-Unit]]," | ",Tabelle32[[#This Row],[Attached Device if Gateway]]),"")</f>
        <v>PLAYOUT MPA431 | HD1-002 | MPA 431 HD1</v>
      </c>
      <c r="AQ134" s="59"/>
      <c r="AR134" s="90"/>
      <c r="AS134" s="90"/>
      <c r="AT134" s="90"/>
      <c r="AU134" s="90"/>
      <c r="AV134" s="90"/>
      <c r="AW134" s="90" t="s">
        <v>97</v>
      </c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  <c r="BH134" s="73" t="s">
        <v>199</v>
      </c>
      <c r="BI134" s="30" t="str">
        <f>IF(COUNTA(Tabelle32[[#This Row],[Type:Vid_1080i50]:[Type:Anc_Prot]])&gt;0,"x","")</f>
        <v>x</v>
      </c>
      <c r="BJ13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34" s="59"/>
      <c r="BL134" s="59"/>
      <c r="BM134" s="63"/>
      <c r="BN134" s="63"/>
      <c r="BO134" s="97" t="s">
        <v>415</v>
      </c>
      <c r="BP134" s="97" t="s">
        <v>314</v>
      </c>
      <c r="BQ134" s="75">
        <f>LEN(Tabelle32[[#This Row],[Label 1
GFX-Unit]])</f>
        <v>7</v>
      </c>
      <c r="BR134" s="63"/>
      <c r="BS134" s="63"/>
      <c r="BT134" s="59"/>
      <c r="BU134" s="59"/>
      <c r="BV134" s="59" t="s">
        <v>218</v>
      </c>
      <c r="BW134" s="59" t="s">
        <v>219</v>
      </c>
      <c r="BX134" s="59" t="s">
        <v>421</v>
      </c>
      <c r="BY134" s="59">
        <v>7</v>
      </c>
    </row>
    <row r="135" spans="1:77" x14ac:dyDescent="0.2">
      <c r="A135" s="58" t="str">
        <f>CONCATENATE(Tabelle32[[#This Row],[Device ID]],".",Tabelle32[[#This Row],[Streamcounter]])</f>
        <v>384.07203</v>
      </c>
      <c r="B13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VGW-103_SDI07_AUDsend_0003</v>
      </c>
      <c r="C135" s="67"/>
      <c r="D135" s="61"/>
      <c r="E135" s="67"/>
      <c r="F135" s="59" t="str">
        <f>IFERROR(VLOOKUP(Tabelle32[[#This Row],[Device ID]],BOM!$B$3:$BQ$35,16,FALSE),"")</f>
        <v>MPA 431 HD1</v>
      </c>
      <c r="G135" s="63">
        <f>VLOOKUP(Tabelle32[[#This Row],[SDI Interface]],BOM!$A$4:$B$35,2,FALSE)</f>
        <v>384</v>
      </c>
      <c r="H135" s="59" t="str">
        <f>BOM!$C$4</f>
        <v>VGW-103</v>
      </c>
      <c r="I135" s="59" t="str">
        <f>IFERROR(VLOOKUP(Tabelle32[[#This Row],[Device ID]],BOM!$B$3:$BQ$35,12,FALSE),"")</f>
        <v>Videoserver</v>
      </c>
      <c r="J135" s="59" t="str">
        <f>IFERROR(VLOOKUP(Tabelle32[[#This Row],[Device ID]],BOM!$B$3:$BQ$35,13,FALSE),"")</f>
        <v>TC.U1.223 | MDC</v>
      </c>
      <c r="K135" s="59" t="str">
        <f>IFERROR(VLOOKUP(Tabelle32[[#This Row],[Device ID]],BOM!$B$3:$BQ$35,14,FALSE),"")</f>
        <v>Imagine Comunications</v>
      </c>
      <c r="L135" s="59" t="str">
        <f>IFERROR(VLOOKUP(Tabelle32[[#This Row],[Device ID]],BOM!$B$3:$BQ$35,16,FALSE),"")</f>
        <v>MPA 431 HD1</v>
      </c>
      <c r="M135" s="63" t="str">
        <f>IFERROR(VLOOKUP(Tabelle32[[#This Row],[Device ID]],BOM!$B$3:$BQ$35,17,FALSE),"")</f>
        <v>MPA 431</v>
      </c>
      <c r="N135" s="59" t="str">
        <f>IFERROR(VLOOKUP(Tabelle32[[#This Row],[Device ID]],BOM!$B$3:$BQ$35,18,FALSE),"")</f>
        <v>TC.03.021 | MPA431</v>
      </c>
      <c r="O135" s="64"/>
      <c r="P135" s="64">
        <f>IFERROR(VLOOKUP(Tabelle32[[#This Row],[Device ID]],BOM!$B$3:$BO$50,20,FALSE),"")</f>
        <v>0</v>
      </c>
      <c r="Q135" s="64">
        <f>IFERROR(VLOOKUP(Tabelle32[[#This Row],[Device ID]],BOM!$B$3:$BO$50,21,FALSE),"")</f>
        <v>1</v>
      </c>
      <c r="R135" s="64">
        <f>IFERROR(VLOOKUP(Tabelle32[[#This Row],[Device ID]],BOM!$B$3:$BO$50,22,FALSE),"")</f>
        <v>0</v>
      </c>
      <c r="S135" s="64"/>
      <c r="T135" s="64"/>
      <c r="U135" s="59" t="str">
        <f>IFERROR(VLOOKUP(Tabelle32[[#This Row],[Device ID]],BOM!$B$3:$BQ$35,25,FALSE),"")</f>
        <v>Luis/Ivo</v>
      </c>
      <c r="V135" s="59" t="str">
        <f>IFERROR(VLOOKUP(Tabelle32[[#This Row],[Device ID]],BOM!$B$3:$BQ$35,26,FALSE),"")</f>
        <v>tpco-megw-vgw103.rta.st-net.media.int</v>
      </c>
      <c r="W135" s="59" t="str">
        <f>IFERROR(VLOOKUP(Tabelle32[[#This Row],[Device ID]],BOM!$B$3:$BQ$35,27,FALSE),"")</f>
        <v>10.120.236.50</v>
      </c>
      <c r="X135" s="59" t="str">
        <f>IFERROR(VLOOKUP(Tabelle32[[#This Row],[Device ID]],BOM!$B$3:$BQ$35,28,FALSE),"")</f>
        <v>AVCoreA</v>
      </c>
      <c r="Y135" s="59" t="str">
        <f>IFERROR(VLOOKUP(Tabelle32[[#This Row],[Device ID]],BOM!$B$3:$BQ$35,29,FALSE),"")</f>
        <v>5_36_1</v>
      </c>
      <c r="Z135" s="59" t="str">
        <f>IFERROR(VLOOKUP(Tabelle32[[#This Row],[Device ID]],BOM!$B$3:$BQ$35,30,FALSE),"")</f>
        <v>tpco-megw-vgw103.rtb.st-net.media.int</v>
      </c>
      <c r="AA135" s="59" t="str">
        <f>IFERROR(VLOOKUP(Tabelle32[[#This Row],[Device ID]],BOM!$B$3:$BQ$35,31,FALSE),"")</f>
        <v>10.120.236.54</v>
      </c>
      <c r="AB135" s="59" t="str">
        <f>IFERROR(VLOOKUP(Tabelle32[[#This Row],[Device ID]],BOM!$B$3:$BQ$35,32,FALSE),"")</f>
        <v>AVCoreB</v>
      </c>
      <c r="AC135" s="59" t="str">
        <f>IFERROR(VLOOKUP(Tabelle32[[#This Row],[Device ID]],BOM!$B$3:$BQ$35,33,FALSE),"")</f>
        <v>5_36_1</v>
      </c>
      <c r="AD135" s="59" t="str">
        <f>IFERROR(VLOOKUP(Tabelle32[[#This Row],[Device ID]],BOM!$B$3:$BQ$35,34,FALSE),"")</f>
        <v>tpco-megw-vgw103.st-net.media.int</v>
      </c>
      <c r="AE135" s="59" t="str">
        <f>IFERROR(VLOOKUP(Tabelle32[[#This Row],[Device ID]],BOM!$B$3:$BQ$35,35,FALSE),"")</f>
        <v>10.120.67.141</v>
      </c>
      <c r="AF135" s="59">
        <f>IFERROR(VLOOKUP(Tabelle32[[#This Row],[Device ID]],BOM!$B$3:$BQ$35,36,FALSE),"")</f>
        <v>0</v>
      </c>
      <c r="AG135" s="59">
        <f>IFERROR(VLOOKUP(Tabelle32[[#This Row],[Device ID]],BOM!$B$3:$BQ$35,37,FALSE),"")</f>
        <v>0</v>
      </c>
      <c r="AH135" s="59"/>
      <c r="AI135" s="59"/>
      <c r="AJ135" s="59"/>
      <c r="AK135" s="59"/>
      <c r="AL135" s="59" t="str">
        <f>IFERROR(VLOOKUP(Tabelle32[[#This Row],[Device ID]],BOM!$B$3:$BQ$35,42,FALSE),"")</f>
        <v>Imagine Communications SNP</v>
      </c>
      <c r="AM135" s="59" t="str">
        <f>IFERROR(VLOOKUP(Tabelle32[[#This Row],[Device ID]],BOM!$B$3:$BQ$35,43,FALSE),"")</f>
        <v>no</v>
      </c>
      <c r="AN135" s="59" t="str">
        <f>IFERROR(VLOOKUP(Tabelle32[[#This Row],[Device ID]],BOM!$B$3:$BQ$35,44,FALSE),"")</f>
        <v>yes</v>
      </c>
      <c r="AO135" s="59" t="str">
        <f>IFERROR(VLOOKUP(Tabelle32[[#This Row],[Device ID]],BOM!$B$3:$BQ$35,45,FALSE),"")</f>
        <v>no</v>
      </c>
      <c r="AP135" s="59" t="str">
        <f>IFERROR(CONCATENATE(Tabelle32[[#This Row],[Family
GFX-Unit]]," | ",Tabelle32[[#This Row],[Label 1
GFX-Unit]]," | ",Tabelle32[[#This Row],[Attached Device if Gateway]]),"")</f>
        <v>PLAYOUT MPA431 | HD1-003 | MPA 431 HD1</v>
      </c>
      <c r="AQ135" s="59"/>
      <c r="AR135" s="90"/>
      <c r="AS135" s="90"/>
      <c r="AT135" s="90"/>
      <c r="AU135" s="90"/>
      <c r="AV135" s="90"/>
      <c r="AW135" s="90" t="s">
        <v>97</v>
      </c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73" t="s">
        <v>199</v>
      </c>
      <c r="BI135" s="30" t="str">
        <f>IF(COUNTA(Tabelle32[[#This Row],[Type:Vid_1080i50]:[Type:Anc_Prot]])&gt;0,"x","")</f>
        <v>x</v>
      </c>
      <c r="BJ13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35" s="59"/>
      <c r="BL135" s="59"/>
      <c r="BM135" s="63"/>
      <c r="BN135" s="63"/>
      <c r="BO135" s="97" t="s">
        <v>415</v>
      </c>
      <c r="BP135" s="97" t="s">
        <v>316</v>
      </c>
      <c r="BQ135" s="75">
        <f>LEN(Tabelle32[[#This Row],[Label 1
GFX-Unit]])</f>
        <v>7</v>
      </c>
      <c r="BR135" s="63"/>
      <c r="BS135" s="63"/>
      <c r="BT135" s="59"/>
      <c r="BU135" s="59"/>
      <c r="BV135" s="59" t="s">
        <v>222</v>
      </c>
      <c r="BW135" s="59" t="s">
        <v>223</v>
      </c>
      <c r="BX135" s="59" t="s">
        <v>422</v>
      </c>
      <c r="BY135" s="59">
        <v>7</v>
      </c>
    </row>
    <row r="136" spans="1:77" x14ac:dyDescent="0.2">
      <c r="A136" s="58" t="str">
        <f>CONCATENATE(Tabelle32[[#This Row],[Device ID]],".",Tabelle32[[#This Row],[Streamcounter]])</f>
        <v>384.07204</v>
      </c>
      <c r="B13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VGW-103_SDI07_AUDsend_0004</v>
      </c>
      <c r="C136" s="67"/>
      <c r="D136" s="61"/>
      <c r="E136" s="67"/>
      <c r="F136" s="59" t="str">
        <f>IFERROR(VLOOKUP(Tabelle32[[#This Row],[Device ID]],BOM!$B$3:$BQ$35,16,FALSE),"")</f>
        <v>MPA 431 HD1</v>
      </c>
      <c r="G136" s="63">
        <f>VLOOKUP(Tabelle32[[#This Row],[SDI Interface]],BOM!$A$4:$B$35,2,FALSE)</f>
        <v>384</v>
      </c>
      <c r="H136" s="59" t="str">
        <f>BOM!$C$4</f>
        <v>VGW-103</v>
      </c>
      <c r="I136" s="59" t="str">
        <f>IFERROR(VLOOKUP(Tabelle32[[#This Row],[Device ID]],BOM!$B$3:$BQ$35,12,FALSE),"")</f>
        <v>Videoserver</v>
      </c>
      <c r="J136" s="59" t="str">
        <f>IFERROR(VLOOKUP(Tabelle32[[#This Row],[Device ID]],BOM!$B$3:$BQ$35,13,FALSE),"")</f>
        <v>TC.U1.223 | MDC</v>
      </c>
      <c r="K136" s="59" t="str">
        <f>IFERROR(VLOOKUP(Tabelle32[[#This Row],[Device ID]],BOM!$B$3:$BQ$35,14,FALSE),"")</f>
        <v>Imagine Comunications</v>
      </c>
      <c r="L136" s="59" t="str">
        <f>IFERROR(VLOOKUP(Tabelle32[[#This Row],[Device ID]],BOM!$B$3:$BQ$35,16,FALSE),"")</f>
        <v>MPA 431 HD1</v>
      </c>
      <c r="M136" s="63" t="str">
        <f>IFERROR(VLOOKUP(Tabelle32[[#This Row],[Device ID]],BOM!$B$3:$BQ$35,17,FALSE),"")</f>
        <v>MPA 431</v>
      </c>
      <c r="N136" s="59" t="str">
        <f>IFERROR(VLOOKUP(Tabelle32[[#This Row],[Device ID]],BOM!$B$3:$BQ$35,18,FALSE),"")</f>
        <v>TC.03.021 | MPA431</v>
      </c>
      <c r="O136" s="64"/>
      <c r="P136" s="64">
        <f>IFERROR(VLOOKUP(Tabelle32[[#This Row],[Device ID]],BOM!$B$3:$BO$50,20,FALSE),"")</f>
        <v>0</v>
      </c>
      <c r="Q136" s="64">
        <f>IFERROR(VLOOKUP(Tabelle32[[#This Row],[Device ID]],BOM!$B$3:$BO$50,21,FALSE),"")</f>
        <v>1</v>
      </c>
      <c r="R136" s="64">
        <f>IFERROR(VLOOKUP(Tabelle32[[#This Row],[Device ID]],BOM!$B$3:$BO$50,22,FALSE),"")</f>
        <v>0</v>
      </c>
      <c r="S136" s="64"/>
      <c r="T136" s="64"/>
      <c r="U136" s="59" t="str">
        <f>IFERROR(VLOOKUP(Tabelle32[[#This Row],[Device ID]],BOM!$B$3:$BQ$35,25,FALSE),"")</f>
        <v>Luis/Ivo</v>
      </c>
      <c r="V136" s="59" t="str">
        <f>IFERROR(VLOOKUP(Tabelle32[[#This Row],[Device ID]],BOM!$B$3:$BQ$35,26,FALSE),"")</f>
        <v>tpco-megw-vgw103.rta.st-net.media.int</v>
      </c>
      <c r="W136" s="59" t="str">
        <f>IFERROR(VLOOKUP(Tabelle32[[#This Row],[Device ID]],BOM!$B$3:$BQ$35,27,FALSE),"")</f>
        <v>10.120.236.50</v>
      </c>
      <c r="X136" s="59" t="str">
        <f>IFERROR(VLOOKUP(Tabelle32[[#This Row],[Device ID]],BOM!$B$3:$BQ$35,28,FALSE),"")</f>
        <v>AVCoreA</v>
      </c>
      <c r="Y136" s="59" t="str">
        <f>IFERROR(VLOOKUP(Tabelle32[[#This Row],[Device ID]],BOM!$B$3:$BQ$35,29,FALSE),"")</f>
        <v>5_36_1</v>
      </c>
      <c r="Z136" s="59" t="str">
        <f>IFERROR(VLOOKUP(Tabelle32[[#This Row],[Device ID]],BOM!$B$3:$BQ$35,30,FALSE),"")</f>
        <v>tpco-megw-vgw103.rtb.st-net.media.int</v>
      </c>
      <c r="AA136" s="59" t="str">
        <f>IFERROR(VLOOKUP(Tabelle32[[#This Row],[Device ID]],BOM!$B$3:$BQ$35,31,FALSE),"")</f>
        <v>10.120.236.54</v>
      </c>
      <c r="AB136" s="59" t="str">
        <f>IFERROR(VLOOKUP(Tabelle32[[#This Row],[Device ID]],BOM!$B$3:$BQ$35,32,FALSE),"")</f>
        <v>AVCoreB</v>
      </c>
      <c r="AC136" s="59" t="str">
        <f>IFERROR(VLOOKUP(Tabelle32[[#This Row],[Device ID]],BOM!$B$3:$BQ$35,33,FALSE),"")</f>
        <v>5_36_1</v>
      </c>
      <c r="AD136" s="59" t="str">
        <f>IFERROR(VLOOKUP(Tabelle32[[#This Row],[Device ID]],BOM!$B$3:$BQ$35,34,FALSE),"")</f>
        <v>tpco-megw-vgw103.st-net.media.int</v>
      </c>
      <c r="AE136" s="59" t="str">
        <f>IFERROR(VLOOKUP(Tabelle32[[#This Row],[Device ID]],BOM!$B$3:$BQ$35,35,FALSE),"")</f>
        <v>10.120.67.141</v>
      </c>
      <c r="AF136" s="59">
        <f>IFERROR(VLOOKUP(Tabelle32[[#This Row],[Device ID]],BOM!$B$3:$BQ$35,36,FALSE),"")</f>
        <v>0</v>
      </c>
      <c r="AG136" s="59">
        <f>IFERROR(VLOOKUP(Tabelle32[[#This Row],[Device ID]],BOM!$B$3:$BQ$35,37,FALSE),"")</f>
        <v>0</v>
      </c>
      <c r="AH136" s="59"/>
      <c r="AI136" s="59"/>
      <c r="AJ136" s="59"/>
      <c r="AK136" s="59"/>
      <c r="AL136" s="59" t="str">
        <f>IFERROR(VLOOKUP(Tabelle32[[#This Row],[Device ID]],BOM!$B$3:$BQ$35,42,FALSE),"")</f>
        <v>Imagine Communications SNP</v>
      </c>
      <c r="AM136" s="59" t="str">
        <f>IFERROR(VLOOKUP(Tabelle32[[#This Row],[Device ID]],BOM!$B$3:$BQ$35,43,FALSE),"")</f>
        <v>no</v>
      </c>
      <c r="AN136" s="59" t="str">
        <f>IFERROR(VLOOKUP(Tabelle32[[#This Row],[Device ID]],BOM!$B$3:$BQ$35,44,FALSE),"")</f>
        <v>yes</v>
      </c>
      <c r="AO136" s="59" t="str">
        <f>IFERROR(VLOOKUP(Tabelle32[[#This Row],[Device ID]],BOM!$B$3:$BQ$35,45,FALSE),"")</f>
        <v>no</v>
      </c>
      <c r="AP136" s="59" t="str">
        <f>IFERROR(CONCATENATE(Tabelle32[[#This Row],[Family
GFX-Unit]]," | ",Tabelle32[[#This Row],[Label 1
GFX-Unit]]," | ",Tabelle32[[#This Row],[Attached Device if Gateway]]),"")</f>
        <v>PLAYOUT MPA431 | HD1-004 | MPA 431 HD1</v>
      </c>
      <c r="AQ136" s="59"/>
      <c r="AR136" s="90"/>
      <c r="AS136" s="90"/>
      <c r="AT136" s="90"/>
      <c r="AU136" s="90"/>
      <c r="AV136" s="90"/>
      <c r="AW136" s="90"/>
      <c r="AX136" s="90"/>
      <c r="AY136" s="90"/>
      <c r="AZ136" s="90" t="s">
        <v>97</v>
      </c>
      <c r="BA136" s="90"/>
      <c r="BB136" s="90"/>
      <c r="BC136" s="90"/>
      <c r="BD136" s="90"/>
      <c r="BE136" s="90"/>
      <c r="BF136" s="90"/>
      <c r="BG136" s="90"/>
      <c r="BH136" s="73" t="s">
        <v>199</v>
      </c>
      <c r="BI136" s="30" t="str">
        <f>IF(COUNTA(Tabelle32[[#This Row],[Type:Vid_1080i50]:[Type:Anc_Prot]])&gt;0,"x","")</f>
        <v>x</v>
      </c>
      <c r="BJ13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36" s="59"/>
      <c r="BL136" s="59"/>
      <c r="BM136" s="63"/>
      <c r="BN136" s="63"/>
      <c r="BO136" s="97" t="s">
        <v>415</v>
      </c>
      <c r="BP136" s="97" t="s">
        <v>318</v>
      </c>
      <c r="BQ136" s="75">
        <f>LEN(Tabelle32[[#This Row],[Label 1
GFX-Unit]])</f>
        <v>7</v>
      </c>
      <c r="BR136" s="63"/>
      <c r="BS136" s="63"/>
      <c r="BT136" s="59"/>
      <c r="BU136" s="59"/>
      <c r="BV136" s="59" t="s">
        <v>226</v>
      </c>
      <c r="BW136" s="59" t="s">
        <v>227</v>
      </c>
      <c r="BX136" s="59" t="s">
        <v>423</v>
      </c>
      <c r="BY136" s="59">
        <v>7</v>
      </c>
    </row>
    <row r="137" spans="1:77" x14ac:dyDescent="0.2">
      <c r="A137" s="58" t="str">
        <f>CONCATENATE(Tabelle32[[#This Row],[Device ID]],".",Tabelle32[[#This Row],[Streamcounter]])</f>
        <v>384.07205</v>
      </c>
      <c r="B13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VGW-103_SDI07_AUDsend_0005</v>
      </c>
      <c r="C137" s="67"/>
      <c r="D137" s="61"/>
      <c r="E137" s="67"/>
      <c r="F137" s="59" t="str">
        <f>IFERROR(VLOOKUP(Tabelle32[[#This Row],[Device ID]],BOM!$B$3:$BQ$35,16,FALSE),"")</f>
        <v>MPA 431 HD1</v>
      </c>
      <c r="G137" s="63">
        <f>VLOOKUP(Tabelle32[[#This Row],[SDI Interface]],BOM!$A$4:$B$35,2,FALSE)</f>
        <v>384</v>
      </c>
      <c r="H137" s="59" t="str">
        <f>BOM!$C$4</f>
        <v>VGW-103</v>
      </c>
      <c r="I137" s="59" t="str">
        <f>IFERROR(VLOOKUP(Tabelle32[[#This Row],[Device ID]],BOM!$B$3:$BQ$35,12,FALSE),"")</f>
        <v>Videoserver</v>
      </c>
      <c r="J137" s="59" t="str">
        <f>IFERROR(VLOOKUP(Tabelle32[[#This Row],[Device ID]],BOM!$B$3:$BQ$35,13,FALSE),"")</f>
        <v>TC.U1.223 | MDC</v>
      </c>
      <c r="K137" s="59" t="str">
        <f>IFERROR(VLOOKUP(Tabelle32[[#This Row],[Device ID]],BOM!$B$3:$BQ$35,14,FALSE),"")</f>
        <v>Imagine Comunications</v>
      </c>
      <c r="L137" s="59" t="str">
        <f>IFERROR(VLOOKUP(Tabelle32[[#This Row],[Device ID]],BOM!$B$3:$BQ$35,16,FALSE),"")</f>
        <v>MPA 431 HD1</v>
      </c>
      <c r="M137" s="63" t="str">
        <f>IFERROR(VLOOKUP(Tabelle32[[#This Row],[Device ID]],BOM!$B$3:$BQ$35,17,FALSE),"")</f>
        <v>MPA 431</v>
      </c>
      <c r="N137" s="59" t="str">
        <f>IFERROR(VLOOKUP(Tabelle32[[#This Row],[Device ID]],BOM!$B$3:$BQ$35,18,FALSE),"")</f>
        <v>TC.03.021 | MPA431</v>
      </c>
      <c r="O137" s="64"/>
      <c r="P137" s="64">
        <f>IFERROR(VLOOKUP(Tabelle32[[#This Row],[Device ID]],BOM!$B$3:$BO$50,20,FALSE),"")</f>
        <v>0</v>
      </c>
      <c r="Q137" s="64">
        <f>IFERROR(VLOOKUP(Tabelle32[[#This Row],[Device ID]],BOM!$B$3:$BO$50,21,FALSE),"")</f>
        <v>1</v>
      </c>
      <c r="R137" s="64">
        <f>IFERROR(VLOOKUP(Tabelle32[[#This Row],[Device ID]],BOM!$B$3:$BO$50,22,FALSE),"")</f>
        <v>0</v>
      </c>
      <c r="S137" s="64"/>
      <c r="T137" s="64"/>
      <c r="U137" s="59" t="str">
        <f>IFERROR(VLOOKUP(Tabelle32[[#This Row],[Device ID]],BOM!$B$3:$BQ$35,25,FALSE),"")</f>
        <v>Luis/Ivo</v>
      </c>
      <c r="V137" s="59" t="str">
        <f>IFERROR(VLOOKUP(Tabelle32[[#This Row],[Device ID]],BOM!$B$3:$BQ$35,26,FALSE),"")</f>
        <v>tpco-megw-vgw103.rta.st-net.media.int</v>
      </c>
      <c r="W137" s="59" t="str">
        <f>IFERROR(VLOOKUP(Tabelle32[[#This Row],[Device ID]],BOM!$B$3:$BQ$35,27,FALSE),"")</f>
        <v>10.120.236.50</v>
      </c>
      <c r="X137" s="59" t="str">
        <f>IFERROR(VLOOKUP(Tabelle32[[#This Row],[Device ID]],BOM!$B$3:$BQ$35,28,FALSE),"")</f>
        <v>AVCoreA</v>
      </c>
      <c r="Y137" s="59" t="str">
        <f>IFERROR(VLOOKUP(Tabelle32[[#This Row],[Device ID]],BOM!$B$3:$BQ$35,29,FALSE),"")</f>
        <v>5_36_1</v>
      </c>
      <c r="Z137" s="59" t="str">
        <f>IFERROR(VLOOKUP(Tabelle32[[#This Row],[Device ID]],BOM!$B$3:$BQ$35,30,FALSE),"")</f>
        <v>tpco-megw-vgw103.rtb.st-net.media.int</v>
      </c>
      <c r="AA137" s="59" t="str">
        <f>IFERROR(VLOOKUP(Tabelle32[[#This Row],[Device ID]],BOM!$B$3:$BQ$35,31,FALSE),"")</f>
        <v>10.120.236.54</v>
      </c>
      <c r="AB137" s="59" t="str">
        <f>IFERROR(VLOOKUP(Tabelle32[[#This Row],[Device ID]],BOM!$B$3:$BQ$35,32,FALSE),"")</f>
        <v>AVCoreB</v>
      </c>
      <c r="AC137" s="59" t="str">
        <f>IFERROR(VLOOKUP(Tabelle32[[#This Row],[Device ID]],BOM!$B$3:$BQ$35,33,FALSE),"")</f>
        <v>5_36_1</v>
      </c>
      <c r="AD137" s="59" t="str">
        <f>IFERROR(VLOOKUP(Tabelle32[[#This Row],[Device ID]],BOM!$B$3:$BQ$35,34,FALSE),"")</f>
        <v>tpco-megw-vgw103.st-net.media.int</v>
      </c>
      <c r="AE137" s="59" t="str">
        <f>IFERROR(VLOOKUP(Tabelle32[[#This Row],[Device ID]],BOM!$B$3:$BQ$35,35,FALSE),"")</f>
        <v>10.120.67.141</v>
      </c>
      <c r="AF137" s="59">
        <f>IFERROR(VLOOKUP(Tabelle32[[#This Row],[Device ID]],BOM!$B$3:$BQ$35,36,FALSE),"")</f>
        <v>0</v>
      </c>
      <c r="AG137" s="59">
        <f>IFERROR(VLOOKUP(Tabelle32[[#This Row],[Device ID]],BOM!$B$3:$BQ$35,37,FALSE),"")</f>
        <v>0</v>
      </c>
      <c r="AH137" s="59"/>
      <c r="AI137" s="59"/>
      <c r="AJ137" s="59"/>
      <c r="AK137" s="59"/>
      <c r="AL137" s="59" t="str">
        <f>IFERROR(VLOOKUP(Tabelle32[[#This Row],[Device ID]],BOM!$B$3:$BQ$35,42,FALSE),"")</f>
        <v>Imagine Communications SNP</v>
      </c>
      <c r="AM137" s="59" t="str">
        <f>IFERROR(VLOOKUP(Tabelle32[[#This Row],[Device ID]],BOM!$B$3:$BQ$35,43,FALSE),"")</f>
        <v>no</v>
      </c>
      <c r="AN137" s="59" t="str">
        <f>IFERROR(VLOOKUP(Tabelle32[[#This Row],[Device ID]],BOM!$B$3:$BQ$35,44,FALSE),"")</f>
        <v>yes</v>
      </c>
      <c r="AO137" s="59" t="str">
        <f>IFERROR(VLOOKUP(Tabelle32[[#This Row],[Device ID]],BOM!$B$3:$BQ$35,45,FALSE),"")</f>
        <v>no</v>
      </c>
      <c r="AP137" s="59" t="str">
        <f>IFERROR(CONCATENATE(Tabelle32[[#This Row],[Family
GFX-Unit]]," | ",Tabelle32[[#This Row],[Label 1
GFX-Unit]]," | ",Tabelle32[[#This Row],[Attached Device if Gateway]]),"")</f>
        <v>PLAYOUT MPA431 | HD1-005 | MPA 431 HD1</v>
      </c>
      <c r="AQ137" s="59"/>
      <c r="AR137" s="90"/>
      <c r="AS137" s="90"/>
      <c r="AT137" s="90"/>
      <c r="AU137" s="90"/>
      <c r="AV137" s="90"/>
      <c r="AW137" s="90" t="s">
        <v>97</v>
      </c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H137" s="73" t="s">
        <v>199</v>
      </c>
      <c r="BI137" s="30" t="str">
        <f>IF(COUNTA(Tabelle32[[#This Row],[Type:Vid_1080i50]:[Type:Anc_Prot]])&gt;0,"x","")</f>
        <v>x</v>
      </c>
      <c r="BJ13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37" s="59"/>
      <c r="BL137" s="59"/>
      <c r="BM137" s="63"/>
      <c r="BN137" s="63"/>
      <c r="BO137" s="97" t="s">
        <v>415</v>
      </c>
      <c r="BP137" s="97" t="s">
        <v>320</v>
      </c>
      <c r="BQ137" s="75">
        <f>LEN(Tabelle32[[#This Row],[Label 1
GFX-Unit]])</f>
        <v>7</v>
      </c>
      <c r="BR137" s="63"/>
      <c r="BS137" s="63"/>
      <c r="BT137" s="59"/>
      <c r="BU137" s="59"/>
      <c r="BV137" s="59" t="s">
        <v>230</v>
      </c>
      <c r="BW137" s="59" t="s">
        <v>231</v>
      </c>
      <c r="BX137" s="59" t="s">
        <v>424</v>
      </c>
      <c r="BY137" s="59">
        <v>7</v>
      </c>
    </row>
    <row r="138" spans="1:77" x14ac:dyDescent="0.2">
      <c r="A138" s="58" t="str">
        <f>CONCATENATE(Tabelle32[[#This Row],[Device ID]],".",Tabelle32[[#This Row],[Streamcounter]])</f>
        <v>384.07206</v>
      </c>
      <c r="B13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VGW-103_SDI07_AUDsend_0006</v>
      </c>
      <c r="C138" s="67"/>
      <c r="D138" s="61"/>
      <c r="E138" s="67"/>
      <c r="F138" s="59" t="str">
        <f>IFERROR(VLOOKUP(Tabelle32[[#This Row],[Device ID]],BOM!$B$3:$BQ$35,16,FALSE),"")</f>
        <v>MPA 431 HD1</v>
      </c>
      <c r="G138" s="63">
        <f>VLOOKUP(Tabelle32[[#This Row],[SDI Interface]],BOM!$A$4:$B$35,2,FALSE)</f>
        <v>384</v>
      </c>
      <c r="H138" s="59" t="str">
        <f>BOM!$C$4</f>
        <v>VGW-103</v>
      </c>
      <c r="I138" s="59" t="str">
        <f>IFERROR(VLOOKUP(Tabelle32[[#This Row],[Device ID]],BOM!$B$3:$BQ$35,12,FALSE),"")</f>
        <v>Videoserver</v>
      </c>
      <c r="J138" s="59" t="str">
        <f>IFERROR(VLOOKUP(Tabelle32[[#This Row],[Device ID]],BOM!$B$3:$BQ$35,13,FALSE),"")</f>
        <v>TC.U1.223 | MDC</v>
      </c>
      <c r="K138" s="59" t="str">
        <f>IFERROR(VLOOKUP(Tabelle32[[#This Row],[Device ID]],BOM!$B$3:$BQ$35,14,FALSE),"")</f>
        <v>Imagine Comunications</v>
      </c>
      <c r="L138" s="59" t="str">
        <f>IFERROR(VLOOKUP(Tabelle32[[#This Row],[Device ID]],BOM!$B$3:$BQ$35,16,FALSE),"")</f>
        <v>MPA 431 HD1</v>
      </c>
      <c r="M138" s="63" t="str">
        <f>IFERROR(VLOOKUP(Tabelle32[[#This Row],[Device ID]],BOM!$B$3:$BQ$35,17,FALSE),"")</f>
        <v>MPA 431</v>
      </c>
      <c r="N138" s="59" t="str">
        <f>IFERROR(VLOOKUP(Tabelle32[[#This Row],[Device ID]],BOM!$B$3:$BQ$35,18,FALSE),"")</f>
        <v>TC.03.021 | MPA431</v>
      </c>
      <c r="O138" s="64"/>
      <c r="P138" s="64">
        <f>IFERROR(VLOOKUP(Tabelle32[[#This Row],[Device ID]],BOM!$B$3:$BO$50,20,FALSE),"")</f>
        <v>0</v>
      </c>
      <c r="Q138" s="64">
        <f>IFERROR(VLOOKUP(Tabelle32[[#This Row],[Device ID]],BOM!$B$3:$BO$50,21,FALSE),"")</f>
        <v>1</v>
      </c>
      <c r="R138" s="64">
        <f>IFERROR(VLOOKUP(Tabelle32[[#This Row],[Device ID]],BOM!$B$3:$BO$50,22,FALSE),"")</f>
        <v>0</v>
      </c>
      <c r="S138" s="64"/>
      <c r="T138" s="64"/>
      <c r="U138" s="59" t="str">
        <f>IFERROR(VLOOKUP(Tabelle32[[#This Row],[Device ID]],BOM!$B$3:$BQ$35,25,FALSE),"")</f>
        <v>Luis/Ivo</v>
      </c>
      <c r="V138" s="59" t="str">
        <f>IFERROR(VLOOKUP(Tabelle32[[#This Row],[Device ID]],BOM!$B$3:$BQ$35,26,FALSE),"")</f>
        <v>tpco-megw-vgw103.rta.st-net.media.int</v>
      </c>
      <c r="W138" s="59" t="str">
        <f>IFERROR(VLOOKUP(Tabelle32[[#This Row],[Device ID]],BOM!$B$3:$BQ$35,27,FALSE),"")</f>
        <v>10.120.236.50</v>
      </c>
      <c r="X138" s="59" t="str">
        <f>IFERROR(VLOOKUP(Tabelle32[[#This Row],[Device ID]],BOM!$B$3:$BQ$35,28,FALSE),"")</f>
        <v>AVCoreA</v>
      </c>
      <c r="Y138" s="59" t="str">
        <f>IFERROR(VLOOKUP(Tabelle32[[#This Row],[Device ID]],BOM!$B$3:$BQ$35,29,FALSE),"")</f>
        <v>5_36_1</v>
      </c>
      <c r="Z138" s="59" t="str">
        <f>IFERROR(VLOOKUP(Tabelle32[[#This Row],[Device ID]],BOM!$B$3:$BQ$35,30,FALSE),"")</f>
        <v>tpco-megw-vgw103.rtb.st-net.media.int</v>
      </c>
      <c r="AA138" s="59" t="str">
        <f>IFERROR(VLOOKUP(Tabelle32[[#This Row],[Device ID]],BOM!$B$3:$BQ$35,31,FALSE),"")</f>
        <v>10.120.236.54</v>
      </c>
      <c r="AB138" s="59" t="str">
        <f>IFERROR(VLOOKUP(Tabelle32[[#This Row],[Device ID]],BOM!$B$3:$BQ$35,32,FALSE),"")</f>
        <v>AVCoreB</v>
      </c>
      <c r="AC138" s="59" t="str">
        <f>IFERROR(VLOOKUP(Tabelle32[[#This Row],[Device ID]],BOM!$B$3:$BQ$35,33,FALSE),"")</f>
        <v>5_36_1</v>
      </c>
      <c r="AD138" s="59" t="str">
        <f>IFERROR(VLOOKUP(Tabelle32[[#This Row],[Device ID]],BOM!$B$3:$BQ$35,34,FALSE),"")</f>
        <v>tpco-megw-vgw103.st-net.media.int</v>
      </c>
      <c r="AE138" s="59" t="str">
        <f>IFERROR(VLOOKUP(Tabelle32[[#This Row],[Device ID]],BOM!$B$3:$BQ$35,35,FALSE),"")</f>
        <v>10.120.67.141</v>
      </c>
      <c r="AF138" s="59">
        <f>IFERROR(VLOOKUP(Tabelle32[[#This Row],[Device ID]],BOM!$B$3:$BQ$35,36,FALSE),"")</f>
        <v>0</v>
      </c>
      <c r="AG138" s="59">
        <f>IFERROR(VLOOKUP(Tabelle32[[#This Row],[Device ID]],BOM!$B$3:$BQ$35,37,FALSE),"")</f>
        <v>0</v>
      </c>
      <c r="AH138" s="59"/>
      <c r="AI138" s="59"/>
      <c r="AJ138" s="59"/>
      <c r="AK138" s="59"/>
      <c r="AL138" s="59" t="str">
        <f>IFERROR(VLOOKUP(Tabelle32[[#This Row],[Device ID]],BOM!$B$3:$BQ$35,42,FALSE),"")</f>
        <v>Imagine Communications SNP</v>
      </c>
      <c r="AM138" s="59" t="str">
        <f>IFERROR(VLOOKUP(Tabelle32[[#This Row],[Device ID]],BOM!$B$3:$BQ$35,43,FALSE),"")</f>
        <v>no</v>
      </c>
      <c r="AN138" s="59" t="str">
        <f>IFERROR(VLOOKUP(Tabelle32[[#This Row],[Device ID]],BOM!$B$3:$BQ$35,44,FALSE),"")</f>
        <v>yes</v>
      </c>
      <c r="AO138" s="59" t="str">
        <f>IFERROR(VLOOKUP(Tabelle32[[#This Row],[Device ID]],BOM!$B$3:$BQ$35,45,FALSE),"")</f>
        <v>no</v>
      </c>
      <c r="AP138" s="59" t="str">
        <f>IFERROR(CONCATENATE(Tabelle32[[#This Row],[Family
GFX-Unit]]," | ",Tabelle32[[#This Row],[Label 1
GFX-Unit]]," | ",Tabelle32[[#This Row],[Attached Device if Gateway]]),"")</f>
        <v>PLAYOUT MPA431 | HD1-006 | MPA 431 HD1</v>
      </c>
      <c r="AQ138" s="59"/>
      <c r="AR138" s="90"/>
      <c r="AS138" s="90"/>
      <c r="AT138" s="90"/>
      <c r="AU138" s="90"/>
      <c r="AV138" s="90"/>
      <c r="AW138" s="90" t="s">
        <v>97</v>
      </c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H138" s="73" t="s">
        <v>199</v>
      </c>
      <c r="BI138" s="30" t="str">
        <f>IF(COUNTA(Tabelle32[[#This Row],[Type:Vid_1080i50]:[Type:Anc_Prot]])&gt;0,"x","")</f>
        <v>x</v>
      </c>
      <c r="BJ13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38" s="59"/>
      <c r="BL138" s="59"/>
      <c r="BM138" s="63"/>
      <c r="BN138" s="63"/>
      <c r="BO138" s="97" t="s">
        <v>415</v>
      </c>
      <c r="BP138" s="97" t="s">
        <v>322</v>
      </c>
      <c r="BQ138" s="75">
        <f>LEN(Tabelle32[[#This Row],[Label 1
GFX-Unit]])</f>
        <v>7</v>
      </c>
      <c r="BR138" s="63"/>
      <c r="BS138" s="63"/>
      <c r="BT138" s="59"/>
      <c r="BU138" s="59"/>
      <c r="BV138" s="59" t="s">
        <v>234</v>
      </c>
      <c r="BW138" s="59" t="s">
        <v>235</v>
      </c>
      <c r="BX138" s="59" t="s">
        <v>425</v>
      </c>
      <c r="BY138" s="59">
        <v>7</v>
      </c>
    </row>
    <row r="139" spans="1:77" x14ac:dyDescent="0.2">
      <c r="A139" s="58" t="str">
        <f>CONCATENATE(Tabelle32[[#This Row],[Device ID]],".",Tabelle32[[#This Row],[Streamcounter]])</f>
        <v>384.07207</v>
      </c>
      <c r="B13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VGW-103_SDI07_AUDsend_0007</v>
      </c>
      <c r="C139" s="67"/>
      <c r="D139" s="61"/>
      <c r="E139" s="67"/>
      <c r="F139" s="59" t="str">
        <f>IFERROR(VLOOKUP(Tabelle32[[#This Row],[Device ID]],BOM!$B$3:$BQ$35,16,FALSE),"")</f>
        <v>MPA 431 HD1</v>
      </c>
      <c r="G139" s="63">
        <f>VLOOKUP(Tabelle32[[#This Row],[SDI Interface]],BOM!$A$4:$B$35,2,FALSE)</f>
        <v>384</v>
      </c>
      <c r="H139" s="59" t="str">
        <f>BOM!$C$4</f>
        <v>VGW-103</v>
      </c>
      <c r="I139" s="59" t="str">
        <f>IFERROR(VLOOKUP(Tabelle32[[#This Row],[Device ID]],BOM!$B$3:$BQ$35,12,FALSE),"")</f>
        <v>Videoserver</v>
      </c>
      <c r="J139" s="59" t="str">
        <f>IFERROR(VLOOKUP(Tabelle32[[#This Row],[Device ID]],BOM!$B$3:$BQ$35,13,FALSE),"")</f>
        <v>TC.U1.223 | MDC</v>
      </c>
      <c r="K139" s="59" t="str">
        <f>IFERROR(VLOOKUP(Tabelle32[[#This Row],[Device ID]],BOM!$B$3:$BQ$35,14,FALSE),"")</f>
        <v>Imagine Comunications</v>
      </c>
      <c r="L139" s="59" t="str">
        <f>IFERROR(VLOOKUP(Tabelle32[[#This Row],[Device ID]],BOM!$B$3:$BQ$35,16,FALSE),"")</f>
        <v>MPA 431 HD1</v>
      </c>
      <c r="M139" s="63" t="str">
        <f>IFERROR(VLOOKUP(Tabelle32[[#This Row],[Device ID]],BOM!$B$3:$BQ$35,17,FALSE),"")</f>
        <v>MPA 431</v>
      </c>
      <c r="N139" s="59" t="str">
        <f>IFERROR(VLOOKUP(Tabelle32[[#This Row],[Device ID]],BOM!$B$3:$BQ$35,18,FALSE),"")</f>
        <v>TC.03.021 | MPA431</v>
      </c>
      <c r="O139" s="64"/>
      <c r="P139" s="64">
        <f>IFERROR(VLOOKUP(Tabelle32[[#This Row],[Device ID]],BOM!$B$3:$BO$50,20,FALSE),"")</f>
        <v>0</v>
      </c>
      <c r="Q139" s="64">
        <f>IFERROR(VLOOKUP(Tabelle32[[#This Row],[Device ID]],BOM!$B$3:$BO$50,21,FALSE),"")</f>
        <v>1</v>
      </c>
      <c r="R139" s="64">
        <f>IFERROR(VLOOKUP(Tabelle32[[#This Row],[Device ID]],BOM!$B$3:$BO$50,22,FALSE),"")</f>
        <v>0</v>
      </c>
      <c r="S139" s="64"/>
      <c r="T139" s="64"/>
      <c r="U139" s="59" t="str">
        <f>IFERROR(VLOOKUP(Tabelle32[[#This Row],[Device ID]],BOM!$B$3:$BQ$35,25,FALSE),"")</f>
        <v>Luis/Ivo</v>
      </c>
      <c r="V139" s="59" t="str">
        <f>IFERROR(VLOOKUP(Tabelle32[[#This Row],[Device ID]],BOM!$B$3:$BQ$35,26,FALSE),"")</f>
        <v>tpco-megw-vgw103.rta.st-net.media.int</v>
      </c>
      <c r="W139" s="59" t="str">
        <f>IFERROR(VLOOKUP(Tabelle32[[#This Row],[Device ID]],BOM!$B$3:$BQ$35,27,FALSE),"")</f>
        <v>10.120.236.50</v>
      </c>
      <c r="X139" s="59" t="str">
        <f>IFERROR(VLOOKUP(Tabelle32[[#This Row],[Device ID]],BOM!$B$3:$BQ$35,28,FALSE),"")</f>
        <v>AVCoreA</v>
      </c>
      <c r="Y139" s="59" t="str">
        <f>IFERROR(VLOOKUP(Tabelle32[[#This Row],[Device ID]],BOM!$B$3:$BQ$35,29,FALSE),"")</f>
        <v>5_36_1</v>
      </c>
      <c r="Z139" s="59" t="str">
        <f>IFERROR(VLOOKUP(Tabelle32[[#This Row],[Device ID]],BOM!$B$3:$BQ$35,30,FALSE),"")</f>
        <v>tpco-megw-vgw103.rtb.st-net.media.int</v>
      </c>
      <c r="AA139" s="59" t="str">
        <f>IFERROR(VLOOKUP(Tabelle32[[#This Row],[Device ID]],BOM!$B$3:$BQ$35,31,FALSE),"")</f>
        <v>10.120.236.54</v>
      </c>
      <c r="AB139" s="59" t="str">
        <f>IFERROR(VLOOKUP(Tabelle32[[#This Row],[Device ID]],BOM!$B$3:$BQ$35,32,FALSE),"")</f>
        <v>AVCoreB</v>
      </c>
      <c r="AC139" s="59" t="str">
        <f>IFERROR(VLOOKUP(Tabelle32[[#This Row],[Device ID]],BOM!$B$3:$BQ$35,33,FALSE),"")</f>
        <v>5_36_1</v>
      </c>
      <c r="AD139" s="59" t="str">
        <f>IFERROR(VLOOKUP(Tabelle32[[#This Row],[Device ID]],BOM!$B$3:$BQ$35,34,FALSE),"")</f>
        <v>tpco-megw-vgw103.st-net.media.int</v>
      </c>
      <c r="AE139" s="59" t="str">
        <f>IFERROR(VLOOKUP(Tabelle32[[#This Row],[Device ID]],BOM!$B$3:$BQ$35,35,FALSE),"")</f>
        <v>10.120.67.141</v>
      </c>
      <c r="AF139" s="59">
        <f>IFERROR(VLOOKUP(Tabelle32[[#This Row],[Device ID]],BOM!$B$3:$BQ$35,36,FALSE),"")</f>
        <v>0</v>
      </c>
      <c r="AG139" s="59">
        <f>IFERROR(VLOOKUP(Tabelle32[[#This Row],[Device ID]],BOM!$B$3:$BQ$35,37,FALSE),"")</f>
        <v>0</v>
      </c>
      <c r="AH139" s="59"/>
      <c r="AI139" s="59"/>
      <c r="AJ139" s="59"/>
      <c r="AK139" s="59"/>
      <c r="AL139" s="59" t="str">
        <f>IFERROR(VLOOKUP(Tabelle32[[#This Row],[Device ID]],BOM!$B$3:$BQ$35,42,FALSE),"")</f>
        <v>Imagine Communications SNP</v>
      </c>
      <c r="AM139" s="59" t="str">
        <f>IFERROR(VLOOKUP(Tabelle32[[#This Row],[Device ID]],BOM!$B$3:$BQ$35,43,FALSE),"")</f>
        <v>no</v>
      </c>
      <c r="AN139" s="59" t="str">
        <f>IFERROR(VLOOKUP(Tabelle32[[#This Row],[Device ID]],BOM!$B$3:$BQ$35,44,FALSE),"")</f>
        <v>yes</v>
      </c>
      <c r="AO139" s="59" t="str">
        <f>IFERROR(VLOOKUP(Tabelle32[[#This Row],[Device ID]],BOM!$B$3:$BQ$35,45,FALSE),"")</f>
        <v>no</v>
      </c>
      <c r="AP139" s="59" t="str">
        <f>IFERROR(CONCATENATE(Tabelle32[[#This Row],[Family
GFX-Unit]]," | ",Tabelle32[[#This Row],[Label 1
GFX-Unit]]," | ",Tabelle32[[#This Row],[Attached Device if Gateway]]),"")</f>
        <v>PLAYOUT MPA431 | HD1-007 | MPA 431 HD1</v>
      </c>
      <c r="AQ139" s="59"/>
      <c r="AR139" s="90"/>
      <c r="AS139" s="90"/>
      <c r="AT139" s="90"/>
      <c r="AU139" s="90"/>
      <c r="AV139" s="90"/>
      <c r="AW139" s="90"/>
      <c r="AX139" s="90"/>
      <c r="AY139" s="90"/>
      <c r="AZ139" s="90" t="s">
        <v>97</v>
      </c>
      <c r="BA139" s="90"/>
      <c r="BB139" s="90"/>
      <c r="BC139" s="90"/>
      <c r="BD139" s="90"/>
      <c r="BE139" s="90"/>
      <c r="BF139" s="90"/>
      <c r="BG139" s="90"/>
      <c r="BH139" s="73" t="s">
        <v>199</v>
      </c>
      <c r="BI139" s="30" t="str">
        <f>IF(COUNTA(Tabelle32[[#This Row],[Type:Vid_1080i50]:[Type:Anc_Prot]])&gt;0,"x","")</f>
        <v>x</v>
      </c>
      <c r="BJ13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39" s="59"/>
      <c r="BL139" s="59"/>
      <c r="BM139" s="63"/>
      <c r="BN139" s="63"/>
      <c r="BO139" s="97" t="s">
        <v>415</v>
      </c>
      <c r="BP139" s="97" t="s">
        <v>324</v>
      </c>
      <c r="BQ139" s="75">
        <f>LEN(Tabelle32[[#This Row],[Label 1
GFX-Unit]])</f>
        <v>7</v>
      </c>
      <c r="BR139" s="63"/>
      <c r="BS139" s="63"/>
      <c r="BT139" s="59"/>
      <c r="BU139" s="59"/>
      <c r="BV139" s="59" t="s">
        <v>238</v>
      </c>
      <c r="BW139" s="59" t="s">
        <v>239</v>
      </c>
      <c r="BX139" s="59" t="s">
        <v>426</v>
      </c>
      <c r="BY139" s="59">
        <v>7</v>
      </c>
    </row>
    <row r="140" spans="1:77" x14ac:dyDescent="0.2">
      <c r="A140" s="58" t="str">
        <f>CONCATENATE(Tabelle32[[#This Row],[Device ID]],".",Tabelle32[[#This Row],[Streamcounter]])</f>
        <v>384.07208</v>
      </c>
      <c r="B14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VGW-103_SDI07_AUDsend_0008</v>
      </c>
      <c r="C140" s="67"/>
      <c r="D140" s="61"/>
      <c r="E140" s="67"/>
      <c r="F140" s="59" t="str">
        <f>IFERROR(VLOOKUP(Tabelle32[[#This Row],[Device ID]],BOM!$B$3:$BQ$35,16,FALSE),"")</f>
        <v>MPA 431 HD1</v>
      </c>
      <c r="G140" s="63">
        <f>VLOOKUP(Tabelle32[[#This Row],[SDI Interface]],BOM!$A$4:$B$35,2,FALSE)</f>
        <v>384</v>
      </c>
      <c r="H140" s="59" t="str">
        <f>BOM!$C$4</f>
        <v>VGW-103</v>
      </c>
      <c r="I140" s="59" t="str">
        <f>IFERROR(VLOOKUP(Tabelle32[[#This Row],[Device ID]],BOM!$B$3:$BQ$35,12,FALSE),"")</f>
        <v>Videoserver</v>
      </c>
      <c r="J140" s="59" t="str">
        <f>IFERROR(VLOOKUP(Tabelle32[[#This Row],[Device ID]],BOM!$B$3:$BQ$35,13,FALSE),"")</f>
        <v>TC.U1.223 | MDC</v>
      </c>
      <c r="K140" s="59" t="str">
        <f>IFERROR(VLOOKUP(Tabelle32[[#This Row],[Device ID]],BOM!$B$3:$BQ$35,14,FALSE),"")</f>
        <v>Imagine Comunications</v>
      </c>
      <c r="L140" s="59" t="str">
        <f>IFERROR(VLOOKUP(Tabelle32[[#This Row],[Device ID]],BOM!$B$3:$BQ$35,16,FALSE),"")</f>
        <v>MPA 431 HD1</v>
      </c>
      <c r="M140" s="63" t="str">
        <f>IFERROR(VLOOKUP(Tabelle32[[#This Row],[Device ID]],BOM!$B$3:$BQ$35,17,FALSE),"")</f>
        <v>MPA 431</v>
      </c>
      <c r="N140" s="59" t="str">
        <f>IFERROR(VLOOKUP(Tabelle32[[#This Row],[Device ID]],BOM!$B$3:$BQ$35,18,FALSE),"")</f>
        <v>TC.03.021 | MPA431</v>
      </c>
      <c r="O140" s="64"/>
      <c r="P140" s="64">
        <f>IFERROR(VLOOKUP(Tabelle32[[#This Row],[Device ID]],BOM!$B$3:$BO$50,20,FALSE),"")</f>
        <v>0</v>
      </c>
      <c r="Q140" s="64">
        <f>IFERROR(VLOOKUP(Tabelle32[[#This Row],[Device ID]],BOM!$B$3:$BO$50,21,FALSE),"")</f>
        <v>1</v>
      </c>
      <c r="R140" s="64">
        <f>IFERROR(VLOOKUP(Tabelle32[[#This Row],[Device ID]],BOM!$B$3:$BO$50,22,FALSE),"")</f>
        <v>0</v>
      </c>
      <c r="S140" s="64"/>
      <c r="T140" s="64"/>
      <c r="U140" s="59" t="str">
        <f>IFERROR(VLOOKUP(Tabelle32[[#This Row],[Device ID]],BOM!$B$3:$BQ$35,25,FALSE),"")</f>
        <v>Luis/Ivo</v>
      </c>
      <c r="V140" s="59" t="str">
        <f>IFERROR(VLOOKUP(Tabelle32[[#This Row],[Device ID]],BOM!$B$3:$BQ$35,26,FALSE),"")</f>
        <v>tpco-megw-vgw103.rta.st-net.media.int</v>
      </c>
      <c r="W140" s="59" t="str">
        <f>IFERROR(VLOOKUP(Tabelle32[[#This Row],[Device ID]],BOM!$B$3:$BQ$35,27,FALSE),"")</f>
        <v>10.120.236.50</v>
      </c>
      <c r="X140" s="59" t="str">
        <f>IFERROR(VLOOKUP(Tabelle32[[#This Row],[Device ID]],BOM!$B$3:$BQ$35,28,FALSE),"")</f>
        <v>AVCoreA</v>
      </c>
      <c r="Y140" s="59" t="str">
        <f>IFERROR(VLOOKUP(Tabelle32[[#This Row],[Device ID]],BOM!$B$3:$BQ$35,29,FALSE),"")</f>
        <v>5_36_1</v>
      </c>
      <c r="Z140" s="59" t="str">
        <f>IFERROR(VLOOKUP(Tabelle32[[#This Row],[Device ID]],BOM!$B$3:$BQ$35,30,FALSE),"")</f>
        <v>tpco-megw-vgw103.rtb.st-net.media.int</v>
      </c>
      <c r="AA140" s="59" t="str">
        <f>IFERROR(VLOOKUP(Tabelle32[[#This Row],[Device ID]],BOM!$B$3:$BQ$35,31,FALSE),"")</f>
        <v>10.120.236.54</v>
      </c>
      <c r="AB140" s="59" t="str">
        <f>IFERROR(VLOOKUP(Tabelle32[[#This Row],[Device ID]],BOM!$B$3:$BQ$35,32,FALSE),"")</f>
        <v>AVCoreB</v>
      </c>
      <c r="AC140" s="59" t="str">
        <f>IFERROR(VLOOKUP(Tabelle32[[#This Row],[Device ID]],BOM!$B$3:$BQ$35,33,FALSE),"")</f>
        <v>5_36_1</v>
      </c>
      <c r="AD140" s="59" t="str">
        <f>IFERROR(VLOOKUP(Tabelle32[[#This Row],[Device ID]],BOM!$B$3:$BQ$35,34,FALSE),"")</f>
        <v>tpco-megw-vgw103.st-net.media.int</v>
      </c>
      <c r="AE140" s="59" t="str">
        <f>IFERROR(VLOOKUP(Tabelle32[[#This Row],[Device ID]],BOM!$B$3:$BQ$35,35,FALSE),"")</f>
        <v>10.120.67.141</v>
      </c>
      <c r="AF140" s="59">
        <f>IFERROR(VLOOKUP(Tabelle32[[#This Row],[Device ID]],BOM!$B$3:$BQ$35,36,FALSE),"")</f>
        <v>0</v>
      </c>
      <c r="AG140" s="59">
        <f>IFERROR(VLOOKUP(Tabelle32[[#This Row],[Device ID]],BOM!$B$3:$BQ$35,37,FALSE),"")</f>
        <v>0</v>
      </c>
      <c r="AH140" s="59"/>
      <c r="AI140" s="59"/>
      <c r="AJ140" s="59"/>
      <c r="AK140" s="59"/>
      <c r="AL140" s="59" t="str">
        <f>IFERROR(VLOOKUP(Tabelle32[[#This Row],[Device ID]],BOM!$B$3:$BQ$35,42,FALSE),"")</f>
        <v>Imagine Communications SNP</v>
      </c>
      <c r="AM140" s="59" t="str">
        <f>IFERROR(VLOOKUP(Tabelle32[[#This Row],[Device ID]],BOM!$B$3:$BQ$35,43,FALSE),"")</f>
        <v>no</v>
      </c>
      <c r="AN140" s="59" t="str">
        <f>IFERROR(VLOOKUP(Tabelle32[[#This Row],[Device ID]],BOM!$B$3:$BQ$35,44,FALSE),"")</f>
        <v>yes</v>
      </c>
      <c r="AO140" s="59" t="str">
        <f>IFERROR(VLOOKUP(Tabelle32[[#This Row],[Device ID]],BOM!$B$3:$BQ$35,45,FALSE),"")</f>
        <v>no</v>
      </c>
      <c r="AP140" s="59" t="str">
        <f>IFERROR(CONCATENATE(Tabelle32[[#This Row],[Family
GFX-Unit]]," | ",Tabelle32[[#This Row],[Label 1
GFX-Unit]]," | ",Tabelle32[[#This Row],[Attached Device if Gateway]]),"")</f>
        <v>PLAYOUT MPA431 | HD1-008 | MPA 431 HD1</v>
      </c>
      <c r="AQ140" s="59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 t="s">
        <v>97</v>
      </c>
      <c r="BD140" s="90"/>
      <c r="BE140" s="90"/>
      <c r="BF140" s="90"/>
      <c r="BG140" s="90"/>
      <c r="BH140" s="73" t="s">
        <v>199</v>
      </c>
      <c r="BI140" s="30" t="str">
        <f>IF(COUNTA(Tabelle32[[#This Row],[Type:Vid_1080i50]:[Type:Anc_Prot]])&gt;0,"x","")</f>
        <v>x</v>
      </c>
      <c r="BJ14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140" s="59"/>
      <c r="BL140" s="59"/>
      <c r="BM140" s="63"/>
      <c r="BN140" s="63"/>
      <c r="BO140" s="97" t="s">
        <v>415</v>
      </c>
      <c r="BP140" s="97" t="s">
        <v>326</v>
      </c>
      <c r="BQ140" s="75">
        <f>LEN(Tabelle32[[#This Row],[Label 1
GFX-Unit]])</f>
        <v>7</v>
      </c>
      <c r="BR140" s="63"/>
      <c r="BS140" s="63"/>
      <c r="BT140" s="59"/>
      <c r="BU140" s="59"/>
      <c r="BV140" s="59" t="s">
        <v>242</v>
      </c>
      <c r="BW140" s="59" t="s">
        <v>243</v>
      </c>
      <c r="BX140" s="59" t="s">
        <v>427</v>
      </c>
      <c r="BY140" s="59">
        <v>7</v>
      </c>
    </row>
    <row r="141" spans="1:77" hidden="1" x14ac:dyDescent="0.2">
      <c r="A141" s="58" t="str">
        <f>CONCATENATE(Tabelle32[[#This Row],[Device ID]],".",Tabelle32[[#This Row],[Streamcounter]])</f>
        <v>384.07209</v>
      </c>
      <c r="B14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VGW-103_SDI07_AUDsend_0009</v>
      </c>
      <c r="C141" s="67"/>
      <c r="D141" s="61"/>
      <c r="E141" s="67"/>
      <c r="F141" s="59" t="str">
        <f>IFERROR(VLOOKUP(Tabelle32[[#This Row],[Device ID]],BOM!$B$3:$BQ$35,16,FALSE),"")</f>
        <v>MPA 431 HD1</v>
      </c>
      <c r="G141" s="63">
        <f>VLOOKUP(Tabelle32[[#This Row],[SDI Interface]],BOM!$A$4:$B$35,2,FALSE)</f>
        <v>384</v>
      </c>
      <c r="H141" s="59" t="str">
        <f>BOM!$C$4</f>
        <v>VGW-103</v>
      </c>
      <c r="I141" s="59" t="str">
        <f>IFERROR(VLOOKUP(Tabelle32[[#This Row],[Device ID]],BOM!$B$3:$BQ$35,12,FALSE),"")</f>
        <v>Videoserver</v>
      </c>
      <c r="J141" s="59" t="str">
        <f>IFERROR(VLOOKUP(Tabelle32[[#This Row],[Device ID]],BOM!$B$3:$BQ$35,13,FALSE),"")</f>
        <v>TC.U1.223 | MDC</v>
      </c>
      <c r="K141" s="59" t="str">
        <f>IFERROR(VLOOKUP(Tabelle32[[#This Row],[Device ID]],BOM!$B$3:$BQ$35,14,FALSE),"")</f>
        <v>Imagine Comunications</v>
      </c>
      <c r="L141" s="59" t="str">
        <f>IFERROR(VLOOKUP(Tabelle32[[#This Row],[Device ID]],BOM!$B$3:$BQ$35,16,FALSE),"")</f>
        <v>MPA 431 HD1</v>
      </c>
      <c r="M141" s="63" t="str">
        <f>IFERROR(VLOOKUP(Tabelle32[[#This Row],[Device ID]],BOM!$B$3:$BQ$35,17,FALSE),"")</f>
        <v>MPA 431</v>
      </c>
      <c r="N141" s="59" t="str">
        <f>IFERROR(VLOOKUP(Tabelle32[[#This Row],[Device ID]],BOM!$B$3:$BQ$35,18,FALSE),"")</f>
        <v>TC.03.021 | MPA431</v>
      </c>
      <c r="O141" s="64"/>
      <c r="P141" s="64">
        <f>IFERROR(VLOOKUP(Tabelle32[[#This Row],[Device ID]],BOM!$B$3:$BO$50,20,FALSE),"")</f>
        <v>0</v>
      </c>
      <c r="Q141" s="64">
        <f>IFERROR(VLOOKUP(Tabelle32[[#This Row],[Device ID]],BOM!$B$3:$BO$50,21,FALSE),"")</f>
        <v>1</v>
      </c>
      <c r="R141" s="64">
        <f>IFERROR(VLOOKUP(Tabelle32[[#This Row],[Device ID]],BOM!$B$3:$BO$50,22,FALSE),"")</f>
        <v>0</v>
      </c>
      <c r="S141" s="64"/>
      <c r="T141" s="64"/>
      <c r="U141" s="59" t="str">
        <f>IFERROR(VLOOKUP(Tabelle32[[#This Row],[Device ID]],BOM!$B$3:$BQ$35,25,FALSE),"")</f>
        <v>Luis/Ivo</v>
      </c>
      <c r="V141" s="59" t="str">
        <f>IFERROR(VLOOKUP(Tabelle32[[#This Row],[Device ID]],BOM!$B$3:$BQ$35,26,FALSE),"")</f>
        <v>tpco-megw-vgw103.rta.st-net.media.int</v>
      </c>
      <c r="W141" s="59" t="str">
        <f>IFERROR(VLOOKUP(Tabelle32[[#This Row],[Device ID]],BOM!$B$3:$BQ$35,27,FALSE),"")</f>
        <v>10.120.236.50</v>
      </c>
      <c r="X141" s="59" t="str">
        <f>IFERROR(VLOOKUP(Tabelle32[[#This Row],[Device ID]],BOM!$B$3:$BQ$35,28,FALSE),"")</f>
        <v>AVCoreA</v>
      </c>
      <c r="Y141" s="59" t="str">
        <f>IFERROR(VLOOKUP(Tabelle32[[#This Row],[Device ID]],BOM!$B$3:$BQ$35,29,FALSE),"")</f>
        <v>5_36_1</v>
      </c>
      <c r="Z141" s="59" t="str">
        <f>IFERROR(VLOOKUP(Tabelle32[[#This Row],[Device ID]],BOM!$B$3:$BQ$35,30,FALSE),"")</f>
        <v>tpco-megw-vgw103.rtb.st-net.media.int</v>
      </c>
      <c r="AA141" s="59" t="str">
        <f>IFERROR(VLOOKUP(Tabelle32[[#This Row],[Device ID]],BOM!$B$3:$BQ$35,31,FALSE),"")</f>
        <v>10.120.236.54</v>
      </c>
      <c r="AB141" s="59" t="str">
        <f>IFERROR(VLOOKUP(Tabelle32[[#This Row],[Device ID]],BOM!$B$3:$BQ$35,32,FALSE),"")</f>
        <v>AVCoreB</v>
      </c>
      <c r="AC141" s="59" t="str">
        <f>IFERROR(VLOOKUP(Tabelle32[[#This Row],[Device ID]],BOM!$B$3:$BQ$35,33,FALSE),"")</f>
        <v>5_36_1</v>
      </c>
      <c r="AD141" s="59" t="str">
        <f>IFERROR(VLOOKUP(Tabelle32[[#This Row],[Device ID]],BOM!$B$3:$BQ$35,34,FALSE),"")</f>
        <v>tpco-megw-vgw103.st-net.media.int</v>
      </c>
      <c r="AE141" s="59" t="str">
        <f>IFERROR(VLOOKUP(Tabelle32[[#This Row],[Device ID]],BOM!$B$3:$BQ$35,35,FALSE),"")</f>
        <v>10.120.67.141</v>
      </c>
      <c r="AF141" s="59">
        <f>IFERROR(VLOOKUP(Tabelle32[[#This Row],[Device ID]],BOM!$B$3:$BQ$35,36,FALSE),"")</f>
        <v>0</v>
      </c>
      <c r="AG141" s="59">
        <f>IFERROR(VLOOKUP(Tabelle32[[#This Row],[Device ID]],BOM!$B$3:$BQ$35,37,FALSE),"")</f>
        <v>0</v>
      </c>
      <c r="AH141" s="59"/>
      <c r="AI141" s="59"/>
      <c r="AJ141" s="59"/>
      <c r="AK141" s="59"/>
      <c r="AL141" s="59" t="str">
        <f>IFERROR(VLOOKUP(Tabelle32[[#This Row],[Device ID]],BOM!$B$3:$BQ$35,42,FALSE),"")</f>
        <v>Imagine Communications SNP</v>
      </c>
      <c r="AM141" s="59" t="str">
        <f>IFERROR(VLOOKUP(Tabelle32[[#This Row],[Device ID]],BOM!$B$3:$BQ$35,43,FALSE),"")</f>
        <v>no</v>
      </c>
      <c r="AN141" s="59" t="str">
        <f>IFERROR(VLOOKUP(Tabelle32[[#This Row],[Device ID]],BOM!$B$3:$BQ$35,44,FALSE),"")</f>
        <v>yes</v>
      </c>
      <c r="AO141" s="59" t="str">
        <f>IFERROR(VLOOKUP(Tabelle32[[#This Row],[Device ID]],BOM!$B$3:$BQ$35,45,FALSE),"")</f>
        <v>no</v>
      </c>
      <c r="AP141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41" s="59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73" t="s">
        <v>199</v>
      </c>
      <c r="BI141" s="30" t="str">
        <f>IF(COUNTA(Tabelle32[[#This Row],[Type:Vid_1080i50]:[Type:Anc_Prot]])&gt;0,"x","")</f>
        <v/>
      </c>
      <c r="BJ14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41" s="59"/>
      <c r="BL141" s="59"/>
      <c r="BM141" s="63"/>
      <c r="BN141" s="63"/>
      <c r="BO141" s="96"/>
      <c r="BP141" s="96"/>
      <c r="BQ141" s="75">
        <f>LEN(Tabelle32[[#This Row],[Label 1
GFX-Unit]])</f>
        <v>0</v>
      </c>
      <c r="BR141" s="63"/>
      <c r="BS141" s="63"/>
      <c r="BT141" s="59"/>
      <c r="BU141" s="59"/>
      <c r="BV141" s="59" t="s">
        <v>245</v>
      </c>
      <c r="BW141" s="59" t="s">
        <v>246</v>
      </c>
      <c r="BX141" s="59" t="s">
        <v>428</v>
      </c>
      <c r="BY141" s="59">
        <v>7</v>
      </c>
    </row>
    <row r="142" spans="1:77" hidden="1" x14ac:dyDescent="0.2">
      <c r="A142" s="58" t="str">
        <f>CONCATENATE(Tabelle32[[#This Row],[Device ID]],".",Tabelle32[[#This Row],[Streamcounter]])</f>
        <v>384.07210</v>
      </c>
      <c r="B14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VGW-103_SDI07_AUDsend_0010</v>
      </c>
      <c r="C142" s="67"/>
      <c r="D142" s="61"/>
      <c r="E142" s="67"/>
      <c r="F142" s="59" t="str">
        <f>IFERROR(VLOOKUP(Tabelle32[[#This Row],[Device ID]],BOM!$B$3:$BQ$35,16,FALSE),"")</f>
        <v>MPA 431 HD1</v>
      </c>
      <c r="G142" s="63">
        <f>VLOOKUP(Tabelle32[[#This Row],[SDI Interface]],BOM!$A$4:$B$35,2,FALSE)</f>
        <v>384</v>
      </c>
      <c r="H142" s="59" t="str">
        <f>BOM!$C$4</f>
        <v>VGW-103</v>
      </c>
      <c r="I142" s="59" t="str">
        <f>IFERROR(VLOOKUP(Tabelle32[[#This Row],[Device ID]],BOM!$B$3:$BQ$35,12,FALSE),"")</f>
        <v>Videoserver</v>
      </c>
      <c r="J142" s="59" t="str">
        <f>IFERROR(VLOOKUP(Tabelle32[[#This Row],[Device ID]],BOM!$B$3:$BQ$35,13,FALSE),"")</f>
        <v>TC.U1.223 | MDC</v>
      </c>
      <c r="K142" s="59" t="str">
        <f>IFERROR(VLOOKUP(Tabelle32[[#This Row],[Device ID]],BOM!$B$3:$BQ$35,14,FALSE),"")</f>
        <v>Imagine Comunications</v>
      </c>
      <c r="L142" s="59" t="str">
        <f>IFERROR(VLOOKUP(Tabelle32[[#This Row],[Device ID]],BOM!$B$3:$BQ$35,16,FALSE),"")</f>
        <v>MPA 431 HD1</v>
      </c>
      <c r="M142" s="63" t="str">
        <f>IFERROR(VLOOKUP(Tabelle32[[#This Row],[Device ID]],BOM!$B$3:$BQ$35,17,FALSE),"")</f>
        <v>MPA 431</v>
      </c>
      <c r="N142" s="59" t="str">
        <f>IFERROR(VLOOKUP(Tabelle32[[#This Row],[Device ID]],BOM!$B$3:$BQ$35,18,FALSE),"")</f>
        <v>TC.03.021 | MPA431</v>
      </c>
      <c r="O142" s="64"/>
      <c r="P142" s="64">
        <f>IFERROR(VLOOKUP(Tabelle32[[#This Row],[Device ID]],BOM!$B$3:$BO$50,20,FALSE),"")</f>
        <v>0</v>
      </c>
      <c r="Q142" s="64">
        <f>IFERROR(VLOOKUP(Tabelle32[[#This Row],[Device ID]],BOM!$B$3:$BO$50,21,FALSE),"")</f>
        <v>1</v>
      </c>
      <c r="R142" s="64">
        <f>IFERROR(VLOOKUP(Tabelle32[[#This Row],[Device ID]],BOM!$B$3:$BO$50,22,FALSE),"")</f>
        <v>0</v>
      </c>
      <c r="S142" s="64"/>
      <c r="T142" s="64"/>
      <c r="U142" s="59" t="str">
        <f>IFERROR(VLOOKUP(Tabelle32[[#This Row],[Device ID]],BOM!$B$3:$BQ$35,25,FALSE),"")</f>
        <v>Luis/Ivo</v>
      </c>
      <c r="V142" s="59" t="str">
        <f>IFERROR(VLOOKUP(Tabelle32[[#This Row],[Device ID]],BOM!$B$3:$BQ$35,26,FALSE),"")</f>
        <v>tpco-megw-vgw103.rta.st-net.media.int</v>
      </c>
      <c r="W142" s="59" t="str">
        <f>IFERROR(VLOOKUP(Tabelle32[[#This Row],[Device ID]],BOM!$B$3:$BQ$35,27,FALSE),"")</f>
        <v>10.120.236.50</v>
      </c>
      <c r="X142" s="59" t="str">
        <f>IFERROR(VLOOKUP(Tabelle32[[#This Row],[Device ID]],BOM!$B$3:$BQ$35,28,FALSE),"")</f>
        <v>AVCoreA</v>
      </c>
      <c r="Y142" s="59" t="str">
        <f>IFERROR(VLOOKUP(Tabelle32[[#This Row],[Device ID]],BOM!$B$3:$BQ$35,29,FALSE),"")</f>
        <v>5_36_1</v>
      </c>
      <c r="Z142" s="59" t="str">
        <f>IFERROR(VLOOKUP(Tabelle32[[#This Row],[Device ID]],BOM!$B$3:$BQ$35,30,FALSE),"")</f>
        <v>tpco-megw-vgw103.rtb.st-net.media.int</v>
      </c>
      <c r="AA142" s="59" t="str">
        <f>IFERROR(VLOOKUP(Tabelle32[[#This Row],[Device ID]],BOM!$B$3:$BQ$35,31,FALSE),"")</f>
        <v>10.120.236.54</v>
      </c>
      <c r="AB142" s="59" t="str">
        <f>IFERROR(VLOOKUP(Tabelle32[[#This Row],[Device ID]],BOM!$B$3:$BQ$35,32,FALSE),"")</f>
        <v>AVCoreB</v>
      </c>
      <c r="AC142" s="59" t="str">
        <f>IFERROR(VLOOKUP(Tabelle32[[#This Row],[Device ID]],BOM!$B$3:$BQ$35,33,FALSE),"")</f>
        <v>5_36_1</v>
      </c>
      <c r="AD142" s="59" t="str">
        <f>IFERROR(VLOOKUP(Tabelle32[[#This Row],[Device ID]],BOM!$B$3:$BQ$35,34,FALSE),"")</f>
        <v>tpco-megw-vgw103.st-net.media.int</v>
      </c>
      <c r="AE142" s="59" t="str">
        <f>IFERROR(VLOOKUP(Tabelle32[[#This Row],[Device ID]],BOM!$B$3:$BQ$35,35,FALSE),"")</f>
        <v>10.120.67.141</v>
      </c>
      <c r="AF142" s="59">
        <f>IFERROR(VLOOKUP(Tabelle32[[#This Row],[Device ID]],BOM!$B$3:$BQ$35,36,FALSE),"")</f>
        <v>0</v>
      </c>
      <c r="AG142" s="59">
        <f>IFERROR(VLOOKUP(Tabelle32[[#This Row],[Device ID]],BOM!$B$3:$BQ$35,37,FALSE),"")</f>
        <v>0</v>
      </c>
      <c r="AH142" s="59"/>
      <c r="AI142" s="59"/>
      <c r="AJ142" s="59"/>
      <c r="AK142" s="59"/>
      <c r="AL142" s="59" t="str">
        <f>IFERROR(VLOOKUP(Tabelle32[[#This Row],[Device ID]],BOM!$B$3:$BQ$35,42,FALSE),"")</f>
        <v>Imagine Communications SNP</v>
      </c>
      <c r="AM142" s="59" t="str">
        <f>IFERROR(VLOOKUP(Tabelle32[[#This Row],[Device ID]],BOM!$B$3:$BQ$35,43,FALSE),"")</f>
        <v>no</v>
      </c>
      <c r="AN142" s="59" t="str">
        <f>IFERROR(VLOOKUP(Tabelle32[[#This Row],[Device ID]],BOM!$B$3:$BQ$35,44,FALSE),"")</f>
        <v>yes</v>
      </c>
      <c r="AO142" s="59" t="str">
        <f>IFERROR(VLOOKUP(Tabelle32[[#This Row],[Device ID]],BOM!$B$3:$BQ$35,45,FALSE),"")</f>
        <v>no</v>
      </c>
      <c r="AP142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42" s="59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73" t="s">
        <v>199</v>
      </c>
      <c r="BI142" s="30" t="str">
        <f>IF(COUNTA(Tabelle32[[#This Row],[Type:Vid_1080i50]:[Type:Anc_Prot]])&gt;0,"x","")</f>
        <v/>
      </c>
      <c r="BJ14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42" s="59"/>
      <c r="BL142" s="59"/>
      <c r="BM142" s="63"/>
      <c r="BN142" s="63"/>
      <c r="BO142" s="96"/>
      <c r="BP142" s="96"/>
      <c r="BQ142" s="75">
        <f>LEN(Tabelle32[[#This Row],[Label 1
GFX-Unit]])</f>
        <v>0</v>
      </c>
      <c r="BR142" s="63"/>
      <c r="BS142" s="63"/>
      <c r="BT142" s="59"/>
      <c r="BU142" s="59"/>
      <c r="BV142" s="59" t="s">
        <v>248</v>
      </c>
      <c r="BW142" s="59" t="s">
        <v>249</v>
      </c>
      <c r="BX142" s="59" t="s">
        <v>429</v>
      </c>
      <c r="BY142" s="59">
        <v>7</v>
      </c>
    </row>
    <row r="143" spans="1:77" hidden="1" x14ac:dyDescent="0.2">
      <c r="A143" s="58" t="str">
        <f>CONCATENATE(Tabelle32[[#This Row],[Device ID]],".",Tabelle32[[#This Row],[Streamcounter]])</f>
        <v>384.07211</v>
      </c>
      <c r="B14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VGW-103_SDI07_AUDsend_0011</v>
      </c>
      <c r="C143" s="67"/>
      <c r="D143" s="61"/>
      <c r="E143" s="67"/>
      <c r="F143" s="59" t="str">
        <f>IFERROR(VLOOKUP(Tabelle32[[#This Row],[Device ID]],BOM!$B$3:$BQ$35,16,FALSE),"")</f>
        <v>MPA 431 HD1</v>
      </c>
      <c r="G143" s="63">
        <f>VLOOKUP(Tabelle32[[#This Row],[SDI Interface]],BOM!$A$4:$B$35,2,FALSE)</f>
        <v>384</v>
      </c>
      <c r="H143" s="59" t="str">
        <f>BOM!$C$4</f>
        <v>VGW-103</v>
      </c>
      <c r="I143" s="59" t="str">
        <f>IFERROR(VLOOKUP(Tabelle32[[#This Row],[Device ID]],BOM!$B$3:$BQ$35,12,FALSE),"")</f>
        <v>Videoserver</v>
      </c>
      <c r="J143" s="59" t="str">
        <f>IFERROR(VLOOKUP(Tabelle32[[#This Row],[Device ID]],BOM!$B$3:$BQ$35,13,FALSE),"")</f>
        <v>TC.U1.223 | MDC</v>
      </c>
      <c r="K143" s="59" t="str">
        <f>IFERROR(VLOOKUP(Tabelle32[[#This Row],[Device ID]],BOM!$B$3:$BQ$35,14,FALSE),"")</f>
        <v>Imagine Comunications</v>
      </c>
      <c r="L143" s="59" t="str">
        <f>IFERROR(VLOOKUP(Tabelle32[[#This Row],[Device ID]],BOM!$B$3:$BQ$35,16,FALSE),"")</f>
        <v>MPA 431 HD1</v>
      </c>
      <c r="M143" s="63" t="str">
        <f>IFERROR(VLOOKUP(Tabelle32[[#This Row],[Device ID]],BOM!$B$3:$BQ$35,17,FALSE),"")</f>
        <v>MPA 431</v>
      </c>
      <c r="N143" s="59" t="str">
        <f>IFERROR(VLOOKUP(Tabelle32[[#This Row],[Device ID]],BOM!$B$3:$BQ$35,18,FALSE),"")</f>
        <v>TC.03.021 | MPA431</v>
      </c>
      <c r="O143" s="64"/>
      <c r="P143" s="64">
        <f>IFERROR(VLOOKUP(Tabelle32[[#This Row],[Device ID]],BOM!$B$3:$BO$50,20,FALSE),"")</f>
        <v>0</v>
      </c>
      <c r="Q143" s="64">
        <f>IFERROR(VLOOKUP(Tabelle32[[#This Row],[Device ID]],BOM!$B$3:$BO$50,21,FALSE),"")</f>
        <v>1</v>
      </c>
      <c r="R143" s="64">
        <f>IFERROR(VLOOKUP(Tabelle32[[#This Row],[Device ID]],BOM!$B$3:$BO$50,22,FALSE),"")</f>
        <v>0</v>
      </c>
      <c r="S143" s="64"/>
      <c r="T143" s="64"/>
      <c r="U143" s="59" t="str">
        <f>IFERROR(VLOOKUP(Tabelle32[[#This Row],[Device ID]],BOM!$B$3:$BQ$35,25,FALSE),"")</f>
        <v>Luis/Ivo</v>
      </c>
      <c r="V143" s="59" t="str">
        <f>IFERROR(VLOOKUP(Tabelle32[[#This Row],[Device ID]],BOM!$B$3:$BQ$35,26,FALSE),"")</f>
        <v>tpco-megw-vgw103.rta.st-net.media.int</v>
      </c>
      <c r="W143" s="59" t="str">
        <f>IFERROR(VLOOKUP(Tabelle32[[#This Row],[Device ID]],BOM!$B$3:$BQ$35,27,FALSE),"")</f>
        <v>10.120.236.50</v>
      </c>
      <c r="X143" s="59" t="str">
        <f>IFERROR(VLOOKUP(Tabelle32[[#This Row],[Device ID]],BOM!$B$3:$BQ$35,28,FALSE),"")</f>
        <v>AVCoreA</v>
      </c>
      <c r="Y143" s="59" t="str">
        <f>IFERROR(VLOOKUP(Tabelle32[[#This Row],[Device ID]],BOM!$B$3:$BQ$35,29,FALSE),"")</f>
        <v>5_36_1</v>
      </c>
      <c r="Z143" s="59" t="str">
        <f>IFERROR(VLOOKUP(Tabelle32[[#This Row],[Device ID]],BOM!$B$3:$BQ$35,30,FALSE),"")</f>
        <v>tpco-megw-vgw103.rtb.st-net.media.int</v>
      </c>
      <c r="AA143" s="59" t="str">
        <f>IFERROR(VLOOKUP(Tabelle32[[#This Row],[Device ID]],BOM!$B$3:$BQ$35,31,FALSE),"")</f>
        <v>10.120.236.54</v>
      </c>
      <c r="AB143" s="59" t="str">
        <f>IFERROR(VLOOKUP(Tabelle32[[#This Row],[Device ID]],BOM!$B$3:$BQ$35,32,FALSE),"")</f>
        <v>AVCoreB</v>
      </c>
      <c r="AC143" s="59" t="str">
        <f>IFERROR(VLOOKUP(Tabelle32[[#This Row],[Device ID]],BOM!$B$3:$BQ$35,33,FALSE),"")</f>
        <v>5_36_1</v>
      </c>
      <c r="AD143" s="59" t="str">
        <f>IFERROR(VLOOKUP(Tabelle32[[#This Row],[Device ID]],BOM!$B$3:$BQ$35,34,FALSE),"")</f>
        <v>tpco-megw-vgw103.st-net.media.int</v>
      </c>
      <c r="AE143" s="59" t="str">
        <f>IFERROR(VLOOKUP(Tabelle32[[#This Row],[Device ID]],BOM!$B$3:$BQ$35,35,FALSE),"")</f>
        <v>10.120.67.141</v>
      </c>
      <c r="AF143" s="59">
        <f>IFERROR(VLOOKUP(Tabelle32[[#This Row],[Device ID]],BOM!$B$3:$BQ$35,36,FALSE),"")</f>
        <v>0</v>
      </c>
      <c r="AG143" s="59">
        <f>IFERROR(VLOOKUP(Tabelle32[[#This Row],[Device ID]],BOM!$B$3:$BQ$35,37,FALSE),"")</f>
        <v>0</v>
      </c>
      <c r="AH143" s="59"/>
      <c r="AI143" s="59"/>
      <c r="AJ143" s="59"/>
      <c r="AK143" s="59"/>
      <c r="AL143" s="59" t="str">
        <f>IFERROR(VLOOKUP(Tabelle32[[#This Row],[Device ID]],BOM!$B$3:$BQ$35,42,FALSE),"")</f>
        <v>Imagine Communications SNP</v>
      </c>
      <c r="AM143" s="59" t="str">
        <f>IFERROR(VLOOKUP(Tabelle32[[#This Row],[Device ID]],BOM!$B$3:$BQ$35,43,FALSE),"")</f>
        <v>no</v>
      </c>
      <c r="AN143" s="59" t="str">
        <f>IFERROR(VLOOKUP(Tabelle32[[#This Row],[Device ID]],BOM!$B$3:$BQ$35,44,FALSE),"")</f>
        <v>yes</v>
      </c>
      <c r="AO143" s="59" t="str">
        <f>IFERROR(VLOOKUP(Tabelle32[[#This Row],[Device ID]],BOM!$B$3:$BQ$35,45,FALSE),"")</f>
        <v>no</v>
      </c>
      <c r="AP143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43" s="59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73" t="s">
        <v>199</v>
      </c>
      <c r="BI143" s="30" t="str">
        <f>IF(COUNTA(Tabelle32[[#This Row],[Type:Vid_1080i50]:[Type:Anc_Prot]])&gt;0,"x","")</f>
        <v/>
      </c>
      <c r="BJ14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43" s="59"/>
      <c r="BL143" s="59"/>
      <c r="BM143" s="63"/>
      <c r="BN143" s="63"/>
      <c r="BO143" s="96"/>
      <c r="BP143" s="96"/>
      <c r="BQ143" s="75">
        <f>LEN(Tabelle32[[#This Row],[Label 1
GFX-Unit]])</f>
        <v>0</v>
      </c>
      <c r="BR143" s="63"/>
      <c r="BS143" s="63"/>
      <c r="BT143" s="59"/>
      <c r="BU143" s="59"/>
      <c r="BV143" s="59" t="s">
        <v>251</v>
      </c>
      <c r="BW143" s="59" t="s">
        <v>252</v>
      </c>
      <c r="BX143" s="59" t="s">
        <v>430</v>
      </c>
      <c r="BY143" s="59">
        <v>7</v>
      </c>
    </row>
    <row r="144" spans="1:77" hidden="1" x14ac:dyDescent="0.2">
      <c r="A144" s="58" t="str">
        <f>CONCATENATE(Tabelle32[[#This Row],[Device ID]],".",Tabelle32[[#This Row],[Streamcounter]])</f>
        <v>384.07212</v>
      </c>
      <c r="B14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VGW-103_SDI07_AUDsend_0012</v>
      </c>
      <c r="C144" s="67"/>
      <c r="D144" s="61"/>
      <c r="E144" s="67"/>
      <c r="F144" s="59" t="str">
        <f>IFERROR(VLOOKUP(Tabelle32[[#This Row],[Device ID]],BOM!$B$3:$BQ$35,16,FALSE),"")</f>
        <v>MPA 431 HD1</v>
      </c>
      <c r="G144" s="63">
        <f>VLOOKUP(Tabelle32[[#This Row],[SDI Interface]],BOM!$A$4:$B$35,2,FALSE)</f>
        <v>384</v>
      </c>
      <c r="H144" s="59" t="str">
        <f>BOM!$C$4</f>
        <v>VGW-103</v>
      </c>
      <c r="I144" s="59" t="str">
        <f>IFERROR(VLOOKUP(Tabelle32[[#This Row],[Device ID]],BOM!$B$3:$BQ$35,12,FALSE),"")</f>
        <v>Videoserver</v>
      </c>
      <c r="J144" s="59" t="str">
        <f>IFERROR(VLOOKUP(Tabelle32[[#This Row],[Device ID]],BOM!$B$3:$BQ$35,13,FALSE),"")</f>
        <v>TC.U1.223 | MDC</v>
      </c>
      <c r="K144" s="59" t="str">
        <f>IFERROR(VLOOKUP(Tabelle32[[#This Row],[Device ID]],BOM!$B$3:$BQ$35,14,FALSE),"")</f>
        <v>Imagine Comunications</v>
      </c>
      <c r="L144" s="59" t="str">
        <f>IFERROR(VLOOKUP(Tabelle32[[#This Row],[Device ID]],BOM!$B$3:$BQ$35,16,FALSE),"")</f>
        <v>MPA 431 HD1</v>
      </c>
      <c r="M144" s="63" t="str">
        <f>IFERROR(VLOOKUP(Tabelle32[[#This Row],[Device ID]],BOM!$B$3:$BQ$35,17,FALSE),"")</f>
        <v>MPA 431</v>
      </c>
      <c r="N144" s="59" t="str">
        <f>IFERROR(VLOOKUP(Tabelle32[[#This Row],[Device ID]],BOM!$B$3:$BQ$35,18,FALSE),"")</f>
        <v>TC.03.021 | MPA431</v>
      </c>
      <c r="O144" s="64"/>
      <c r="P144" s="64">
        <f>IFERROR(VLOOKUP(Tabelle32[[#This Row],[Device ID]],BOM!$B$3:$BO$50,20,FALSE),"")</f>
        <v>0</v>
      </c>
      <c r="Q144" s="64">
        <f>IFERROR(VLOOKUP(Tabelle32[[#This Row],[Device ID]],BOM!$B$3:$BO$50,21,FALSE),"")</f>
        <v>1</v>
      </c>
      <c r="R144" s="64">
        <f>IFERROR(VLOOKUP(Tabelle32[[#This Row],[Device ID]],BOM!$B$3:$BO$50,22,FALSE),"")</f>
        <v>0</v>
      </c>
      <c r="S144" s="64"/>
      <c r="T144" s="64"/>
      <c r="U144" s="59" t="str">
        <f>IFERROR(VLOOKUP(Tabelle32[[#This Row],[Device ID]],BOM!$B$3:$BQ$35,25,FALSE),"")</f>
        <v>Luis/Ivo</v>
      </c>
      <c r="V144" s="59" t="str">
        <f>IFERROR(VLOOKUP(Tabelle32[[#This Row],[Device ID]],BOM!$B$3:$BQ$35,26,FALSE),"")</f>
        <v>tpco-megw-vgw103.rta.st-net.media.int</v>
      </c>
      <c r="W144" s="59" t="str">
        <f>IFERROR(VLOOKUP(Tabelle32[[#This Row],[Device ID]],BOM!$B$3:$BQ$35,27,FALSE),"")</f>
        <v>10.120.236.50</v>
      </c>
      <c r="X144" s="59" t="str">
        <f>IFERROR(VLOOKUP(Tabelle32[[#This Row],[Device ID]],BOM!$B$3:$BQ$35,28,FALSE),"")</f>
        <v>AVCoreA</v>
      </c>
      <c r="Y144" s="59" t="str">
        <f>IFERROR(VLOOKUP(Tabelle32[[#This Row],[Device ID]],BOM!$B$3:$BQ$35,29,FALSE),"")</f>
        <v>5_36_1</v>
      </c>
      <c r="Z144" s="59" t="str">
        <f>IFERROR(VLOOKUP(Tabelle32[[#This Row],[Device ID]],BOM!$B$3:$BQ$35,30,FALSE),"")</f>
        <v>tpco-megw-vgw103.rtb.st-net.media.int</v>
      </c>
      <c r="AA144" s="59" t="str">
        <f>IFERROR(VLOOKUP(Tabelle32[[#This Row],[Device ID]],BOM!$B$3:$BQ$35,31,FALSE),"")</f>
        <v>10.120.236.54</v>
      </c>
      <c r="AB144" s="59" t="str">
        <f>IFERROR(VLOOKUP(Tabelle32[[#This Row],[Device ID]],BOM!$B$3:$BQ$35,32,FALSE),"")</f>
        <v>AVCoreB</v>
      </c>
      <c r="AC144" s="59" t="str">
        <f>IFERROR(VLOOKUP(Tabelle32[[#This Row],[Device ID]],BOM!$B$3:$BQ$35,33,FALSE),"")</f>
        <v>5_36_1</v>
      </c>
      <c r="AD144" s="59" t="str">
        <f>IFERROR(VLOOKUP(Tabelle32[[#This Row],[Device ID]],BOM!$B$3:$BQ$35,34,FALSE),"")</f>
        <v>tpco-megw-vgw103.st-net.media.int</v>
      </c>
      <c r="AE144" s="59" t="str">
        <f>IFERROR(VLOOKUP(Tabelle32[[#This Row],[Device ID]],BOM!$B$3:$BQ$35,35,FALSE),"")</f>
        <v>10.120.67.141</v>
      </c>
      <c r="AF144" s="59">
        <f>IFERROR(VLOOKUP(Tabelle32[[#This Row],[Device ID]],BOM!$B$3:$BQ$35,36,FALSE),"")</f>
        <v>0</v>
      </c>
      <c r="AG144" s="59">
        <f>IFERROR(VLOOKUP(Tabelle32[[#This Row],[Device ID]],BOM!$B$3:$BQ$35,37,FALSE),"")</f>
        <v>0</v>
      </c>
      <c r="AH144" s="59"/>
      <c r="AI144" s="59"/>
      <c r="AJ144" s="59"/>
      <c r="AK144" s="59"/>
      <c r="AL144" s="59" t="str">
        <f>IFERROR(VLOOKUP(Tabelle32[[#This Row],[Device ID]],BOM!$B$3:$BQ$35,42,FALSE),"")</f>
        <v>Imagine Communications SNP</v>
      </c>
      <c r="AM144" s="59" t="str">
        <f>IFERROR(VLOOKUP(Tabelle32[[#This Row],[Device ID]],BOM!$B$3:$BQ$35,43,FALSE),"")</f>
        <v>no</v>
      </c>
      <c r="AN144" s="59" t="str">
        <f>IFERROR(VLOOKUP(Tabelle32[[#This Row],[Device ID]],BOM!$B$3:$BQ$35,44,FALSE),"")</f>
        <v>yes</v>
      </c>
      <c r="AO144" s="59" t="str">
        <f>IFERROR(VLOOKUP(Tabelle32[[#This Row],[Device ID]],BOM!$B$3:$BQ$35,45,FALSE),"")</f>
        <v>no</v>
      </c>
      <c r="AP144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44" s="59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73" t="s">
        <v>199</v>
      </c>
      <c r="BI144" s="30" t="str">
        <f>IF(COUNTA(Tabelle32[[#This Row],[Type:Vid_1080i50]:[Type:Anc_Prot]])&gt;0,"x","")</f>
        <v/>
      </c>
      <c r="BJ14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44" s="59"/>
      <c r="BL144" s="59"/>
      <c r="BM144" s="63"/>
      <c r="BN144" s="63"/>
      <c r="BO144" s="96"/>
      <c r="BP144" s="96"/>
      <c r="BQ144" s="75">
        <f>LEN(Tabelle32[[#This Row],[Label 1
GFX-Unit]])</f>
        <v>0</v>
      </c>
      <c r="BR144" s="63"/>
      <c r="BS144" s="63"/>
      <c r="BT144" s="59"/>
      <c r="BU144" s="59"/>
      <c r="BV144" s="59" t="s">
        <v>254</v>
      </c>
      <c r="BW144" s="59" t="s">
        <v>255</v>
      </c>
      <c r="BX144" s="59" t="s">
        <v>431</v>
      </c>
      <c r="BY144" s="59">
        <v>7</v>
      </c>
    </row>
    <row r="145" spans="1:77" hidden="1" x14ac:dyDescent="0.2">
      <c r="A145" s="58" t="str">
        <f>CONCATENATE(Tabelle32[[#This Row],[Device ID]],".",Tabelle32[[#This Row],[Streamcounter]])</f>
        <v>384.07213</v>
      </c>
      <c r="B14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VGW-103_SDI07_AUDsend_0013</v>
      </c>
      <c r="C145" s="67"/>
      <c r="D145" s="61"/>
      <c r="E145" s="67"/>
      <c r="F145" s="59" t="str">
        <f>IFERROR(VLOOKUP(Tabelle32[[#This Row],[Device ID]],BOM!$B$3:$BQ$35,16,FALSE),"")</f>
        <v>MPA 431 HD1</v>
      </c>
      <c r="G145" s="63">
        <f>VLOOKUP(Tabelle32[[#This Row],[SDI Interface]],BOM!$A$4:$B$35,2,FALSE)</f>
        <v>384</v>
      </c>
      <c r="H145" s="59" t="str">
        <f>BOM!$C$4</f>
        <v>VGW-103</v>
      </c>
      <c r="I145" s="59" t="str">
        <f>IFERROR(VLOOKUP(Tabelle32[[#This Row],[Device ID]],BOM!$B$3:$BQ$35,12,FALSE),"")</f>
        <v>Videoserver</v>
      </c>
      <c r="J145" s="59" t="str">
        <f>IFERROR(VLOOKUP(Tabelle32[[#This Row],[Device ID]],BOM!$B$3:$BQ$35,13,FALSE),"")</f>
        <v>TC.U1.223 | MDC</v>
      </c>
      <c r="K145" s="59" t="str">
        <f>IFERROR(VLOOKUP(Tabelle32[[#This Row],[Device ID]],BOM!$B$3:$BQ$35,14,FALSE),"")</f>
        <v>Imagine Comunications</v>
      </c>
      <c r="L145" s="59" t="str">
        <f>IFERROR(VLOOKUP(Tabelle32[[#This Row],[Device ID]],BOM!$B$3:$BQ$35,16,FALSE),"")</f>
        <v>MPA 431 HD1</v>
      </c>
      <c r="M145" s="63" t="str">
        <f>IFERROR(VLOOKUP(Tabelle32[[#This Row],[Device ID]],BOM!$B$3:$BQ$35,17,FALSE),"")</f>
        <v>MPA 431</v>
      </c>
      <c r="N145" s="59" t="str">
        <f>IFERROR(VLOOKUP(Tabelle32[[#This Row],[Device ID]],BOM!$B$3:$BQ$35,18,FALSE),"")</f>
        <v>TC.03.021 | MPA431</v>
      </c>
      <c r="O145" s="64"/>
      <c r="P145" s="64">
        <f>IFERROR(VLOOKUP(Tabelle32[[#This Row],[Device ID]],BOM!$B$3:$BO$50,20,FALSE),"")</f>
        <v>0</v>
      </c>
      <c r="Q145" s="64">
        <f>IFERROR(VLOOKUP(Tabelle32[[#This Row],[Device ID]],BOM!$B$3:$BO$50,21,FALSE),"")</f>
        <v>1</v>
      </c>
      <c r="R145" s="64">
        <f>IFERROR(VLOOKUP(Tabelle32[[#This Row],[Device ID]],BOM!$B$3:$BO$50,22,FALSE),"")</f>
        <v>0</v>
      </c>
      <c r="S145" s="64"/>
      <c r="T145" s="64"/>
      <c r="U145" s="59" t="str">
        <f>IFERROR(VLOOKUP(Tabelle32[[#This Row],[Device ID]],BOM!$B$3:$BQ$35,25,FALSE),"")</f>
        <v>Luis/Ivo</v>
      </c>
      <c r="V145" s="59" t="str">
        <f>IFERROR(VLOOKUP(Tabelle32[[#This Row],[Device ID]],BOM!$B$3:$BQ$35,26,FALSE),"")</f>
        <v>tpco-megw-vgw103.rta.st-net.media.int</v>
      </c>
      <c r="W145" s="59" t="str">
        <f>IFERROR(VLOOKUP(Tabelle32[[#This Row],[Device ID]],BOM!$B$3:$BQ$35,27,FALSE),"")</f>
        <v>10.120.236.50</v>
      </c>
      <c r="X145" s="59" t="str">
        <f>IFERROR(VLOOKUP(Tabelle32[[#This Row],[Device ID]],BOM!$B$3:$BQ$35,28,FALSE),"")</f>
        <v>AVCoreA</v>
      </c>
      <c r="Y145" s="59" t="str">
        <f>IFERROR(VLOOKUP(Tabelle32[[#This Row],[Device ID]],BOM!$B$3:$BQ$35,29,FALSE),"")</f>
        <v>5_36_1</v>
      </c>
      <c r="Z145" s="59" t="str">
        <f>IFERROR(VLOOKUP(Tabelle32[[#This Row],[Device ID]],BOM!$B$3:$BQ$35,30,FALSE),"")</f>
        <v>tpco-megw-vgw103.rtb.st-net.media.int</v>
      </c>
      <c r="AA145" s="59" t="str">
        <f>IFERROR(VLOOKUP(Tabelle32[[#This Row],[Device ID]],BOM!$B$3:$BQ$35,31,FALSE),"")</f>
        <v>10.120.236.54</v>
      </c>
      <c r="AB145" s="59" t="str">
        <f>IFERROR(VLOOKUP(Tabelle32[[#This Row],[Device ID]],BOM!$B$3:$BQ$35,32,FALSE),"")</f>
        <v>AVCoreB</v>
      </c>
      <c r="AC145" s="59" t="str">
        <f>IFERROR(VLOOKUP(Tabelle32[[#This Row],[Device ID]],BOM!$B$3:$BQ$35,33,FALSE),"")</f>
        <v>5_36_1</v>
      </c>
      <c r="AD145" s="59" t="str">
        <f>IFERROR(VLOOKUP(Tabelle32[[#This Row],[Device ID]],BOM!$B$3:$BQ$35,34,FALSE),"")</f>
        <v>tpco-megw-vgw103.st-net.media.int</v>
      </c>
      <c r="AE145" s="59" t="str">
        <f>IFERROR(VLOOKUP(Tabelle32[[#This Row],[Device ID]],BOM!$B$3:$BQ$35,35,FALSE),"")</f>
        <v>10.120.67.141</v>
      </c>
      <c r="AF145" s="59">
        <f>IFERROR(VLOOKUP(Tabelle32[[#This Row],[Device ID]],BOM!$B$3:$BQ$35,36,FALSE),"")</f>
        <v>0</v>
      </c>
      <c r="AG145" s="59">
        <f>IFERROR(VLOOKUP(Tabelle32[[#This Row],[Device ID]],BOM!$B$3:$BQ$35,37,FALSE),"")</f>
        <v>0</v>
      </c>
      <c r="AH145" s="59"/>
      <c r="AI145" s="59"/>
      <c r="AJ145" s="59"/>
      <c r="AK145" s="59"/>
      <c r="AL145" s="59" t="str">
        <f>IFERROR(VLOOKUP(Tabelle32[[#This Row],[Device ID]],BOM!$B$3:$BQ$35,42,FALSE),"")</f>
        <v>Imagine Communications SNP</v>
      </c>
      <c r="AM145" s="59" t="str">
        <f>IFERROR(VLOOKUP(Tabelle32[[#This Row],[Device ID]],BOM!$B$3:$BQ$35,43,FALSE),"")</f>
        <v>no</v>
      </c>
      <c r="AN145" s="59" t="str">
        <f>IFERROR(VLOOKUP(Tabelle32[[#This Row],[Device ID]],BOM!$B$3:$BQ$35,44,FALSE),"")</f>
        <v>yes</v>
      </c>
      <c r="AO145" s="59" t="str">
        <f>IFERROR(VLOOKUP(Tabelle32[[#This Row],[Device ID]],BOM!$B$3:$BQ$35,45,FALSE),"")</f>
        <v>no</v>
      </c>
      <c r="AP145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45" s="59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73" t="s">
        <v>199</v>
      </c>
      <c r="BI145" s="30" t="str">
        <f>IF(COUNTA(Tabelle32[[#This Row],[Type:Vid_1080i50]:[Type:Anc_Prot]])&gt;0,"x","")</f>
        <v/>
      </c>
      <c r="BJ14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45" s="59"/>
      <c r="BL145" s="59"/>
      <c r="BM145" s="63"/>
      <c r="BN145" s="63"/>
      <c r="BO145" s="96"/>
      <c r="BP145" s="96"/>
      <c r="BQ145" s="75">
        <f>LEN(Tabelle32[[#This Row],[Label 1
GFX-Unit]])</f>
        <v>0</v>
      </c>
      <c r="BR145" s="63"/>
      <c r="BS145" s="63"/>
      <c r="BT145" s="59"/>
      <c r="BU145" s="59"/>
      <c r="BV145" s="59" t="s">
        <v>257</v>
      </c>
      <c r="BW145" s="59" t="s">
        <v>258</v>
      </c>
      <c r="BX145" s="59" t="s">
        <v>432</v>
      </c>
      <c r="BY145" s="59">
        <v>7</v>
      </c>
    </row>
    <row r="146" spans="1:77" hidden="1" x14ac:dyDescent="0.2">
      <c r="A146" s="58" t="str">
        <f>CONCATENATE(Tabelle32[[#This Row],[Device ID]],".",Tabelle32[[#This Row],[Streamcounter]])</f>
        <v>384.07214</v>
      </c>
      <c r="B14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VGW-103_SDI07_AUDsend_0014</v>
      </c>
      <c r="C146" s="67"/>
      <c r="D146" s="61"/>
      <c r="E146" s="67"/>
      <c r="F146" s="59" t="str">
        <f>IFERROR(VLOOKUP(Tabelle32[[#This Row],[Device ID]],BOM!$B$3:$BQ$35,16,FALSE),"")</f>
        <v>MPA 431 HD1</v>
      </c>
      <c r="G146" s="63">
        <f>VLOOKUP(Tabelle32[[#This Row],[SDI Interface]],BOM!$A$4:$B$35,2,FALSE)</f>
        <v>384</v>
      </c>
      <c r="H146" s="59" t="str">
        <f>BOM!$C$4</f>
        <v>VGW-103</v>
      </c>
      <c r="I146" s="59" t="str">
        <f>IFERROR(VLOOKUP(Tabelle32[[#This Row],[Device ID]],BOM!$B$3:$BQ$35,12,FALSE),"")</f>
        <v>Videoserver</v>
      </c>
      <c r="J146" s="59" t="str">
        <f>IFERROR(VLOOKUP(Tabelle32[[#This Row],[Device ID]],BOM!$B$3:$BQ$35,13,FALSE),"")</f>
        <v>TC.U1.223 | MDC</v>
      </c>
      <c r="K146" s="59" t="str">
        <f>IFERROR(VLOOKUP(Tabelle32[[#This Row],[Device ID]],BOM!$B$3:$BQ$35,14,FALSE),"")</f>
        <v>Imagine Comunications</v>
      </c>
      <c r="L146" s="59" t="str">
        <f>IFERROR(VLOOKUP(Tabelle32[[#This Row],[Device ID]],BOM!$B$3:$BQ$35,16,FALSE),"")</f>
        <v>MPA 431 HD1</v>
      </c>
      <c r="M146" s="63" t="str">
        <f>IFERROR(VLOOKUP(Tabelle32[[#This Row],[Device ID]],BOM!$B$3:$BQ$35,17,FALSE),"")</f>
        <v>MPA 431</v>
      </c>
      <c r="N146" s="59" t="str">
        <f>IFERROR(VLOOKUP(Tabelle32[[#This Row],[Device ID]],BOM!$B$3:$BQ$35,18,FALSE),"")</f>
        <v>TC.03.021 | MPA431</v>
      </c>
      <c r="O146" s="64"/>
      <c r="P146" s="64">
        <f>IFERROR(VLOOKUP(Tabelle32[[#This Row],[Device ID]],BOM!$B$3:$BO$50,20,FALSE),"")</f>
        <v>0</v>
      </c>
      <c r="Q146" s="64">
        <f>IFERROR(VLOOKUP(Tabelle32[[#This Row],[Device ID]],BOM!$B$3:$BO$50,21,FALSE),"")</f>
        <v>1</v>
      </c>
      <c r="R146" s="64">
        <f>IFERROR(VLOOKUP(Tabelle32[[#This Row],[Device ID]],BOM!$B$3:$BO$50,22,FALSE),"")</f>
        <v>0</v>
      </c>
      <c r="S146" s="64"/>
      <c r="T146" s="64"/>
      <c r="U146" s="59" t="str">
        <f>IFERROR(VLOOKUP(Tabelle32[[#This Row],[Device ID]],BOM!$B$3:$BQ$35,25,FALSE),"")</f>
        <v>Luis/Ivo</v>
      </c>
      <c r="V146" s="59" t="str">
        <f>IFERROR(VLOOKUP(Tabelle32[[#This Row],[Device ID]],BOM!$B$3:$BQ$35,26,FALSE),"")</f>
        <v>tpco-megw-vgw103.rta.st-net.media.int</v>
      </c>
      <c r="W146" s="59" t="str">
        <f>IFERROR(VLOOKUP(Tabelle32[[#This Row],[Device ID]],BOM!$B$3:$BQ$35,27,FALSE),"")</f>
        <v>10.120.236.50</v>
      </c>
      <c r="X146" s="59" t="str">
        <f>IFERROR(VLOOKUP(Tabelle32[[#This Row],[Device ID]],BOM!$B$3:$BQ$35,28,FALSE),"")</f>
        <v>AVCoreA</v>
      </c>
      <c r="Y146" s="59" t="str">
        <f>IFERROR(VLOOKUP(Tabelle32[[#This Row],[Device ID]],BOM!$B$3:$BQ$35,29,FALSE),"")</f>
        <v>5_36_1</v>
      </c>
      <c r="Z146" s="59" t="str">
        <f>IFERROR(VLOOKUP(Tabelle32[[#This Row],[Device ID]],BOM!$B$3:$BQ$35,30,FALSE),"")</f>
        <v>tpco-megw-vgw103.rtb.st-net.media.int</v>
      </c>
      <c r="AA146" s="59" t="str">
        <f>IFERROR(VLOOKUP(Tabelle32[[#This Row],[Device ID]],BOM!$B$3:$BQ$35,31,FALSE),"")</f>
        <v>10.120.236.54</v>
      </c>
      <c r="AB146" s="59" t="str">
        <f>IFERROR(VLOOKUP(Tabelle32[[#This Row],[Device ID]],BOM!$B$3:$BQ$35,32,FALSE),"")</f>
        <v>AVCoreB</v>
      </c>
      <c r="AC146" s="59" t="str">
        <f>IFERROR(VLOOKUP(Tabelle32[[#This Row],[Device ID]],BOM!$B$3:$BQ$35,33,FALSE),"")</f>
        <v>5_36_1</v>
      </c>
      <c r="AD146" s="59" t="str">
        <f>IFERROR(VLOOKUP(Tabelle32[[#This Row],[Device ID]],BOM!$B$3:$BQ$35,34,FALSE),"")</f>
        <v>tpco-megw-vgw103.st-net.media.int</v>
      </c>
      <c r="AE146" s="59" t="str">
        <f>IFERROR(VLOOKUP(Tabelle32[[#This Row],[Device ID]],BOM!$B$3:$BQ$35,35,FALSE),"")</f>
        <v>10.120.67.141</v>
      </c>
      <c r="AF146" s="59">
        <f>IFERROR(VLOOKUP(Tabelle32[[#This Row],[Device ID]],BOM!$B$3:$BQ$35,36,FALSE),"")</f>
        <v>0</v>
      </c>
      <c r="AG146" s="59">
        <f>IFERROR(VLOOKUP(Tabelle32[[#This Row],[Device ID]],BOM!$B$3:$BQ$35,37,FALSE),"")</f>
        <v>0</v>
      </c>
      <c r="AH146" s="59"/>
      <c r="AI146" s="59"/>
      <c r="AJ146" s="59"/>
      <c r="AK146" s="59"/>
      <c r="AL146" s="59" t="str">
        <f>IFERROR(VLOOKUP(Tabelle32[[#This Row],[Device ID]],BOM!$B$3:$BQ$35,42,FALSE),"")</f>
        <v>Imagine Communications SNP</v>
      </c>
      <c r="AM146" s="59" t="str">
        <f>IFERROR(VLOOKUP(Tabelle32[[#This Row],[Device ID]],BOM!$B$3:$BQ$35,43,FALSE),"")</f>
        <v>no</v>
      </c>
      <c r="AN146" s="59" t="str">
        <f>IFERROR(VLOOKUP(Tabelle32[[#This Row],[Device ID]],BOM!$B$3:$BQ$35,44,FALSE),"")</f>
        <v>yes</v>
      </c>
      <c r="AO146" s="59" t="str">
        <f>IFERROR(VLOOKUP(Tabelle32[[#This Row],[Device ID]],BOM!$B$3:$BQ$35,45,FALSE),"")</f>
        <v>no</v>
      </c>
      <c r="AP146" s="59" t="str">
        <f>IFERROR(CONCATENATE(Tabelle32[[#This Row],[Family
GFX-Unit]]," | ",Tabelle32[[#This Row],[Label 1
GFX-Unit]]," | ",Tabelle32[[#This Row],[Attached Device if Gateway]]),"")</f>
        <v xml:space="preserve"> |  | MPA 431 HD1</v>
      </c>
      <c r="AQ146" s="59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73" t="s">
        <v>199</v>
      </c>
      <c r="BI146" s="30" t="str">
        <f>IF(COUNTA(Tabelle32[[#This Row],[Type:Vid_1080i50]:[Type:Anc_Prot]])&gt;0,"x","")</f>
        <v/>
      </c>
      <c r="BJ14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46" s="59"/>
      <c r="BL146" s="59"/>
      <c r="BM146" s="63"/>
      <c r="BN146" s="63"/>
      <c r="BO146" s="96"/>
      <c r="BP146" s="96"/>
      <c r="BQ146" s="75">
        <f>LEN(Tabelle32[[#This Row],[Label 1
GFX-Unit]])</f>
        <v>0</v>
      </c>
      <c r="BR146" s="63"/>
      <c r="BS146" s="63"/>
      <c r="BT146" s="59"/>
      <c r="BU146" s="59"/>
      <c r="BV146" s="59" t="s">
        <v>260</v>
      </c>
      <c r="BW146" s="59" t="s">
        <v>261</v>
      </c>
      <c r="BX146" s="59" t="s">
        <v>433</v>
      </c>
      <c r="BY146" s="59">
        <v>7</v>
      </c>
    </row>
    <row r="147" spans="1:77" x14ac:dyDescent="0.2">
      <c r="A147" s="58" t="str">
        <f>CONCATENATE(Tabelle32[[#This Row],[Device ID]],".",Tabelle32[[#This Row],[Streamcounter]])</f>
        <v>384.07215</v>
      </c>
      <c r="B14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VGW-103_SDI07_AUDsend_0015</v>
      </c>
      <c r="C147" s="67"/>
      <c r="D147" s="61"/>
      <c r="E147" s="67"/>
      <c r="F147" s="59" t="str">
        <f>IFERROR(VLOOKUP(Tabelle32[[#This Row],[Device ID]],BOM!$B$3:$BQ$35,16,FALSE),"")</f>
        <v>MPA 431 HD1</v>
      </c>
      <c r="G147" s="63">
        <f>VLOOKUP(Tabelle32[[#This Row],[SDI Interface]],BOM!$A$4:$B$35,2,FALSE)</f>
        <v>384</v>
      </c>
      <c r="H147" s="59" t="str">
        <f>BOM!$C$4</f>
        <v>VGW-103</v>
      </c>
      <c r="I147" s="59" t="str">
        <f>IFERROR(VLOOKUP(Tabelle32[[#This Row],[Device ID]],BOM!$B$3:$BQ$35,12,FALSE),"")</f>
        <v>Videoserver</v>
      </c>
      <c r="J147" s="59" t="str">
        <f>IFERROR(VLOOKUP(Tabelle32[[#This Row],[Device ID]],BOM!$B$3:$BQ$35,13,FALSE),"")</f>
        <v>TC.U1.223 | MDC</v>
      </c>
      <c r="K147" s="59" t="str">
        <f>IFERROR(VLOOKUP(Tabelle32[[#This Row],[Device ID]],BOM!$B$3:$BQ$35,14,FALSE),"")</f>
        <v>Imagine Comunications</v>
      </c>
      <c r="L147" s="59" t="str">
        <f>IFERROR(VLOOKUP(Tabelle32[[#This Row],[Device ID]],BOM!$B$3:$BQ$35,16,FALSE),"")</f>
        <v>MPA 431 HD1</v>
      </c>
      <c r="M147" s="63" t="str">
        <f>IFERROR(VLOOKUP(Tabelle32[[#This Row],[Device ID]],BOM!$B$3:$BQ$35,17,FALSE),"")</f>
        <v>MPA 431</v>
      </c>
      <c r="N147" s="59" t="str">
        <f>IFERROR(VLOOKUP(Tabelle32[[#This Row],[Device ID]],BOM!$B$3:$BQ$35,18,FALSE),"")</f>
        <v>TC.03.021 | MPA431</v>
      </c>
      <c r="O147" s="64"/>
      <c r="P147" s="64">
        <f>IFERROR(VLOOKUP(Tabelle32[[#This Row],[Device ID]],BOM!$B$3:$BO$50,20,FALSE),"")</f>
        <v>0</v>
      </c>
      <c r="Q147" s="64">
        <f>IFERROR(VLOOKUP(Tabelle32[[#This Row],[Device ID]],BOM!$B$3:$BO$50,21,FALSE),"")</f>
        <v>1</v>
      </c>
      <c r="R147" s="64">
        <f>IFERROR(VLOOKUP(Tabelle32[[#This Row],[Device ID]],BOM!$B$3:$BO$50,22,FALSE),"")</f>
        <v>0</v>
      </c>
      <c r="S147" s="64"/>
      <c r="T147" s="64"/>
      <c r="U147" s="59" t="str">
        <f>IFERROR(VLOOKUP(Tabelle32[[#This Row],[Device ID]],BOM!$B$3:$BQ$35,25,FALSE),"")</f>
        <v>Luis/Ivo</v>
      </c>
      <c r="V147" s="59" t="str">
        <f>IFERROR(VLOOKUP(Tabelle32[[#This Row],[Device ID]],BOM!$B$3:$BQ$35,26,FALSE),"")</f>
        <v>tpco-megw-vgw103.rta.st-net.media.int</v>
      </c>
      <c r="W147" s="59" t="str">
        <f>IFERROR(VLOOKUP(Tabelle32[[#This Row],[Device ID]],BOM!$B$3:$BQ$35,27,FALSE),"")</f>
        <v>10.120.236.50</v>
      </c>
      <c r="X147" s="59" t="str">
        <f>IFERROR(VLOOKUP(Tabelle32[[#This Row],[Device ID]],BOM!$B$3:$BQ$35,28,FALSE),"")</f>
        <v>AVCoreA</v>
      </c>
      <c r="Y147" s="59" t="str">
        <f>IFERROR(VLOOKUP(Tabelle32[[#This Row],[Device ID]],BOM!$B$3:$BQ$35,29,FALSE),"")</f>
        <v>5_36_1</v>
      </c>
      <c r="Z147" s="59" t="str">
        <f>IFERROR(VLOOKUP(Tabelle32[[#This Row],[Device ID]],BOM!$B$3:$BQ$35,30,FALSE),"")</f>
        <v>tpco-megw-vgw103.rtb.st-net.media.int</v>
      </c>
      <c r="AA147" s="59" t="str">
        <f>IFERROR(VLOOKUP(Tabelle32[[#This Row],[Device ID]],BOM!$B$3:$BQ$35,31,FALSE),"")</f>
        <v>10.120.236.54</v>
      </c>
      <c r="AB147" s="59" t="str">
        <f>IFERROR(VLOOKUP(Tabelle32[[#This Row],[Device ID]],BOM!$B$3:$BQ$35,32,FALSE),"")</f>
        <v>AVCoreB</v>
      </c>
      <c r="AC147" s="59" t="str">
        <f>IFERROR(VLOOKUP(Tabelle32[[#This Row],[Device ID]],BOM!$B$3:$BQ$35,33,FALSE),"")</f>
        <v>5_36_1</v>
      </c>
      <c r="AD147" s="59" t="str">
        <f>IFERROR(VLOOKUP(Tabelle32[[#This Row],[Device ID]],BOM!$B$3:$BQ$35,34,FALSE),"")</f>
        <v>tpco-megw-vgw103.st-net.media.int</v>
      </c>
      <c r="AE147" s="59" t="str">
        <f>IFERROR(VLOOKUP(Tabelle32[[#This Row],[Device ID]],BOM!$B$3:$BQ$35,35,FALSE),"")</f>
        <v>10.120.67.141</v>
      </c>
      <c r="AF147" s="59">
        <f>IFERROR(VLOOKUP(Tabelle32[[#This Row],[Device ID]],BOM!$B$3:$BQ$35,36,FALSE),"")</f>
        <v>0</v>
      </c>
      <c r="AG147" s="59">
        <f>IFERROR(VLOOKUP(Tabelle32[[#This Row],[Device ID]],BOM!$B$3:$BQ$35,37,FALSE),"")</f>
        <v>0</v>
      </c>
      <c r="AH147" s="59"/>
      <c r="AI147" s="59"/>
      <c r="AJ147" s="59"/>
      <c r="AK147" s="59"/>
      <c r="AL147" s="59" t="str">
        <f>IFERROR(VLOOKUP(Tabelle32[[#This Row],[Device ID]],BOM!$B$3:$BQ$35,42,FALSE),"")</f>
        <v>Imagine Communications SNP</v>
      </c>
      <c r="AM147" s="59" t="str">
        <f>IFERROR(VLOOKUP(Tabelle32[[#This Row],[Device ID]],BOM!$B$3:$BQ$35,43,FALSE),"")</f>
        <v>no</v>
      </c>
      <c r="AN147" s="59" t="str">
        <f>IFERROR(VLOOKUP(Tabelle32[[#This Row],[Device ID]],BOM!$B$3:$BQ$35,44,FALSE),"")</f>
        <v>yes</v>
      </c>
      <c r="AO147" s="59" t="str">
        <f>IFERROR(VLOOKUP(Tabelle32[[#This Row],[Device ID]],BOM!$B$3:$BQ$35,45,FALSE),"")</f>
        <v>no</v>
      </c>
      <c r="AP147" s="59" t="str">
        <f>IFERROR(CONCATENATE(Tabelle32[[#This Row],[Family
GFX-Unit]]," | ",Tabelle32[[#This Row],[Label 1
GFX-Unit]]," | ",Tabelle32[[#This Row],[Attached Device if Gateway]]),"")</f>
        <v>PLAYOUT MPA431 | HD1-015 | MPA 431 HD1</v>
      </c>
      <c r="AQ147" s="59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 t="s">
        <v>97</v>
      </c>
      <c r="BE147" s="90"/>
      <c r="BF147" s="90"/>
      <c r="BG147" s="90"/>
      <c r="BH147" s="73" t="s">
        <v>199</v>
      </c>
      <c r="BI147" s="30" t="str">
        <f>IF(COUNTA(Tabelle32[[#This Row],[Type:Vid_1080i50]:[Type:Anc_Prot]])&gt;0,"x","")</f>
        <v>x</v>
      </c>
      <c r="BJ14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147" s="59"/>
      <c r="BL147" s="59"/>
      <c r="BM147" s="63"/>
      <c r="BN147" s="63"/>
      <c r="BO147" s="97" t="s">
        <v>415</v>
      </c>
      <c r="BP147" s="97" t="s">
        <v>334</v>
      </c>
      <c r="BQ147" s="75">
        <f>LEN(Tabelle32[[#This Row],[Label 1
GFX-Unit]])</f>
        <v>7</v>
      </c>
      <c r="BR147" s="63"/>
      <c r="BS147" s="63"/>
      <c r="BT147" s="59"/>
      <c r="BU147" s="59"/>
      <c r="BV147" s="59" t="s">
        <v>264</v>
      </c>
      <c r="BW147" s="59" t="s">
        <v>265</v>
      </c>
      <c r="BX147" s="59" t="s">
        <v>434</v>
      </c>
      <c r="BY147" s="59">
        <v>7</v>
      </c>
    </row>
    <row r="148" spans="1:77" x14ac:dyDescent="0.2">
      <c r="A148" s="58" t="str">
        <f>CONCATENATE(Tabelle32[[#This Row],[Device ID]],".",Tabelle32[[#This Row],[Streamcounter]])</f>
        <v>384.07216</v>
      </c>
      <c r="B14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VGW-103_SDI07_AUDsend_0016</v>
      </c>
      <c r="C148" s="67"/>
      <c r="D148" s="61"/>
      <c r="E148" s="67"/>
      <c r="F148" s="59" t="str">
        <f>IFERROR(VLOOKUP(Tabelle32[[#This Row],[Device ID]],BOM!$B$3:$BQ$35,16,FALSE),"")</f>
        <v>MPA 431 HD1</v>
      </c>
      <c r="G148" s="63">
        <f>VLOOKUP(Tabelle32[[#This Row],[SDI Interface]],BOM!$A$4:$B$35,2,FALSE)</f>
        <v>384</v>
      </c>
      <c r="H148" s="59" t="str">
        <f>BOM!$C$4</f>
        <v>VGW-103</v>
      </c>
      <c r="I148" s="59" t="str">
        <f>IFERROR(VLOOKUP(Tabelle32[[#This Row],[Device ID]],BOM!$B$3:$BQ$35,12,FALSE),"")</f>
        <v>Videoserver</v>
      </c>
      <c r="J148" s="59" t="str">
        <f>IFERROR(VLOOKUP(Tabelle32[[#This Row],[Device ID]],BOM!$B$3:$BQ$35,13,FALSE),"")</f>
        <v>TC.U1.223 | MDC</v>
      </c>
      <c r="K148" s="59" t="str">
        <f>IFERROR(VLOOKUP(Tabelle32[[#This Row],[Device ID]],BOM!$B$3:$BQ$35,14,FALSE),"")</f>
        <v>Imagine Comunications</v>
      </c>
      <c r="L148" s="59" t="str">
        <f>IFERROR(VLOOKUP(Tabelle32[[#This Row],[Device ID]],BOM!$B$3:$BQ$35,16,FALSE),"")</f>
        <v>MPA 431 HD1</v>
      </c>
      <c r="M148" s="63" t="str">
        <f>IFERROR(VLOOKUP(Tabelle32[[#This Row],[Device ID]],BOM!$B$3:$BQ$35,17,FALSE),"")</f>
        <v>MPA 431</v>
      </c>
      <c r="N148" s="59" t="str">
        <f>IFERROR(VLOOKUP(Tabelle32[[#This Row],[Device ID]],BOM!$B$3:$BQ$35,18,FALSE),"")</f>
        <v>TC.03.021 | MPA431</v>
      </c>
      <c r="O148" s="64"/>
      <c r="P148" s="64">
        <f>IFERROR(VLOOKUP(Tabelle32[[#This Row],[Device ID]],BOM!$B$3:$BO$50,20,FALSE),"")</f>
        <v>0</v>
      </c>
      <c r="Q148" s="64">
        <f>IFERROR(VLOOKUP(Tabelle32[[#This Row],[Device ID]],BOM!$B$3:$BO$50,21,FALSE),"")</f>
        <v>1</v>
      </c>
      <c r="R148" s="64">
        <f>IFERROR(VLOOKUP(Tabelle32[[#This Row],[Device ID]],BOM!$B$3:$BO$50,22,FALSE),"")</f>
        <v>0</v>
      </c>
      <c r="S148" s="64"/>
      <c r="T148" s="64"/>
      <c r="U148" s="59" t="str">
        <f>IFERROR(VLOOKUP(Tabelle32[[#This Row],[Device ID]],BOM!$B$3:$BQ$35,25,FALSE),"")</f>
        <v>Luis/Ivo</v>
      </c>
      <c r="V148" s="59" t="str">
        <f>IFERROR(VLOOKUP(Tabelle32[[#This Row],[Device ID]],BOM!$B$3:$BQ$35,26,FALSE),"")</f>
        <v>tpco-megw-vgw103.rta.st-net.media.int</v>
      </c>
      <c r="W148" s="59" t="str">
        <f>IFERROR(VLOOKUP(Tabelle32[[#This Row],[Device ID]],BOM!$B$3:$BQ$35,27,FALSE),"")</f>
        <v>10.120.236.50</v>
      </c>
      <c r="X148" s="59" t="str">
        <f>IFERROR(VLOOKUP(Tabelle32[[#This Row],[Device ID]],BOM!$B$3:$BQ$35,28,FALSE),"")</f>
        <v>AVCoreA</v>
      </c>
      <c r="Y148" s="59" t="str">
        <f>IFERROR(VLOOKUP(Tabelle32[[#This Row],[Device ID]],BOM!$B$3:$BQ$35,29,FALSE),"")</f>
        <v>5_36_1</v>
      </c>
      <c r="Z148" s="59" t="str">
        <f>IFERROR(VLOOKUP(Tabelle32[[#This Row],[Device ID]],BOM!$B$3:$BQ$35,30,FALSE),"")</f>
        <v>tpco-megw-vgw103.rtb.st-net.media.int</v>
      </c>
      <c r="AA148" s="59" t="str">
        <f>IFERROR(VLOOKUP(Tabelle32[[#This Row],[Device ID]],BOM!$B$3:$BQ$35,31,FALSE),"")</f>
        <v>10.120.236.54</v>
      </c>
      <c r="AB148" s="59" t="str">
        <f>IFERROR(VLOOKUP(Tabelle32[[#This Row],[Device ID]],BOM!$B$3:$BQ$35,32,FALSE),"")</f>
        <v>AVCoreB</v>
      </c>
      <c r="AC148" s="59" t="str">
        <f>IFERROR(VLOOKUP(Tabelle32[[#This Row],[Device ID]],BOM!$B$3:$BQ$35,33,FALSE),"")</f>
        <v>5_36_1</v>
      </c>
      <c r="AD148" s="59" t="str">
        <f>IFERROR(VLOOKUP(Tabelle32[[#This Row],[Device ID]],BOM!$B$3:$BQ$35,34,FALSE),"")</f>
        <v>tpco-megw-vgw103.st-net.media.int</v>
      </c>
      <c r="AE148" s="59" t="str">
        <f>IFERROR(VLOOKUP(Tabelle32[[#This Row],[Device ID]],BOM!$B$3:$BQ$35,35,FALSE),"")</f>
        <v>10.120.67.141</v>
      </c>
      <c r="AF148" s="59">
        <f>IFERROR(VLOOKUP(Tabelle32[[#This Row],[Device ID]],BOM!$B$3:$BQ$35,36,FALSE),"")</f>
        <v>0</v>
      </c>
      <c r="AG148" s="59">
        <f>IFERROR(VLOOKUP(Tabelle32[[#This Row],[Device ID]],BOM!$B$3:$BQ$35,37,FALSE),"")</f>
        <v>0</v>
      </c>
      <c r="AH148" s="59"/>
      <c r="AI148" s="59"/>
      <c r="AJ148" s="59"/>
      <c r="AK148" s="59"/>
      <c r="AL148" s="59" t="str">
        <f>IFERROR(VLOOKUP(Tabelle32[[#This Row],[Device ID]],BOM!$B$3:$BQ$35,42,FALSE),"")</f>
        <v>Imagine Communications SNP</v>
      </c>
      <c r="AM148" s="59" t="str">
        <f>IFERROR(VLOOKUP(Tabelle32[[#This Row],[Device ID]],BOM!$B$3:$BQ$35,43,FALSE),"")</f>
        <v>no</v>
      </c>
      <c r="AN148" s="59" t="str">
        <f>IFERROR(VLOOKUP(Tabelle32[[#This Row],[Device ID]],BOM!$B$3:$BQ$35,44,FALSE),"")</f>
        <v>yes</v>
      </c>
      <c r="AO148" s="59" t="str">
        <f>IFERROR(VLOOKUP(Tabelle32[[#This Row],[Device ID]],BOM!$B$3:$BQ$35,45,FALSE),"")</f>
        <v>no</v>
      </c>
      <c r="AP148" s="59" t="str">
        <f>IFERROR(CONCATENATE(Tabelle32[[#This Row],[Family
GFX-Unit]]," | ",Tabelle32[[#This Row],[Label 1
GFX-Unit]]," | ",Tabelle32[[#This Row],[Attached Device if Gateway]]),"")</f>
        <v>PLAYOUT MPA431 | HD1-016 | MPA 431 HD1</v>
      </c>
      <c r="AQ148" s="59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 t="s">
        <v>97</v>
      </c>
      <c r="BE148" s="90"/>
      <c r="BF148" s="90"/>
      <c r="BG148" s="90"/>
      <c r="BH148" s="73" t="s">
        <v>199</v>
      </c>
      <c r="BI148" s="30" t="str">
        <f>IF(COUNTA(Tabelle32[[#This Row],[Type:Vid_1080i50]:[Type:Anc_Prot]])&gt;0,"x","")</f>
        <v>x</v>
      </c>
      <c r="BJ14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148" s="59"/>
      <c r="BL148" s="59"/>
      <c r="BM148" s="63"/>
      <c r="BN148" s="63"/>
      <c r="BO148" s="97" t="s">
        <v>415</v>
      </c>
      <c r="BP148" s="97" t="s">
        <v>336</v>
      </c>
      <c r="BQ148" s="75">
        <f>LEN(Tabelle32[[#This Row],[Label 1
GFX-Unit]])</f>
        <v>7</v>
      </c>
      <c r="BR148" s="63"/>
      <c r="BS148" s="63"/>
      <c r="BT148" s="59"/>
      <c r="BU148" s="59"/>
      <c r="BV148" s="59" t="s">
        <v>268</v>
      </c>
      <c r="BW148" s="59" t="s">
        <v>269</v>
      </c>
      <c r="BX148" s="59" t="s">
        <v>435</v>
      </c>
      <c r="BY148" s="59">
        <v>7</v>
      </c>
    </row>
    <row r="149" spans="1:77" x14ac:dyDescent="0.2">
      <c r="A149" s="58" t="str">
        <f>CONCATENATE(Tabelle32[[#This Row],[Device ID]],".",Tabelle32[[#This Row],[Streamcounter]])</f>
        <v>384.07101</v>
      </c>
      <c r="B14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VGW-103_SDI07_VIDsend_0001</v>
      </c>
      <c r="C149" s="60"/>
      <c r="D149" s="61"/>
      <c r="E149" s="62"/>
      <c r="F149" s="59" t="str">
        <f>IFERROR(VLOOKUP(Tabelle32[[#This Row],[Device ID]],BOM!$B$3:$BQ$35,16,FALSE),"")</f>
        <v>MPA 431 HD1</v>
      </c>
      <c r="G149" s="63">
        <f>VLOOKUP(Tabelle32[[#This Row],[SDI Interface]],BOM!$A$4:$B$35,2,FALSE)</f>
        <v>384</v>
      </c>
      <c r="H149" s="59" t="str">
        <f>BOM!$C$4</f>
        <v>VGW-103</v>
      </c>
      <c r="I149" s="59" t="str">
        <f>IFERROR(VLOOKUP(Tabelle32[[#This Row],[Device ID]],BOM!$B$3:$BQ$35,12,FALSE),"")</f>
        <v>Videoserver</v>
      </c>
      <c r="J149" s="59" t="str">
        <f>IFERROR(VLOOKUP(Tabelle32[[#This Row],[Device ID]],BOM!$B$3:$BQ$35,13,FALSE),"")</f>
        <v>TC.U1.223 | MDC</v>
      </c>
      <c r="K149" s="59" t="str">
        <f>IFERROR(VLOOKUP(Tabelle32[[#This Row],[Device ID]],BOM!$B$3:$BQ$35,14,FALSE),"")</f>
        <v>Imagine Comunications</v>
      </c>
      <c r="L149" s="59" t="str">
        <f>IFERROR(VLOOKUP(Tabelle32[[#This Row],[Device ID]],BOM!$B$3:$BQ$35,16,FALSE),"")</f>
        <v>MPA 431 HD1</v>
      </c>
      <c r="M149" s="63" t="str">
        <f>IFERROR(VLOOKUP(Tabelle32[[#This Row],[Device ID]],BOM!$B$3:$BQ$35,17,FALSE),"")</f>
        <v>MPA 431</v>
      </c>
      <c r="N149" s="59" t="str">
        <f>IFERROR(VLOOKUP(Tabelle32[[#This Row],[Device ID]],BOM!$B$3:$BQ$35,18,FALSE),"")</f>
        <v>TC.03.021 | MPA431</v>
      </c>
      <c r="O149" s="64"/>
      <c r="P149" s="64">
        <f>IFERROR(VLOOKUP(Tabelle32[[#This Row],[Device ID]],BOM!$B$3:$BO$50,20,FALSE),"")</f>
        <v>0</v>
      </c>
      <c r="Q149" s="64">
        <f>IFERROR(VLOOKUP(Tabelle32[[#This Row],[Device ID]],BOM!$B$3:$BO$50,21,FALSE),"")</f>
        <v>1</v>
      </c>
      <c r="R149" s="64">
        <f>IFERROR(VLOOKUP(Tabelle32[[#This Row],[Device ID]],BOM!$B$3:$BO$50,22,FALSE),"")</f>
        <v>0</v>
      </c>
      <c r="S149" s="64"/>
      <c r="T149" s="64"/>
      <c r="U149" s="59" t="str">
        <f>IFERROR(VLOOKUP(Tabelle32[[#This Row],[Device ID]],BOM!$B$3:$BQ$35,25,FALSE),"")</f>
        <v>Luis/Ivo</v>
      </c>
      <c r="V149" s="59" t="str">
        <f>IFERROR(VLOOKUP(Tabelle32[[#This Row],[Device ID]],BOM!$B$3:$BQ$35,26,FALSE),"")</f>
        <v>tpco-megw-vgw103.rta.st-net.media.int</v>
      </c>
      <c r="W149" s="59" t="str">
        <f>IFERROR(VLOOKUP(Tabelle32[[#This Row],[Device ID]],BOM!$B$3:$BQ$35,27,FALSE),"")</f>
        <v>10.120.236.50</v>
      </c>
      <c r="X149" s="59" t="str">
        <f>IFERROR(VLOOKUP(Tabelle32[[#This Row],[Device ID]],BOM!$B$3:$BQ$35,28,FALSE),"")</f>
        <v>AVCoreA</v>
      </c>
      <c r="Y149" s="59" t="str">
        <f>IFERROR(VLOOKUP(Tabelle32[[#This Row],[Device ID]],BOM!$B$3:$BQ$35,29,FALSE),"")</f>
        <v>5_36_1</v>
      </c>
      <c r="Z149" s="59" t="str">
        <f>IFERROR(VLOOKUP(Tabelle32[[#This Row],[Device ID]],BOM!$B$3:$BQ$35,30,FALSE),"")</f>
        <v>tpco-megw-vgw103.rtb.st-net.media.int</v>
      </c>
      <c r="AA149" s="59" t="str">
        <f>IFERROR(VLOOKUP(Tabelle32[[#This Row],[Device ID]],BOM!$B$3:$BQ$35,31,FALSE),"")</f>
        <v>10.120.236.54</v>
      </c>
      <c r="AB149" s="59" t="str">
        <f>IFERROR(VLOOKUP(Tabelle32[[#This Row],[Device ID]],BOM!$B$3:$BQ$35,32,FALSE),"")</f>
        <v>AVCoreB</v>
      </c>
      <c r="AC149" s="59" t="str">
        <f>IFERROR(VLOOKUP(Tabelle32[[#This Row],[Device ID]],BOM!$B$3:$BQ$35,33,FALSE),"")</f>
        <v>5_36_1</v>
      </c>
      <c r="AD149" s="59" t="str">
        <f>IFERROR(VLOOKUP(Tabelle32[[#This Row],[Device ID]],BOM!$B$3:$BQ$35,34,FALSE),"")</f>
        <v>tpco-megw-vgw103.st-net.media.int</v>
      </c>
      <c r="AE149" s="59" t="str">
        <f>IFERROR(VLOOKUP(Tabelle32[[#This Row],[Device ID]],BOM!$B$3:$BQ$35,35,FALSE),"")</f>
        <v>10.120.67.141</v>
      </c>
      <c r="AF149" s="59">
        <f>IFERROR(VLOOKUP(Tabelle32[[#This Row],[Device ID]],BOM!$B$3:$BQ$35,36,FALSE),"")</f>
        <v>0</v>
      </c>
      <c r="AG149" s="59">
        <f>IFERROR(VLOOKUP(Tabelle32[[#This Row],[Device ID]],BOM!$B$3:$BQ$35,37,FALSE),"")</f>
        <v>0</v>
      </c>
      <c r="AH149" s="59"/>
      <c r="AI149" s="59"/>
      <c r="AJ149" s="59"/>
      <c r="AK149" s="59"/>
      <c r="AL149" s="59" t="str">
        <f>IFERROR(VLOOKUP(Tabelle32[[#This Row],[Device ID]],BOM!$B$3:$BQ$35,42,FALSE),"")</f>
        <v>Imagine Communications SNP</v>
      </c>
      <c r="AM149" s="59" t="str">
        <f>IFERROR(VLOOKUP(Tabelle32[[#This Row],[Device ID]],BOM!$B$3:$BQ$35,43,FALSE),"")</f>
        <v>no</v>
      </c>
      <c r="AN149" s="59" t="str">
        <f>IFERROR(VLOOKUP(Tabelle32[[#This Row],[Device ID]],BOM!$B$3:$BQ$35,44,FALSE),"")</f>
        <v>yes</v>
      </c>
      <c r="AO149" s="59" t="str">
        <f>IFERROR(VLOOKUP(Tabelle32[[#This Row],[Device ID]],BOM!$B$3:$BQ$35,45,FALSE),"")</f>
        <v>no</v>
      </c>
      <c r="AP149" s="59" t="str">
        <f>IFERROR(CONCATENATE(Tabelle32[[#This Row],[Family
GFX-Unit]]," | ",Tabelle32[[#This Row],[Label 1
GFX-Unit]]," | ",Tabelle32[[#This Row],[Attached Device if Gateway]]),"")</f>
        <v>PLAYOUT MPA431 | HD1 | MPA 431 HD1</v>
      </c>
      <c r="AQ149" s="59"/>
      <c r="AR149" s="90" t="s">
        <v>97</v>
      </c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H149" s="73" t="s">
        <v>199</v>
      </c>
      <c r="BI149" s="30" t="str">
        <f>IF(COUNTA(Tabelle32[[#This Row],[Type:Vid_1080i50]:[Type:Anc_Prot]])&gt;0,"x","")</f>
        <v>x</v>
      </c>
      <c r="BJ14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149" s="59"/>
      <c r="BL149" s="59"/>
      <c r="BM149" s="63"/>
      <c r="BN149" s="63"/>
      <c r="BO149" s="97" t="s">
        <v>415</v>
      </c>
      <c r="BP149" s="97" t="s">
        <v>338</v>
      </c>
      <c r="BQ149" s="75">
        <f>LEN(Tabelle32[[#This Row],[Label 1
GFX-Unit]])</f>
        <v>3</v>
      </c>
      <c r="BR149" s="63"/>
      <c r="BS149" s="63"/>
      <c r="BT149" s="59"/>
      <c r="BU149" s="59"/>
      <c r="BV149" s="59" t="s">
        <v>272</v>
      </c>
      <c r="BW149" s="59" t="s">
        <v>273</v>
      </c>
      <c r="BX149" s="59" t="s">
        <v>436</v>
      </c>
      <c r="BY149" s="59">
        <v>7</v>
      </c>
    </row>
    <row r="150" spans="1:77" x14ac:dyDescent="0.2">
      <c r="A150" s="58" t="str">
        <f>CONCATENATE(Tabelle32[[#This Row],[Device ID]],".",Tabelle32[[#This Row],[Streamcounter]])</f>
        <v>385.08301</v>
      </c>
      <c r="B15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VGW-103_SDI08_ANCsend_0001</v>
      </c>
      <c r="C150" s="60"/>
      <c r="D150" s="61"/>
      <c r="E150" s="62"/>
      <c r="F150" s="59" t="str">
        <f>IFERROR(VLOOKUP(Tabelle32[[#This Row],[Device ID]],BOM!$B$3:$BQ$35,16,FALSE),"")</f>
        <v>MPA 431 HD2</v>
      </c>
      <c r="G150" s="63">
        <f>VLOOKUP(Tabelle32[[#This Row],[SDI Interface]],BOM!$A$4:$B$35,2,FALSE)</f>
        <v>385</v>
      </c>
      <c r="H150" s="59" t="str">
        <f>BOM!$C$4</f>
        <v>VGW-103</v>
      </c>
      <c r="I150" s="59" t="str">
        <f>IFERROR(VLOOKUP(Tabelle32[[#This Row],[Device ID]],BOM!$B$3:$BQ$35,12,FALSE),"")</f>
        <v>Videoserver</v>
      </c>
      <c r="J150" s="59" t="str">
        <f>IFERROR(VLOOKUP(Tabelle32[[#This Row],[Device ID]],BOM!$B$3:$BQ$35,13,FALSE),"")</f>
        <v>TC.U1.223 | MDC</v>
      </c>
      <c r="K150" s="59" t="str">
        <f>IFERROR(VLOOKUP(Tabelle32[[#This Row],[Device ID]],BOM!$B$3:$BQ$35,14,FALSE),"")</f>
        <v>Imagine Comunications</v>
      </c>
      <c r="L150" s="59" t="str">
        <f>IFERROR(VLOOKUP(Tabelle32[[#This Row],[Device ID]],BOM!$B$3:$BQ$35,16,FALSE),"")</f>
        <v>MPA 431 HD2</v>
      </c>
      <c r="M150" s="63" t="str">
        <f>IFERROR(VLOOKUP(Tabelle32[[#This Row],[Device ID]],BOM!$B$3:$BQ$35,17,FALSE),"")</f>
        <v>MPA 431</v>
      </c>
      <c r="N150" s="59" t="str">
        <f>IFERROR(VLOOKUP(Tabelle32[[#This Row],[Device ID]],BOM!$B$3:$BQ$35,18,FALSE),"")</f>
        <v>TC.03.021 | MPA431</v>
      </c>
      <c r="O150" s="64"/>
      <c r="P150" s="64">
        <f>IFERROR(VLOOKUP(Tabelle32[[#This Row],[Device ID]],BOM!$B$3:$BO$50,20,FALSE),"")</f>
        <v>0</v>
      </c>
      <c r="Q150" s="64">
        <f>IFERROR(VLOOKUP(Tabelle32[[#This Row],[Device ID]],BOM!$B$3:$BO$50,21,FALSE),"")</f>
        <v>1</v>
      </c>
      <c r="R150" s="64">
        <f>IFERROR(VLOOKUP(Tabelle32[[#This Row],[Device ID]],BOM!$B$3:$BO$50,22,FALSE),"")</f>
        <v>0</v>
      </c>
      <c r="S150" s="64"/>
      <c r="T150" s="64"/>
      <c r="U150" s="59" t="str">
        <f>IFERROR(VLOOKUP(Tabelle32[[#This Row],[Device ID]],BOM!$B$3:$BQ$35,25,FALSE),"")</f>
        <v>Luis/Ivo</v>
      </c>
      <c r="V150" s="59" t="str">
        <f>IFERROR(VLOOKUP(Tabelle32[[#This Row],[Device ID]],BOM!$B$3:$BQ$35,26,FALSE),"")</f>
        <v>tpco-megw-vgw103.rta.st-net.media.int</v>
      </c>
      <c r="W150" s="59" t="str">
        <f>IFERROR(VLOOKUP(Tabelle32[[#This Row],[Device ID]],BOM!$B$3:$BQ$35,27,FALSE),"")</f>
        <v>10.120.236.50</v>
      </c>
      <c r="X150" s="59" t="str">
        <f>IFERROR(VLOOKUP(Tabelle32[[#This Row],[Device ID]],BOM!$B$3:$BQ$35,28,FALSE),"")</f>
        <v>AVCoreA</v>
      </c>
      <c r="Y150" s="59" t="str">
        <f>IFERROR(VLOOKUP(Tabelle32[[#This Row],[Device ID]],BOM!$B$3:$BQ$35,29,FALSE),"")</f>
        <v>5_36_1</v>
      </c>
      <c r="Z150" s="59" t="str">
        <f>IFERROR(VLOOKUP(Tabelle32[[#This Row],[Device ID]],BOM!$B$3:$BQ$35,30,FALSE),"")</f>
        <v>tpco-megw-vgw103.rtb.st-net.media.int</v>
      </c>
      <c r="AA150" s="59" t="str">
        <f>IFERROR(VLOOKUP(Tabelle32[[#This Row],[Device ID]],BOM!$B$3:$BQ$35,31,FALSE),"")</f>
        <v>10.120.236.54</v>
      </c>
      <c r="AB150" s="59" t="str">
        <f>IFERROR(VLOOKUP(Tabelle32[[#This Row],[Device ID]],BOM!$B$3:$BQ$35,32,FALSE),"")</f>
        <v>AVCoreB</v>
      </c>
      <c r="AC150" s="59" t="str">
        <f>IFERROR(VLOOKUP(Tabelle32[[#This Row],[Device ID]],BOM!$B$3:$BQ$35,33,FALSE),"")</f>
        <v>5_36_1</v>
      </c>
      <c r="AD150" s="59" t="str">
        <f>IFERROR(VLOOKUP(Tabelle32[[#This Row],[Device ID]],BOM!$B$3:$BQ$35,34,FALSE),"")</f>
        <v>tpco-megw-vgw103.st-net.media.int</v>
      </c>
      <c r="AE150" s="59" t="str">
        <f>IFERROR(VLOOKUP(Tabelle32[[#This Row],[Device ID]],BOM!$B$3:$BQ$35,35,FALSE),"")</f>
        <v>10.120.67.141</v>
      </c>
      <c r="AF150" s="59">
        <f>IFERROR(VLOOKUP(Tabelle32[[#This Row],[Device ID]],BOM!$B$3:$BQ$35,36,FALSE),"")</f>
        <v>0</v>
      </c>
      <c r="AG150" s="59">
        <f>IFERROR(VLOOKUP(Tabelle32[[#This Row],[Device ID]],BOM!$B$3:$BQ$35,37,FALSE),"")</f>
        <v>0</v>
      </c>
      <c r="AH150" s="59"/>
      <c r="AI150" s="59"/>
      <c r="AJ150" s="59"/>
      <c r="AK150" s="59"/>
      <c r="AL150" s="59" t="str">
        <f>IFERROR(VLOOKUP(Tabelle32[[#This Row],[Device ID]],BOM!$B$3:$BQ$35,42,FALSE),"")</f>
        <v>Imagine Communications SNP</v>
      </c>
      <c r="AM150" s="59" t="str">
        <f>IFERROR(VLOOKUP(Tabelle32[[#This Row],[Device ID]],BOM!$B$3:$BQ$35,43,FALSE),"")</f>
        <v>no</v>
      </c>
      <c r="AN150" s="59" t="str">
        <f>IFERROR(VLOOKUP(Tabelle32[[#This Row],[Device ID]],BOM!$B$3:$BQ$35,44,FALSE),"")</f>
        <v>yes</v>
      </c>
      <c r="AO150" s="59" t="str">
        <f>IFERROR(VLOOKUP(Tabelle32[[#This Row],[Device ID]],BOM!$B$3:$BQ$35,45,FALSE),"")</f>
        <v>no</v>
      </c>
      <c r="AP150" s="59" t="str">
        <f>IFERROR(CONCATENATE(Tabelle32[[#This Row],[Family
GFX-Unit]]," | ",Tabelle32[[#This Row],[Label 1
GFX-Unit]]," | ",Tabelle32[[#This Row],[Attached Device if Gateway]]),"")</f>
        <v>PLAYOUT MPA431 | HD2-001 | MPA 431 HD2</v>
      </c>
      <c r="AQ150" s="59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 t="s">
        <v>97</v>
      </c>
      <c r="BH150" s="73" t="s">
        <v>199</v>
      </c>
      <c r="BI150" s="30" t="str">
        <f>IF(COUNTA(Tabelle32[[#This Row],[Type:Vid_1080i50]:[Type:Anc_Prot]])&gt;0,"x","")</f>
        <v>x</v>
      </c>
      <c r="BJ15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150" s="59"/>
      <c r="BL150" s="59"/>
      <c r="BM150" s="63"/>
      <c r="BN150" s="63"/>
      <c r="BO150" s="97" t="s">
        <v>415</v>
      </c>
      <c r="BP150" s="97" t="s">
        <v>340</v>
      </c>
      <c r="BQ150" s="75">
        <f>LEN(Tabelle32[[#This Row],[Label 1
GFX-Unit]])</f>
        <v>7</v>
      </c>
      <c r="BR150" s="63"/>
      <c r="BS150" s="63"/>
      <c r="BT150" s="59"/>
      <c r="BU150" s="59"/>
      <c r="BV150" s="59" t="s">
        <v>202</v>
      </c>
      <c r="BW150" s="59" t="s">
        <v>203</v>
      </c>
      <c r="BX150" s="59" t="s">
        <v>437</v>
      </c>
      <c r="BY150" s="59">
        <v>8</v>
      </c>
    </row>
    <row r="151" spans="1:77" hidden="1" x14ac:dyDescent="0.2">
      <c r="A151" s="58" t="str">
        <f>CONCATENATE(Tabelle32[[#This Row],[Device ID]],".",Tabelle32[[#This Row],[Streamcounter]])</f>
        <v>385.08302</v>
      </c>
      <c r="B15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VGW-103_SDI08_ANCsend_0002</v>
      </c>
      <c r="C151" s="60"/>
      <c r="D151" s="61"/>
      <c r="E151" s="62"/>
      <c r="F151" s="59" t="str">
        <f>IFERROR(VLOOKUP(Tabelle32[[#This Row],[Device ID]],BOM!$B$3:$BQ$35,16,FALSE),"")</f>
        <v>MPA 431 HD2</v>
      </c>
      <c r="G151" s="63">
        <f>VLOOKUP(Tabelle32[[#This Row],[SDI Interface]],BOM!$A$4:$B$35,2,FALSE)</f>
        <v>385</v>
      </c>
      <c r="H151" s="59" t="str">
        <f>BOM!$C$4</f>
        <v>VGW-103</v>
      </c>
      <c r="I151" s="59" t="str">
        <f>IFERROR(VLOOKUP(Tabelle32[[#This Row],[Device ID]],BOM!$B$3:$BQ$35,12,FALSE),"")</f>
        <v>Videoserver</v>
      </c>
      <c r="J151" s="59" t="str">
        <f>IFERROR(VLOOKUP(Tabelle32[[#This Row],[Device ID]],BOM!$B$3:$BQ$35,13,FALSE),"")</f>
        <v>TC.U1.223 | MDC</v>
      </c>
      <c r="K151" s="59" t="str">
        <f>IFERROR(VLOOKUP(Tabelle32[[#This Row],[Device ID]],BOM!$B$3:$BQ$35,14,FALSE),"")</f>
        <v>Imagine Comunications</v>
      </c>
      <c r="L151" s="59" t="str">
        <f>IFERROR(VLOOKUP(Tabelle32[[#This Row],[Device ID]],BOM!$B$3:$BQ$35,16,FALSE),"")</f>
        <v>MPA 431 HD2</v>
      </c>
      <c r="M151" s="63" t="str">
        <f>IFERROR(VLOOKUP(Tabelle32[[#This Row],[Device ID]],BOM!$B$3:$BQ$35,17,FALSE),"")</f>
        <v>MPA 431</v>
      </c>
      <c r="N151" s="59" t="str">
        <f>IFERROR(VLOOKUP(Tabelle32[[#This Row],[Device ID]],BOM!$B$3:$BQ$35,18,FALSE),"")</f>
        <v>TC.03.021 | MPA431</v>
      </c>
      <c r="O151" s="64"/>
      <c r="P151" s="64">
        <f>IFERROR(VLOOKUP(Tabelle32[[#This Row],[Device ID]],BOM!$B$3:$BO$50,20,FALSE),"")</f>
        <v>0</v>
      </c>
      <c r="Q151" s="64">
        <f>IFERROR(VLOOKUP(Tabelle32[[#This Row],[Device ID]],BOM!$B$3:$BO$50,21,FALSE),"")</f>
        <v>1</v>
      </c>
      <c r="R151" s="64">
        <f>IFERROR(VLOOKUP(Tabelle32[[#This Row],[Device ID]],BOM!$B$3:$BO$50,22,FALSE),"")</f>
        <v>0</v>
      </c>
      <c r="S151" s="64"/>
      <c r="T151" s="64"/>
      <c r="U151" s="59" t="str">
        <f>IFERROR(VLOOKUP(Tabelle32[[#This Row],[Device ID]],BOM!$B$3:$BQ$35,25,FALSE),"")</f>
        <v>Luis/Ivo</v>
      </c>
      <c r="V151" s="59" t="str">
        <f>IFERROR(VLOOKUP(Tabelle32[[#This Row],[Device ID]],BOM!$B$3:$BQ$35,26,FALSE),"")</f>
        <v>tpco-megw-vgw103.rta.st-net.media.int</v>
      </c>
      <c r="W151" s="59" t="str">
        <f>IFERROR(VLOOKUP(Tabelle32[[#This Row],[Device ID]],BOM!$B$3:$BQ$35,27,FALSE),"")</f>
        <v>10.120.236.50</v>
      </c>
      <c r="X151" s="59" t="str">
        <f>IFERROR(VLOOKUP(Tabelle32[[#This Row],[Device ID]],BOM!$B$3:$BQ$35,28,FALSE),"")</f>
        <v>AVCoreA</v>
      </c>
      <c r="Y151" s="59" t="str">
        <f>IFERROR(VLOOKUP(Tabelle32[[#This Row],[Device ID]],BOM!$B$3:$BQ$35,29,FALSE),"")</f>
        <v>5_36_1</v>
      </c>
      <c r="Z151" s="59" t="str">
        <f>IFERROR(VLOOKUP(Tabelle32[[#This Row],[Device ID]],BOM!$B$3:$BQ$35,30,FALSE),"")</f>
        <v>tpco-megw-vgw103.rtb.st-net.media.int</v>
      </c>
      <c r="AA151" s="59" t="str">
        <f>IFERROR(VLOOKUP(Tabelle32[[#This Row],[Device ID]],BOM!$B$3:$BQ$35,31,FALSE),"")</f>
        <v>10.120.236.54</v>
      </c>
      <c r="AB151" s="59" t="str">
        <f>IFERROR(VLOOKUP(Tabelle32[[#This Row],[Device ID]],BOM!$B$3:$BQ$35,32,FALSE),"")</f>
        <v>AVCoreB</v>
      </c>
      <c r="AC151" s="59" t="str">
        <f>IFERROR(VLOOKUP(Tabelle32[[#This Row],[Device ID]],BOM!$B$3:$BQ$35,33,FALSE),"")</f>
        <v>5_36_1</v>
      </c>
      <c r="AD151" s="59" t="str">
        <f>IFERROR(VLOOKUP(Tabelle32[[#This Row],[Device ID]],BOM!$B$3:$BQ$35,34,FALSE),"")</f>
        <v>tpco-megw-vgw103.st-net.media.int</v>
      </c>
      <c r="AE151" s="59" t="str">
        <f>IFERROR(VLOOKUP(Tabelle32[[#This Row],[Device ID]],BOM!$B$3:$BQ$35,35,FALSE),"")</f>
        <v>10.120.67.141</v>
      </c>
      <c r="AF151" s="59">
        <f>IFERROR(VLOOKUP(Tabelle32[[#This Row],[Device ID]],BOM!$B$3:$BQ$35,36,FALSE),"")</f>
        <v>0</v>
      </c>
      <c r="AG151" s="59">
        <f>IFERROR(VLOOKUP(Tabelle32[[#This Row],[Device ID]],BOM!$B$3:$BQ$35,37,FALSE),"")</f>
        <v>0</v>
      </c>
      <c r="AH151" s="59"/>
      <c r="AI151" s="59"/>
      <c r="AJ151" s="59"/>
      <c r="AK151" s="59"/>
      <c r="AL151" s="59" t="str">
        <f>IFERROR(VLOOKUP(Tabelle32[[#This Row],[Device ID]],BOM!$B$3:$BQ$35,42,FALSE),"")</f>
        <v>Imagine Communications SNP</v>
      </c>
      <c r="AM151" s="59" t="str">
        <f>IFERROR(VLOOKUP(Tabelle32[[#This Row],[Device ID]],BOM!$B$3:$BQ$35,43,FALSE),"")</f>
        <v>no</v>
      </c>
      <c r="AN151" s="59" t="str">
        <f>IFERROR(VLOOKUP(Tabelle32[[#This Row],[Device ID]],BOM!$B$3:$BQ$35,44,FALSE),"")</f>
        <v>yes</v>
      </c>
      <c r="AO151" s="59" t="str">
        <f>IFERROR(VLOOKUP(Tabelle32[[#This Row],[Device ID]],BOM!$B$3:$BQ$35,45,FALSE),"")</f>
        <v>no</v>
      </c>
      <c r="AP151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51" s="59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73" t="s">
        <v>199</v>
      </c>
      <c r="BI151" s="30" t="str">
        <f>IF(COUNTA(Tabelle32[[#This Row],[Type:Vid_1080i50]:[Type:Anc_Prot]])&gt;0,"x","")</f>
        <v/>
      </c>
      <c r="BJ15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51" s="59"/>
      <c r="BL151" s="59"/>
      <c r="BM151" s="63"/>
      <c r="BN151" s="63"/>
      <c r="BO151" s="96"/>
      <c r="BP151" s="96"/>
      <c r="BQ151" s="75">
        <f>LEN(Tabelle32[[#This Row],[Label 1
GFX-Unit]])</f>
        <v>0</v>
      </c>
      <c r="BR151" s="63"/>
      <c r="BS151" s="63"/>
      <c r="BT151" s="59"/>
      <c r="BU151" s="59"/>
      <c r="BV151" s="59" t="s">
        <v>205</v>
      </c>
      <c r="BW151" s="59" t="s">
        <v>206</v>
      </c>
      <c r="BX151" s="59" t="s">
        <v>438</v>
      </c>
      <c r="BY151" s="59">
        <v>8</v>
      </c>
    </row>
    <row r="152" spans="1:77" hidden="1" x14ac:dyDescent="0.2">
      <c r="A152" s="58" t="str">
        <f>CONCATENATE(Tabelle32[[#This Row],[Device ID]],".",Tabelle32[[#This Row],[Streamcounter]])</f>
        <v>385.08303</v>
      </c>
      <c r="B15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VGW-103_SDI08_ANCsend_0003</v>
      </c>
      <c r="C152" s="60"/>
      <c r="D152" s="61"/>
      <c r="E152" s="62"/>
      <c r="F152" s="59" t="str">
        <f>IFERROR(VLOOKUP(Tabelle32[[#This Row],[Device ID]],BOM!$B$3:$BQ$35,16,FALSE),"")</f>
        <v>MPA 431 HD2</v>
      </c>
      <c r="G152" s="63">
        <f>VLOOKUP(Tabelle32[[#This Row],[SDI Interface]],BOM!$A$4:$B$35,2,FALSE)</f>
        <v>385</v>
      </c>
      <c r="H152" s="59" t="str">
        <f>BOM!$C$4</f>
        <v>VGW-103</v>
      </c>
      <c r="I152" s="59" t="str">
        <f>IFERROR(VLOOKUP(Tabelle32[[#This Row],[Device ID]],BOM!$B$3:$BQ$35,12,FALSE),"")</f>
        <v>Videoserver</v>
      </c>
      <c r="J152" s="59" t="str">
        <f>IFERROR(VLOOKUP(Tabelle32[[#This Row],[Device ID]],BOM!$B$3:$BQ$35,13,FALSE),"")</f>
        <v>TC.U1.223 | MDC</v>
      </c>
      <c r="K152" s="59" t="str">
        <f>IFERROR(VLOOKUP(Tabelle32[[#This Row],[Device ID]],BOM!$B$3:$BQ$35,14,FALSE),"")</f>
        <v>Imagine Comunications</v>
      </c>
      <c r="L152" s="59" t="str">
        <f>IFERROR(VLOOKUP(Tabelle32[[#This Row],[Device ID]],BOM!$B$3:$BQ$35,16,FALSE),"")</f>
        <v>MPA 431 HD2</v>
      </c>
      <c r="M152" s="63" t="str">
        <f>IFERROR(VLOOKUP(Tabelle32[[#This Row],[Device ID]],BOM!$B$3:$BQ$35,17,FALSE),"")</f>
        <v>MPA 431</v>
      </c>
      <c r="N152" s="59" t="str">
        <f>IFERROR(VLOOKUP(Tabelle32[[#This Row],[Device ID]],BOM!$B$3:$BQ$35,18,FALSE),"")</f>
        <v>TC.03.021 | MPA431</v>
      </c>
      <c r="O152" s="64"/>
      <c r="P152" s="64">
        <f>IFERROR(VLOOKUP(Tabelle32[[#This Row],[Device ID]],BOM!$B$3:$BO$50,20,FALSE),"")</f>
        <v>0</v>
      </c>
      <c r="Q152" s="64">
        <f>IFERROR(VLOOKUP(Tabelle32[[#This Row],[Device ID]],BOM!$B$3:$BO$50,21,FALSE),"")</f>
        <v>1</v>
      </c>
      <c r="R152" s="64">
        <f>IFERROR(VLOOKUP(Tabelle32[[#This Row],[Device ID]],BOM!$B$3:$BO$50,22,FALSE),"")</f>
        <v>0</v>
      </c>
      <c r="S152" s="64"/>
      <c r="T152" s="64"/>
      <c r="U152" s="59" t="str">
        <f>IFERROR(VLOOKUP(Tabelle32[[#This Row],[Device ID]],BOM!$B$3:$BQ$35,25,FALSE),"")</f>
        <v>Luis/Ivo</v>
      </c>
      <c r="V152" s="59" t="str">
        <f>IFERROR(VLOOKUP(Tabelle32[[#This Row],[Device ID]],BOM!$B$3:$BQ$35,26,FALSE),"")</f>
        <v>tpco-megw-vgw103.rta.st-net.media.int</v>
      </c>
      <c r="W152" s="59" t="str">
        <f>IFERROR(VLOOKUP(Tabelle32[[#This Row],[Device ID]],BOM!$B$3:$BQ$35,27,FALSE),"")</f>
        <v>10.120.236.50</v>
      </c>
      <c r="X152" s="59" t="str">
        <f>IFERROR(VLOOKUP(Tabelle32[[#This Row],[Device ID]],BOM!$B$3:$BQ$35,28,FALSE),"")</f>
        <v>AVCoreA</v>
      </c>
      <c r="Y152" s="59" t="str">
        <f>IFERROR(VLOOKUP(Tabelle32[[#This Row],[Device ID]],BOM!$B$3:$BQ$35,29,FALSE),"")</f>
        <v>5_36_1</v>
      </c>
      <c r="Z152" s="59" t="str">
        <f>IFERROR(VLOOKUP(Tabelle32[[#This Row],[Device ID]],BOM!$B$3:$BQ$35,30,FALSE),"")</f>
        <v>tpco-megw-vgw103.rtb.st-net.media.int</v>
      </c>
      <c r="AA152" s="59" t="str">
        <f>IFERROR(VLOOKUP(Tabelle32[[#This Row],[Device ID]],BOM!$B$3:$BQ$35,31,FALSE),"")</f>
        <v>10.120.236.54</v>
      </c>
      <c r="AB152" s="59" t="str">
        <f>IFERROR(VLOOKUP(Tabelle32[[#This Row],[Device ID]],BOM!$B$3:$BQ$35,32,FALSE),"")</f>
        <v>AVCoreB</v>
      </c>
      <c r="AC152" s="59" t="str">
        <f>IFERROR(VLOOKUP(Tabelle32[[#This Row],[Device ID]],BOM!$B$3:$BQ$35,33,FALSE),"")</f>
        <v>5_36_1</v>
      </c>
      <c r="AD152" s="59" t="str">
        <f>IFERROR(VLOOKUP(Tabelle32[[#This Row],[Device ID]],BOM!$B$3:$BQ$35,34,FALSE),"")</f>
        <v>tpco-megw-vgw103.st-net.media.int</v>
      </c>
      <c r="AE152" s="59" t="str">
        <f>IFERROR(VLOOKUP(Tabelle32[[#This Row],[Device ID]],BOM!$B$3:$BQ$35,35,FALSE),"")</f>
        <v>10.120.67.141</v>
      </c>
      <c r="AF152" s="59">
        <f>IFERROR(VLOOKUP(Tabelle32[[#This Row],[Device ID]],BOM!$B$3:$BQ$35,36,FALSE),"")</f>
        <v>0</v>
      </c>
      <c r="AG152" s="59">
        <f>IFERROR(VLOOKUP(Tabelle32[[#This Row],[Device ID]],BOM!$B$3:$BQ$35,37,FALSE),"")</f>
        <v>0</v>
      </c>
      <c r="AH152" s="59"/>
      <c r="AI152" s="59"/>
      <c r="AJ152" s="59"/>
      <c r="AK152" s="59"/>
      <c r="AL152" s="59" t="str">
        <f>IFERROR(VLOOKUP(Tabelle32[[#This Row],[Device ID]],BOM!$B$3:$BQ$35,42,FALSE),"")</f>
        <v>Imagine Communications SNP</v>
      </c>
      <c r="AM152" s="59" t="str">
        <f>IFERROR(VLOOKUP(Tabelle32[[#This Row],[Device ID]],BOM!$B$3:$BQ$35,43,FALSE),"")</f>
        <v>no</v>
      </c>
      <c r="AN152" s="59" t="str">
        <f>IFERROR(VLOOKUP(Tabelle32[[#This Row],[Device ID]],BOM!$B$3:$BQ$35,44,FALSE),"")</f>
        <v>yes</v>
      </c>
      <c r="AO152" s="59" t="str">
        <f>IFERROR(VLOOKUP(Tabelle32[[#This Row],[Device ID]],BOM!$B$3:$BQ$35,45,FALSE),"")</f>
        <v>no</v>
      </c>
      <c r="AP152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52" s="59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73" t="s">
        <v>199</v>
      </c>
      <c r="BI152" s="30" t="str">
        <f>IF(COUNTA(Tabelle32[[#This Row],[Type:Vid_1080i50]:[Type:Anc_Prot]])&gt;0,"x","")</f>
        <v/>
      </c>
      <c r="BJ15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52" s="59"/>
      <c r="BL152" s="59"/>
      <c r="BM152" s="63"/>
      <c r="BN152" s="63"/>
      <c r="BO152" s="96"/>
      <c r="BP152" s="96"/>
      <c r="BQ152" s="75">
        <f>LEN(Tabelle32[[#This Row],[Label 1
GFX-Unit]])</f>
        <v>0</v>
      </c>
      <c r="BR152" s="63"/>
      <c r="BS152" s="63"/>
      <c r="BT152" s="59"/>
      <c r="BU152" s="59"/>
      <c r="BV152" s="59" t="s">
        <v>208</v>
      </c>
      <c r="BW152" s="59" t="s">
        <v>209</v>
      </c>
      <c r="BX152" s="59" t="s">
        <v>439</v>
      </c>
      <c r="BY152" s="59">
        <v>8</v>
      </c>
    </row>
    <row r="153" spans="1:77" hidden="1" x14ac:dyDescent="0.2">
      <c r="A153" s="58" t="str">
        <f>CONCATENATE(Tabelle32[[#This Row],[Device ID]],".",Tabelle32[[#This Row],[Streamcounter]])</f>
        <v>385.08304</v>
      </c>
      <c r="B15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VGW-103_SDI08_ANCsend_0004</v>
      </c>
      <c r="C153" s="60"/>
      <c r="D153" s="61"/>
      <c r="E153" s="62"/>
      <c r="F153" s="59" t="str">
        <f>IFERROR(VLOOKUP(Tabelle32[[#This Row],[Device ID]],BOM!$B$3:$BQ$35,16,FALSE),"")</f>
        <v>MPA 431 HD2</v>
      </c>
      <c r="G153" s="63">
        <f>VLOOKUP(Tabelle32[[#This Row],[SDI Interface]],BOM!$A$4:$B$35,2,FALSE)</f>
        <v>385</v>
      </c>
      <c r="H153" s="59" t="str">
        <f>BOM!$C$4</f>
        <v>VGW-103</v>
      </c>
      <c r="I153" s="59" t="str">
        <f>IFERROR(VLOOKUP(Tabelle32[[#This Row],[Device ID]],BOM!$B$3:$BQ$35,12,FALSE),"")</f>
        <v>Videoserver</v>
      </c>
      <c r="J153" s="59" t="str">
        <f>IFERROR(VLOOKUP(Tabelle32[[#This Row],[Device ID]],BOM!$B$3:$BQ$35,13,FALSE),"")</f>
        <v>TC.U1.223 | MDC</v>
      </c>
      <c r="K153" s="59" t="str">
        <f>IFERROR(VLOOKUP(Tabelle32[[#This Row],[Device ID]],BOM!$B$3:$BQ$35,14,FALSE),"")</f>
        <v>Imagine Comunications</v>
      </c>
      <c r="L153" s="59" t="str">
        <f>IFERROR(VLOOKUP(Tabelle32[[#This Row],[Device ID]],BOM!$B$3:$BQ$35,16,FALSE),"")</f>
        <v>MPA 431 HD2</v>
      </c>
      <c r="M153" s="63" t="str">
        <f>IFERROR(VLOOKUP(Tabelle32[[#This Row],[Device ID]],BOM!$B$3:$BQ$35,17,FALSE),"")</f>
        <v>MPA 431</v>
      </c>
      <c r="N153" s="59" t="str">
        <f>IFERROR(VLOOKUP(Tabelle32[[#This Row],[Device ID]],BOM!$B$3:$BQ$35,18,FALSE),"")</f>
        <v>TC.03.021 | MPA431</v>
      </c>
      <c r="O153" s="64"/>
      <c r="P153" s="64">
        <f>IFERROR(VLOOKUP(Tabelle32[[#This Row],[Device ID]],BOM!$B$3:$BO$50,20,FALSE),"")</f>
        <v>0</v>
      </c>
      <c r="Q153" s="64">
        <f>IFERROR(VLOOKUP(Tabelle32[[#This Row],[Device ID]],BOM!$B$3:$BO$50,21,FALSE),"")</f>
        <v>1</v>
      </c>
      <c r="R153" s="64">
        <f>IFERROR(VLOOKUP(Tabelle32[[#This Row],[Device ID]],BOM!$B$3:$BO$50,22,FALSE),"")</f>
        <v>0</v>
      </c>
      <c r="S153" s="64"/>
      <c r="T153" s="64"/>
      <c r="U153" s="59" t="str">
        <f>IFERROR(VLOOKUP(Tabelle32[[#This Row],[Device ID]],BOM!$B$3:$BQ$35,25,FALSE),"")</f>
        <v>Luis/Ivo</v>
      </c>
      <c r="V153" s="59" t="str">
        <f>IFERROR(VLOOKUP(Tabelle32[[#This Row],[Device ID]],BOM!$B$3:$BQ$35,26,FALSE),"")</f>
        <v>tpco-megw-vgw103.rta.st-net.media.int</v>
      </c>
      <c r="W153" s="59" t="str">
        <f>IFERROR(VLOOKUP(Tabelle32[[#This Row],[Device ID]],BOM!$B$3:$BQ$35,27,FALSE),"")</f>
        <v>10.120.236.50</v>
      </c>
      <c r="X153" s="59" t="str">
        <f>IFERROR(VLOOKUP(Tabelle32[[#This Row],[Device ID]],BOM!$B$3:$BQ$35,28,FALSE),"")</f>
        <v>AVCoreA</v>
      </c>
      <c r="Y153" s="59" t="str">
        <f>IFERROR(VLOOKUP(Tabelle32[[#This Row],[Device ID]],BOM!$B$3:$BQ$35,29,FALSE),"")</f>
        <v>5_36_1</v>
      </c>
      <c r="Z153" s="59" t="str">
        <f>IFERROR(VLOOKUP(Tabelle32[[#This Row],[Device ID]],BOM!$B$3:$BQ$35,30,FALSE),"")</f>
        <v>tpco-megw-vgw103.rtb.st-net.media.int</v>
      </c>
      <c r="AA153" s="59" t="str">
        <f>IFERROR(VLOOKUP(Tabelle32[[#This Row],[Device ID]],BOM!$B$3:$BQ$35,31,FALSE),"")</f>
        <v>10.120.236.54</v>
      </c>
      <c r="AB153" s="59" t="str">
        <f>IFERROR(VLOOKUP(Tabelle32[[#This Row],[Device ID]],BOM!$B$3:$BQ$35,32,FALSE),"")</f>
        <v>AVCoreB</v>
      </c>
      <c r="AC153" s="59" t="str">
        <f>IFERROR(VLOOKUP(Tabelle32[[#This Row],[Device ID]],BOM!$B$3:$BQ$35,33,FALSE),"")</f>
        <v>5_36_1</v>
      </c>
      <c r="AD153" s="59" t="str">
        <f>IFERROR(VLOOKUP(Tabelle32[[#This Row],[Device ID]],BOM!$B$3:$BQ$35,34,FALSE),"")</f>
        <v>tpco-megw-vgw103.st-net.media.int</v>
      </c>
      <c r="AE153" s="59" t="str">
        <f>IFERROR(VLOOKUP(Tabelle32[[#This Row],[Device ID]],BOM!$B$3:$BQ$35,35,FALSE),"")</f>
        <v>10.120.67.141</v>
      </c>
      <c r="AF153" s="59">
        <f>IFERROR(VLOOKUP(Tabelle32[[#This Row],[Device ID]],BOM!$B$3:$BQ$35,36,FALSE),"")</f>
        <v>0</v>
      </c>
      <c r="AG153" s="59">
        <f>IFERROR(VLOOKUP(Tabelle32[[#This Row],[Device ID]],BOM!$B$3:$BQ$35,37,FALSE),"")</f>
        <v>0</v>
      </c>
      <c r="AH153" s="59"/>
      <c r="AI153" s="59"/>
      <c r="AJ153" s="59"/>
      <c r="AK153" s="59"/>
      <c r="AL153" s="59" t="str">
        <f>IFERROR(VLOOKUP(Tabelle32[[#This Row],[Device ID]],BOM!$B$3:$BQ$35,42,FALSE),"")</f>
        <v>Imagine Communications SNP</v>
      </c>
      <c r="AM153" s="59" t="str">
        <f>IFERROR(VLOOKUP(Tabelle32[[#This Row],[Device ID]],BOM!$B$3:$BQ$35,43,FALSE),"")</f>
        <v>no</v>
      </c>
      <c r="AN153" s="59" t="str">
        <f>IFERROR(VLOOKUP(Tabelle32[[#This Row],[Device ID]],BOM!$B$3:$BQ$35,44,FALSE),"")</f>
        <v>yes</v>
      </c>
      <c r="AO153" s="59" t="str">
        <f>IFERROR(VLOOKUP(Tabelle32[[#This Row],[Device ID]],BOM!$B$3:$BQ$35,45,FALSE),"")</f>
        <v>no</v>
      </c>
      <c r="AP153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53" s="59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73" t="s">
        <v>199</v>
      </c>
      <c r="BI153" s="30" t="str">
        <f>IF(COUNTA(Tabelle32[[#This Row],[Type:Vid_1080i50]:[Type:Anc_Prot]])&gt;0,"x","")</f>
        <v/>
      </c>
      <c r="BJ15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53" s="59"/>
      <c r="BL153" s="59"/>
      <c r="BM153" s="63"/>
      <c r="BN153" s="63"/>
      <c r="BO153" s="96"/>
      <c r="BP153" s="96"/>
      <c r="BQ153" s="75">
        <f>LEN(Tabelle32[[#This Row],[Label 1
GFX-Unit]])</f>
        <v>0</v>
      </c>
      <c r="BR153" s="63"/>
      <c r="BS153" s="63"/>
      <c r="BT153" s="59"/>
      <c r="BU153" s="59"/>
      <c r="BV153" s="59" t="s">
        <v>211</v>
      </c>
      <c r="BW153" s="59" t="s">
        <v>212</v>
      </c>
      <c r="BX153" s="59" t="s">
        <v>440</v>
      </c>
      <c r="BY153" s="59">
        <v>8</v>
      </c>
    </row>
    <row r="154" spans="1:77" x14ac:dyDescent="0.2">
      <c r="A154" s="58" t="str">
        <f>CONCATENATE(Tabelle32[[#This Row],[Device ID]],".",Tabelle32[[#This Row],[Streamcounter]])</f>
        <v>385.08201</v>
      </c>
      <c r="B15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VGW-103_SDI08_AUDsend_0001</v>
      </c>
      <c r="C154" s="67"/>
      <c r="D154" s="61"/>
      <c r="E154" s="67"/>
      <c r="F154" s="59" t="str">
        <f>IFERROR(VLOOKUP(Tabelle32[[#This Row],[Device ID]],BOM!$B$3:$BQ$35,16,FALSE),"")</f>
        <v>MPA 431 HD2</v>
      </c>
      <c r="G154" s="63">
        <f>VLOOKUP(Tabelle32[[#This Row],[SDI Interface]],BOM!$A$4:$B$35,2,FALSE)</f>
        <v>385</v>
      </c>
      <c r="H154" s="59" t="str">
        <f>BOM!$C$4</f>
        <v>VGW-103</v>
      </c>
      <c r="I154" s="59" t="str">
        <f>IFERROR(VLOOKUP(Tabelle32[[#This Row],[Device ID]],BOM!$B$3:$BQ$35,12,FALSE),"")</f>
        <v>Videoserver</v>
      </c>
      <c r="J154" s="59" t="str">
        <f>IFERROR(VLOOKUP(Tabelle32[[#This Row],[Device ID]],BOM!$B$3:$BQ$35,13,FALSE),"")</f>
        <v>TC.U1.223 | MDC</v>
      </c>
      <c r="K154" s="59" t="str">
        <f>IFERROR(VLOOKUP(Tabelle32[[#This Row],[Device ID]],BOM!$B$3:$BQ$35,14,FALSE),"")</f>
        <v>Imagine Comunications</v>
      </c>
      <c r="L154" s="59" t="str">
        <f>IFERROR(VLOOKUP(Tabelle32[[#This Row],[Device ID]],BOM!$B$3:$BQ$35,16,FALSE),"")</f>
        <v>MPA 431 HD2</v>
      </c>
      <c r="M154" s="63" t="str">
        <f>IFERROR(VLOOKUP(Tabelle32[[#This Row],[Device ID]],BOM!$B$3:$BQ$35,17,FALSE),"")</f>
        <v>MPA 431</v>
      </c>
      <c r="N154" s="59" t="str">
        <f>IFERROR(VLOOKUP(Tabelle32[[#This Row],[Device ID]],BOM!$B$3:$BQ$35,18,FALSE),"")</f>
        <v>TC.03.021 | MPA431</v>
      </c>
      <c r="O154" s="64"/>
      <c r="P154" s="64">
        <f>IFERROR(VLOOKUP(Tabelle32[[#This Row],[Device ID]],BOM!$B$3:$BO$50,20,FALSE),"")</f>
        <v>0</v>
      </c>
      <c r="Q154" s="64">
        <f>IFERROR(VLOOKUP(Tabelle32[[#This Row],[Device ID]],BOM!$B$3:$BO$50,21,FALSE),"")</f>
        <v>1</v>
      </c>
      <c r="R154" s="64">
        <f>IFERROR(VLOOKUP(Tabelle32[[#This Row],[Device ID]],BOM!$B$3:$BO$50,22,FALSE),"")</f>
        <v>0</v>
      </c>
      <c r="S154" s="64"/>
      <c r="T154" s="64"/>
      <c r="U154" s="59" t="str">
        <f>IFERROR(VLOOKUP(Tabelle32[[#This Row],[Device ID]],BOM!$B$3:$BQ$35,25,FALSE),"")</f>
        <v>Luis/Ivo</v>
      </c>
      <c r="V154" s="59" t="str">
        <f>IFERROR(VLOOKUP(Tabelle32[[#This Row],[Device ID]],BOM!$B$3:$BQ$35,26,FALSE),"")</f>
        <v>tpco-megw-vgw103.rta.st-net.media.int</v>
      </c>
      <c r="W154" s="59" t="str">
        <f>IFERROR(VLOOKUP(Tabelle32[[#This Row],[Device ID]],BOM!$B$3:$BQ$35,27,FALSE),"")</f>
        <v>10.120.236.50</v>
      </c>
      <c r="X154" s="59" t="str">
        <f>IFERROR(VLOOKUP(Tabelle32[[#This Row],[Device ID]],BOM!$B$3:$BQ$35,28,FALSE),"")</f>
        <v>AVCoreA</v>
      </c>
      <c r="Y154" s="59" t="str">
        <f>IFERROR(VLOOKUP(Tabelle32[[#This Row],[Device ID]],BOM!$B$3:$BQ$35,29,FALSE),"")</f>
        <v>5_36_1</v>
      </c>
      <c r="Z154" s="59" t="str">
        <f>IFERROR(VLOOKUP(Tabelle32[[#This Row],[Device ID]],BOM!$B$3:$BQ$35,30,FALSE),"")</f>
        <v>tpco-megw-vgw103.rtb.st-net.media.int</v>
      </c>
      <c r="AA154" s="59" t="str">
        <f>IFERROR(VLOOKUP(Tabelle32[[#This Row],[Device ID]],BOM!$B$3:$BQ$35,31,FALSE),"")</f>
        <v>10.120.236.54</v>
      </c>
      <c r="AB154" s="59" t="str">
        <f>IFERROR(VLOOKUP(Tabelle32[[#This Row],[Device ID]],BOM!$B$3:$BQ$35,32,FALSE),"")</f>
        <v>AVCoreB</v>
      </c>
      <c r="AC154" s="59" t="str">
        <f>IFERROR(VLOOKUP(Tabelle32[[#This Row],[Device ID]],BOM!$B$3:$BQ$35,33,FALSE),"")</f>
        <v>5_36_1</v>
      </c>
      <c r="AD154" s="59" t="str">
        <f>IFERROR(VLOOKUP(Tabelle32[[#This Row],[Device ID]],BOM!$B$3:$BQ$35,34,FALSE),"")</f>
        <v>tpco-megw-vgw103.st-net.media.int</v>
      </c>
      <c r="AE154" s="59" t="str">
        <f>IFERROR(VLOOKUP(Tabelle32[[#This Row],[Device ID]],BOM!$B$3:$BQ$35,35,FALSE),"")</f>
        <v>10.120.67.141</v>
      </c>
      <c r="AF154" s="59">
        <f>IFERROR(VLOOKUP(Tabelle32[[#This Row],[Device ID]],BOM!$B$3:$BQ$35,36,FALSE),"")</f>
        <v>0</v>
      </c>
      <c r="AG154" s="59">
        <f>IFERROR(VLOOKUP(Tabelle32[[#This Row],[Device ID]],BOM!$B$3:$BQ$35,37,FALSE),"")</f>
        <v>0</v>
      </c>
      <c r="AH154" s="59"/>
      <c r="AI154" s="59"/>
      <c r="AJ154" s="59"/>
      <c r="AK154" s="59"/>
      <c r="AL154" s="59" t="str">
        <f>IFERROR(VLOOKUP(Tabelle32[[#This Row],[Device ID]],BOM!$B$3:$BQ$35,42,FALSE),"")</f>
        <v>Imagine Communications SNP</v>
      </c>
      <c r="AM154" s="59" t="str">
        <f>IFERROR(VLOOKUP(Tabelle32[[#This Row],[Device ID]],BOM!$B$3:$BQ$35,43,FALSE),"")</f>
        <v>no</v>
      </c>
      <c r="AN154" s="59" t="str">
        <f>IFERROR(VLOOKUP(Tabelle32[[#This Row],[Device ID]],BOM!$B$3:$BQ$35,44,FALSE),"")</f>
        <v>yes</v>
      </c>
      <c r="AO154" s="59" t="str">
        <f>IFERROR(VLOOKUP(Tabelle32[[#This Row],[Device ID]],BOM!$B$3:$BQ$35,45,FALSE),"")</f>
        <v>no</v>
      </c>
      <c r="AP154" s="59" t="str">
        <f>IFERROR(CONCATENATE(Tabelle32[[#This Row],[Family
GFX-Unit]]," | ",Tabelle32[[#This Row],[Label 1
GFX-Unit]]," | ",Tabelle32[[#This Row],[Attached Device if Gateway]]),"")</f>
        <v>PLAYOUT MPA431 | HD2-001 | MPA 431 HD2</v>
      </c>
      <c r="AQ154" s="59"/>
      <c r="AR154" s="90"/>
      <c r="AS154" s="90"/>
      <c r="AT154" s="90"/>
      <c r="AU154" s="90"/>
      <c r="AV154" s="90"/>
      <c r="AW154" s="90"/>
      <c r="AX154" s="90"/>
      <c r="AY154" s="90"/>
      <c r="AZ154" s="90" t="s">
        <v>97</v>
      </c>
      <c r="BA154" s="90"/>
      <c r="BB154" s="90"/>
      <c r="BC154" s="90"/>
      <c r="BD154" s="90"/>
      <c r="BE154" s="90"/>
      <c r="BF154" s="90"/>
      <c r="BG154" s="90"/>
      <c r="BH154" s="73" t="s">
        <v>199</v>
      </c>
      <c r="BI154" s="30" t="str">
        <f>IF(COUNTA(Tabelle32[[#This Row],[Type:Vid_1080i50]:[Type:Anc_Prot]])&gt;0,"x","")</f>
        <v>x</v>
      </c>
      <c r="BJ15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54" s="59"/>
      <c r="BL154" s="59"/>
      <c r="BM154" s="63"/>
      <c r="BN154" s="63"/>
      <c r="BO154" s="97" t="s">
        <v>415</v>
      </c>
      <c r="BP154" s="97" t="s">
        <v>340</v>
      </c>
      <c r="BQ154" s="75">
        <f>LEN(Tabelle32[[#This Row],[Label 1
GFX-Unit]])</f>
        <v>7</v>
      </c>
      <c r="BR154" s="63"/>
      <c r="BS154" s="63"/>
      <c r="BT154" s="59"/>
      <c r="BU154" s="59"/>
      <c r="BV154" s="59" t="s">
        <v>214</v>
      </c>
      <c r="BW154" s="59" t="s">
        <v>215</v>
      </c>
      <c r="BX154" s="59" t="s">
        <v>441</v>
      </c>
      <c r="BY154" s="59">
        <v>8</v>
      </c>
    </row>
    <row r="155" spans="1:77" x14ac:dyDescent="0.2">
      <c r="A155" s="58" t="str">
        <f>CONCATENATE(Tabelle32[[#This Row],[Device ID]],".",Tabelle32[[#This Row],[Streamcounter]])</f>
        <v>385.08202</v>
      </c>
      <c r="B15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VGW-103_SDI08_AUDsend_0002</v>
      </c>
      <c r="C155" s="67"/>
      <c r="D155" s="61"/>
      <c r="E155" s="67"/>
      <c r="F155" s="59" t="str">
        <f>IFERROR(VLOOKUP(Tabelle32[[#This Row],[Device ID]],BOM!$B$3:$BQ$35,16,FALSE),"")</f>
        <v>MPA 431 HD2</v>
      </c>
      <c r="G155" s="63">
        <f>VLOOKUP(Tabelle32[[#This Row],[SDI Interface]],BOM!$A$4:$B$35,2,FALSE)</f>
        <v>385</v>
      </c>
      <c r="H155" s="59" t="str">
        <f>BOM!$C$4</f>
        <v>VGW-103</v>
      </c>
      <c r="I155" s="59" t="str">
        <f>IFERROR(VLOOKUP(Tabelle32[[#This Row],[Device ID]],BOM!$B$3:$BQ$35,12,FALSE),"")</f>
        <v>Videoserver</v>
      </c>
      <c r="J155" s="59" t="str">
        <f>IFERROR(VLOOKUP(Tabelle32[[#This Row],[Device ID]],BOM!$B$3:$BQ$35,13,FALSE),"")</f>
        <v>TC.U1.223 | MDC</v>
      </c>
      <c r="K155" s="59" t="str">
        <f>IFERROR(VLOOKUP(Tabelle32[[#This Row],[Device ID]],BOM!$B$3:$BQ$35,14,FALSE),"")</f>
        <v>Imagine Comunications</v>
      </c>
      <c r="L155" s="59" t="str">
        <f>IFERROR(VLOOKUP(Tabelle32[[#This Row],[Device ID]],BOM!$B$3:$BQ$35,16,FALSE),"")</f>
        <v>MPA 431 HD2</v>
      </c>
      <c r="M155" s="63" t="str">
        <f>IFERROR(VLOOKUP(Tabelle32[[#This Row],[Device ID]],BOM!$B$3:$BQ$35,17,FALSE),"")</f>
        <v>MPA 431</v>
      </c>
      <c r="N155" s="59" t="str">
        <f>IFERROR(VLOOKUP(Tabelle32[[#This Row],[Device ID]],BOM!$B$3:$BQ$35,18,FALSE),"")</f>
        <v>TC.03.021 | MPA431</v>
      </c>
      <c r="O155" s="64"/>
      <c r="P155" s="64">
        <f>IFERROR(VLOOKUP(Tabelle32[[#This Row],[Device ID]],BOM!$B$3:$BO$50,20,FALSE),"")</f>
        <v>0</v>
      </c>
      <c r="Q155" s="64">
        <f>IFERROR(VLOOKUP(Tabelle32[[#This Row],[Device ID]],BOM!$B$3:$BO$50,21,FALSE),"")</f>
        <v>1</v>
      </c>
      <c r="R155" s="64">
        <f>IFERROR(VLOOKUP(Tabelle32[[#This Row],[Device ID]],BOM!$B$3:$BO$50,22,FALSE),"")</f>
        <v>0</v>
      </c>
      <c r="S155" s="64"/>
      <c r="T155" s="64"/>
      <c r="U155" s="59" t="str">
        <f>IFERROR(VLOOKUP(Tabelle32[[#This Row],[Device ID]],BOM!$B$3:$BQ$35,25,FALSE),"")</f>
        <v>Luis/Ivo</v>
      </c>
      <c r="V155" s="59" t="str">
        <f>IFERROR(VLOOKUP(Tabelle32[[#This Row],[Device ID]],BOM!$B$3:$BQ$35,26,FALSE),"")</f>
        <v>tpco-megw-vgw103.rta.st-net.media.int</v>
      </c>
      <c r="W155" s="59" t="str">
        <f>IFERROR(VLOOKUP(Tabelle32[[#This Row],[Device ID]],BOM!$B$3:$BQ$35,27,FALSE),"")</f>
        <v>10.120.236.50</v>
      </c>
      <c r="X155" s="59" t="str">
        <f>IFERROR(VLOOKUP(Tabelle32[[#This Row],[Device ID]],BOM!$B$3:$BQ$35,28,FALSE),"")</f>
        <v>AVCoreA</v>
      </c>
      <c r="Y155" s="59" t="str">
        <f>IFERROR(VLOOKUP(Tabelle32[[#This Row],[Device ID]],BOM!$B$3:$BQ$35,29,FALSE),"")</f>
        <v>5_36_1</v>
      </c>
      <c r="Z155" s="59" t="str">
        <f>IFERROR(VLOOKUP(Tabelle32[[#This Row],[Device ID]],BOM!$B$3:$BQ$35,30,FALSE),"")</f>
        <v>tpco-megw-vgw103.rtb.st-net.media.int</v>
      </c>
      <c r="AA155" s="59" t="str">
        <f>IFERROR(VLOOKUP(Tabelle32[[#This Row],[Device ID]],BOM!$B$3:$BQ$35,31,FALSE),"")</f>
        <v>10.120.236.54</v>
      </c>
      <c r="AB155" s="59" t="str">
        <f>IFERROR(VLOOKUP(Tabelle32[[#This Row],[Device ID]],BOM!$B$3:$BQ$35,32,FALSE),"")</f>
        <v>AVCoreB</v>
      </c>
      <c r="AC155" s="59" t="str">
        <f>IFERROR(VLOOKUP(Tabelle32[[#This Row],[Device ID]],BOM!$B$3:$BQ$35,33,FALSE),"")</f>
        <v>5_36_1</v>
      </c>
      <c r="AD155" s="59" t="str">
        <f>IFERROR(VLOOKUP(Tabelle32[[#This Row],[Device ID]],BOM!$B$3:$BQ$35,34,FALSE),"")</f>
        <v>tpco-megw-vgw103.st-net.media.int</v>
      </c>
      <c r="AE155" s="59" t="str">
        <f>IFERROR(VLOOKUP(Tabelle32[[#This Row],[Device ID]],BOM!$B$3:$BQ$35,35,FALSE),"")</f>
        <v>10.120.67.141</v>
      </c>
      <c r="AF155" s="59">
        <f>IFERROR(VLOOKUP(Tabelle32[[#This Row],[Device ID]],BOM!$B$3:$BQ$35,36,FALSE),"")</f>
        <v>0</v>
      </c>
      <c r="AG155" s="59">
        <f>IFERROR(VLOOKUP(Tabelle32[[#This Row],[Device ID]],BOM!$B$3:$BQ$35,37,FALSE),"")</f>
        <v>0</v>
      </c>
      <c r="AH155" s="59"/>
      <c r="AI155" s="59"/>
      <c r="AJ155" s="59"/>
      <c r="AK155" s="59"/>
      <c r="AL155" s="59" t="str">
        <f>IFERROR(VLOOKUP(Tabelle32[[#This Row],[Device ID]],BOM!$B$3:$BQ$35,42,FALSE),"")</f>
        <v>Imagine Communications SNP</v>
      </c>
      <c r="AM155" s="59" t="str">
        <f>IFERROR(VLOOKUP(Tabelle32[[#This Row],[Device ID]],BOM!$B$3:$BQ$35,43,FALSE),"")</f>
        <v>no</v>
      </c>
      <c r="AN155" s="59" t="str">
        <f>IFERROR(VLOOKUP(Tabelle32[[#This Row],[Device ID]],BOM!$B$3:$BQ$35,44,FALSE),"")</f>
        <v>yes</v>
      </c>
      <c r="AO155" s="59" t="str">
        <f>IFERROR(VLOOKUP(Tabelle32[[#This Row],[Device ID]],BOM!$B$3:$BQ$35,45,FALSE),"")</f>
        <v>no</v>
      </c>
      <c r="AP155" s="59" t="str">
        <f>IFERROR(CONCATENATE(Tabelle32[[#This Row],[Family
GFX-Unit]]," | ",Tabelle32[[#This Row],[Label 1
GFX-Unit]]," | ",Tabelle32[[#This Row],[Attached Device if Gateway]]),"")</f>
        <v>PLAYOUT MPA431 | HD2-002 | MPA 431 HD2</v>
      </c>
      <c r="AQ155" s="59"/>
      <c r="AR155" s="90"/>
      <c r="AS155" s="90"/>
      <c r="AT155" s="90"/>
      <c r="AU155" s="90"/>
      <c r="AV155" s="90"/>
      <c r="AW155" s="90" t="s">
        <v>97</v>
      </c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73" t="s">
        <v>199</v>
      </c>
      <c r="BI155" s="30" t="str">
        <f>IF(COUNTA(Tabelle32[[#This Row],[Type:Vid_1080i50]:[Type:Anc_Prot]])&gt;0,"x","")</f>
        <v>x</v>
      </c>
      <c r="BJ15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55" s="59"/>
      <c r="BL155" s="59"/>
      <c r="BM155" s="63"/>
      <c r="BN155" s="63"/>
      <c r="BO155" s="97" t="s">
        <v>415</v>
      </c>
      <c r="BP155" s="97" t="s">
        <v>346</v>
      </c>
      <c r="BQ155" s="75">
        <f>LEN(Tabelle32[[#This Row],[Label 1
GFX-Unit]])</f>
        <v>7</v>
      </c>
      <c r="BR155" s="63"/>
      <c r="BS155" s="63"/>
      <c r="BT155" s="59"/>
      <c r="BU155" s="59"/>
      <c r="BV155" s="59" t="s">
        <v>218</v>
      </c>
      <c r="BW155" s="59" t="s">
        <v>219</v>
      </c>
      <c r="BX155" s="59" t="s">
        <v>442</v>
      </c>
      <c r="BY155" s="59">
        <v>8</v>
      </c>
    </row>
    <row r="156" spans="1:77" x14ac:dyDescent="0.2">
      <c r="A156" s="58" t="str">
        <f>CONCATENATE(Tabelle32[[#This Row],[Device ID]],".",Tabelle32[[#This Row],[Streamcounter]])</f>
        <v>385.08203</v>
      </c>
      <c r="B15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VGW-103_SDI08_AUDsend_0003</v>
      </c>
      <c r="C156" s="67"/>
      <c r="D156" s="61"/>
      <c r="E156" s="67"/>
      <c r="F156" s="59" t="str">
        <f>IFERROR(VLOOKUP(Tabelle32[[#This Row],[Device ID]],BOM!$B$3:$BQ$35,16,FALSE),"")</f>
        <v>MPA 431 HD2</v>
      </c>
      <c r="G156" s="63">
        <f>VLOOKUP(Tabelle32[[#This Row],[SDI Interface]],BOM!$A$4:$B$35,2,FALSE)</f>
        <v>385</v>
      </c>
      <c r="H156" s="59" t="str">
        <f>BOM!$C$4</f>
        <v>VGW-103</v>
      </c>
      <c r="I156" s="59" t="str">
        <f>IFERROR(VLOOKUP(Tabelle32[[#This Row],[Device ID]],BOM!$B$3:$BQ$35,12,FALSE),"")</f>
        <v>Videoserver</v>
      </c>
      <c r="J156" s="59" t="str">
        <f>IFERROR(VLOOKUP(Tabelle32[[#This Row],[Device ID]],BOM!$B$3:$BQ$35,13,FALSE),"")</f>
        <v>TC.U1.223 | MDC</v>
      </c>
      <c r="K156" s="59" t="str">
        <f>IFERROR(VLOOKUP(Tabelle32[[#This Row],[Device ID]],BOM!$B$3:$BQ$35,14,FALSE),"")</f>
        <v>Imagine Comunications</v>
      </c>
      <c r="L156" s="59" t="str">
        <f>IFERROR(VLOOKUP(Tabelle32[[#This Row],[Device ID]],BOM!$B$3:$BQ$35,16,FALSE),"")</f>
        <v>MPA 431 HD2</v>
      </c>
      <c r="M156" s="63" t="str">
        <f>IFERROR(VLOOKUP(Tabelle32[[#This Row],[Device ID]],BOM!$B$3:$BQ$35,17,FALSE),"")</f>
        <v>MPA 431</v>
      </c>
      <c r="N156" s="59" t="str">
        <f>IFERROR(VLOOKUP(Tabelle32[[#This Row],[Device ID]],BOM!$B$3:$BQ$35,18,FALSE),"")</f>
        <v>TC.03.021 | MPA431</v>
      </c>
      <c r="O156" s="64"/>
      <c r="P156" s="64">
        <f>IFERROR(VLOOKUP(Tabelle32[[#This Row],[Device ID]],BOM!$B$3:$BO$50,20,FALSE),"")</f>
        <v>0</v>
      </c>
      <c r="Q156" s="64">
        <f>IFERROR(VLOOKUP(Tabelle32[[#This Row],[Device ID]],BOM!$B$3:$BO$50,21,FALSE),"")</f>
        <v>1</v>
      </c>
      <c r="R156" s="64">
        <f>IFERROR(VLOOKUP(Tabelle32[[#This Row],[Device ID]],BOM!$B$3:$BO$50,22,FALSE),"")</f>
        <v>0</v>
      </c>
      <c r="S156" s="64"/>
      <c r="T156" s="64"/>
      <c r="U156" s="59" t="str">
        <f>IFERROR(VLOOKUP(Tabelle32[[#This Row],[Device ID]],BOM!$B$3:$BQ$35,25,FALSE),"")</f>
        <v>Luis/Ivo</v>
      </c>
      <c r="V156" s="59" t="str">
        <f>IFERROR(VLOOKUP(Tabelle32[[#This Row],[Device ID]],BOM!$B$3:$BQ$35,26,FALSE),"")</f>
        <v>tpco-megw-vgw103.rta.st-net.media.int</v>
      </c>
      <c r="W156" s="59" t="str">
        <f>IFERROR(VLOOKUP(Tabelle32[[#This Row],[Device ID]],BOM!$B$3:$BQ$35,27,FALSE),"")</f>
        <v>10.120.236.50</v>
      </c>
      <c r="X156" s="59" t="str">
        <f>IFERROR(VLOOKUP(Tabelle32[[#This Row],[Device ID]],BOM!$B$3:$BQ$35,28,FALSE),"")</f>
        <v>AVCoreA</v>
      </c>
      <c r="Y156" s="59" t="str">
        <f>IFERROR(VLOOKUP(Tabelle32[[#This Row],[Device ID]],BOM!$B$3:$BQ$35,29,FALSE),"")</f>
        <v>5_36_1</v>
      </c>
      <c r="Z156" s="59" t="str">
        <f>IFERROR(VLOOKUP(Tabelle32[[#This Row],[Device ID]],BOM!$B$3:$BQ$35,30,FALSE),"")</f>
        <v>tpco-megw-vgw103.rtb.st-net.media.int</v>
      </c>
      <c r="AA156" s="59" t="str">
        <f>IFERROR(VLOOKUP(Tabelle32[[#This Row],[Device ID]],BOM!$B$3:$BQ$35,31,FALSE),"")</f>
        <v>10.120.236.54</v>
      </c>
      <c r="AB156" s="59" t="str">
        <f>IFERROR(VLOOKUP(Tabelle32[[#This Row],[Device ID]],BOM!$B$3:$BQ$35,32,FALSE),"")</f>
        <v>AVCoreB</v>
      </c>
      <c r="AC156" s="59" t="str">
        <f>IFERROR(VLOOKUP(Tabelle32[[#This Row],[Device ID]],BOM!$B$3:$BQ$35,33,FALSE),"")</f>
        <v>5_36_1</v>
      </c>
      <c r="AD156" s="59" t="str">
        <f>IFERROR(VLOOKUP(Tabelle32[[#This Row],[Device ID]],BOM!$B$3:$BQ$35,34,FALSE),"")</f>
        <v>tpco-megw-vgw103.st-net.media.int</v>
      </c>
      <c r="AE156" s="59" t="str">
        <f>IFERROR(VLOOKUP(Tabelle32[[#This Row],[Device ID]],BOM!$B$3:$BQ$35,35,FALSE),"")</f>
        <v>10.120.67.141</v>
      </c>
      <c r="AF156" s="59">
        <f>IFERROR(VLOOKUP(Tabelle32[[#This Row],[Device ID]],BOM!$B$3:$BQ$35,36,FALSE),"")</f>
        <v>0</v>
      </c>
      <c r="AG156" s="59">
        <f>IFERROR(VLOOKUP(Tabelle32[[#This Row],[Device ID]],BOM!$B$3:$BQ$35,37,FALSE),"")</f>
        <v>0</v>
      </c>
      <c r="AH156" s="59"/>
      <c r="AI156" s="59"/>
      <c r="AJ156" s="59"/>
      <c r="AK156" s="59"/>
      <c r="AL156" s="59" t="str">
        <f>IFERROR(VLOOKUP(Tabelle32[[#This Row],[Device ID]],BOM!$B$3:$BQ$35,42,FALSE),"")</f>
        <v>Imagine Communications SNP</v>
      </c>
      <c r="AM156" s="59" t="str">
        <f>IFERROR(VLOOKUP(Tabelle32[[#This Row],[Device ID]],BOM!$B$3:$BQ$35,43,FALSE),"")</f>
        <v>no</v>
      </c>
      <c r="AN156" s="59" t="str">
        <f>IFERROR(VLOOKUP(Tabelle32[[#This Row],[Device ID]],BOM!$B$3:$BQ$35,44,FALSE),"")</f>
        <v>yes</v>
      </c>
      <c r="AO156" s="59" t="str">
        <f>IFERROR(VLOOKUP(Tabelle32[[#This Row],[Device ID]],BOM!$B$3:$BQ$35,45,FALSE),"")</f>
        <v>no</v>
      </c>
      <c r="AP156" s="59" t="str">
        <f>IFERROR(CONCATENATE(Tabelle32[[#This Row],[Family
GFX-Unit]]," | ",Tabelle32[[#This Row],[Label 1
GFX-Unit]]," | ",Tabelle32[[#This Row],[Attached Device if Gateway]]),"")</f>
        <v>PLAYOUT MPA431 | HD2-003 | MPA 431 HD2</v>
      </c>
      <c r="AQ156" s="59"/>
      <c r="AR156" s="90"/>
      <c r="AS156" s="90"/>
      <c r="AT156" s="90"/>
      <c r="AU156" s="90"/>
      <c r="AV156" s="90"/>
      <c r="AW156" s="90" t="s">
        <v>97</v>
      </c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73" t="s">
        <v>199</v>
      </c>
      <c r="BI156" s="30" t="str">
        <f>IF(COUNTA(Tabelle32[[#This Row],[Type:Vid_1080i50]:[Type:Anc_Prot]])&gt;0,"x","")</f>
        <v>x</v>
      </c>
      <c r="BJ15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56" s="59"/>
      <c r="BL156" s="59"/>
      <c r="BM156" s="63"/>
      <c r="BN156" s="63"/>
      <c r="BO156" s="97" t="s">
        <v>415</v>
      </c>
      <c r="BP156" s="97" t="s">
        <v>348</v>
      </c>
      <c r="BQ156" s="75">
        <f>LEN(Tabelle32[[#This Row],[Label 1
GFX-Unit]])</f>
        <v>7</v>
      </c>
      <c r="BR156" s="63"/>
      <c r="BS156" s="63"/>
      <c r="BT156" s="59"/>
      <c r="BU156" s="59"/>
      <c r="BV156" s="59" t="s">
        <v>222</v>
      </c>
      <c r="BW156" s="59" t="s">
        <v>223</v>
      </c>
      <c r="BX156" s="59" t="s">
        <v>443</v>
      </c>
      <c r="BY156" s="59">
        <v>8</v>
      </c>
    </row>
    <row r="157" spans="1:77" x14ac:dyDescent="0.2">
      <c r="A157" s="58" t="str">
        <f>CONCATENATE(Tabelle32[[#This Row],[Device ID]],".",Tabelle32[[#This Row],[Streamcounter]])</f>
        <v>385.08204</v>
      </c>
      <c r="B15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VGW-103_SDI08_AUDsend_0004</v>
      </c>
      <c r="C157" s="60"/>
      <c r="D157" s="61"/>
      <c r="E157" s="62"/>
      <c r="F157" s="59" t="str">
        <f>IFERROR(VLOOKUP(Tabelle32[[#This Row],[Device ID]],BOM!$B$3:$BQ$35,16,FALSE),"")</f>
        <v>MPA 431 HD2</v>
      </c>
      <c r="G157" s="63">
        <f>VLOOKUP(Tabelle32[[#This Row],[SDI Interface]],BOM!$A$4:$B$35,2,FALSE)</f>
        <v>385</v>
      </c>
      <c r="H157" s="59" t="str">
        <f>BOM!$C$4</f>
        <v>VGW-103</v>
      </c>
      <c r="I157" s="59" t="str">
        <f>IFERROR(VLOOKUP(Tabelle32[[#This Row],[Device ID]],BOM!$B$3:$BQ$35,12,FALSE),"")</f>
        <v>Videoserver</v>
      </c>
      <c r="J157" s="59" t="str">
        <f>IFERROR(VLOOKUP(Tabelle32[[#This Row],[Device ID]],BOM!$B$3:$BQ$35,13,FALSE),"")</f>
        <v>TC.U1.223 | MDC</v>
      </c>
      <c r="K157" s="59" t="str">
        <f>IFERROR(VLOOKUP(Tabelle32[[#This Row],[Device ID]],BOM!$B$3:$BQ$35,14,FALSE),"")</f>
        <v>Imagine Comunications</v>
      </c>
      <c r="L157" s="59" t="str">
        <f>IFERROR(VLOOKUP(Tabelle32[[#This Row],[Device ID]],BOM!$B$3:$BQ$35,16,FALSE),"")</f>
        <v>MPA 431 HD2</v>
      </c>
      <c r="M157" s="63" t="str">
        <f>IFERROR(VLOOKUP(Tabelle32[[#This Row],[Device ID]],BOM!$B$3:$BQ$35,17,FALSE),"")</f>
        <v>MPA 431</v>
      </c>
      <c r="N157" s="59" t="str">
        <f>IFERROR(VLOOKUP(Tabelle32[[#This Row],[Device ID]],BOM!$B$3:$BQ$35,18,FALSE),"")</f>
        <v>TC.03.021 | MPA431</v>
      </c>
      <c r="O157" s="64"/>
      <c r="P157" s="64">
        <f>IFERROR(VLOOKUP(Tabelle32[[#This Row],[Device ID]],BOM!$B$3:$BO$50,20,FALSE),"")</f>
        <v>0</v>
      </c>
      <c r="Q157" s="64">
        <f>IFERROR(VLOOKUP(Tabelle32[[#This Row],[Device ID]],BOM!$B$3:$BO$50,21,FALSE),"")</f>
        <v>1</v>
      </c>
      <c r="R157" s="64">
        <f>IFERROR(VLOOKUP(Tabelle32[[#This Row],[Device ID]],BOM!$B$3:$BO$50,22,FALSE),"")</f>
        <v>0</v>
      </c>
      <c r="S157" s="64"/>
      <c r="T157" s="64"/>
      <c r="U157" s="59" t="str">
        <f>IFERROR(VLOOKUP(Tabelle32[[#This Row],[Device ID]],BOM!$B$3:$BQ$35,25,FALSE),"")</f>
        <v>Luis/Ivo</v>
      </c>
      <c r="V157" s="59" t="str">
        <f>IFERROR(VLOOKUP(Tabelle32[[#This Row],[Device ID]],BOM!$B$3:$BQ$35,26,FALSE),"")</f>
        <v>tpco-megw-vgw103.rta.st-net.media.int</v>
      </c>
      <c r="W157" s="59" t="str">
        <f>IFERROR(VLOOKUP(Tabelle32[[#This Row],[Device ID]],BOM!$B$3:$BQ$35,27,FALSE),"")</f>
        <v>10.120.236.50</v>
      </c>
      <c r="X157" s="59" t="str">
        <f>IFERROR(VLOOKUP(Tabelle32[[#This Row],[Device ID]],BOM!$B$3:$BQ$35,28,FALSE),"")</f>
        <v>AVCoreA</v>
      </c>
      <c r="Y157" s="59" t="str">
        <f>IFERROR(VLOOKUP(Tabelle32[[#This Row],[Device ID]],BOM!$B$3:$BQ$35,29,FALSE),"")</f>
        <v>5_36_1</v>
      </c>
      <c r="Z157" s="59" t="str">
        <f>IFERROR(VLOOKUP(Tabelle32[[#This Row],[Device ID]],BOM!$B$3:$BQ$35,30,FALSE),"")</f>
        <v>tpco-megw-vgw103.rtb.st-net.media.int</v>
      </c>
      <c r="AA157" s="59" t="str">
        <f>IFERROR(VLOOKUP(Tabelle32[[#This Row],[Device ID]],BOM!$B$3:$BQ$35,31,FALSE),"")</f>
        <v>10.120.236.54</v>
      </c>
      <c r="AB157" s="59" t="str">
        <f>IFERROR(VLOOKUP(Tabelle32[[#This Row],[Device ID]],BOM!$B$3:$BQ$35,32,FALSE),"")</f>
        <v>AVCoreB</v>
      </c>
      <c r="AC157" s="59" t="str">
        <f>IFERROR(VLOOKUP(Tabelle32[[#This Row],[Device ID]],BOM!$B$3:$BQ$35,33,FALSE),"")</f>
        <v>5_36_1</v>
      </c>
      <c r="AD157" s="59" t="str">
        <f>IFERROR(VLOOKUP(Tabelle32[[#This Row],[Device ID]],BOM!$B$3:$BQ$35,34,FALSE),"")</f>
        <v>tpco-megw-vgw103.st-net.media.int</v>
      </c>
      <c r="AE157" s="59" t="str">
        <f>IFERROR(VLOOKUP(Tabelle32[[#This Row],[Device ID]],BOM!$B$3:$BQ$35,35,FALSE),"")</f>
        <v>10.120.67.141</v>
      </c>
      <c r="AF157" s="59">
        <f>IFERROR(VLOOKUP(Tabelle32[[#This Row],[Device ID]],BOM!$B$3:$BQ$35,36,FALSE),"")</f>
        <v>0</v>
      </c>
      <c r="AG157" s="59">
        <f>IFERROR(VLOOKUP(Tabelle32[[#This Row],[Device ID]],BOM!$B$3:$BQ$35,37,FALSE),"")</f>
        <v>0</v>
      </c>
      <c r="AH157" s="59"/>
      <c r="AI157" s="59"/>
      <c r="AJ157" s="59"/>
      <c r="AK157" s="59"/>
      <c r="AL157" s="59" t="str">
        <f>IFERROR(VLOOKUP(Tabelle32[[#This Row],[Device ID]],BOM!$B$3:$BQ$35,42,FALSE),"")</f>
        <v>Imagine Communications SNP</v>
      </c>
      <c r="AM157" s="59" t="str">
        <f>IFERROR(VLOOKUP(Tabelle32[[#This Row],[Device ID]],BOM!$B$3:$BQ$35,43,FALSE),"")</f>
        <v>no</v>
      </c>
      <c r="AN157" s="59" t="str">
        <f>IFERROR(VLOOKUP(Tabelle32[[#This Row],[Device ID]],BOM!$B$3:$BQ$35,44,FALSE),"")</f>
        <v>yes</v>
      </c>
      <c r="AO157" s="59" t="str">
        <f>IFERROR(VLOOKUP(Tabelle32[[#This Row],[Device ID]],BOM!$B$3:$BQ$35,45,FALSE),"")</f>
        <v>no</v>
      </c>
      <c r="AP157" s="59" t="str">
        <f>IFERROR(CONCATENATE(Tabelle32[[#This Row],[Family
GFX-Unit]]," | ",Tabelle32[[#This Row],[Label 1
GFX-Unit]]," | ",Tabelle32[[#This Row],[Attached Device if Gateway]]),"")</f>
        <v>PLAYOUT MPA431 | HD2-004 | MPA 431 HD2</v>
      </c>
      <c r="AQ157" s="59"/>
      <c r="AR157" s="90"/>
      <c r="AS157" s="90"/>
      <c r="AT157" s="90"/>
      <c r="AU157" s="90"/>
      <c r="AV157" s="90"/>
      <c r="AW157" s="90"/>
      <c r="AX157" s="90"/>
      <c r="AY157" s="90"/>
      <c r="AZ157" s="90" t="s">
        <v>97</v>
      </c>
      <c r="BA157" s="90"/>
      <c r="BB157" s="90"/>
      <c r="BC157" s="90"/>
      <c r="BD157" s="90"/>
      <c r="BE157" s="90"/>
      <c r="BF157" s="90"/>
      <c r="BG157" s="90"/>
      <c r="BH157" s="73" t="s">
        <v>199</v>
      </c>
      <c r="BI157" s="30" t="str">
        <f>IF(COUNTA(Tabelle32[[#This Row],[Type:Vid_1080i50]:[Type:Anc_Prot]])&gt;0,"x","")</f>
        <v>x</v>
      </c>
      <c r="BJ15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57" s="59"/>
      <c r="BL157" s="59"/>
      <c r="BM157" s="63"/>
      <c r="BN157" s="63"/>
      <c r="BO157" s="97" t="s">
        <v>415</v>
      </c>
      <c r="BP157" s="97" t="s">
        <v>350</v>
      </c>
      <c r="BQ157" s="75">
        <f>LEN(Tabelle32[[#This Row],[Label 1
GFX-Unit]])</f>
        <v>7</v>
      </c>
      <c r="BR157" s="63"/>
      <c r="BS157" s="63"/>
      <c r="BT157" s="59"/>
      <c r="BU157" s="59"/>
      <c r="BV157" s="59" t="s">
        <v>226</v>
      </c>
      <c r="BW157" s="59" t="s">
        <v>227</v>
      </c>
      <c r="BX157" s="59" t="s">
        <v>444</v>
      </c>
      <c r="BY157" s="59">
        <v>8</v>
      </c>
    </row>
    <row r="158" spans="1:77" x14ac:dyDescent="0.2">
      <c r="A158" s="58" t="str">
        <f>CONCATENATE(Tabelle32[[#This Row],[Device ID]],".",Tabelle32[[#This Row],[Streamcounter]])</f>
        <v>385.08205</v>
      </c>
      <c r="B15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VGW-103_SDI08_AUDsend_0005</v>
      </c>
      <c r="C158" s="60"/>
      <c r="D158" s="61"/>
      <c r="E158" s="62"/>
      <c r="F158" s="59" t="str">
        <f>IFERROR(VLOOKUP(Tabelle32[[#This Row],[Device ID]],BOM!$B$3:$BQ$35,16,FALSE),"")</f>
        <v>MPA 431 HD2</v>
      </c>
      <c r="G158" s="63">
        <f>VLOOKUP(Tabelle32[[#This Row],[SDI Interface]],BOM!$A$4:$B$35,2,FALSE)</f>
        <v>385</v>
      </c>
      <c r="H158" s="59" t="str">
        <f>BOM!$C$4</f>
        <v>VGW-103</v>
      </c>
      <c r="I158" s="59" t="str">
        <f>IFERROR(VLOOKUP(Tabelle32[[#This Row],[Device ID]],BOM!$B$3:$BQ$35,12,FALSE),"")</f>
        <v>Videoserver</v>
      </c>
      <c r="J158" s="59" t="str">
        <f>IFERROR(VLOOKUP(Tabelle32[[#This Row],[Device ID]],BOM!$B$3:$BQ$35,13,FALSE),"")</f>
        <v>TC.U1.223 | MDC</v>
      </c>
      <c r="K158" s="59" t="str">
        <f>IFERROR(VLOOKUP(Tabelle32[[#This Row],[Device ID]],BOM!$B$3:$BQ$35,14,FALSE),"")</f>
        <v>Imagine Comunications</v>
      </c>
      <c r="L158" s="59" t="str">
        <f>IFERROR(VLOOKUP(Tabelle32[[#This Row],[Device ID]],BOM!$B$3:$BQ$35,16,FALSE),"")</f>
        <v>MPA 431 HD2</v>
      </c>
      <c r="M158" s="63" t="str">
        <f>IFERROR(VLOOKUP(Tabelle32[[#This Row],[Device ID]],BOM!$B$3:$BQ$35,17,FALSE),"")</f>
        <v>MPA 431</v>
      </c>
      <c r="N158" s="59" t="str">
        <f>IFERROR(VLOOKUP(Tabelle32[[#This Row],[Device ID]],BOM!$B$3:$BQ$35,18,FALSE),"")</f>
        <v>TC.03.021 | MPA431</v>
      </c>
      <c r="O158" s="64"/>
      <c r="P158" s="64">
        <f>IFERROR(VLOOKUP(Tabelle32[[#This Row],[Device ID]],BOM!$B$3:$BO$50,20,FALSE),"")</f>
        <v>0</v>
      </c>
      <c r="Q158" s="64">
        <f>IFERROR(VLOOKUP(Tabelle32[[#This Row],[Device ID]],BOM!$B$3:$BO$50,21,FALSE),"")</f>
        <v>1</v>
      </c>
      <c r="R158" s="64">
        <f>IFERROR(VLOOKUP(Tabelle32[[#This Row],[Device ID]],BOM!$B$3:$BO$50,22,FALSE),"")</f>
        <v>0</v>
      </c>
      <c r="S158" s="64"/>
      <c r="T158" s="64"/>
      <c r="U158" s="59" t="str">
        <f>IFERROR(VLOOKUP(Tabelle32[[#This Row],[Device ID]],BOM!$B$3:$BQ$35,25,FALSE),"")</f>
        <v>Luis/Ivo</v>
      </c>
      <c r="V158" s="59" t="str">
        <f>IFERROR(VLOOKUP(Tabelle32[[#This Row],[Device ID]],BOM!$B$3:$BQ$35,26,FALSE),"")</f>
        <v>tpco-megw-vgw103.rta.st-net.media.int</v>
      </c>
      <c r="W158" s="59" t="str">
        <f>IFERROR(VLOOKUP(Tabelle32[[#This Row],[Device ID]],BOM!$B$3:$BQ$35,27,FALSE),"")</f>
        <v>10.120.236.50</v>
      </c>
      <c r="X158" s="59" t="str">
        <f>IFERROR(VLOOKUP(Tabelle32[[#This Row],[Device ID]],BOM!$B$3:$BQ$35,28,FALSE),"")</f>
        <v>AVCoreA</v>
      </c>
      <c r="Y158" s="59" t="str">
        <f>IFERROR(VLOOKUP(Tabelle32[[#This Row],[Device ID]],BOM!$B$3:$BQ$35,29,FALSE),"")</f>
        <v>5_36_1</v>
      </c>
      <c r="Z158" s="59" t="str">
        <f>IFERROR(VLOOKUP(Tabelle32[[#This Row],[Device ID]],BOM!$B$3:$BQ$35,30,FALSE),"")</f>
        <v>tpco-megw-vgw103.rtb.st-net.media.int</v>
      </c>
      <c r="AA158" s="59" t="str">
        <f>IFERROR(VLOOKUP(Tabelle32[[#This Row],[Device ID]],BOM!$B$3:$BQ$35,31,FALSE),"")</f>
        <v>10.120.236.54</v>
      </c>
      <c r="AB158" s="59" t="str">
        <f>IFERROR(VLOOKUP(Tabelle32[[#This Row],[Device ID]],BOM!$B$3:$BQ$35,32,FALSE),"")</f>
        <v>AVCoreB</v>
      </c>
      <c r="AC158" s="59" t="str">
        <f>IFERROR(VLOOKUP(Tabelle32[[#This Row],[Device ID]],BOM!$B$3:$BQ$35,33,FALSE),"")</f>
        <v>5_36_1</v>
      </c>
      <c r="AD158" s="59" t="str">
        <f>IFERROR(VLOOKUP(Tabelle32[[#This Row],[Device ID]],BOM!$B$3:$BQ$35,34,FALSE),"")</f>
        <v>tpco-megw-vgw103.st-net.media.int</v>
      </c>
      <c r="AE158" s="59" t="str">
        <f>IFERROR(VLOOKUP(Tabelle32[[#This Row],[Device ID]],BOM!$B$3:$BQ$35,35,FALSE),"")</f>
        <v>10.120.67.141</v>
      </c>
      <c r="AF158" s="59">
        <f>IFERROR(VLOOKUP(Tabelle32[[#This Row],[Device ID]],BOM!$B$3:$BQ$35,36,FALSE),"")</f>
        <v>0</v>
      </c>
      <c r="AG158" s="59">
        <f>IFERROR(VLOOKUP(Tabelle32[[#This Row],[Device ID]],BOM!$B$3:$BQ$35,37,FALSE),"")</f>
        <v>0</v>
      </c>
      <c r="AH158" s="59"/>
      <c r="AI158" s="59"/>
      <c r="AJ158" s="59"/>
      <c r="AK158" s="59"/>
      <c r="AL158" s="59" t="str">
        <f>IFERROR(VLOOKUP(Tabelle32[[#This Row],[Device ID]],BOM!$B$3:$BQ$35,42,FALSE),"")</f>
        <v>Imagine Communications SNP</v>
      </c>
      <c r="AM158" s="59" t="str">
        <f>IFERROR(VLOOKUP(Tabelle32[[#This Row],[Device ID]],BOM!$B$3:$BQ$35,43,FALSE),"")</f>
        <v>no</v>
      </c>
      <c r="AN158" s="59" t="str">
        <f>IFERROR(VLOOKUP(Tabelle32[[#This Row],[Device ID]],BOM!$B$3:$BQ$35,44,FALSE),"")</f>
        <v>yes</v>
      </c>
      <c r="AO158" s="59" t="str">
        <f>IFERROR(VLOOKUP(Tabelle32[[#This Row],[Device ID]],BOM!$B$3:$BQ$35,45,FALSE),"")</f>
        <v>no</v>
      </c>
      <c r="AP158" s="59" t="str">
        <f>IFERROR(CONCATENATE(Tabelle32[[#This Row],[Family
GFX-Unit]]," | ",Tabelle32[[#This Row],[Label 1
GFX-Unit]]," | ",Tabelle32[[#This Row],[Attached Device if Gateway]]),"")</f>
        <v>PLAYOUT MPA431 | HD2-005 | MPA 431 HD2</v>
      </c>
      <c r="AQ158" s="59"/>
      <c r="AR158" s="90"/>
      <c r="AS158" s="90"/>
      <c r="AT158" s="90"/>
      <c r="AU158" s="90"/>
      <c r="AV158" s="90"/>
      <c r="AW158" s="90" t="s">
        <v>97</v>
      </c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73" t="s">
        <v>199</v>
      </c>
      <c r="BI158" s="30" t="str">
        <f>IF(COUNTA(Tabelle32[[#This Row],[Type:Vid_1080i50]:[Type:Anc_Prot]])&gt;0,"x","")</f>
        <v>x</v>
      </c>
      <c r="BJ15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58" s="59"/>
      <c r="BL158" s="59"/>
      <c r="BM158" s="63"/>
      <c r="BN158" s="63"/>
      <c r="BO158" s="97" t="s">
        <v>415</v>
      </c>
      <c r="BP158" s="97" t="s">
        <v>352</v>
      </c>
      <c r="BQ158" s="75">
        <f>LEN(Tabelle32[[#This Row],[Label 1
GFX-Unit]])</f>
        <v>7</v>
      </c>
      <c r="BR158" s="63"/>
      <c r="BS158" s="63"/>
      <c r="BT158" s="59"/>
      <c r="BU158" s="59"/>
      <c r="BV158" s="59" t="s">
        <v>230</v>
      </c>
      <c r="BW158" s="59" t="s">
        <v>231</v>
      </c>
      <c r="BX158" s="59" t="s">
        <v>445</v>
      </c>
      <c r="BY158" s="59">
        <v>8</v>
      </c>
    </row>
    <row r="159" spans="1:77" x14ac:dyDescent="0.2">
      <c r="A159" s="58" t="str">
        <f>CONCATENATE(Tabelle32[[#This Row],[Device ID]],".",Tabelle32[[#This Row],[Streamcounter]])</f>
        <v>385.08206</v>
      </c>
      <c r="B15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VGW-103_SDI08_AUDsend_0006</v>
      </c>
      <c r="C159" s="60"/>
      <c r="D159" s="61"/>
      <c r="E159" s="62"/>
      <c r="F159" s="59" t="str">
        <f>IFERROR(VLOOKUP(Tabelle32[[#This Row],[Device ID]],BOM!$B$3:$BQ$35,16,FALSE),"")</f>
        <v>MPA 431 HD2</v>
      </c>
      <c r="G159" s="63">
        <f>VLOOKUP(Tabelle32[[#This Row],[SDI Interface]],BOM!$A$4:$B$35,2,FALSE)</f>
        <v>385</v>
      </c>
      <c r="H159" s="59" t="str">
        <f>BOM!$C$4</f>
        <v>VGW-103</v>
      </c>
      <c r="I159" s="59" t="str">
        <f>IFERROR(VLOOKUP(Tabelle32[[#This Row],[Device ID]],BOM!$B$3:$BQ$35,12,FALSE),"")</f>
        <v>Videoserver</v>
      </c>
      <c r="J159" s="59" t="str">
        <f>IFERROR(VLOOKUP(Tabelle32[[#This Row],[Device ID]],BOM!$B$3:$BQ$35,13,FALSE),"")</f>
        <v>TC.U1.223 | MDC</v>
      </c>
      <c r="K159" s="59" t="str">
        <f>IFERROR(VLOOKUP(Tabelle32[[#This Row],[Device ID]],BOM!$B$3:$BQ$35,14,FALSE),"")</f>
        <v>Imagine Comunications</v>
      </c>
      <c r="L159" s="59" t="str">
        <f>IFERROR(VLOOKUP(Tabelle32[[#This Row],[Device ID]],BOM!$B$3:$BQ$35,16,FALSE),"")</f>
        <v>MPA 431 HD2</v>
      </c>
      <c r="M159" s="63" t="str">
        <f>IFERROR(VLOOKUP(Tabelle32[[#This Row],[Device ID]],BOM!$B$3:$BQ$35,17,FALSE),"")</f>
        <v>MPA 431</v>
      </c>
      <c r="N159" s="59" t="str">
        <f>IFERROR(VLOOKUP(Tabelle32[[#This Row],[Device ID]],BOM!$B$3:$BQ$35,18,FALSE),"")</f>
        <v>TC.03.021 | MPA431</v>
      </c>
      <c r="O159" s="64"/>
      <c r="P159" s="64">
        <f>IFERROR(VLOOKUP(Tabelle32[[#This Row],[Device ID]],BOM!$B$3:$BO$50,20,FALSE),"")</f>
        <v>0</v>
      </c>
      <c r="Q159" s="64">
        <f>IFERROR(VLOOKUP(Tabelle32[[#This Row],[Device ID]],BOM!$B$3:$BO$50,21,FALSE),"")</f>
        <v>1</v>
      </c>
      <c r="R159" s="64">
        <f>IFERROR(VLOOKUP(Tabelle32[[#This Row],[Device ID]],BOM!$B$3:$BO$50,22,FALSE),"")</f>
        <v>0</v>
      </c>
      <c r="S159" s="64"/>
      <c r="T159" s="64"/>
      <c r="U159" s="59" t="str">
        <f>IFERROR(VLOOKUP(Tabelle32[[#This Row],[Device ID]],BOM!$B$3:$BQ$35,25,FALSE),"")</f>
        <v>Luis/Ivo</v>
      </c>
      <c r="V159" s="59" t="str">
        <f>IFERROR(VLOOKUP(Tabelle32[[#This Row],[Device ID]],BOM!$B$3:$BQ$35,26,FALSE),"")</f>
        <v>tpco-megw-vgw103.rta.st-net.media.int</v>
      </c>
      <c r="W159" s="59" t="str">
        <f>IFERROR(VLOOKUP(Tabelle32[[#This Row],[Device ID]],BOM!$B$3:$BQ$35,27,FALSE),"")</f>
        <v>10.120.236.50</v>
      </c>
      <c r="X159" s="59" t="str">
        <f>IFERROR(VLOOKUP(Tabelle32[[#This Row],[Device ID]],BOM!$B$3:$BQ$35,28,FALSE),"")</f>
        <v>AVCoreA</v>
      </c>
      <c r="Y159" s="59" t="str">
        <f>IFERROR(VLOOKUP(Tabelle32[[#This Row],[Device ID]],BOM!$B$3:$BQ$35,29,FALSE),"")</f>
        <v>5_36_1</v>
      </c>
      <c r="Z159" s="59" t="str">
        <f>IFERROR(VLOOKUP(Tabelle32[[#This Row],[Device ID]],BOM!$B$3:$BQ$35,30,FALSE),"")</f>
        <v>tpco-megw-vgw103.rtb.st-net.media.int</v>
      </c>
      <c r="AA159" s="59" t="str">
        <f>IFERROR(VLOOKUP(Tabelle32[[#This Row],[Device ID]],BOM!$B$3:$BQ$35,31,FALSE),"")</f>
        <v>10.120.236.54</v>
      </c>
      <c r="AB159" s="59" t="str">
        <f>IFERROR(VLOOKUP(Tabelle32[[#This Row],[Device ID]],BOM!$B$3:$BQ$35,32,FALSE),"")</f>
        <v>AVCoreB</v>
      </c>
      <c r="AC159" s="59" t="str">
        <f>IFERROR(VLOOKUP(Tabelle32[[#This Row],[Device ID]],BOM!$B$3:$BQ$35,33,FALSE),"")</f>
        <v>5_36_1</v>
      </c>
      <c r="AD159" s="59" t="str">
        <f>IFERROR(VLOOKUP(Tabelle32[[#This Row],[Device ID]],BOM!$B$3:$BQ$35,34,FALSE),"")</f>
        <v>tpco-megw-vgw103.st-net.media.int</v>
      </c>
      <c r="AE159" s="59" t="str">
        <f>IFERROR(VLOOKUP(Tabelle32[[#This Row],[Device ID]],BOM!$B$3:$BQ$35,35,FALSE),"")</f>
        <v>10.120.67.141</v>
      </c>
      <c r="AF159" s="59">
        <f>IFERROR(VLOOKUP(Tabelle32[[#This Row],[Device ID]],BOM!$B$3:$BQ$35,36,FALSE),"")</f>
        <v>0</v>
      </c>
      <c r="AG159" s="59">
        <f>IFERROR(VLOOKUP(Tabelle32[[#This Row],[Device ID]],BOM!$B$3:$BQ$35,37,FALSE),"")</f>
        <v>0</v>
      </c>
      <c r="AH159" s="59"/>
      <c r="AI159" s="59"/>
      <c r="AJ159" s="59"/>
      <c r="AK159" s="59"/>
      <c r="AL159" s="59" t="str">
        <f>IFERROR(VLOOKUP(Tabelle32[[#This Row],[Device ID]],BOM!$B$3:$BQ$35,42,FALSE),"")</f>
        <v>Imagine Communications SNP</v>
      </c>
      <c r="AM159" s="59" t="str">
        <f>IFERROR(VLOOKUP(Tabelle32[[#This Row],[Device ID]],BOM!$B$3:$BQ$35,43,FALSE),"")</f>
        <v>no</v>
      </c>
      <c r="AN159" s="59" t="str">
        <f>IFERROR(VLOOKUP(Tabelle32[[#This Row],[Device ID]],BOM!$B$3:$BQ$35,44,FALSE),"")</f>
        <v>yes</v>
      </c>
      <c r="AO159" s="59" t="str">
        <f>IFERROR(VLOOKUP(Tabelle32[[#This Row],[Device ID]],BOM!$B$3:$BQ$35,45,FALSE),"")</f>
        <v>no</v>
      </c>
      <c r="AP159" s="59" t="str">
        <f>IFERROR(CONCATENATE(Tabelle32[[#This Row],[Family
GFX-Unit]]," | ",Tabelle32[[#This Row],[Label 1
GFX-Unit]]," | ",Tabelle32[[#This Row],[Attached Device if Gateway]]),"")</f>
        <v>PLAYOUT MPA431 | HD2-006 | MPA 431 HD2</v>
      </c>
      <c r="AQ159" s="59"/>
      <c r="AR159" s="90"/>
      <c r="AS159" s="90"/>
      <c r="AT159" s="90"/>
      <c r="AU159" s="90"/>
      <c r="AV159" s="90"/>
      <c r="AW159" s="90" t="s">
        <v>97</v>
      </c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73" t="s">
        <v>199</v>
      </c>
      <c r="BI159" s="30" t="str">
        <f>IF(COUNTA(Tabelle32[[#This Row],[Type:Vid_1080i50]:[Type:Anc_Prot]])&gt;0,"x","")</f>
        <v>x</v>
      </c>
      <c r="BJ15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159" s="59"/>
      <c r="BL159" s="59"/>
      <c r="BM159" s="63"/>
      <c r="BN159" s="63"/>
      <c r="BO159" s="97" t="s">
        <v>415</v>
      </c>
      <c r="BP159" s="97" t="s">
        <v>354</v>
      </c>
      <c r="BQ159" s="75">
        <f>LEN(Tabelle32[[#This Row],[Label 1
GFX-Unit]])</f>
        <v>7</v>
      </c>
      <c r="BR159" s="63"/>
      <c r="BS159" s="63"/>
      <c r="BT159" s="59"/>
      <c r="BU159" s="59"/>
      <c r="BV159" s="59" t="s">
        <v>234</v>
      </c>
      <c r="BW159" s="59" t="s">
        <v>235</v>
      </c>
      <c r="BX159" s="59" t="s">
        <v>446</v>
      </c>
      <c r="BY159" s="59">
        <v>8</v>
      </c>
    </row>
    <row r="160" spans="1:77" x14ac:dyDescent="0.2">
      <c r="A160" s="58" t="str">
        <f>CONCATENATE(Tabelle32[[#This Row],[Device ID]],".",Tabelle32[[#This Row],[Streamcounter]])</f>
        <v>385.08207</v>
      </c>
      <c r="B16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VGW-103_SDI08_AUDsend_0007</v>
      </c>
      <c r="C160" s="60"/>
      <c r="D160" s="61"/>
      <c r="E160" s="62"/>
      <c r="F160" s="59" t="str">
        <f>IFERROR(VLOOKUP(Tabelle32[[#This Row],[Device ID]],BOM!$B$3:$BQ$35,16,FALSE),"")</f>
        <v>MPA 431 HD2</v>
      </c>
      <c r="G160" s="63">
        <f>VLOOKUP(Tabelle32[[#This Row],[SDI Interface]],BOM!$A$4:$B$35,2,FALSE)</f>
        <v>385</v>
      </c>
      <c r="H160" s="59" t="str">
        <f>BOM!$C$4</f>
        <v>VGW-103</v>
      </c>
      <c r="I160" s="59" t="str">
        <f>IFERROR(VLOOKUP(Tabelle32[[#This Row],[Device ID]],BOM!$B$3:$BQ$35,12,FALSE),"")</f>
        <v>Videoserver</v>
      </c>
      <c r="J160" s="59" t="str">
        <f>IFERROR(VLOOKUP(Tabelle32[[#This Row],[Device ID]],BOM!$B$3:$BQ$35,13,FALSE),"")</f>
        <v>TC.U1.223 | MDC</v>
      </c>
      <c r="K160" s="59" t="str">
        <f>IFERROR(VLOOKUP(Tabelle32[[#This Row],[Device ID]],BOM!$B$3:$BQ$35,14,FALSE),"")</f>
        <v>Imagine Comunications</v>
      </c>
      <c r="L160" s="59" t="str">
        <f>IFERROR(VLOOKUP(Tabelle32[[#This Row],[Device ID]],BOM!$B$3:$BQ$35,16,FALSE),"")</f>
        <v>MPA 431 HD2</v>
      </c>
      <c r="M160" s="63" t="str">
        <f>IFERROR(VLOOKUP(Tabelle32[[#This Row],[Device ID]],BOM!$B$3:$BQ$35,17,FALSE),"")</f>
        <v>MPA 431</v>
      </c>
      <c r="N160" s="59" t="str">
        <f>IFERROR(VLOOKUP(Tabelle32[[#This Row],[Device ID]],BOM!$B$3:$BQ$35,18,FALSE),"")</f>
        <v>TC.03.021 | MPA431</v>
      </c>
      <c r="O160" s="64"/>
      <c r="P160" s="64">
        <f>IFERROR(VLOOKUP(Tabelle32[[#This Row],[Device ID]],BOM!$B$3:$BO$50,20,FALSE),"")</f>
        <v>0</v>
      </c>
      <c r="Q160" s="64">
        <f>IFERROR(VLOOKUP(Tabelle32[[#This Row],[Device ID]],BOM!$B$3:$BO$50,21,FALSE),"")</f>
        <v>1</v>
      </c>
      <c r="R160" s="64">
        <f>IFERROR(VLOOKUP(Tabelle32[[#This Row],[Device ID]],BOM!$B$3:$BO$50,22,FALSE),"")</f>
        <v>0</v>
      </c>
      <c r="S160" s="64"/>
      <c r="T160" s="64"/>
      <c r="U160" s="59" t="str">
        <f>IFERROR(VLOOKUP(Tabelle32[[#This Row],[Device ID]],BOM!$B$3:$BQ$35,25,FALSE),"")</f>
        <v>Luis/Ivo</v>
      </c>
      <c r="V160" s="59" t="str">
        <f>IFERROR(VLOOKUP(Tabelle32[[#This Row],[Device ID]],BOM!$B$3:$BQ$35,26,FALSE),"")</f>
        <v>tpco-megw-vgw103.rta.st-net.media.int</v>
      </c>
      <c r="W160" s="59" t="str">
        <f>IFERROR(VLOOKUP(Tabelle32[[#This Row],[Device ID]],BOM!$B$3:$BQ$35,27,FALSE),"")</f>
        <v>10.120.236.50</v>
      </c>
      <c r="X160" s="59" t="str">
        <f>IFERROR(VLOOKUP(Tabelle32[[#This Row],[Device ID]],BOM!$B$3:$BQ$35,28,FALSE),"")</f>
        <v>AVCoreA</v>
      </c>
      <c r="Y160" s="59" t="str">
        <f>IFERROR(VLOOKUP(Tabelle32[[#This Row],[Device ID]],BOM!$B$3:$BQ$35,29,FALSE),"")</f>
        <v>5_36_1</v>
      </c>
      <c r="Z160" s="59" t="str">
        <f>IFERROR(VLOOKUP(Tabelle32[[#This Row],[Device ID]],BOM!$B$3:$BQ$35,30,FALSE),"")</f>
        <v>tpco-megw-vgw103.rtb.st-net.media.int</v>
      </c>
      <c r="AA160" s="59" t="str">
        <f>IFERROR(VLOOKUP(Tabelle32[[#This Row],[Device ID]],BOM!$B$3:$BQ$35,31,FALSE),"")</f>
        <v>10.120.236.54</v>
      </c>
      <c r="AB160" s="59" t="str">
        <f>IFERROR(VLOOKUP(Tabelle32[[#This Row],[Device ID]],BOM!$B$3:$BQ$35,32,FALSE),"")</f>
        <v>AVCoreB</v>
      </c>
      <c r="AC160" s="59" t="str">
        <f>IFERROR(VLOOKUP(Tabelle32[[#This Row],[Device ID]],BOM!$B$3:$BQ$35,33,FALSE),"")</f>
        <v>5_36_1</v>
      </c>
      <c r="AD160" s="59" t="str">
        <f>IFERROR(VLOOKUP(Tabelle32[[#This Row],[Device ID]],BOM!$B$3:$BQ$35,34,FALSE),"")</f>
        <v>tpco-megw-vgw103.st-net.media.int</v>
      </c>
      <c r="AE160" s="59" t="str">
        <f>IFERROR(VLOOKUP(Tabelle32[[#This Row],[Device ID]],BOM!$B$3:$BQ$35,35,FALSE),"")</f>
        <v>10.120.67.141</v>
      </c>
      <c r="AF160" s="59">
        <f>IFERROR(VLOOKUP(Tabelle32[[#This Row],[Device ID]],BOM!$B$3:$BQ$35,36,FALSE),"")</f>
        <v>0</v>
      </c>
      <c r="AG160" s="59">
        <f>IFERROR(VLOOKUP(Tabelle32[[#This Row],[Device ID]],BOM!$B$3:$BQ$35,37,FALSE),"")</f>
        <v>0</v>
      </c>
      <c r="AH160" s="59"/>
      <c r="AI160" s="59"/>
      <c r="AJ160" s="59"/>
      <c r="AK160" s="59"/>
      <c r="AL160" s="59" t="str">
        <f>IFERROR(VLOOKUP(Tabelle32[[#This Row],[Device ID]],BOM!$B$3:$BQ$35,42,FALSE),"")</f>
        <v>Imagine Communications SNP</v>
      </c>
      <c r="AM160" s="59" t="str">
        <f>IFERROR(VLOOKUP(Tabelle32[[#This Row],[Device ID]],BOM!$B$3:$BQ$35,43,FALSE),"")</f>
        <v>no</v>
      </c>
      <c r="AN160" s="59" t="str">
        <f>IFERROR(VLOOKUP(Tabelle32[[#This Row],[Device ID]],BOM!$B$3:$BQ$35,44,FALSE),"")</f>
        <v>yes</v>
      </c>
      <c r="AO160" s="59" t="str">
        <f>IFERROR(VLOOKUP(Tabelle32[[#This Row],[Device ID]],BOM!$B$3:$BQ$35,45,FALSE),"")</f>
        <v>no</v>
      </c>
      <c r="AP160" s="59" t="str">
        <f>IFERROR(CONCATENATE(Tabelle32[[#This Row],[Family
GFX-Unit]]," | ",Tabelle32[[#This Row],[Label 1
GFX-Unit]]," | ",Tabelle32[[#This Row],[Attached Device if Gateway]]),"")</f>
        <v>PLAYOUT MPA431 | HD2-007 | MPA 431 HD2</v>
      </c>
      <c r="AQ160" s="59"/>
      <c r="AR160" s="90"/>
      <c r="AS160" s="90"/>
      <c r="AT160" s="90"/>
      <c r="AU160" s="90"/>
      <c r="AV160" s="90"/>
      <c r="AW160" s="90"/>
      <c r="AX160" s="90"/>
      <c r="AY160" s="90"/>
      <c r="AZ160" s="90" t="s">
        <v>97</v>
      </c>
      <c r="BA160" s="90"/>
      <c r="BB160" s="90"/>
      <c r="BC160" s="90"/>
      <c r="BD160" s="90"/>
      <c r="BE160" s="90"/>
      <c r="BF160" s="90"/>
      <c r="BG160" s="90"/>
      <c r="BH160" s="73" t="s">
        <v>199</v>
      </c>
      <c r="BI160" s="30" t="str">
        <f>IF(COUNTA(Tabelle32[[#This Row],[Type:Vid_1080i50]:[Type:Anc_Prot]])&gt;0,"x","")</f>
        <v>x</v>
      </c>
      <c r="BJ16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160" s="59"/>
      <c r="BL160" s="59"/>
      <c r="BM160" s="63"/>
      <c r="BN160" s="63"/>
      <c r="BO160" s="97" t="s">
        <v>415</v>
      </c>
      <c r="BP160" s="97" t="s">
        <v>356</v>
      </c>
      <c r="BQ160" s="75">
        <f>LEN(Tabelle32[[#This Row],[Label 1
GFX-Unit]])</f>
        <v>7</v>
      </c>
      <c r="BR160" s="63"/>
      <c r="BS160" s="63"/>
      <c r="BT160" s="59"/>
      <c r="BU160" s="59"/>
      <c r="BV160" s="59" t="s">
        <v>238</v>
      </c>
      <c r="BW160" s="59" t="s">
        <v>239</v>
      </c>
      <c r="BX160" s="59" t="s">
        <v>447</v>
      </c>
      <c r="BY160" s="59">
        <v>8</v>
      </c>
    </row>
    <row r="161" spans="1:77" x14ac:dyDescent="0.2">
      <c r="A161" s="58" t="str">
        <f>CONCATENATE(Tabelle32[[#This Row],[Device ID]],".",Tabelle32[[#This Row],[Streamcounter]])</f>
        <v>385.08208</v>
      </c>
      <c r="B16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VGW-103_SDI08_AUDsend_0008</v>
      </c>
      <c r="C161" s="60"/>
      <c r="D161" s="61"/>
      <c r="E161" s="62"/>
      <c r="F161" s="59" t="str">
        <f>IFERROR(VLOOKUP(Tabelle32[[#This Row],[Device ID]],BOM!$B$3:$BQ$35,16,FALSE),"")</f>
        <v>MPA 431 HD2</v>
      </c>
      <c r="G161" s="63">
        <f>VLOOKUP(Tabelle32[[#This Row],[SDI Interface]],BOM!$A$4:$B$35,2,FALSE)</f>
        <v>385</v>
      </c>
      <c r="H161" s="59" t="str">
        <f>BOM!$C$4</f>
        <v>VGW-103</v>
      </c>
      <c r="I161" s="59" t="str">
        <f>IFERROR(VLOOKUP(Tabelle32[[#This Row],[Device ID]],BOM!$B$3:$BQ$35,12,FALSE),"")</f>
        <v>Videoserver</v>
      </c>
      <c r="J161" s="59" t="str">
        <f>IFERROR(VLOOKUP(Tabelle32[[#This Row],[Device ID]],BOM!$B$3:$BQ$35,13,FALSE),"")</f>
        <v>TC.U1.223 | MDC</v>
      </c>
      <c r="K161" s="59" t="str">
        <f>IFERROR(VLOOKUP(Tabelle32[[#This Row],[Device ID]],BOM!$B$3:$BQ$35,14,FALSE),"")</f>
        <v>Imagine Comunications</v>
      </c>
      <c r="L161" s="59" t="str">
        <f>IFERROR(VLOOKUP(Tabelle32[[#This Row],[Device ID]],BOM!$B$3:$BQ$35,16,FALSE),"")</f>
        <v>MPA 431 HD2</v>
      </c>
      <c r="M161" s="63" t="str">
        <f>IFERROR(VLOOKUP(Tabelle32[[#This Row],[Device ID]],BOM!$B$3:$BQ$35,17,FALSE),"")</f>
        <v>MPA 431</v>
      </c>
      <c r="N161" s="59" t="str">
        <f>IFERROR(VLOOKUP(Tabelle32[[#This Row],[Device ID]],BOM!$B$3:$BQ$35,18,FALSE),"")</f>
        <v>TC.03.021 | MPA431</v>
      </c>
      <c r="O161" s="64"/>
      <c r="P161" s="64">
        <f>IFERROR(VLOOKUP(Tabelle32[[#This Row],[Device ID]],BOM!$B$3:$BO$50,20,FALSE),"")</f>
        <v>0</v>
      </c>
      <c r="Q161" s="64">
        <f>IFERROR(VLOOKUP(Tabelle32[[#This Row],[Device ID]],BOM!$B$3:$BO$50,21,FALSE),"")</f>
        <v>1</v>
      </c>
      <c r="R161" s="64">
        <f>IFERROR(VLOOKUP(Tabelle32[[#This Row],[Device ID]],BOM!$B$3:$BO$50,22,FALSE),"")</f>
        <v>0</v>
      </c>
      <c r="S161" s="64"/>
      <c r="T161" s="64"/>
      <c r="U161" s="59" t="str">
        <f>IFERROR(VLOOKUP(Tabelle32[[#This Row],[Device ID]],BOM!$B$3:$BQ$35,25,FALSE),"")</f>
        <v>Luis/Ivo</v>
      </c>
      <c r="V161" s="59" t="str">
        <f>IFERROR(VLOOKUP(Tabelle32[[#This Row],[Device ID]],BOM!$B$3:$BQ$35,26,FALSE),"")</f>
        <v>tpco-megw-vgw103.rta.st-net.media.int</v>
      </c>
      <c r="W161" s="59" t="str">
        <f>IFERROR(VLOOKUP(Tabelle32[[#This Row],[Device ID]],BOM!$B$3:$BQ$35,27,FALSE),"")</f>
        <v>10.120.236.50</v>
      </c>
      <c r="X161" s="59" t="str">
        <f>IFERROR(VLOOKUP(Tabelle32[[#This Row],[Device ID]],BOM!$B$3:$BQ$35,28,FALSE),"")</f>
        <v>AVCoreA</v>
      </c>
      <c r="Y161" s="59" t="str">
        <f>IFERROR(VLOOKUP(Tabelle32[[#This Row],[Device ID]],BOM!$B$3:$BQ$35,29,FALSE),"")</f>
        <v>5_36_1</v>
      </c>
      <c r="Z161" s="59" t="str">
        <f>IFERROR(VLOOKUP(Tabelle32[[#This Row],[Device ID]],BOM!$B$3:$BQ$35,30,FALSE),"")</f>
        <v>tpco-megw-vgw103.rtb.st-net.media.int</v>
      </c>
      <c r="AA161" s="59" t="str">
        <f>IFERROR(VLOOKUP(Tabelle32[[#This Row],[Device ID]],BOM!$B$3:$BQ$35,31,FALSE),"")</f>
        <v>10.120.236.54</v>
      </c>
      <c r="AB161" s="59" t="str">
        <f>IFERROR(VLOOKUP(Tabelle32[[#This Row],[Device ID]],BOM!$B$3:$BQ$35,32,FALSE),"")</f>
        <v>AVCoreB</v>
      </c>
      <c r="AC161" s="59" t="str">
        <f>IFERROR(VLOOKUP(Tabelle32[[#This Row],[Device ID]],BOM!$B$3:$BQ$35,33,FALSE),"")</f>
        <v>5_36_1</v>
      </c>
      <c r="AD161" s="59" t="str">
        <f>IFERROR(VLOOKUP(Tabelle32[[#This Row],[Device ID]],BOM!$B$3:$BQ$35,34,FALSE),"")</f>
        <v>tpco-megw-vgw103.st-net.media.int</v>
      </c>
      <c r="AE161" s="59" t="str">
        <f>IFERROR(VLOOKUP(Tabelle32[[#This Row],[Device ID]],BOM!$B$3:$BQ$35,35,FALSE),"")</f>
        <v>10.120.67.141</v>
      </c>
      <c r="AF161" s="59">
        <f>IFERROR(VLOOKUP(Tabelle32[[#This Row],[Device ID]],BOM!$B$3:$BQ$35,36,FALSE),"")</f>
        <v>0</v>
      </c>
      <c r="AG161" s="59">
        <f>IFERROR(VLOOKUP(Tabelle32[[#This Row],[Device ID]],BOM!$B$3:$BQ$35,37,FALSE),"")</f>
        <v>0</v>
      </c>
      <c r="AH161" s="59"/>
      <c r="AI161" s="59"/>
      <c r="AJ161" s="59"/>
      <c r="AK161" s="59"/>
      <c r="AL161" s="59" t="str">
        <f>IFERROR(VLOOKUP(Tabelle32[[#This Row],[Device ID]],BOM!$B$3:$BQ$35,42,FALSE),"")</f>
        <v>Imagine Communications SNP</v>
      </c>
      <c r="AM161" s="59" t="str">
        <f>IFERROR(VLOOKUP(Tabelle32[[#This Row],[Device ID]],BOM!$B$3:$BQ$35,43,FALSE),"")</f>
        <v>no</v>
      </c>
      <c r="AN161" s="59" t="str">
        <f>IFERROR(VLOOKUP(Tabelle32[[#This Row],[Device ID]],BOM!$B$3:$BQ$35,44,FALSE),"")</f>
        <v>yes</v>
      </c>
      <c r="AO161" s="59" t="str">
        <f>IFERROR(VLOOKUP(Tabelle32[[#This Row],[Device ID]],BOM!$B$3:$BQ$35,45,FALSE),"")</f>
        <v>no</v>
      </c>
      <c r="AP161" s="59" t="str">
        <f>IFERROR(CONCATENATE(Tabelle32[[#This Row],[Family
GFX-Unit]]," | ",Tabelle32[[#This Row],[Label 1
GFX-Unit]]," | ",Tabelle32[[#This Row],[Attached Device if Gateway]]),"")</f>
        <v>PLAYOUT MPA431 | HD2-008 | MPA 431 HD2</v>
      </c>
      <c r="AQ161" s="59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 t="s">
        <v>97</v>
      </c>
      <c r="BD161" s="90"/>
      <c r="BE161" s="90"/>
      <c r="BF161" s="90"/>
      <c r="BG161" s="90"/>
      <c r="BH161" s="73" t="s">
        <v>199</v>
      </c>
      <c r="BI161" s="30" t="str">
        <f>IF(COUNTA(Tabelle32[[#This Row],[Type:Vid_1080i50]:[Type:Anc_Prot]])&gt;0,"x","")</f>
        <v>x</v>
      </c>
      <c r="BJ16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161" s="59"/>
      <c r="BL161" s="59"/>
      <c r="BM161" s="63"/>
      <c r="BN161" s="63"/>
      <c r="BO161" s="97" t="s">
        <v>415</v>
      </c>
      <c r="BP161" s="97" t="s">
        <v>358</v>
      </c>
      <c r="BQ161" s="75">
        <f>LEN(Tabelle32[[#This Row],[Label 1
GFX-Unit]])</f>
        <v>7</v>
      </c>
      <c r="BR161" s="63"/>
      <c r="BS161" s="63"/>
      <c r="BT161" s="59"/>
      <c r="BU161" s="59"/>
      <c r="BV161" s="59" t="s">
        <v>242</v>
      </c>
      <c r="BW161" s="59" t="s">
        <v>243</v>
      </c>
      <c r="BX161" s="59" t="s">
        <v>448</v>
      </c>
      <c r="BY161" s="59">
        <v>8</v>
      </c>
    </row>
    <row r="162" spans="1:77" hidden="1" x14ac:dyDescent="0.2">
      <c r="A162" s="58" t="str">
        <f>CONCATENATE(Tabelle32[[#This Row],[Device ID]],".",Tabelle32[[#This Row],[Streamcounter]])</f>
        <v>385.08209</v>
      </c>
      <c r="B16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VGW-103_SDI08_AUDsend_0009</v>
      </c>
      <c r="C162" s="60"/>
      <c r="D162" s="61"/>
      <c r="E162" s="62"/>
      <c r="F162" s="59" t="str">
        <f>IFERROR(VLOOKUP(Tabelle32[[#This Row],[Device ID]],BOM!$B$3:$BQ$35,16,FALSE),"")</f>
        <v>MPA 431 HD2</v>
      </c>
      <c r="G162" s="63">
        <f>VLOOKUP(Tabelle32[[#This Row],[SDI Interface]],BOM!$A$4:$B$35,2,FALSE)</f>
        <v>385</v>
      </c>
      <c r="H162" s="59" t="str">
        <f>BOM!$C$4</f>
        <v>VGW-103</v>
      </c>
      <c r="I162" s="59" t="str">
        <f>IFERROR(VLOOKUP(Tabelle32[[#This Row],[Device ID]],BOM!$B$3:$BQ$35,12,FALSE),"")</f>
        <v>Videoserver</v>
      </c>
      <c r="J162" s="59" t="str">
        <f>IFERROR(VLOOKUP(Tabelle32[[#This Row],[Device ID]],BOM!$B$3:$BQ$35,13,FALSE),"")</f>
        <v>TC.U1.223 | MDC</v>
      </c>
      <c r="K162" s="59" t="str">
        <f>IFERROR(VLOOKUP(Tabelle32[[#This Row],[Device ID]],BOM!$B$3:$BQ$35,14,FALSE),"")</f>
        <v>Imagine Comunications</v>
      </c>
      <c r="L162" s="59" t="str">
        <f>IFERROR(VLOOKUP(Tabelle32[[#This Row],[Device ID]],BOM!$B$3:$BQ$35,16,FALSE),"")</f>
        <v>MPA 431 HD2</v>
      </c>
      <c r="M162" s="63" t="str">
        <f>IFERROR(VLOOKUP(Tabelle32[[#This Row],[Device ID]],BOM!$B$3:$BQ$35,17,FALSE),"")</f>
        <v>MPA 431</v>
      </c>
      <c r="N162" s="59" t="str">
        <f>IFERROR(VLOOKUP(Tabelle32[[#This Row],[Device ID]],BOM!$B$3:$BQ$35,18,FALSE),"")</f>
        <v>TC.03.021 | MPA431</v>
      </c>
      <c r="O162" s="64"/>
      <c r="P162" s="64">
        <f>IFERROR(VLOOKUP(Tabelle32[[#This Row],[Device ID]],BOM!$B$3:$BO$50,20,FALSE),"")</f>
        <v>0</v>
      </c>
      <c r="Q162" s="64">
        <f>IFERROR(VLOOKUP(Tabelle32[[#This Row],[Device ID]],BOM!$B$3:$BO$50,21,FALSE),"")</f>
        <v>1</v>
      </c>
      <c r="R162" s="64">
        <f>IFERROR(VLOOKUP(Tabelle32[[#This Row],[Device ID]],BOM!$B$3:$BO$50,22,FALSE),"")</f>
        <v>0</v>
      </c>
      <c r="S162" s="64"/>
      <c r="T162" s="64"/>
      <c r="U162" s="59" t="str">
        <f>IFERROR(VLOOKUP(Tabelle32[[#This Row],[Device ID]],BOM!$B$3:$BQ$35,25,FALSE),"")</f>
        <v>Luis/Ivo</v>
      </c>
      <c r="V162" s="59" t="str">
        <f>IFERROR(VLOOKUP(Tabelle32[[#This Row],[Device ID]],BOM!$B$3:$BQ$35,26,FALSE),"")</f>
        <v>tpco-megw-vgw103.rta.st-net.media.int</v>
      </c>
      <c r="W162" s="59" t="str">
        <f>IFERROR(VLOOKUP(Tabelle32[[#This Row],[Device ID]],BOM!$B$3:$BQ$35,27,FALSE),"")</f>
        <v>10.120.236.50</v>
      </c>
      <c r="X162" s="59" t="str">
        <f>IFERROR(VLOOKUP(Tabelle32[[#This Row],[Device ID]],BOM!$B$3:$BQ$35,28,FALSE),"")</f>
        <v>AVCoreA</v>
      </c>
      <c r="Y162" s="59" t="str">
        <f>IFERROR(VLOOKUP(Tabelle32[[#This Row],[Device ID]],BOM!$B$3:$BQ$35,29,FALSE),"")</f>
        <v>5_36_1</v>
      </c>
      <c r="Z162" s="59" t="str">
        <f>IFERROR(VLOOKUP(Tabelle32[[#This Row],[Device ID]],BOM!$B$3:$BQ$35,30,FALSE),"")</f>
        <v>tpco-megw-vgw103.rtb.st-net.media.int</v>
      </c>
      <c r="AA162" s="59" t="str">
        <f>IFERROR(VLOOKUP(Tabelle32[[#This Row],[Device ID]],BOM!$B$3:$BQ$35,31,FALSE),"")</f>
        <v>10.120.236.54</v>
      </c>
      <c r="AB162" s="59" t="str">
        <f>IFERROR(VLOOKUP(Tabelle32[[#This Row],[Device ID]],BOM!$B$3:$BQ$35,32,FALSE),"")</f>
        <v>AVCoreB</v>
      </c>
      <c r="AC162" s="59" t="str">
        <f>IFERROR(VLOOKUP(Tabelle32[[#This Row],[Device ID]],BOM!$B$3:$BQ$35,33,FALSE),"")</f>
        <v>5_36_1</v>
      </c>
      <c r="AD162" s="59" t="str">
        <f>IFERROR(VLOOKUP(Tabelle32[[#This Row],[Device ID]],BOM!$B$3:$BQ$35,34,FALSE),"")</f>
        <v>tpco-megw-vgw103.st-net.media.int</v>
      </c>
      <c r="AE162" s="59" t="str">
        <f>IFERROR(VLOOKUP(Tabelle32[[#This Row],[Device ID]],BOM!$B$3:$BQ$35,35,FALSE),"")</f>
        <v>10.120.67.141</v>
      </c>
      <c r="AF162" s="59">
        <f>IFERROR(VLOOKUP(Tabelle32[[#This Row],[Device ID]],BOM!$B$3:$BQ$35,36,FALSE),"")</f>
        <v>0</v>
      </c>
      <c r="AG162" s="59">
        <f>IFERROR(VLOOKUP(Tabelle32[[#This Row],[Device ID]],BOM!$B$3:$BQ$35,37,FALSE),"")</f>
        <v>0</v>
      </c>
      <c r="AH162" s="59"/>
      <c r="AI162" s="59"/>
      <c r="AJ162" s="59"/>
      <c r="AK162" s="59"/>
      <c r="AL162" s="59" t="str">
        <f>IFERROR(VLOOKUP(Tabelle32[[#This Row],[Device ID]],BOM!$B$3:$BQ$35,42,FALSE),"")</f>
        <v>Imagine Communications SNP</v>
      </c>
      <c r="AM162" s="59" t="str">
        <f>IFERROR(VLOOKUP(Tabelle32[[#This Row],[Device ID]],BOM!$B$3:$BQ$35,43,FALSE),"")</f>
        <v>no</v>
      </c>
      <c r="AN162" s="59" t="str">
        <f>IFERROR(VLOOKUP(Tabelle32[[#This Row],[Device ID]],BOM!$B$3:$BQ$35,44,FALSE),"")</f>
        <v>yes</v>
      </c>
      <c r="AO162" s="59" t="str">
        <f>IFERROR(VLOOKUP(Tabelle32[[#This Row],[Device ID]],BOM!$B$3:$BQ$35,45,FALSE),"")</f>
        <v>no</v>
      </c>
      <c r="AP162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62" s="59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73" t="s">
        <v>199</v>
      </c>
      <c r="BI162" s="30" t="str">
        <f>IF(COUNTA(Tabelle32[[#This Row],[Type:Vid_1080i50]:[Type:Anc_Prot]])&gt;0,"x","")</f>
        <v/>
      </c>
      <c r="BJ16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62" s="59"/>
      <c r="BL162" s="59"/>
      <c r="BM162" s="63"/>
      <c r="BN162" s="63"/>
      <c r="BO162" s="96"/>
      <c r="BP162" s="96"/>
      <c r="BQ162" s="75">
        <f>LEN(Tabelle32[[#This Row],[Label 1
GFX-Unit]])</f>
        <v>0</v>
      </c>
      <c r="BR162" s="63"/>
      <c r="BS162" s="63"/>
      <c r="BT162" s="59"/>
      <c r="BU162" s="59"/>
      <c r="BV162" s="59" t="s">
        <v>245</v>
      </c>
      <c r="BW162" s="59" t="s">
        <v>246</v>
      </c>
      <c r="BX162" s="59" t="s">
        <v>449</v>
      </c>
      <c r="BY162" s="59">
        <v>8</v>
      </c>
    </row>
    <row r="163" spans="1:77" hidden="1" x14ac:dyDescent="0.2">
      <c r="A163" s="58" t="str">
        <f>CONCATENATE(Tabelle32[[#This Row],[Device ID]],".",Tabelle32[[#This Row],[Streamcounter]])</f>
        <v>385.08210</v>
      </c>
      <c r="B16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VGW-103_SDI08_AUDsend_0010</v>
      </c>
      <c r="C163" s="60"/>
      <c r="D163" s="61"/>
      <c r="E163" s="62"/>
      <c r="F163" s="59" t="str">
        <f>IFERROR(VLOOKUP(Tabelle32[[#This Row],[Device ID]],BOM!$B$3:$BQ$35,16,FALSE),"")</f>
        <v>MPA 431 HD2</v>
      </c>
      <c r="G163" s="63">
        <f>VLOOKUP(Tabelle32[[#This Row],[SDI Interface]],BOM!$A$4:$B$35,2,FALSE)</f>
        <v>385</v>
      </c>
      <c r="H163" s="59" t="str">
        <f>BOM!$C$4</f>
        <v>VGW-103</v>
      </c>
      <c r="I163" s="59" t="str">
        <f>IFERROR(VLOOKUP(Tabelle32[[#This Row],[Device ID]],BOM!$B$3:$BQ$35,12,FALSE),"")</f>
        <v>Videoserver</v>
      </c>
      <c r="J163" s="59" t="str">
        <f>IFERROR(VLOOKUP(Tabelle32[[#This Row],[Device ID]],BOM!$B$3:$BQ$35,13,FALSE),"")</f>
        <v>TC.U1.223 | MDC</v>
      </c>
      <c r="K163" s="59" t="str">
        <f>IFERROR(VLOOKUP(Tabelle32[[#This Row],[Device ID]],BOM!$B$3:$BQ$35,14,FALSE),"")</f>
        <v>Imagine Comunications</v>
      </c>
      <c r="L163" s="59" t="str">
        <f>IFERROR(VLOOKUP(Tabelle32[[#This Row],[Device ID]],BOM!$B$3:$BQ$35,16,FALSE),"")</f>
        <v>MPA 431 HD2</v>
      </c>
      <c r="M163" s="63" t="str">
        <f>IFERROR(VLOOKUP(Tabelle32[[#This Row],[Device ID]],BOM!$B$3:$BQ$35,17,FALSE),"")</f>
        <v>MPA 431</v>
      </c>
      <c r="N163" s="59" t="str">
        <f>IFERROR(VLOOKUP(Tabelle32[[#This Row],[Device ID]],BOM!$B$3:$BQ$35,18,FALSE),"")</f>
        <v>TC.03.021 | MPA431</v>
      </c>
      <c r="O163" s="64"/>
      <c r="P163" s="64">
        <f>IFERROR(VLOOKUP(Tabelle32[[#This Row],[Device ID]],BOM!$B$3:$BO$50,20,FALSE),"")</f>
        <v>0</v>
      </c>
      <c r="Q163" s="64">
        <f>IFERROR(VLOOKUP(Tabelle32[[#This Row],[Device ID]],BOM!$B$3:$BO$50,21,FALSE),"")</f>
        <v>1</v>
      </c>
      <c r="R163" s="64">
        <f>IFERROR(VLOOKUP(Tabelle32[[#This Row],[Device ID]],BOM!$B$3:$BO$50,22,FALSE),"")</f>
        <v>0</v>
      </c>
      <c r="S163" s="64"/>
      <c r="T163" s="64"/>
      <c r="U163" s="59" t="str">
        <f>IFERROR(VLOOKUP(Tabelle32[[#This Row],[Device ID]],BOM!$B$3:$BQ$35,25,FALSE),"")</f>
        <v>Luis/Ivo</v>
      </c>
      <c r="V163" s="59" t="str">
        <f>IFERROR(VLOOKUP(Tabelle32[[#This Row],[Device ID]],BOM!$B$3:$BQ$35,26,FALSE),"")</f>
        <v>tpco-megw-vgw103.rta.st-net.media.int</v>
      </c>
      <c r="W163" s="59" t="str">
        <f>IFERROR(VLOOKUP(Tabelle32[[#This Row],[Device ID]],BOM!$B$3:$BQ$35,27,FALSE),"")</f>
        <v>10.120.236.50</v>
      </c>
      <c r="X163" s="59" t="str">
        <f>IFERROR(VLOOKUP(Tabelle32[[#This Row],[Device ID]],BOM!$B$3:$BQ$35,28,FALSE),"")</f>
        <v>AVCoreA</v>
      </c>
      <c r="Y163" s="59" t="str">
        <f>IFERROR(VLOOKUP(Tabelle32[[#This Row],[Device ID]],BOM!$B$3:$BQ$35,29,FALSE),"")</f>
        <v>5_36_1</v>
      </c>
      <c r="Z163" s="59" t="str">
        <f>IFERROR(VLOOKUP(Tabelle32[[#This Row],[Device ID]],BOM!$B$3:$BQ$35,30,FALSE),"")</f>
        <v>tpco-megw-vgw103.rtb.st-net.media.int</v>
      </c>
      <c r="AA163" s="59" t="str">
        <f>IFERROR(VLOOKUP(Tabelle32[[#This Row],[Device ID]],BOM!$B$3:$BQ$35,31,FALSE),"")</f>
        <v>10.120.236.54</v>
      </c>
      <c r="AB163" s="59" t="str">
        <f>IFERROR(VLOOKUP(Tabelle32[[#This Row],[Device ID]],BOM!$B$3:$BQ$35,32,FALSE),"")</f>
        <v>AVCoreB</v>
      </c>
      <c r="AC163" s="59" t="str">
        <f>IFERROR(VLOOKUP(Tabelle32[[#This Row],[Device ID]],BOM!$B$3:$BQ$35,33,FALSE),"")</f>
        <v>5_36_1</v>
      </c>
      <c r="AD163" s="59" t="str">
        <f>IFERROR(VLOOKUP(Tabelle32[[#This Row],[Device ID]],BOM!$B$3:$BQ$35,34,FALSE),"")</f>
        <v>tpco-megw-vgw103.st-net.media.int</v>
      </c>
      <c r="AE163" s="59" t="str">
        <f>IFERROR(VLOOKUP(Tabelle32[[#This Row],[Device ID]],BOM!$B$3:$BQ$35,35,FALSE),"")</f>
        <v>10.120.67.141</v>
      </c>
      <c r="AF163" s="59">
        <f>IFERROR(VLOOKUP(Tabelle32[[#This Row],[Device ID]],BOM!$B$3:$BQ$35,36,FALSE),"")</f>
        <v>0</v>
      </c>
      <c r="AG163" s="59">
        <f>IFERROR(VLOOKUP(Tabelle32[[#This Row],[Device ID]],BOM!$B$3:$BQ$35,37,FALSE),"")</f>
        <v>0</v>
      </c>
      <c r="AH163" s="59"/>
      <c r="AI163" s="59"/>
      <c r="AJ163" s="59"/>
      <c r="AK163" s="59"/>
      <c r="AL163" s="59" t="str">
        <f>IFERROR(VLOOKUP(Tabelle32[[#This Row],[Device ID]],BOM!$B$3:$BQ$35,42,FALSE),"")</f>
        <v>Imagine Communications SNP</v>
      </c>
      <c r="AM163" s="59" t="str">
        <f>IFERROR(VLOOKUP(Tabelle32[[#This Row],[Device ID]],BOM!$B$3:$BQ$35,43,FALSE),"")</f>
        <v>no</v>
      </c>
      <c r="AN163" s="59" t="str">
        <f>IFERROR(VLOOKUP(Tabelle32[[#This Row],[Device ID]],BOM!$B$3:$BQ$35,44,FALSE),"")</f>
        <v>yes</v>
      </c>
      <c r="AO163" s="59" t="str">
        <f>IFERROR(VLOOKUP(Tabelle32[[#This Row],[Device ID]],BOM!$B$3:$BQ$35,45,FALSE),"")</f>
        <v>no</v>
      </c>
      <c r="AP163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63" s="59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73" t="s">
        <v>199</v>
      </c>
      <c r="BI163" s="30" t="str">
        <f>IF(COUNTA(Tabelle32[[#This Row],[Type:Vid_1080i50]:[Type:Anc_Prot]])&gt;0,"x","")</f>
        <v/>
      </c>
      <c r="BJ16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63" s="59"/>
      <c r="BL163" s="59"/>
      <c r="BM163" s="63"/>
      <c r="BN163" s="63"/>
      <c r="BO163" s="96"/>
      <c r="BP163" s="96"/>
      <c r="BQ163" s="75">
        <f>LEN(Tabelle32[[#This Row],[Label 1
GFX-Unit]])</f>
        <v>0</v>
      </c>
      <c r="BR163" s="63"/>
      <c r="BS163" s="63"/>
      <c r="BT163" s="59"/>
      <c r="BU163" s="59"/>
      <c r="BV163" s="59" t="s">
        <v>248</v>
      </c>
      <c r="BW163" s="59" t="s">
        <v>249</v>
      </c>
      <c r="BX163" s="59" t="s">
        <v>450</v>
      </c>
      <c r="BY163" s="59">
        <v>8</v>
      </c>
    </row>
    <row r="164" spans="1:77" hidden="1" x14ac:dyDescent="0.2">
      <c r="A164" s="58" t="str">
        <f>CONCATENATE(Tabelle32[[#This Row],[Device ID]],".",Tabelle32[[#This Row],[Streamcounter]])</f>
        <v>385.08211</v>
      </c>
      <c r="B16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VGW-103_SDI08_AUDsend_0011</v>
      </c>
      <c r="C164" s="60"/>
      <c r="D164" s="61"/>
      <c r="E164" s="62"/>
      <c r="F164" s="59" t="str">
        <f>IFERROR(VLOOKUP(Tabelle32[[#This Row],[Device ID]],BOM!$B$3:$BQ$35,16,FALSE),"")</f>
        <v>MPA 431 HD2</v>
      </c>
      <c r="G164" s="63">
        <f>VLOOKUP(Tabelle32[[#This Row],[SDI Interface]],BOM!$A$4:$B$35,2,FALSE)</f>
        <v>385</v>
      </c>
      <c r="H164" s="59" t="str">
        <f>BOM!$C$4</f>
        <v>VGW-103</v>
      </c>
      <c r="I164" s="59" t="str">
        <f>IFERROR(VLOOKUP(Tabelle32[[#This Row],[Device ID]],BOM!$B$3:$BQ$35,12,FALSE),"")</f>
        <v>Videoserver</v>
      </c>
      <c r="J164" s="59" t="str">
        <f>IFERROR(VLOOKUP(Tabelle32[[#This Row],[Device ID]],BOM!$B$3:$BQ$35,13,FALSE),"")</f>
        <v>TC.U1.223 | MDC</v>
      </c>
      <c r="K164" s="59" t="str">
        <f>IFERROR(VLOOKUP(Tabelle32[[#This Row],[Device ID]],BOM!$B$3:$BQ$35,14,FALSE),"")</f>
        <v>Imagine Comunications</v>
      </c>
      <c r="L164" s="59" t="str">
        <f>IFERROR(VLOOKUP(Tabelle32[[#This Row],[Device ID]],BOM!$B$3:$BQ$35,16,FALSE),"")</f>
        <v>MPA 431 HD2</v>
      </c>
      <c r="M164" s="63" t="str">
        <f>IFERROR(VLOOKUP(Tabelle32[[#This Row],[Device ID]],BOM!$B$3:$BQ$35,17,FALSE),"")</f>
        <v>MPA 431</v>
      </c>
      <c r="N164" s="59" t="str">
        <f>IFERROR(VLOOKUP(Tabelle32[[#This Row],[Device ID]],BOM!$B$3:$BQ$35,18,FALSE),"")</f>
        <v>TC.03.021 | MPA431</v>
      </c>
      <c r="O164" s="64"/>
      <c r="P164" s="64">
        <f>IFERROR(VLOOKUP(Tabelle32[[#This Row],[Device ID]],BOM!$B$3:$BO$50,20,FALSE),"")</f>
        <v>0</v>
      </c>
      <c r="Q164" s="64">
        <f>IFERROR(VLOOKUP(Tabelle32[[#This Row],[Device ID]],BOM!$B$3:$BO$50,21,FALSE),"")</f>
        <v>1</v>
      </c>
      <c r="R164" s="64">
        <f>IFERROR(VLOOKUP(Tabelle32[[#This Row],[Device ID]],BOM!$B$3:$BO$50,22,FALSE),"")</f>
        <v>0</v>
      </c>
      <c r="S164" s="64"/>
      <c r="T164" s="64"/>
      <c r="U164" s="59" t="str">
        <f>IFERROR(VLOOKUP(Tabelle32[[#This Row],[Device ID]],BOM!$B$3:$BQ$35,25,FALSE),"")</f>
        <v>Luis/Ivo</v>
      </c>
      <c r="V164" s="59" t="str">
        <f>IFERROR(VLOOKUP(Tabelle32[[#This Row],[Device ID]],BOM!$B$3:$BQ$35,26,FALSE),"")</f>
        <v>tpco-megw-vgw103.rta.st-net.media.int</v>
      </c>
      <c r="W164" s="59" t="str">
        <f>IFERROR(VLOOKUP(Tabelle32[[#This Row],[Device ID]],BOM!$B$3:$BQ$35,27,FALSE),"")</f>
        <v>10.120.236.50</v>
      </c>
      <c r="X164" s="59" t="str">
        <f>IFERROR(VLOOKUP(Tabelle32[[#This Row],[Device ID]],BOM!$B$3:$BQ$35,28,FALSE),"")</f>
        <v>AVCoreA</v>
      </c>
      <c r="Y164" s="59" t="str">
        <f>IFERROR(VLOOKUP(Tabelle32[[#This Row],[Device ID]],BOM!$B$3:$BQ$35,29,FALSE),"")</f>
        <v>5_36_1</v>
      </c>
      <c r="Z164" s="59" t="str">
        <f>IFERROR(VLOOKUP(Tabelle32[[#This Row],[Device ID]],BOM!$B$3:$BQ$35,30,FALSE),"")</f>
        <v>tpco-megw-vgw103.rtb.st-net.media.int</v>
      </c>
      <c r="AA164" s="59" t="str">
        <f>IFERROR(VLOOKUP(Tabelle32[[#This Row],[Device ID]],BOM!$B$3:$BQ$35,31,FALSE),"")</f>
        <v>10.120.236.54</v>
      </c>
      <c r="AB164" s="59" t="str">
        <f>IFERROR(VLOOKUP(Tabelle32[[#This Row],[Device ID]],BOM!$B$3:$BQ$35,32,FALSE),"")</f>
        <v>AVCoreB</v>
      </c>
      <c r="AC164" s="59" t="str">
        <f>IFERROR(VLOOKUP(Tabelle32[[#This Row],[Device ID]],BOM!$B$3:$BQ$35,33,FALSE),"")</f>
        <v>5_36_1</v>
      </c>
      <c r="AD164" s="59" t="str">
        <f>IFERROR(VLOOKUP(Tabelle32[[#This Row],[Device ID]],BOM!$B$3:$BQ$35,34,FALSE),"")</f>
        <v>tpco-megw-vgw103.st-net.media.int</v>
      </c>
      <c r="AE164" s="59" t="str">
        <f>IFERROR(VLOOKUP(Tabelle32[[#This Row],[Device ID]],BOM!$B$3:$BQ$35,35,FALSE),"")</f>
        <v>10.120.67.141</v>
      </c>
      <c r="AF164" s="59">
        <f>IFERROR(VLOOKUP(Tabelle32[[#This Row],[Device ID]],BOM!$B$3:$BQ$35,36,FALSE),"")</f>
        <v>0</v>
      </c>
      <c r="AG164" s="59">
        <f>IFERROR(VLOOKUP(Tabelle32[[#This Row],[Device ID]],BOM!$B$3:$BQ$35,37,FALSE),"")</f>
        <v>0</v>
      </c>
      <c r="AH164" s="59"/>
      <c r="AI164" s="59"/>
      <c r="AJ164" s="59"/>
      <c r="AK164" s="59"/>
      <c r="AL164" s="59" t="str">
        <f>IFERROR(VLOOKUP(Tabelle32[[#This Row],[Device ID]],BOM!$B$3:$BQ$35,42,FALSE),"")</f>
        <v>Imagine Communications SNP</v>
      </c>
      <c r="AM164" s="59" t="str">
        <f>IFERROR(VLOOKUP(Tabelle32[[#This Row],[Device ID]],BOM!$B$3:$BQ$35,43,FALSE),"")</f>
        <v>no</v>
      </c>
      <c r="AN164" s="59" t="str">
        <f>IFERROR(VLOOKUP(Tabelle32[[#This Row],[Device ID]],BOM!$B$3:$BQ$35,44,FALSE),"")</f>
        <v>yes</v>
      </c>
      <c r="AO164" s="59" t="str">
        <f>IFERROR(VLOOKUP(Tabelle32[[#This Row],[Device ID]],BOM!$B$3:$BQ$35,45,FALSE),"")</f>
        <v>no</v>
      </c>
      <c r="AP164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64" s="59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73" t="s">
        <v>199</v>
      </c>
      <c r="BI164" s="30" t="str">
        <f>IF(COUNTA(Tabelle32[[#This Row],[Type:Vid_1080i50]:[Type:Anc_Prot]])&gt;0,"x","")</f>
        <v/>
      </c>
      <c r="BJ16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64" s="59"/>
      <c r="BL164" s="59"/>
      <c r="BM164" s="63"/>
      <c r="BN164" s="63"/>
      <c r="BO164" s="96"/>
      <c r="BP164" s="96"/>
      <c r="BQ164" s="75">
        <f>LEN(Tabelle32[[#This Row],[Label 1
GFX-Unit]])</f>
        <v>0</v>
      </c>
      <c r="BR164" s="63"/>
      <c r="BS164" s="63"/>
      <c r="BT164" s="59"/>
      <c r="BU164" s="59"/>
      <c r="BV164" s="59" t="s">
        <v>251</v>
      </c>
      <c r="BW164" s="59" t="s">
        <v>252</v>
      </c>
      <c r="BX164" s="59" t="s">
        <v>451</v>
      </c>
      <c r="BY164" s="59">
        <v>8</v>
      </c>
    </row>
    <row r="165" spans="1:77" hidden="1" x14ac:dyDescent="0.2">
      <c r="A165" s="58" t="str">
        <f>CONCATENATE(Tabelle32[[#This Row],[Device ID]],".",Tabelle32[[#This Row],[Streamcounter]])</f>
        <v>385.08212</v>
      </c>
      <c r="B16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VGW-103_SDI08_AUDsend_0012</v>
      </c>
      <c r="C165" s="60"/>
      <c r="D165" s="61"/>
      <c r="E165" s="62"/>
      <c r="F165" s="59" t="str">
        <f>IFERROR(VLOOKUP(Tabelle32[[#This Row],[Device ID]],BOM!$B$3:$BQ$35,16,FALSE),"")</f>
        <v>MPA 431 HD2</v>
      </c>
      <c r="G165" s="63">
        <f>VLOOKUP(Tabelle32[[#This Row],[SDI Interface]],BOM!$A$4:$B$35,2,FALSE)</f>
        <v>385</v>
      </c>
      <c r="H165" s="59" t="str">
        <f>BOM!$C$4</f>
        <v>VGW-103</v>
      </c>
      <c r="I165" s="59" t="str">
        <f>IFERROR(VLOOKUP(Tabelle32[[#This Row],[Device ID]],BOM!$B$3:$BQ$35,12,FALSE),"")</f>
        <v>Videoserver</v>
      </c>
      <c r="J165" s="59" t="str">
        <f>IFERROR(VLOOKUP(Tabelle32[[#This Row],[Device ID]],BOM!$B$3:$BQ$35,13,FALSE),"")</f>
        <v>TC.U1.223 | MDC</v>
      </c>
      <c r="K165" s="59" t="str">
        <f>IFERROR(VLOOKUP(Tabelle32[[#This Row],[Device ID]],BOM!$B$3:$BQ$35,14,FALSE),"")</f>
        <v>Imagine Comunications</v>
      </c>
      <c r="L165" s="59" t="str">
        <f>IFERROR(VLOOKUP(Tabelle32[[#This Row],[Device ID]],BOM!$B$3:$BQ$35,16,FALSE),"")</f>
        <v>MPA 431 HD2</v>
      </c>
      <c r="M165" s="63" t="str">
        <f>IFERROR(VLOOKUP(Tabelle32[[#This Row],[Device ID]],BOM!$B$3:$BQ$35,17,FALSE),"")</f>
        <v>MPA 431</v>
      </c>
      <c r="N165" s="59" t="str">
        <f>IFERROR(VLOOKUP(Tabelle32[[#This Row],[Device ID]],BOM!$B$3:$BQ$35,18,FALSE),"")</f>
        <v>TC.03.021 | MPA431</v>
      </c>
      <c r="O165" s="64"/>
      <c r="P165" s="64">
        <f>IFERROR(VLOOKUP(Tabelle32[[#This Row],[Device ID]],BOM!$B$3:$BO$50,20,FALSE),"")</f>
        <v>0</v>
      </c>
      <c r="Q165" s="64">
        <f>IFERROR(VLOOKUP(Tabelle32[[#This Row],[Device ID]],BOM!$B$3:$BO$50,21,FALSE),"")</f>
        <v>1</v>
      </c>
      <c r="R165" s="64">
        <f>IFERROR(VLOOKUP(Tabelle32[[#This Row],[Device ID]],BOM!$B$3:$BO$50,22,FALSE),"")</f>
        <v>0</v>
      </c>
      <c r="S165" s="64"/>
      <c r="T165" s="64"/>
      <c r="U165" s="59" t="str">
        <f>IFERROR(VLOOKUP(Tabelle32[[#This Row],[Device ID]],BOM!$B$3:$BQ$35,25,FALSE),"")</f>
        <v>Luis/Ivo</v>
      </c>
      <c r="V165" s="59" t="str">
        <f>IFERROR(VLOOKUP(Tabelle32[[#This Row],[Device ID]],BOM!$B$3:$BQ$35,26,FALSE),"")</f>
        <v>tpco-megw-vgw103.rta.st-net.media.int</v>
      </c>
      <c r="W165" s="59" t="str">
        <f>IFERROR(VLOOKUP(Tabelle32[[#This Row],[Device ID]],BOM!$B$3:$BQ$35,27,FALSE),"")</f>
        <v>10.120.236.50</v>
      </c>
      <c r="X165" s="59" t="str">
        <f>IFERROR(VLOOKUP(Tabelle32[[#This Row],[Device ID]],BOM!$B$3:$BQ$35,28,FALSE),"")</f>
        <v>AVCoreA</v>
      </c>
      <c r="Y165" s="59" t="str">
        <f>IFERROR(VLOOKUP(Tabelle32[[#This Row],[Device ID]],BOM!$B$3:$BQ$35,29,FALSE),"")</f>
        <v>5_36_1</v>
      </c>
      <c r="Z165" s="59" t="str">
        <f>IFERROR(VLOOKUP(Tabelle32[[#This Row],[Device ID]],BOM!$B$3:$BQ$35,30,FALSE),"")</f>
        <v>tpco-megw-vgw103.rtb.st-net.media.int</v>
      </c>
      <c r="AA165" s="59" t="str">
        <f>IFERROR(VLOOKUP(Tabelle32[[#This Row],[Device ID]],BOM!$B$3:$BQ$35,31,FALSE),"")</f>
        <v>10.120.236.54</v>
      </c>
      <c r="AB165" s="59" t="str">
        <f>IFERROR(VLOOKUP(Tabelle32[[#This Row],[Device ID]],BOM!$B$3:$BQ$35,32,FALSE),"")</f>
        <v>AVCoreB</v>
      </c>
      <c r="AC165" s="59" t="str">
        <f>IFERROR(VLOOKUP(Tabelle32[[#This Row],[Device ID]],BOM!$B$3:$BQ$35,33,FALSE),"")</f>
        <v>5_36_1</v>
      </c>
      <c r="AD165" s="59" t="str">
        <f>IFERROR(VLOOKUP(Tabelle32[[#This Row],[Device ID]],BOM!$B$3:$BQ$35,34,FALSE),"")</f>
        <v>tpco-megw-vgw103.st-net.media.int</v>
      </c>
      <c r="AE165" s="59" t="str">
        <f>IFERROR(VLOOKUP(Tabelle32[[#This Row],[Device ID]],BOM!$B$3:$BQ$35,35,FALSE),"")</f>
        <v>10.120.67.141</v>
      </c>
      <c r="AF165" s="59">
        <f>IFERROR(VLOOKUP(Tabelle32[[#This Row],[Device ID]],BOM!$B$3:$BQ$35,36,FALSE),"")</f>
        <v>0</v>
      </c>
      <c r="AG165" s="59">
        <f>IFERROR(VLOOKUP(Tabelle32[[#This Row],[Device ID]],BOM!$B$3:$BQ$35,37,FALSE),"")</f>
        <v>0</v>
      </c>
      <c r="AH165" s="59"/>
      <c r="AI165" s="59"/>
      <c r="AJ165" s="59"/>
      <c r="AK165" s="59"/>
      <c r="AL165" s="59" t="str">
        <f>IFERROR(VLOOKUP(Tabelle32[[#This Row],[Device ID]],BOM!$B$3:$BQ$35,42,FALSE),"")</f>
        <v>Imagine Communications SNP</v>
      </c>
      <c r="AM165" s="59" t="str">
        <f>IFERROR(VLOOKUP(Tabelle32[[#This Row],[Device ID]],BOM!$B$3:$BQ$35,43,FALSE),"")</f>
        <v>no</v>
      </c>
      <c r="AN165" s="59" t="str">
        <f>IFERROR(VLOOKUP(Tabelle32[[#This Row],[Device ID]],BOM!$B$3:$BQ$35,44,FALSE),"")</f>
        <v>yes</v>
      </c>
      <c r="AO165" s="59" t="str">
        <f>IFERROR(VLOOKUP(Tabelle32[[#This Row],[Device ID]],BOM!$B$3:$BQ$35,45,FALSE),"")</f>
        <v>no</v>
      </c>
      <c r="AP165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65" s="59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73" t="s">
        <v>199</v>
      </c>
      <c r="BI165" s="30" t="str">
        <f>IF(COUNTA(Tabelle32[[#This Row],[Type:Vid_1080i50]:[Type:Anc_Prot]])&gt;0,"x","")</f>
        <v/>
      </c>
      <c r="BJ16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65" s="59"/>
      <c r="BL165" s="59"/>
      <c r="BM165" s="63"/>
      <c r="BN165" s="63"/>
      <c r="BO165" s="96"/>
      <c r="BP165" s="96"/>
      <c r="BQ165" s="75">
        <f>LEN(Tabelle32[[#This Row],[Label 1
GFX-Unit]])</f>
        <v>0</v>
      </c>
      <c r="BR165" s="63"/>
      <c r="BS165" s="63"/>
      <c r="BT165" s="59"/>
      <c r="BU165" s="59"/>
      <c r="BV165" s="59" t="s">
        <v>254</v>
      </c>
      <c r="BW165" s="59" t="s">
        <v>255</v>
      </c>
      <c r="BX165" s="59" t="s">
        <v>452</v>
      </c>
      <c r="BY165" s="59">
        <v>8</v>
      </c>
    </row>
    <row r="166" spans="1:77" hidden="1" x14ac:dyDescent="0.2">
      <c r="A166" s="58" t="str">
        <f>CONCATENATE(Tabelle32[[#This Row],[Device ID]],".",Tabelle32[[#This Row],[Streamcounter]])</f>
        <v>385.08213</v>
      </c>
      <c r="B16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VGW-103_SDI08_AUDsend_0013</v>
      </c>
      <c r="C166" s="60"/>
      <c r="D166" s="61"/>
      <c r="E166" s="62"/>
      <c r="F166" s="59" t="str">
        <f>IFERROR(VLOOKUP(Tabelle32[[#This Row],[Device ID]],BOM!$B$3:$BQ$35,16,FALSE),"")</f>
        <v>MPA 431 HD2</v>
      </c>
      <c r="G166" s="63">
        <f>VLOOKUP(Tabelle32[[#This Row],[SDI Interface]],BOM!$A$4:$B$35,2,FALSE)</f>
        <v>385</v>
      </c>
      <c r="H166" s="59" t="str">
        <f>BOM!$C$4</f>
        <v>VGW-103</v>
      </c>
      <c r="I166" s="59" t="str">
        <f>IFERROR(VLOOKUP(Tabelle32[[#This Row],[Device ID]],BOM!$B$3:$BQ$35,12,FALSE),"")</f>
        <v>Videoserver</v>
      </c>
      <c r="J166" s="59" t="str">
        <f>IFERROR(VLOOKUP(Tabelle32[[#This Row],[Device ID]],BOM!$B$3:$BQ$35,13,FALSE),"")</f>
        <v>TC.U1.223 | MDC</v>
      </c>
      <c r="K166" s="59" t="str">
        <f>IFERROR(VLOOKUP(Tabelle32[[#This Row],[Device ID]],BOM!$B$3:$BQ$35,14,FALSE),"")</f>
        <v>Imagine Comunications</v>
      </c>
      <c r="L166" s="59" t="str">
        <f>IFERROR(VLOOKUP(Tabelle32[[#This Row],[Device ID]],BOM!$B$3:$BQ$35,16,FALSE),"")</f>
        <v>MPA 431 HD2</v>
      </c>
      <c r="M166" s="63" t="str">
        <f>IFERROR(VLOOKUP(Tabelle32[[#This Row],[Device ID]],BOM!$B$3:$BQ$35,17,FALSE),"")</f>
        <v>MPA 431</v>
      </c>
      <c r="N166" s="59" t="str">
        <f>IFERROR(VLOOKUP(Tabelle32[[#This Row],[Device ID]],BOM!$B$3:$BQ$35,18,FALSE),"")</f>
        <v>TC.03.021 | MPA431</v>
      </c>
      <c r="O166" s="64"/>
      <c r="P166" s="64">
        <f>IFERROR(VLOOKUP(Tabelle32[[#This Row],[Device ID]],BOM!$B$3:$BO$50,20,FALSE),"")</f>
        <v>0</v>
      </c>
      <c r="Q166" s="64">
        <f>IFERROR(VLOOKUP(Tabelle32[[#This Row],[Device ID]],BOM!$B$3:$BO$50,21,FALSE),"")</f>
        <v>1</v>
      </c>
      <c r="R166" s="64">
        <f>IFERROR(VLOOKUP(Tabelle32[[#This Row],[Device ID]],BOM!$B$3:$BO$50,22,FALSE),"")</f>
        <v>0</v>
      </c>
      <c r="S166" s="64"/>
      <c r="T166" s="64"/>
      <c r="U166" s="59" t="str">
        <f>IFERROR(VLOOKUP(Tabelle32[[#This Row],[Device ID]],BOM!$B$3:$BQ$35,25,FALSE),"")</f>
        <v>Luis/Ivo</v>
      </c>
      <c r="V166" s="59" t="str">
        <f>IFERROR(VLOOKUP(Tabelle32[[#This Row],[Device ID]],BOM!$B$3:$BQ$35,26,FALSE),"")</f>
        <v>tpco-megw-vgw103.rta.st-net.media.int</v>
      </c>
      <c r="W166" s="59" t="str">
        <f>IFERROR(VLOOKUP(Tabelle32[[#This Row],[Device ID]],BOM!$B$3:$BQ$35,27,FALSE),"")</f>
        <v>10.120.236.50</v>
      </c>
      <c r="X166" s="59" t="str">
        <f>IFERROR(VLOOKUP(Tabelle32[[#This Row],[Device ID]],BOM!$B$3:$BQ$35,28,FALSE),"")</f>
        <v>AVCoreA</v>
      </c>
      <c r="Y166" s="59" t="str">
        <f>IFERROR(VLOOKUP(Tabelle32[[#This Row],[Device ID]],BOM!$B$3:$BQ$35,29,FALSE),"")</f>
        <v>5_36_1</v>
      </c>
      <c r="Z166" s="59" t="str">
        <f>IFERROR(VLOOKUP(Tabelle32[[#This Row],[Device ID]],BOM!$B$3:$BQ$35,30,FALSE),"")</f>
        <v>tpco-megw-vgw103.rtb.st-net.media.int</v>
      </c>
      <c r="AA166" s="59" t="str">
        <f>IFERROR(VLOOKUP(Tabelle32[[#This Row],[Device ID]],BOM!$B$3:$BQ$35,31,FALSE),"")</f>
        <v>10.120.236.54</v>
      </c>
      <c r="AB166" s="59" t="str">
        <f>IFERROR(VLOOKUP(Tabelle32[[#This Row],[Device ID]],BOM!$B$3:$BQ$35,32,FALSE),"")</f>
        <v>AVCoreB</v>
      </c>
      <c r="AC166" s="59" t="str">
        <f>IFERROR(VLOOKUP(Tabelle32[[#This Row],[Device ID]],BOM!$B$3:$BQ$35,33,FALSE),"")</f>
        <v>5_36_1</v>
      </c>
      <c r="AD166" s="59" t="str">
        <f>IFERROR(VLOOKUP(Tabelle32[[#This Row],[Device ID]],BOM!$B$3:$BQ$35,34,FALSE),"")</f>
        <v>tpco-megw-vgw103.st-net.media.int</v>
      </c>
      <c r="AE166" s="59" t="str">
        <f>IFERROR(VLOOKUP(Tabelle32[[#This Row],[Device ID]],BOM!$B$3:$BQ$35,35,FALSE),"")</f>
        <v>10.120.67.141</v>
      </c>
      <c r="AF166" s="59">
        <f>IFERROR(VLOOKUP(Tabelle32[[#This Row],[Device ID]],BOM!$B$3:$BQ$35,36,FALSE),"")</f>
        <v>0</v>
      </c>
      <c r="AG166" s="59">
        <f>IFERROR(VLOOKUP(Tabelle32[[#This Row],[Device ID]],BOM!$B$3:$BQ$35,37,FALSE),"")</f>
        <v>0</v>
      </c>
      <c r="AH166" s="59"/>
      <c r="AI166" s="59"/>
      <c r="AJ166" s="59"/>
      <c r="AK166" s="59"/>
      <c r="AL166" s="59" t="str">
        <f>IFERROR(VLOOKUP(Tabelle32[[#This Row],[Device ID]],BOM!$B$3:$BQ$35,42,FALSE),"")</f>
        <v>Imagine Communications SNP</v>
      </c>
      <c r="AM166" s="59" t="str">
        <f>IFERROR(VLOOKUP(Tabelle32[[#This Row],[Device ID]],BOM!$B$3:$BQ$35,43,FALSE),"")</f>
        <v>no</v>
      </c>
      <c r="AN166" s="59" t="str">
        <f>IFERROR(VLOOKUP(Tabelle32[[#This Row],[Device ID]],BOM!$B$3:$BQ$35,44,FALSE),"")</f>
        <v>yes</v>
      </c>
      <c r="AO166" s="59" t="str">
        <f>IFERROR(VLOOKUP(Tabelle32[[#This Row],[Device ID]],BOM!$B$3:$BQ$35,45,FALSE),"")</f>
        <v>no</v>
      </c>
      <c r="AP166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66" s="59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73" t="s">
        <v>199</v>
      </c>
      <c r="BI166" s="30" t="str">
        <f>IF(COUNTA(Tabelle32[[#This Row],[Type:Vid_1080i50]:[Type:Anc_Prot]])&gt;0,"x","")</f>
        <v/>
      </c>
      <c r="BJ16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66" s="59"/>
      <c r="BL166" s="59"/>
      <c r="BM166" s="63"/>
      <c r="BN166" s="63"/>
      <c r="BO166" s="96"/>
      <c r="BP166" s="96"/>
      <c r="BQ166" s="75">
        <f>LEN(Tabelle32[[#This Row],[Label 1
GFX-Unit]])</f>
        <v>0</v>
      </c>
      <c r="BR166" s="63"/>
      <c r="BS166" s="63"/>
      <c r="BT166" s="59"/>
      <c r="BU166" s="59"/>
      <c r="BV166" s="59" t="s">
        <v>257</v>
      </c>
      <c r="BW166" s="59" t="s">
        <v>258</v>
      </c>
      <c r="BX166" s="59" t="s">
        <v>453</v>
      </c>
      <c r="BY166" s="59">
        <v>8</v>
      </c>
    </row>
    <row r="167" spans="1:77" hidden="1" x14ac:dyDescent="0.2">
      <c r="A167" s="58" t="str">
        <f>CONCATENATE(Tabelle32[[#This Row],[Device ID]],".",Tabelle32[[#This Row],[Streamcounter]])</f>
        <v>385.08214</v>
      </c>
      <c r="B16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VGW-103_SDI08_AUDsend_0014</v>
      </c>
      <c r="C167" s="60"/>
      <c r="D167" s="61"/>
      <c r="E167" s="62"/>
      <c r="F167" s="59" t="str">
        <f>IFERROR(VLOOKUP(Tabelle32[[#This Row],[Device ID]],BOM!$B$3:$BQ$35,16,FALSE),"")</f>
        <v>MPA 431 HD2</v>
      </c>
      <c r="G167" s="63">
        <f>VLOOKUP(Tabelle32[[#This Row],[SDI Interface]],BOM!$A$4:$B$35,2,FALSE)</f>
        <v>385</v>
      </c>
      <c r="H167" s="59" t="str">
        <f>BOM!$C$4</f>
        <v>VGW-103</v>
      </c>
      <c r="I167" s="59" t="str">
        <f>IFERROR(VLOOKUP(Tabelle32[[#This Row],[Device ID]],BOM!$B$3:$BQ$35,12,FALSE),"")</f>
        <v>Videoserver</v>
      </c>
      <c r="J167" s="59" t="str">
        <f>IFERROR(VLOOKUP(Tabelle32[[#This Row],[Device ID]],BOM!$B$3:$BQ$35,13,FALSE),"")</f>
        <v>TC.U1.223 | MDC</v>
      </c>
      <c r="K167" s="59" t="str">
        <f>IFERROR(VLOOKUP(Tabelle32[[#This Row],[Device ID]],BOM!$B$3:$BQ$35,14,FALSE),"")</f>
        <v>Imagine Comunications</v>
      </c>
      <c r="L167" s="59" t="str">
        <f>IFERROR(VLOOKUP(Tabelle32[[#This Row],[Device ID]],BOM!$B$3:$BQ$35,16,FALSE),"")</f>
        <v>MPA 431 HD2</v>
      </c>
      <c r="M167" s="63" t="str">
        <f>IFERROR(VLOOKUP(Tabelle32[[#This Row],[Device ID]],BOM!$B$3:$BQ$35,17,FALSE),"")</f>
        <v>MPA 431</v>
      </c>
      <c r="N167" s="59" t="str">
        <f>IFERROR(VLOOKUP(Tabelle32[[#This Row],[Device ID]],BOM!$B$3:$BQ$35,18,FALSE),"")</f>
        <v>TC.03.021 | MPA431</v>
      </c>
      <c r="O167" s="64"/>
      <c r="P167" s="64">
        <f>IFERROR(VLOOKUP(Tabelle32[[#This Row],[Device ID]],BOM!$B$3:$BO$50,20,FALSE),"")</f>
        <v>0</v>
      </c>
      <c r="Q167" s="64">
        <f>IFERROR(VLOOKUP(Tabelle32[[#This Row],[Device ID]],BOM!$B$3:$BO$50,21,FALSE),"")</f>
        <v>1</v>
      </c>
      <c r="R167" s="64">
        <f>IFERROR(VLOOKUP(Tabelle32[[#This Row],[Device ID]],BOM!$B$3:$BO$50,22,FALSE),"")</f>
        <v>0</v>
      </c>
      <c r="S167" s="64"/>
      <c r="T167" s="64"/>
      <c r="U167" s="59" t="str">
        <f>IFERROR(VLOOKUP(Tabelle32[[#This Row],[Device ID]],BOM!$B$3:$BQ$35,25,FALSE),"")</f>
        <v>Luis/Ivo</v>
      </c>
      <c r="V167" s="59" t="str">
        <f>IFERROR(VLOOKUP(Tabelle32[[#This Row],[Device ID]],BOM!$B$3:$BQ$35,26,FALSE),"")</f>
        <v>tpco-megw-vgw103.rta.st-net.media.int</v>
      </c>
      <c r="W167" s="59" t="str">
        <f>IFERROR(VLOOKUP(Tabelle32[[#This Row],[Device ID]],BOM!$B$3:$BQ$35,27,FALSE),"")</f>
        <v>10.120.236.50</v>
      </c>
      <c r="X167" s="59" t="str">
        <f>IFERROR(VLOOKUP(Tabelle32[[#This Row],[Device ID]],BOM!$B$3:$BQ$35,28,FALSE),"")</f>
        <v>AVCoreA</v>
      </c>
      <c r="Y167" s="59" t="str">
        <f>IFERROR(VLOOKUP(Tabelle32[[#This Row],[Device ID]],BOM!$B$3:$BQ$35,29,FALSE),"")</f>
        <v>5_36_1</v>
      </c>
      <c r="Z167" s="59" t="str">
        <f>IFERROR(VLOOKUP(Tabelle32[[#This Row],[Device ID]],BOM!$B$3:$BQ$35,30,FALSE),"")</f>
        <v>tpco-megw-vgw103.rtb.st-net.media.int</v>
      </c>
      <c r="AA167" s="59" t="str">
        <f>IFERROR(VLOOKUP(Tabelle32[[#This Row],[Device ID]],BOM!$B$3:$BQ$35,31,FALSE),"")</f>
        <v>10.120.236.54</v>
      </c>
      <c r="AB167" s="59" t="str">
        <f>IFERROR(VLOOKUP(Tabelle32[[#This Row],[Device ID]],BOM!$B$3:$BQ$35,32,FALSE),"")</f>
        <v>AVCoreB</v>
      </c>
      <c r="AC167" s="59" t="str">
        <f>IFERROR(VLOOKUP(Tabelle32[[#This Row],[Device ID]],BOM!$B$3:$BQ$35,33,FALSE),"")</f>
        <v>5_36_1</v>
      </c>
      <c r="AD167" s="59" t="str">
        <f>IFERROR(VLOOKUP(Tabelle32[[#This Row],[Device ID]],BOM!$B$3:$BQ$35,34,FALSE),"")</f>
        <v>tpco-megw-vgw103.st-net.media.int</v>
      </c>
      <c r="AE167" s="59" t="str">
        <f>IFERROR(VLOOKUP(Tabelle32[[#This Row],[Device ID]],BOM!$B$3:$BQ$35,35,FALSE),"")</f>
        <v>10.120.67.141</v>
      </c>
      <c r="AF167" s="59">
        <f>IFERROR(VLOOKUP(Tabelle32[[#This Row],[Device ID]],BOM!$B$3:$BQ$35,36,FALSE),"")</f>
        <v>0</v>
      </c>
      <c r="AG167" s="59">
        <f>IFERROR(VLOOKUP(Tabelle32[[#This Row],[Device ID]],BOM!$B$3:$BQ$35,37,FALSE),"")</f>
        <v>0</v>
      </c>
      <c r="AH167" s="59"/>
      <c r="AI167" s="59"/>
      <c r="AJ167" s="59"/>
      <c r="AK167" s="59"/>
      <c r="AL167" s="59" t="str">
        <f>IFERROR(VLOOKUP(Tabelle32[[#This Row],[Device ID]],BOM!$B$3:$BQ$35,42,FALSE),"")</f>
        <v>Imagine Communications SNP</v>
      </c>
      <c r="AM167" s="59" t="str">
        <f>IFERROR(VLOOKUP(Tabelle32[[#This Row],[Device ID]],BOM!$B$3:$BQ$35,43,FALSE),"")</f>
        <v>no</v>
      </c>
      <c r="AN167" s="59" t="str">
        <f>IFERROR(VLOOKUP(Tabelle32[[#This Row],[Device ID]],BOM!$B$3:$BQ$35,44,FALSE),"")</f>
        <v>yes</v>
      </c>
      <c r="AO167" s="59" t="str">
        <f>IFERROR(VLOOKUP(Tabelle32[[#This Row],[Device ID]],BOM!$B$3:$BQ$35,45,FALSE),"")</f>
        <v>no</v>
      </c>
      <c r="AP167" s="59" t="str">
        <f>IFERROR(CONCATENATE(Tabelle32[[#This Row],[Family
GFX-Unit]]," | ",Tabelle32[[#This Row],[Label 1
GFX-Unit]]," | ",Tabelle32[[#This Row],[Attached Device if Gateway]]),"")</f>
        <v xml:space="preserve"> |  | MPA 431 HD2</v>
      </c>
      <c r="AQ167" s="59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73" t="s">
        <v>199</v>
      </c>
      <c r="BI167" s="30" t="str">
        <f>IF(COUNTA(Tabelle32[[#This Row],[Type:Vid_1080i50]:[Type:Anc_Prot]])&gt;0,"x","")</f>
        <v/>
      </c>
      <c r="BJ16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67" s="59"/>
      <c r="BL167" s="59"/>
      <c r="BM167" s="63"/>
      <c r="BN167" s="63"/>
      <c r="BO167" s="96"/>
      <c r="BP167" s="96"/>
      <c r="BQ167" s="75">
        <f>LEN(Tabelle32[[#This Row],[Label 1
GFX-Unit]])</f>
        <v>0</v>
      </c>
      <c r="BR167" s="63"/>
      <c r="BS167" s="63"/>
      <c r="BT167" s="59"/>
      <c r="BU167" s="59"/>
      <c r="BV167" s="59" t="s">
        <v>260</v>
      </c>
      <c r="BW167" s="59" t="s">
        <v>261</v>
      </c>
      <c r="BX167" s="59" t="s">
        <v>454</v>
      </c>
      <c r="BY167" s="59">
        <v>8</v>
      </c>
    </row>
    <row r="168" spans="1:77" x14ac:dyDescent="0.2">
      <c r="A168" s="58" t="str">
        <f>CONCATENATE(Tabelle32[[#This Row],[Device ID]],".",Tabelle32[[#This Row],[Streamcounter]])</f>
        <v>385.08215</v>
      </c>
      <c r="B16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VGW-103_SDI08_AUDsend_0015</v>
      </c>
      <c r="C168" s="60"/>
      <c r="D168" s="61"/>
      <c r="E168" s="62"/>
      <c r="F168" s="59" t="str">
        <f>IFERROR(VLOOKUP(Tabelle32[[#This Row],[Device ID]],BOM!$B$3:$BQ$35,16,FALSE),"")</f>
        <v>MPA 431 HD2</v>
      </c>
      <c r="G168" s="63">
        <f>VLOOKUP(Tabelle32[[#This Row],[SDI Interface]],BOM!$A$4:$B$35,2,FALSE)</f>
        <v>385</v>
      </c>
      <c r="H168" s="59" t="str">
        <f>BOM!$C$4</f>
        <v>VGW-103</v>
      </c>
      <c r="I168" s="59" t="str">
        <f>IFERROR(VLOOKUP(Tabelle32[[#This Row],[Device ID]],BOM!$B$3:$BQ$35,12,FALSE),"")</f>
        <v>Videoserver</v>
      </c>
      <c r="J168" s="59" t="str">
        <f>IFERROR(VLOOKUP(Tabelle32[[#This Row],[Device ID]],BOM!$B$3:$BQ$35,13,FALSE),"")</f>
        <v>TC.U1.223 | MDC</v>
      </c>
      <c r="K168" s="59" t="str">
        <f>IFERROR(VLOOKUP(Tabelle32[[#This Row],[Device ID]],BOM!$B$3:$BQ$35,14,FALSE),"")</f>
        <v>Imagine Comunications</v>
      </c>
      <c r="L168" s="59" t="str">
        <f>IFERROR(VLOOKUP(Tabelle32[[#This Row],[Device ID]],BOM!$B$3:$BQ$35,16,FALSE),"")</f>
        <v>MPA 431 HD2</v>
      </c>
      <c r="M168" s="63" t="str">
        <f>IFERROR(VLOOKUP(Tabelle32[[#This Row],[Device ID]],BOM!$B$3:$BQ$35,17,FALSE),"")</f>
        <v>MPA 431</v>
      </c>
      <c r="N168" s="59" t="str">
        <f>IFERROR(VLOOKUP(Tabelle32[[#This Row],[Device ID]],BOM!$B$3:$BQ$35,18,FALSE),"")</f>
        <v>TC.03.021 | MPA431</v>
      </c>
      <c r="O168" s="64"/>
      <c r="P168" s="64">
        <f>IFERROR(VLOOKUP(Tabelle32[[#This Row],[Device ID]],BOM!$B$3:$BO$50,20,FALSE),"")</f>
        <v>0</v>
      </c>
      <c r="Q168" s="64">
        <f>IFERROR(VLOOKUP(Tabelle32[[#This Row],[Device ID]],BOM!$B$3:$BO$50,21,FALSE),"")</f>
        <v>1</v>
      </c>
      <c r="R168" s="64">
        <f>IFERROR(VLOOKUP(Tabelle32[[#This Row],[Device ID]],BOM!$B$3:$BO$50,22,FALSE),"")</f>
        <v>0</v>
      </c>
      <c r="S168" s="64"/>
      <c r="T168" s="64"/>
      <c r="U168" s="59" t="str">
        <f>IFERROR(VLOOKUP(Tabelle32[[#This Row],[Device ID]],BOM!$B$3:$BQ$35,25,FALSE),"")</f>
        <v>Luis/Ivo</v>
      </c>
      <c r="V168" s="59" t="str">
        <f>IFERROR(VLOOKUP(Tabelle32[[#This Row],[Device ID]],BOM!$B$3:$BQ$35,26,FALSE),"")</f>
        <v>tpco-megw-vgw103.rta.st-net.media.int</v>
      </c>
      <c r="W168" s="59" t="str">
        <f>IFERROR(VLOOKUP(Tabelle32[[#This Row],[Device ID]],BOM!$B$3:$BQ$35,27,FALSE),"")</f>
        <v>10.120.236.50</v>
      </c>
      <c r="X168" s="59" t="str">
        <f>IFERROR(VLOOKUP(Tabelle32[[#This Row],[Device ID]],BOM!$B$3:$BQ$35,28,FALSE),"")</f>
        <v>AVCoreA</v>
      </c>
      <c r="Y168" s="59" t="str">
        <f>IFERROR(VLOOKUP(Tabelle32[[#This Row],[Device ID]],BOM!$B$3:$BQ$35,29,FALSE),"")</f>
        <v>5_36_1</v>
      </c>
      <c r="Z168" s="59" t="str">
        <f>IFERROR(VLOOKUP(Tabelle32[[#This Row],[Device ID]],BOM!$B$3:$BQ$35,30,FALSE),"")</f>
        <v>tpco-megw-vgw103.rtb.st-net.media.int</v>
      </c>
      <c r="AA168" s="59" t="str">
        <f>IFERROR(VLOOKUP(Tabelle32[[#This Row],[Device ID]],BOM!$B$3:$BQ$35,31,FALSE),"")</f>
        <v>10.120.236.54</v>
      </c>
      <c r="AB168" s="59" t="str">
        <f>IFERROR(VLOOKUP(Tabelle32[[#This Row],[Device ID]],BOM!$B$3:$BQ$35,32,FALSE),"")</f>
        <v>AVCoreB</v>
      </c>
      <c r="AC168" s="59" t="str">
        <f>IFERROR(VLOOKUP(Tabelle32[[#This Row],[Device ID]],BOM!$B$3:$BQ$35,33,FALSE),"")</f>
        <v>5_36_1</v>
      </c>
      <c r="AD168" s="59" t="str">
        <f>IFERROR(VLOOKUP(Tabelle32[[#This Row],[Device ID]],BOM!$B$3:$BQ$35,34,FALSE),"")</f>
        <v>tpco-megw-vgw103.st-net.media.int</v>
      </c>
      <c r="AE168" s="59" t="str">
        <f>IFERROR(VLOOKUP(Tabelle32[[#This Row],[Device ID]],BOM!$B$3:$BQ$35,35,FALSE),"")</f>
        <v>10.120.67.141</v>
      </c>
      <c r="AF168" s="59">
        <f>IFERROR(VLOOKUP(Tabelle32[[#This Row],[Device ID]],BOM!$B$3:$BQ$35,36,FALSE),"")</f>
        <v>0</v>
      </c>
      <c r="AG168" s="59">
        <f>IFERROR(VLOOKUP(Tabelle32[[#This Row],[Device ID]],BOM!$B$3:$BQ$35,37,FALSE),"")</f>
        <v>0</v>
      </c>
      <c r="AH168" s="59"/>
      <c r="AI168" s="59"/>
      <c r="AJ168" s="59"/>
      <c r="AK168" s="59"/>
      <c r="AL168" s="59" t="str">
        <f>IFERROR(VLOOKUP(Tabelle32[[#This Row],[Device ID]],BOM!$B$3:$BQ$35,42,FALSE),"")</f>
        <v>Imagine Communications SNP</v>
      </c>
      <c r="AM168" s="59" t="str">
        <f>IFERROR(VLOOKUP(Tabelle32[[#This Row],[Device ID]],BOM!$B$3:$BQ$35,43,FALSE),"")</f>
        <v>no</v>
      </c>
      <c r="AN168" s="59" t="str">
        <f>IFERROR(VLOOKUP(Tabelle32[[#This Row],[Device ID]],BOM!$B$3:$BQ$35,44,FALSE),"")</f>
        <v>yes</v>
      </c>
      <c r="AO168" s="59" t="str">
        <f>IFERROR(VLOOKUP(Tabelle32[[#This Row],[Device ID]],BOM!$B$3:$BQ$35,45,FALSE),"")</f>
        <v>no</v>
      </c>
      <c r="AP168" s="59" t="str">
        <f>IFERROR(CONCATENATE(Tabelle32[[#This Row],[Family
GFX-Unit]]," | ",Tabelle32[[#This Row],[Label 1
GFX-Unit]]," | ",Tabelle32[[#This Row],[Attached Device if Gateway]]),"")</f>
        <v>PLAYOUT MPA431 | HD2-015 | MPA 431 HD2</v>
      </c>
      <c r="AQ168" s="59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 t="s">
        <v>97</v>
      </c>
      <c r="BE168" s="90"/>
      <c r="BF168" s="90"/>
      <c r="BG168" s="90"/>
      <c r="BH168" s="73" t="s">
        <v>199</v>
      </c>
      <c r="BI168" s="30" t="str">
        <f>IF(COUNTA(Tabelle32[[#This Row],[Type:Vid_1080i50]:[Type:Anc_Prot]])&gt;0,"x","")</f>
        <v>x</v>
      </c>
      <c r="BJ16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168" s="59"/>
      <c r="BL168" s="59"/>
      <c r="BM168" s="63"/>
      <c r="BN168" s="63"/>
      <c r="BO168" s="97" t="s">
        <v>415</v>
      </c>
      <c r="BP168" s="97" t="s">
        <v>366</v>
      </c>
      <c r="BQ168" s="75">
        <f>LEN(Tabelle32[[#This Row],[Label 1
GFX-Unit]])</f>
        <v>7</v>
      </c>
      <c r="BR168" s="63"/>
      <c r="BS168" s="63"/>
      <c r="BT168" s="59"/>
      <c r="BU168" s="59"/>
      <c r="BV168" s="59" t="s">
        <v>264</v>
      </c>
      <c r="BW168" s="59" t="s">
        <v>265</v>
      </c>
      <c r="BX168" s="59" t="s">
        <v>455</v>
      </c>
      <c r="BY168" s="59">
        <v>8</v>
      </c>
    </row>
    <row r="169" spans="1:77" x14ac:dyDescent="0.2">
      <c r="A169" s="58" t="str">
        <f>CONCATENATE(Tabelle32[[#This Row],[Device ID]],".",Tabelle32[[#This Row],[Streamcounter]])</f>
        <v>385.08216</v>
      </c>
      <c r="B16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VGW-103_SDI08_AUDsend_0016</v>
      </c>
      <c r="C169" s="60"/>
      <c r="D169" s="61"/>
      <c r="E169" s="62"/>
      <c r="F169" s="59" t="str">
        <f>IFERROR(VLOOKUP(Tabelle32[[#This Row],[Device ID]],BOM!$B$3:$BQ$35,16,FALSE),"")</f>
        <v>MPA 431 HD2</v>
      </c>
      <c r="G169" s="63">
        <f>VLOOKUP(Tabelle32[[#This Row],[SDI Interface]],BOM!$A$4:$B$35,2,FALSE)</f>
        <v>385</v>
      </c>
      <c r="H169" s="59" t="str">
        <f>BOM!$C$4</f>
        <v>VGW-103</v>
      </c>
      <c r="I169" s="59" t="str">
        <f>IFERROR(VLOOKUP(Tabelle32[[#This Row],[Device ID]],BOM!$B$3:$BQ$35,12,FALSE),"")</f>
        <v>Videoserver</v>
      </c>
      <c r="J169" s="59" t="str">
        <f>IFERROR(VLOOKUP(Tabelle32[[#This Row],[Device ID]],BOM!$B$3:$BQ$35,13,FALSE),"")</f>
        <v>TC.U1.223 | MDC</v>
      </c>
      <c r="K169" s="59" t="str">
        <f>IFERROR(VLOOKUP(Tabelle32[[#This Row],[Device ID]],BOM!$B$3:$BQ$35,14,FALSE),"")</f>
        <v>Imagine Comunications</v>
      </c>
      <c r="L169" s="59" t="str">
        <f>IFERROR(VLOOKUP(Tabelle32[[#This Row],[Device ID]],BOM!$B$3:$BQ$35,16,FALSE),"")</f>
        <v>MPA 431 HD2</v>
      </c>
      <c r="M169" s="63" t="str">
        <f>IFERROR(VLOOKUP(Tabelle32[[#This Row],[Device ID]],BOM!$B$3:$BQ$35,17,FALSE),"")</f>
        <v>MPA 431</v>
      </c>
      <c r="N169" s="59" t="str">
        <f>IFERROR(VLOOKUP(Tabelle32[[#This Row],[Device ID]],BOM!$B$3:$BQ$35,18,FALSE),"")</f>
        <v>TC.03.021 | MPA431</v>
      </c>
      <c r="O169" s="64"/>
      <c r="P169" s="64">
        <f>IFERROR(VLOOKUP(Tabelle32[[#This Row],[Device ID]],BOM!$B$3:$BO$50,20,FALSE),"")</f>
        <v>0</v>
      </c>
      <c r="Q169" s="64">
        <f>IFERROR(VLOOKUP(Tabelle32[[#This Row],[Device ID]],BOM!$B$3:$BO$50,21,FALSE),"")</f>
        <v>1</v>
      </c>
      <c r="R169" s="64">
        <f>IFERROR(VLOOKUP(Tabelle32[[#This Row],[Device ID]],BOM!$B$3:$BO$50,22,FALSE),"")</f>
        <v>0</v>
      </c>
      <c r="S169" s="64"/>
      <c r="T169" s="64"/>
      <c r="U169" s="59" t="str">
        <f>IFERROR(VLOOKUP(Tabelle32[[#This Row],[Device ID]],BOM!$B$3:$BQ$35,25,FALSE),"")</f>
        <v>Luis/Ivo</v>
      </c>
      <c r="V169" s="59" t="str">
        <f>IFERROR(VLOOKUP(Tabelle32[[#This Row],[Device ID]],BOM!$B$3:$BQ$35,26,FALSE),"")</f>
        <v>tpco-megw-vgw103.rta.st-net.media.int</v>
      </c>
      <c r="W169" s="59" t="str">
        <f>IFERROR(VLOOKUP(Tabelle32[[#This Row],[Device ID]],BOM!$B$3:$BQ$35,27,FALSE),"")</f>
        <v>10.120.236.50</v>
      </c>
      <c r="X169" s="59" t="str">
        <f>IFERROR(VLOOKUP(Tabelle32[[#This Row],[Device ID]],BOM!$B$3:$BQ$35,28,FALSE),"")</f>
        <v>AVCoreA</v>
      </c>
      <c r="Y169" s="59" t="str">
        <f>IFERROR(VLOOKUP(Tabelle32[[#This Row],[Device ID]],BOM!$B$3:$BQ$35,29,FALSE),"")</f>
        <v>5_36_1</v>
      </c>
      <c r="Z169" s="59" t="str">
        <f>IFERROR(VLOOKUP(Tabelle32[[#This Row],[Device ID]],BOM!$B$3:$BQ$35,30,FALSE),"")</f>
        <v>tpco-megw-vgw103.rtb.st-net.media.int</v>
      </c>
      <c r="AA169" s="59" t="str">
        <f>IFERROR(VLOOKUP(Tabelle32[[#This Row],[Device ID]],BOM!$B$3:$BQ$35,31,FALSE),"")</f>
        <v>10.120.236.54</v>
      </c>
      <c r="AB169" s="59" t="str">
        <f>IFERROR(VLOOKUP(Tabelle32[[#This Row],[Device ID]],BOM!$B$3:$BQ$35,32,FALSE),"")</f>
        <v>AVCoreB</v>
      </c>
      <c r="AC169" s="59" t="str">
        <f>IFERROR(VLOOKUP(Tabelle32[[#This Row],[Device ID]],BOM!$B$3:$BQ$35,33,FALSE),"")</f>
        <v>5_36_1</v>
      </c>
      <c r="AD169" s="59" t="str">
        <f>IFERROR(VLOOKUP(Tabelle32[[#This Row],[Device ID]],BOM!$B$3:$BQ$35,34,FALSE),"")</f>
        <v>tpco-megw-vgw103.st-net.media.int</v>
      </c>
      <c r="AE169" s="59" t="str">
        <f>IFERROR(VLOOKUP(Tabelle32[[#This Row],[Device ID]],BOM!$B$3:$BQ$35,35,FALSE),"")</f>
        <v>10.120.67.141</v>
      </c>
      <c r="AF169" s="59">
        <f>IFERROR(VLOOKUP(Tabelle32[[#This Row],[Device ID]],BOM!$B$3:$BQ$35,36,FALSE),"")</f>
        <v>0</v>
      </c>
      <c r="AG169" s="59">
        <f>IFERROR(VLOOKUP(Tabelle32[[#This Row],[Device ID]],BOM!$B$3:$BQ$35,37,FALSE),"")</f>
        <v>0</v>
      </c>
      <c r="AH169" s="59"/>
      <c r="AI169" s="59"/>
      <c r="AJ169" s="59"/>
      <c r="AK169" s="59"/>
      <c r="AL169" s="59" t="str">
        <f>IFERROR(VLOOKUP(Tabelle32[[#This Row],[Device ID]],BOM!$B$3:$BQ$35,42,FALSE),"")</f>
        <v>Imagine Communications SNP</v>
      </c>
      <c r="AM169" s="59" t="str">
        <f>IFERROR(VLOOKUP(Tabelle32[[#This Row],[Device ID]],BOM!$B$3:$BQ$35,43,FALSE),"")</f>
        <v>no</v>
      </c>
      <c r="AN169" s="59" t="str">
        <f>IFERROR(VLOOKUP(Tabelle32[[#This Row],[Device ID]],BOM!$B$3:$BQ$35,44,FALSE),"")</f>
        <v>yes</v>
      </c>
      <c r="AO169" s="59" t="str">
        <f>IFERROR(VLOOKUP(Tabelle32[[#This Row],[Device ID]],BOM!$B$3:$BQ$35,45,FALSE),"")</f>
        <v>no</v>
      </c>
      <c r="AP169" s="59" t="str">
        <f>IFERROR(CONCATENATE(Tabelle32[[#This Row],[Family
GFX-Unit]]," | ",Tabelle32[[#This Row],[Label 1
GFX-Unit]]," | ",Tabelle32[[#This Row],[Attached Device if Gateway]]),"")</f>
        <v>PLAYOUT MPA431 | HD2-016 | MPA 431 HD2</v>
      </c>
      <c r="AQ169" s="59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 t="s">
        <v>97</v>
      </c>
      <c r="BE169" s="90"/>
      <c r="BF169" s="90"/>
      <c r="BG169" s="90"/>
      <c r="BH169" s="73" t="s">
        <v>199</v>
      </c>
      <c r="BI169" s="30" t="str">
        <f>IF(COUNTA(Tabelle32[[#This Row],[Type:Vid_1080i50]:[Type:Anc_Prot]])&gt;0,"x","")</f>
        <v>x</v>
      </c>
      <c r="BJ16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169" s="59"/>
      <c r="BL169" s="59"/>
      <c r="BM169" s="63"/>
      <c r="BN169" s="63"/>
      <c r="BO169" s="97" t="s">
        <v>415</v>
      </c>
      <c r="BP169" s="97" t="s">
        <v>368</v>
      </c>
      <c r="BQ169" s="75">
        <f>LEN(Tabelle32[[#This Row],[Label 1
GFX-Unit]])</f>
        <v>7</v>
      </c>
      <c r="BR169" s="63"/>
      <c r="BS169" s="63"/>
      <c r="BT169" s="59"/>
      <c r="BU169" s="59"/>
      <c r="BV169" s="59" t="s">
        <v>268</v>
      </c>
      <c r="BW169" s="59" t="s">
        <v>269</v>
      </c>
      <c r="BX169" s="59" t="s">
        <v>456</v>
      </c>
      <c r="BY169" s="59">
        <v>8</v>
      </c>
    </row>
    <row r="170" spans="1:77" x14ac:dyDescent="0.2">
      <c r="A170" s="58" t="str">
        <f>CONCATENATE(Tabelle32[[#This Row],[Device ID]],".",Tabelle32[[#This Row],[Streamcounter]])</f>
        <v>385.08101</v>
      </c>
      <c r="B17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VGW-103_SDI08_VIDsend_0001</v>
      </c>
      <c r="C170" s="60"/>
      <c r="D170" s="61"/>
      <c r="E170" s="62"/>
      <c r="F170" s="59" t="str">
        <f>IFERROR(VLOOKUP(Tabelle32[[#This Row],[Device ID]],BOM!$B$3:$BQ$35,16,FALSE),"")</f>
        <v>MPA 431 HD2</v>
      </c>
      <c r="G170" s="63">
        <f>VLOOKUP(Tabelle32[[#This Row],[SDI Interface]],BOM!$A$4:$B$35,2,FALSE)</f>
        <v>385</v>
      </c>
      <c r="H170" s="59" t="str">
        <f>BOM!$C$4</f>
        <v>VGW-103</v>
      </c>
      <c r="I170" s="59" t="str">
        <f>IFERROR(VLOOKUP(Tabelle32[[#This Row],[Device ID]],BOM!$B$3:$BQ$35,12,FALSE),"")</f>
        <v>Videoserver</v>
      </c>
      <c r="J170" s="59" t="str">
        <f>IFERROR(VLOOKUP(Tabelle32[[#This Row],[Device ID]],BOM!$B$3:$BQ$35,13,FALSE),"")</f>
        <v>TC.U1.223 | MDC</v>
      </c>
      <c r="K170" s="59" t="str">
        <f>IFERROR(VLOOKUP(Tabelle32[[#This Row],[Device ID]],BOM!$B$3:$BQ$35,14,FALSE),"")</f>
        <v>Imagine Comunications</v>
      </c>
      <c r="L170" s="59" t="str">
        <f>IFERROR(VLOOKUP(Tabelle32[[#This Row],[Device ID]],BOM!$B$3:$BQ$35,16,FALSE),"")</f>
        <v>MPA 431 HD2</v>
      </c>
      <c r="M170" s="63" t="str">
        <f>IFERROR(VLOOKUP(Tabelle32[[#This Row],[Device ID]],BOM!$B$3:$BQ$35,17,FALSE),"")</f>
        <v>MPA 431</v>
      </c>
      <c r="N170" s="59" t="str">
        <f>IFERROR(VLOOKUP(Tabelle32[[#This Row],[Device ID]],BOM!$B$3:$BQ$35,18,FALSE),"")</f>
        <v>TC.03.021 | MPA431</v>
      </c>
      <c r="O170" s="64"/>
      <c r="P170" s="64">
        <f>IFERROR(VLOOKUP(Tabelle32[[#This Row],[Device ID]],BOM!$B$3:$BO$50,20,FALSE),"")</f>
        <v>0</v>
      </c>
      <c r="Q170" s="64">
        <f>IFERROR(VLOOKUP(Tabelle32[[#This Row],[Device ID]],BOM!$B$3:$BO$50,21,FALSE),"")</f>
        <v>1</v>
      </c>
      <c r="R170" s="64">
        <f>IFERROR(VLOOKUP(Tabelle32[[#This Row],[Device ID]],BOM!$B$3:$BO$50,22,FALSE),"")</f>
        <v>0</v>
      </c>
      <c r="S170" s="64"/>
      <c r="T170" s="64"/>
      <c r="U170" s="59" t="str">
        <f>IFERROR(VLOOKUP(Tabelle32[[#This Row],[Device ID]],BOM!$B$3:$BQ$35,25,FALSE),"")</f>
        <v>Luis/Ivo</v>
      </c>
      <c r="V170" s="59" t="str">
        <f>IFERROR(VLOOKUP(Tabelle32[[#This Row],[Device ID]],BOM!$B$3:$BQ$35,26,FALSE),"")</f>
        <v>tpco-megw-vgw103.rta.st-net.media.int</v>
      </c>
      <c r="W170" s="59" t="str">
        <f>IFERROR(VLOOKUP(Tabelle32[[#This Row],[Device ID]],BOM!$B$3:$BQ$35,27,FALSE),"")</f>
        <v>10.120.236.50</v>
      </c>
      <c r="X170" s="59" t="str">
        <f>IFERROR(VLOOKUP(Tabelle32[[#This Row],[Device ID]],BOM!$B$3:$BQ$35,28,FALSE),"")</f>
        <v>AVCoreA</v>
      </c>
      <c r="Y170" s="59" t="str">
        <f>IFERROR(VLOOKUP(Tabelle32[[#This Row],[Device ID]],BOM!$B$3:$BQ$35,29,FALSE),"")</f>
        <v>5_36_1</v>
      </c>
      <c r="Z170" s="59" t="str">
        <f>IFERROR(VLOOKUP(Tabelle32[[#This Row],[Device ID]],BOM!$B$3:$BQ$35,30,FALSE),"")</f>
        <v>tpco-megw-vgw103.rtb.st-net.media.int</v>
      </c>
      <c r="AA170" s="59" t="str">
        <f>IFERROR(VLOOKUP(Tabelle32[[#This Row],[Device ID]],BOM!$B$3:$BQ$35,31,FALSE),"")</f>
        <v>10.120.236.54</v>
      </c>
      <c r="AB170" s="59" t="str">
        <f>IFERROR(VLOOKUP(Tabelle32[[#This Row],[Device ID]],BOM!$B$3:$BQ$35,32,FALSE),"")</f>
        <v>AVCoreB</v>
      </c>
      <c r="AC170" s="59" t="str">
        <f>IFERROR(VLOOKUP(Tabelle32[[#This Row],[Device ID]],BOM!$B$3:$BQ$35,33,FALSE),"")</f>
        <v>5_36_1</v>
      </c>
      <c r="AD170" s="59" t="str">
        <f>IFERROR(VLOOKUP(Tabelle32[[#This Row],[Device ID]],BOM!$B$3:$BQ$35,34,FALSE),"")</f>
        <v>tpco-megw-vgw103.st-net.media.int</v>
      </c>
      <c r="AE170" s="59" t="str">
        <f>IFERROR(VLOOKUP(Tabelle32[[#This Row],[Device ID]],BOM!$B$3:$BQ$35,35,FALSE),"")</f>
        <v>10.120.67.141</v>
      </c>
      <c r="AF170" s="59">
        <f>IFERROR(VLOOKUP(Tabelle32[[#This Row],[Device ID]],BOM!$B$3:$BQ$35,36,FALSE),"")</f>
        <v>0</v>
      </c>
      <c r="AG170" s="59">
        <f>IFERROR(VLOOKUP(Tabelle32[[#This Row],[Device ID]],BOM!$B$3:$BQ$35,37,FALSE),"")</f>
        <v>0</v>
      </c>
      <c r="AH170" s="59"/>
      <c r="AI170" s="59"/>
      <c r="AJ170" s="59"/>
      <c r="AK170" s="59"/>
      <c r="AL170" s="59" t="str">
        <f>IFERROR(VLOOKUP(Tabelle32[[#This Row],[Device ID]],BOM!$B$3:$BQ$35,42,FALSE),"")</f>
        <v>Imagine Communications SNP</v>
      </c>
      <c r="AM170" s="59" t="str">
        <f>IFERROR(VLOOKUP(Tabelle32[[#This Row],[Device ID]],BOM!$B$3:$BQ$35,43,FALSE),"")</f>
        <v>no</v>
      </c>
      <c r="AN170" s="59" t="str">
        <f>IFERROR(VLOOKUP(Tabelle32[[#This Row],[Device ID]],BOM!$B$3:$BQ$35,44,FALSE),"")</f>
        <v>yes</v>
      </c>
      <c r="AO170" s="59" t="str">
        <f>IFERROR(VLOOKUP(Tabelle32[[#This Row],[Device ID]],BOM!$B$3:$BQ$35,45,FALSE),"")</f>
        <v>no</v>
      </c>
      <c r="AP170" s="59" t="str">
        <f>IFERROR(CONCATENATE(Tabelle32[[#This Row],[Family
GFX-Unit]]," | ",Tabelle32[[#This Row],[Label 1
GFX-Unit]]," | ",Tabelle32[[#This Row],[Attached Device if Gateway]]),"")</f>
        <v>PLAYOUT MPA431 | HD2 | MPA 431 HD2</v>
      </c>
      <c r="AQ170" s="59"/>
      <c r="AR170" s="90" t="s">
        <v>97</v>
      </c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73" t="s">
        <v>199</v>
      </c>
      <c r="BI170" s="30" t="str">
        <f>IF(COUNTA(Tabelle32[[#This Row],[Type:Vid_1080i50]:[Type:Anc_Prot]])&gt;0,"x","")</f>
        <v>x</v>
      </c>
      <c r="BJ17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170" s="59"/>
      <c r="BL170" s="59"/>
      <c r="BM170" s="63"/>
      <c r="BN170" s="63"/>
      <c r="BO170" s="97" t="s">
        <v>415</v>
      </c>
      <c r="BP170" s="97" t="s">
        <v>370</v>
      </c>
      <c r="BQ170" s="75">
        <f>LEN(Tabelle32[[#This Row],[Label 1
GFX-Unit]])</f>
        <v>3</v>
      </c>
      <c r="BR170" s="63"/>
      <c r="BS170" s="63"/>
      <c r="BT170" s="59"/>
      <c r="BU170" s="59"/>
      <c r="BV170" s="59" t="s">
        <v>272</v>
      </c>
      <c r="BW170" s="59" t="s">
        <v>273</v>
      </c>
      <c r="BX170" s="59" t="s">
        <v>457</v>
      </c>
      <c r="BY170" s="59">
        <v>8</v>
      </c>
    </row>
    <row r="171" spans="1:77" x14ac:dyDescent="0.2">
      <c r="A171" s="58" t="str">
        <f>CONCATENATE(Tabelle32[[#This Row],[Device ID]],".",Tabelle32[[#This Row],[Streamcounter]])</f>
        <v>386.09301</v>
      </c>
      <c r="B17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VGW-103_SDI09_ANCrec_0001</v>
      </c>
      <c r="C171" s="60"/>
      <c r="D171" s="61"/>
      <c r="E171" s="62"/>
      <c r="F171" s="59" t="str">
        <f>IFERROR(VLOOKUP(Tabelle32[[#This Row],[Device ID]],BOM!$B$3:$BQ$35,16,FALSE),"")</f>
        <v>IngSRV-06</v>
      </c>
      <c r="G171" s="63">
        <f>VLOOKUP(Tabelle32[[#This Row],[SDI Interface]],BOM!$A$4:$B$35,2,FALSE)</f>
        <v>386</v>
      </c>
      <c r="H171" s="59" t="str">
        <f>BOM!$C$4</f>
        <v>VGW-103</v>
      </c>
      <c r="I171" s="59" t="str">
        <f>IFERROR(VLOOKUP(Tabelle32[[#This Row],[Device ID]],BOM!$B$3:$BQ$35,12,FALSE),"")</f>
        <v>Videoserver</v>
      </c>
      <c r="J171" s="59" t="str">
        <f>IFERROR(VLOOKUP(Tabelle32[[#This Row],[Device ID]],BOM!$B$3:$BQ$35,13,FALSE),"")</f>
        <v>TC.U1.223 | MDC</v>
      </c>
      <c r="K171" s="59" t="str">
        <f>IFERROR(VLOOKUP(Tabelle32[[#This Row],[Device ID]],BOM!$B$3:$BQ$35,14,FALSE),"")</f>
        <v>Imagine Comunications</v>
      </c>
      <c r="L171" s="59" t="str">
        <f>IFERROR(VLOOKUP(Tabelle32[[#This Row],[Device ID]],BOM!$B$3:$BQ$35,16,FALSE),"")</f>
        <v>IngSRV-06</v>
      </c>
      <c r="M171" s="63" t="str">
        <f>IFERROR(VLOOKUP(Tabelle32[[#This Row],[Device ID]],BOM!$B$3:$BQ$35,17,FALSE),"")</f>
        <v>M3H</v>
      </c>
      <c r="N171" s="59" t="str">
        <f>IFERROR(VLOOKUP(Tabelle32[[#This Row],[Device ID]],BOM!$B$3:$BQ$35,18,FALSE),"")</f>
        <v>TC.03.225 | M3H</v>
      </c>
      <c r="O171" s="64"/>
      <c r="P171" s="64">
        <f>IFERROR(VLOOKUP(Tabelle32[[#This Row],[Device ID]],BOM!$B$3:$BO$50,20,FALSE),"")</f>
        <v>0</v>
      </c>
      <c r="Q171" s="64">
        <f>IFERROR(VLOOKUP(Tabelle32[[#This Row],[Device ID]],BOM!$B$3:$BO$50,21,FALSE),"")</f>
        <v>1</v>
      </c>
      <c r="R171" s="64">
        <f>IFERROR(VLOOKUP(Tabelle32[[#This Row],[Device ID]],BOM!$B$3:$BO$50,22,FALSE),"")</f>
        <v>0</v>
      </c>
      <c r="S171" s="64"/>
      <c r="T171" s="64"/>
      <c r="U171" s="59" t="str">
        <f>IFERROR(VLOOKUP(Tabelle32[[#This Row],[Device ID]],BOM!$B$3:$BQ$35,25,FALSE),"")</f>
        <v>Luis/Ivo</v>
      </c>
      <c r="V171" s="59" t="str">
        <f>IFERROR(VLOOKUP(Tabelle32[[#This Row],[Device ID]],BOM!$B$3:$BQ$35,26,FALSE),"")</f>
        <v>tpco-megw-vgw103.rta.st-net.media.int</v>
      </c>
      <c r="W171" s="59" t="str">
        <f>IFERROR(VLOOKUP(Tabelle32[[#This Row],[Device ID]],BOM!$B$3:$BQ$35,27,FALSE),"")</f>
        <v>10.120.236.50</v>
      </c>
      <c r="X171" s="59" t="str">
        <f>IFERROR(VLOOKUP(Tabelle32[[#This Row],[Device ID]],BOM!$B$3:$BQ$35,28,FALSE),"")</f>
        <v>AVCoreA</v>
      </c>
      <c r="Y171" s="59" t="str">
        <f>IFERROR(VLOOKUP(Tabelle32[[#This Row],[Device ID]],BOM!$B$3:$BQ$35,29,FALSE),"")</f>
        <v>5_36_1</v>
      </c>
      <c r="Z171" s="59" t="str">
        <f>IFERROR(VLOOKUP(Tabelle32[[#This Row],[Device ID]],BOM!$B$3:$BQ$35,30,FALSE),"")</f>
        <v>tpco-megw-vgw103.rtb.st-net.media.int</v>
      </c>
      <c r="AA171" s="59" t="str">
        <f>IFERROR(VLOOKUP(Tabelle32[[#This Row],[Device ID]],BOM!$B$3:$BQ$35,31,FALSE),"")</f>
        <v>10.120.236.54</v>
      </c>
      <c r="AB171" s="59" t="str">
        <f>IFERROR(VLOOKUP(Tabelle32[[#This Row],[Device ID]],BOM!$B$3:$BQ$35,32,FALSE),"")</f>
        <v>AVCoreB</v>
      </c>
      <c r="AC171" s="59" t="str">
        <f>IFERROR(VLOOKUP(Tabelle32[[#This Row],[Device ID]],BOM!$B$3:$BQ$35,33,FALSE),"")</f>
        <v>5_36_1</v>
      </c>
      <c r="AD171" s="59" t="str">
        <f>IFERROR(VLOOKUP(Tabelle32[[#This Row],[Device ID]],BOM!$B$3:$BQ$35,34,FALSE),"")</f>
        <v>tpco-megw-vgw103.st-net.media.int</v>
      </c>
      <c r="AE171" s="59" t="str">
        <f>IFERROR(VLOOKUP(Tabelle32[[#This Row],[Device ID]],BOM!$B$3:$BQ$35,35,FALSE),"")</f>
        <v>10.120.67.141</v>
      </c>
      <c r="AF171" s="59">
        <f>IFERROR(VLOOKUP(Tabelle32[[#This Row],[Device ID]],BOM!$B$3:$BQ$35,36,FALSE),"")</f>
        <v>0</v>
      </c>
      <c r="AG171" s="59">
        <f>IFERROR(VLOOKUP(Tabelle32[[#This Row],[Device ID]],BOM!$B$3:$BQ$35,37,FALSE),"")</f>
        <v>0</v>
      </c>
      <c r="AH171" s="59"/>
      <c r="AI171" s="59"/>
      <c r="AJ171" s="59"/>
      <c r="AK171" s="59"/>
      <c r="AL171" s="59" t="str">
        <f>IFERROR(VLOOKUP(Tabelle32[[#This Row],[Device ID]],BOM!$B$3:$BQ$35,42,FALSE),"")</f>
        <v>Imagine Communications SNP</v>
      </c>
      <c r="AM171" s="59" t="str">
        <f>IFERROR(VLOOKUP(Tabelle32[[#This Row],[Device ID]],BOM!$B$3:$BQ$35,43,FALSE),"")</f>
        <v>no</v>
      </c>
      <c r="AN171" s="59" t="str">
        <f>IFERROR(VLOOKUP(Tabelle32[[#This Row],[Device ID]],BOM!$B$3:$BQ$35,44,FALSE),"")</f>
        <v>yes</v>
      </c>
      <c r="AO171" s="59" t="str">
        <f>IFERROR(VLOOKUP(Tabelle32[[#This Row],[Device ID]],BOM!$B$3:$BQ$35,45,FALSE),"")</f>
        <v>no</v>
      </c>
      <c r="AP171" s="59" t="str">
        <f>IFERROR(CONCATENATE(Tabelle32[[#This Row],[Family
GFX-Unit]]," | ",Tabelle32[[#This Row],[Label 1
GFX-Unit]]," | ",Tabelle32[[#This Row],[Attached Device if Gateway]]),"")</f>
        <v>M3H InCh REM | Ingest Ch21-ANC1 | IngSRV-06</v>
      </c>
      <c r="AQ171" s="59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 t="s">
        <v>97</v>
      </c>
      <c r="BH171" s="73" t="s">
        <v>199</v>
      </c>
      <c r="BI171" s="30" t="str">
        <f>IF(COUNTA(Tabelle32[[#This Row],[Type:Vid_1080i50]:[Type:Anc_Prot]])&gt;0,"x","")</f>
        <v>x</v>
      </c>
      <c r="BJ17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171" s="59"/>
      <c r="BL171" s="59"/>
      <c r="BM171" s="63"/>
      <c r="BN171" s="63"/>
      <c r="BO171" s="97" t="s">
        <v>458</v>
      </c>
      <c r="BP171" s="97" t="s">
        <v>459</v>
      </c>
      <c r="BQ171" s="75">
        <f>LEN(Tabelle32[[#This Row],[Label 1
GFX-Unit]])</f>
        <v>16</v>
      </c>
      <c r="BR171" s="63"/>
      <c r="BS171" s="63"/>
      <c r="BT171" s="59"/>
      <c r="BU171" s="59"/>
      <c r="BV171" s="59" t="s">
        <v>202</v>
      </c>
      <c r="BW171" s="59" t="s">
        <v>203</v>
      </c>
      <c r="BX171" s="59" t="s">
        <v>460</v>
      </c>
      <c r="BY171" s="59">
        <v>9</v>
      </c>
    </row>
    <row r="172" spans="1:77" hidden="1" x14ac:dyDescent="0.2">
      <c r="A172" s="58" t="str">
        <f>CONCATENATE(Tabelle32[[#This Row],[Device ID]],".",Tabelle32[[#This Row],[Streamcounter]])</f>
        <v>386.09302</v>
      </c>
      <c r="B17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VGW-103_SDI09_ANCrec_0002</v>
      </c>
      <c r="C172" s="60"/>
      <c r="D172" s="61"/>
      <c r="E172" s="62"/>
      <c r="F172" s="59" t="str">
        <f>IFERROR(VLOOKUP(Tabelle32[[#This Row],[Device ID]],BOM!$B$3:$BQ$35,16,FALSE),"")</f>
        <v>IngSRV-06</v>
      </c>
      <c r="G172" s="63">
        <f>VLOOKUP(Tabelle32[[#This Row],[SDI Interface]],BOM!$A$4:$B$35,2,FALSE)</f>
        <v>386</v>
      </c>
      <c r="H172" s="59" t="str">
        <f>BOM!$C$4</f>
        <v>VGW-103</v>
      </c>
      <c r="I172" s="59" t="str">
        <f>IFERROR(VLOOKUP(Tabelle32[[#This Row],[Device ID]],BOM!$B$3:$BQ$35,12,FALSE),"")</f>
        <v>Videoserver</v>
      </c>
      <c r="J172" s="59" t="str">
        <f>IFERROR(VLOOKUP(Tabelle32[[#This Row],[Device ID]],BOM!$B$3:$BQ$35,13,FALSE),"")</f>
        <v>TC.U1.223 | MDC</v>
      </c>
      <c r="K172" s="59" t="str">
        <f>IFERROR(VLOOKUP(Tabelle32[[#This Row],[Device ID]],BOM!$B$3:$BQ$35,14,FALSE),"")</f>
        <v>Imagine Comunications</v>
      </c>
      <c r="L172" s="59" t="str">
        <f>IFERROR(VLOOKUP(Tabelle32[[#This Row],[Device ID]],BOM!$B$3:$BQ$35,16,FALSE),"")</f>
        <v>IngSRV-06</v>
      </c>
      <c r="M172" s="63" t="str">
        <f>IFERROR(VLOOKUP(Tabelle32[[#This Row],[Device ID]],BOM!$B$3:$BQ$35,17,FALSE),"")</f>
        <v>M3H</v>
      </c>
      <c r="N172" s="59" t="str">
        <f>IFERROR(VLOOKUP(Tabelle32[[#This Row],[Device ID]],BOM!$B$3:$BQ$35,18,FALSE),"")</f>
        <v>TC.03.225 | M3H</v>
      </c>
      <c r="O172" s="64"/>
      <c r="P172" s="64">
        <f>IFERROR(VLOOKUP(Tabelle32[[#This Row],[Device ID]],BOM!$B$3:$BO$50,20,FALSE),"")</f>
        <v>0</v>
      </c>
      <c r="Q172" s="64">
        <f>IFERROR(VLOOKUP(Tabelle32[[#This Row],[Device ID]],BOM!$B$3:$BO$50,21,FALSE),"")</f>
        <v>1</v>
      </c>
      <c r="R172" s="64">
        <f>IFERROR(VLOOKUP(Tabelle32[[#This Row],[Device ID]],BOM!$B$3:$BO$50,22,FALSE),"")</f>
        <v>0</v>
      </c>
      <c r="S172" s="64"/>
      <c r="T172" s="64"/>
      <c r="U172" s="59" t="str">
        <f>IFERROR(VLOOKUP(Tabelle32[[#This Row],[Device ID]],BOM!$B$3:$BQ$35,25,FALSE),"")</f>
        <v>Luis/Ivo</v>
      </c>
      <c r="V172" s="59" t="str">
        <f>IFERROR(VLOOKUP(Tabelle32[[#This Row],[Device ID]],BOM!$B$3:$BQ$35,26,FALSE),"")</f>
        <v>tpco-megw-vgw103.rta.st-net.media.int</v>
      </c>
      <c r="W172" s="59" t="str">
        <f>IFERROR(VLOOKUP(Tabelle32[[#This Row],[Device ID]],BOM!$B$3:$BQ$35,27,FALSE),"")</f>
        <v>10.120.236.50</v>
      </c>
      <c r="X172" s="59" t="str">
        <f>IFERROR(VLOOKUP(Tabelle32[[#This Row],[Device ID]],BOM!$B$3:$BQ$35,28,FALSE),"")</f>
        <v>AVCoreA</v>
      </c>
      <c r="Y172" s="59" t="str">
        <f>IFERROR(VLOOKUP(Tabelle32[[#This Row],[Device ID]],BOM!$B$3:$BQ$35,29,FALSE),"")</f>
        <v>5_36_1</v>
      </c>
      <c r="Z172" s="59" t="str">
        <f>IFERROR(VLOOKUP(Tabelle32[[#This Row],[Device ID]],BOM!$B$3:$BQ$35,30,FALSE),"")</f>
        <v>tpco-megw-vgw103.rtb.st-net.media.int</v>
      </c>
      <c r="AA172" s="59" t="str">
        <f>IFERROR(VLOOKUP(Tabelle32[[#This Row],[Device ID]],BOM!$B$3:$BQ$35,31,FALSE),"")</f>
        <v>10.120.236.54</v>
      </c>
      <c r="AB172" s="59" t="str">
        <f>IFERROR(VLOOKUP(Tabelle32[[#This Row],[Device ID]],BOM!$B$3:$BQ$35,32,FALSE),"")</f>
        <v>AVCoreB</v>
      </c>
      <c r="AC172" s="59" t="str">
        <f>IFERROR(VLOOKUP(Tabelle32[[#This Row],[Device ID]],BOM!$B$3:$BQ$35,33,FALSE),"")</f>
        <v>5_36_1</v>
      </c>
      <c r="AD172" s="59" t="str">
        <f>IFERROR(VLOOKUP(Tabelle32[[#This Row],[Device ID]],BOM!$B$3:$BQ$35,34,FALSE),"")</f>
        <v>tpco-megw-vgw103.st-net.media.int</v>
      </c>
      <c r="AE172" s="59" t="str">
        <f>IFERROR(VLOOKUP(Tabelle32[[#This Row],[Device ID]],BOM!$B$3:$BQ$35,35,FALSE),"")</f>
        <v>10.120.67.141</v>
      </c>
      <c r="AF172" s="59">
        <f>IFERROR(VLOOKUP(Tabelle32[[#This Row],[Device ID]],BOM!$B$3:$BQ$35,36,FALSE),"")</f>
        <v>0</v>
      </c>
      <c r="AG172" s="59">
        <f>IFERROR(VLOOKUP(Tabelle32[[#This Row],[Device ID]],BOM!$B$3:$BQ$35,37,FALSE),"")</f>
        <v>0</v>
      </c>
      <c r="AH172" s="59"/>
      <c r="AI172" s="59"/>
      <c r="AJ172" s="59"/>
      <c r="AK172" s="59"/>
      <c r="AL172" s="59" t="str">
        <f>IFERROR(VLOOKUP(Tabelle32[[#This Row],[Device ID]],BOM!$B$3:$BQ$35,42,FALSE),"")</f>
        <v>Imagine Communications SNP</v>
      </c>
      <c r="AM172" s="59" t="str">
        <f>IFERROR(VLOOKUP(Tabelle32[[#This Row],[Device ID]],BOM!$B$3:$BQ$35,43,FALSE),"")</f>
        <v>no</v>
      </c>
      <c r="AN172" s="59" t="str">
        <f>IFERROR(VLOOKUP(Tabelle32[[#This Row],[Device ID]],BOM!$B$3:$BQ$35,44,FALSE),"")</f>
        <v>yes</v>
      </c>
      <c r="AO172" s="59" t="str">
        <f>IFERROR(VLOOKUP(Tabelle32[[#This Row],[Device ID]],BOM!$B$3:$BQ$35,45,FALSE),"")</f>
        <v>no</v>
      </c>
      <c r="AP172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72" s="59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73" t="s">
        <v>199</v>
      </c>
      <c r="BI172" s="30" t="str">
        <f>IF(COUNTA(Tabelle32[[#This Row],[Type:Vid_1080i50]:[Type:Anc_Prot]])&gt;0,"x","")</f>
        <v/>
      </c>
      <c r="BJ17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72" s="59"/>
      <c r="BL172" s="59"/>
      <c r="BM172" s="63"/>
      <c r="BN172" s="63"/>
      <c r="BO172" s="96"/>
      <c r="BP172" s="96"/>
      <c r="BQ172" s="75">
        <f>LEN(Tabelle32[[#This Row],[Label 1
GFX-Unit]])</f>
        <v>0</v>
      </c>
      <c r="BR172" s="63"/>
      <c r="BS172" s="63"/>
      <c r="BT172" s="59"/>
      <c r="BU172" s="59"/>
      <c r="BV172" s="59" t="s">
        <v>205</v>
      </c>
      <c r="BW172" s="59" t="s">
        <v>206</v>
      </c>
      <c r="BX172" s="59" t="s">
        <v>461</v>
      </c>
      <c r="BY172" s="59">
        <v>9</v>
      </c>
    </row>
    <row r="173" spans="1:77" hidden="1" x14ac:dyDescent="0.2">
      <c r="A173" s="58" t="str">
        <f>CONCATENATE(Tabelle32[[#This Row],[Device ID]],".",Tabelle32[[#This Row],[Streamcounter]])</f>
        <v>386.09303</v>
      </c>
      <c r="B17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VGW-103_SDI09_ANCrec_0003</v>
      </c>
      <c r="C173" s="60"/>
      <c r="D173" s="61"/>
      <c r="E173" s="62"/>
      <c r="F173" s="59" t="str">
        <f>IFERROR(VLOOKUP(Tabelle32[[#This Row],[Device ID]],BOM!$B$3:$BQ$35,16,FALSE),"")</f>
        <v>IngSRV-06</v>
      </c>
      <c r="G173" s="63">
        <f>VLOOKUP(Tabelle32[[#This Row],[SDI Interface]],BOM!$A$4:$B$35,2,FALSE)</f>
        <v>386</v>
      </c>
      <c r="H173" s="59" t="str">
        <f>BOM!$C$4</f>
        <v>VGW-103</v>
      </c>
      <c r="I173" s="59" t="str">
        <f>IFERROR(VLOOKUP(Tabelle32[[#This Row],[Device ID]],BOM!$B$3:$BQ$35,12,FALSE),"")</f>
        <v>Videoserver</v>
      </c>
      <c r="J173" s="59" t="str">
        <f>IFERROR(VLOOKUP(Tabelle32[[#This Row],[Device ID]],BOM!$B$3:$BQ$35,13,FALSE),"")</f>
        <v>TC.U1.223 | MDC</v>
      </c>
      <c r="K173" s="59" t="str">
        <f>IFERROR(VLOOKUP(Tabelle32[[#This Row],[Device ID]],BOM!$B$3:$BQ$35,14,FALSE),"")</f>
        <v>Imagine Comunications</v>
      </c>
      <c r="L173" s="59" t="str">
        <f>IFERROR(VLOOKUP(Tabelle32[[#This Row],[Device ID]],BOM!$B$3:$BQ$35,16,FALSE),"")</f>
        <v>IngSRV-06</v>
      </c>
      <c r="M173" s="63" t="str">
        <f>IFERROR(VLOOKUP(Tabelle32[[#This Row],[Device ID]],BOM!$B$3:$BQ$35,17,FALSE),"")</f>
        <v>M3H</v>
      </c>
      <c r="N173" s="59" t="str">
        <f>IFERROR(VLOOKUP(Tabelle32[[#This Row],[Device ID]],BOM!$B$3:$BQ$35,18,FALSE),"")</f>
        <v>TC.03.225 | M3H</v>
      </c>
      <c r="O173" s="64"/>
      <c r="P173" s="64">
        <f>IFERROR(VLOOKUP(Tabelle32[[#This Row],[Device ID]],BOM!$B$3:$BO$50,20,FALSE),"")</f>
        <v>0</v>
      </c>
      <c r="Q173" s="64">
        <f>IFERROR(VLOOKUP(Tabelle32[[#This Row],[Device ID]],BOM!$B$3:$BO$50,21,FALSE),"")</f>
        <v>1</v>
      </c>
      <c r="R173" s="64">
        <f>IFERROR(VLOOKUP(Tabelle32[[#This Row],[Device ID]],BOM!$B$3:$BO$50,22,FALSE),"")</f>
        <v>0</v>
      </c>
      <c r="S173" s="64"/>
      <c r="T173" s="64"/>
      <c r="U173" s="59" t="str">
        <f>IFERROR(VLOOKUP(Tabelle32[[#This Row],[Device ID]],BOM!$B$3:$BQ$35,25,FALSE),"")</f>
        <v>Luis/Ivo</v>
      </c>
      <c r="V173" s="59" t="str">
        <f>IFERROR(VLOOKUP(Tabelle32[[#This Row],[Device ID]],BOM!$B$3:$BQ$35,26,FALSE),"")</f>
        <v>tpco-megw-vgw103.rta.st-net.media.int</v>
      </c>
      <c r="W173" s="59" t="str">
        <f>IFERROR(VLOOKUP(Tabelle32[[#This Row],[Device ID]],BOM!$B$3:$BQ$35,27,FALSE),"")</f>
        <v>10.120.236.50</v>
      </c>
      <c r="X173" s="59" t="str">
        <f>IFERROR(VLOOKUP(Tabelle32[[#This Row],[Device ID]],BOM!$B$3:$BQ$35,28,FALSE),"")</f>
        <v>AVCoreA</v>
      </c>
      <c r="Y173" s="59" t="str">
        <f>IFERROR(VLOOKUP(Tabelle32[[#This Row],[Device ID]],BOM!$B$3:$BQ$35,29,FALSE),"")</f>
        <v>5_36_1</v>
      </c>
      <c r="Z173" s="59" t="str">
        <f>IFERROR(VLOOKUP(Tabelle32[[#This Row],[Device ID]],BOM!$B$3:$BQ$35,30,FALSE),"")</f>
        <v>tpco-megw-vgw103.rtb.st-net.media.int</v>
      </c>
      <c r="AA173" s="59" t="str">
        <f>IFERROR(VLOOKUP(Tabelle32[[#This Row],[Device ID]],BOM!$B$3:$BQ$35,31,FALSE),"")</f>
        <v>10.120.236.54</v>
      </c>
      <c r="AB173" s="59" t="str">
        <f>IFERROR(VLOOKUP(Tabelle32[[#This Row],[Device ID]],BOM!$B$3:$BQ$35,32,FALSE),"")</f>
        <v>AVCoreB</v>
      </c>
      <c r="AC173" s="59" t="str">
        <f>IFERROR(VLOOKUP(Tabelle32[[#This Row],[Device ID]],BOM!$B$3:$BQ$35,33,FALSE),"")</f>
        <v>5_36_1</v>
      </c>
      <c r="AD173" s="59" t="str">
        <f>IFERROR(VLOOKUP(Tabelle32[[#This Row],[Device ID]],BOM!$B$3:$BQ$35,34,FALSE),"")</f>
        <v>tpco-megw-vgw103.st-net.media.int</v>
      </c>
      <c r="AE173" s="59" t="str">
        <f>IFERROR(VLOOKUP(Tabelle32[[#This Row],[Device ID]],BOM!$B$3:$BQ$35,35,FALSE),"")</f>
        <v>10.120.67.141</v>
      </c>
      <c r="AF173" s="59">
        <f>IFERROR(VLOOKUP(Tabelle32[[#This Row],[Device ID]],BOM!$B$3:$BQ$35,36,FALSE),"")</f>
        <v>0</v>
      </c>
      <c r="AG173" s="59">
        <f>IFERROR(VLOOKUP(Tabelle32[[#This Row],[Device ID]],BOM!$B$3:$BQ$35,37,FALSE),"")</f>
        <v>0</v>
      </c>
      <c r="AH173" s="59"/>
      <c r="AI173" s="59"/>
      <c r="AJ173" s="59"/>
      <c r="AK173" s="59"/>
      <c r="AL173" s="59" t="str">
        <f>IFERROR(VLOOKUP(Tabelle32[[#This Row],[Device ID]],BOM!$B$3:$BQ$35,42,FALSE),"")</f>
        <v>Imagine Communications SNP</v>
      </c>
      <c r="AM173" s="59" t="str">
        <f>IFERROR(VLOOKUP(Tabelle32[[#This Row],[Device ID]],BOM!$B$3:$BQ$35,43,FALSE),"")</f>
        <v>no</v>
      </c>
      <c r="AN173" s="59" t="str">
        <f>IFERROR(VLOOKUP(Tabelle32[[#This Row],[Device ID]],BOM!$B$3:$BQ$35,44,FALSE),"")</f>
        <v>yes</v>
      </c>
      <c r="AO173" s="59" t="str">
        <f>IFERROR(VLOOKUP(Tabelle32[[#This Row],[Device ID]],BOM!$B$3:$BQ$35,45,FALSE),"")</f>
        <v>no</v>
      </c>
      <c r="AP173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73" s="59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73" t="s">
        <v>199</v>
      </c>
      <c r="BI173" s="30" t="str">
        <f>IF(COUNTA(Tabelle32[[#This Row],[Type:Vid_1080i50]:[Type:Anc_Prot]])&gt;0,"x","")</f>
        <v/>
      </c>
      <c r="BJ17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73" s="59"/>
      <c r="BL173" s="59"/>
      <c r="BM173" s="63"/>
      <c r="BN173" s="63"/>
      <c r="BO173" s="96"/>
      <c r="BP173" s="96"/>
      <c r="BQ173" s="75">
        <f>LEN(Tabelle32[[#This Row],[Label 1
GFX-Unit]])</f>
        <v>0</v>
      </c>
      <c r="BR173" s="63"/>
      <c r="BS173" s="63"/>
      <c r="BT173" s="59"/>
      <c r="BU173" s="59"/>
      <c r="BV173" s="59" t="s">
        <v>208</v>
      </c>
      <c r="BW173" s="59" t="s">
        <v>209</v>
      </c>
      <c r="BX173" s="59" t="s">
        <v>462</v>
      </c>
      <c r="BY173" s="59">
        <v>9</v>
      </c>
    </row>
    <row r="174" spans="1:77" hidden="1" x14ac:dyDescent="0.2">
      <c r="A174" s="58" t="str">
        <f>CONCATENATE(Tabelle32[[#This Row],[Device ID]],".",Tabelle32[[#This Row],[Streamcounter]])</f>
        <v>386.09304</v>
      </c>
      <c r="B17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VGW-103_SDI09_ANCrec_0004</v>
      </c>
      <c r="C174" s="60"/>
      <c r="D174" s="61"/>
      <c r="E174" s="62"/>
      <c r="F174" s="59" t="str">
        <f>IFERROR(VLOOKUP(Tabelle32[[#This Row],[Device ID]],BOM!$B$3:$BQ$35,16,FALSE),"")</f>
        <v>IngSRV-06</v>
      </c>
      <c r="G174" s="63">
        <f>VLOOKUP(Tabelle32[[#This Row],[SDI Interface]],BOM!$A$4:$B$35,2,FALSE)</f>
        <v>386</v>
      </c>
      <c r="H174" s="59" t="str">
        <f>BOM!$C$4</f>
        <v>VGW-103</v>
      </c>
      <c r="I174" s="59" t="str">
        <f>IFERROR(VLOOKUP(Tabelle32[[#This Row],[Device ID]],BOM!$B$3:$BQ$35,12,FALSE),"")</f>
        <v>Videoserver</v>
      </c>
      <c r="J174" s="59" t="str">
        <f>IFERROR(VLOOKUP(Tabelle32[[#This Row],[Device ID]],BOM!$B$3:$BQ$35,13,FALSE),"")</f>
        <v>TC.U1.223 | MDC</v>
      </c>
      <c r="K174" s="59" t="str">
        <f>IFERROR(VLOOKUP(Tabelle32[[#This Row],[Device ID]],BOM!$B$3:$BQ$35,14,FALSE),"")</f>
        <v>Imagine Comunications</v>
      </c>
      <c r="L174" s="59" t="str">
        <f>IFERROR(VLOOKUP(Tabelle32[[#This Row],[Device ID]],BOM!$B$3:$BQ$35,16,FALSE),"")</f>
        <v>IngSRV-06</v>
      </c>
      <c r="M174" s="63" t="str">
        <f>IFERROR(VLOOKUP(Tabelle32[[#This Row],[Device ID]],BOM!$B$3:$BQ$35,17,FALSE),"")</f>
        <v>M3H</v>
      </c>
      <c r="N174" s="59" t="str">
        <f>IFERROR(VLOOKUP(Tabelle32[[#This Row],[Device ID]],BOM!$B$3:$BQ$35,18,FALSE),"")</f>
        <v>TC.03.225 | M3H</v>
      </c>
      <c r="O174" s="64"/>
      <c r="P174" s="64">
        <f>IFERROR(VLOOKUP(Tabelle32[[#This Row],[Device ID]],BOM!$B$3:$BO$50,20,FALSE),"")</f>
        <v>0</v>
      </c>
      <c r="Q174" s="64">
        <f>IFERROR(VLOOKUP(Tabelle32[[#This Row],[Device ID]],BOM!$B$3:$BO$50,21,FALSE),"")</f>
        <v>1</v>
      </c>
      <c r="R174" s="64">
        <f>IFERROR(VLOOKUP(Tabelle32[[#This Row],[Device ID]],BOM!$B$3:$BO$50,22,FALSE),"")</f>
        <v>0</v>
      </c>
      <c r="S174" s="64"/>
      <c r="T174" s="64"/>
      <c r="U174" s="59" t="str">
        <f>IFERROR(VLOOKUP(Tabelle32[[#This Row],[Device ID]],BOM!$B$3:$BQ$35,25,FALSE),"")</f>
        <v>Luis/Ivo</v>
      </c>
      <c r="V174" s="59" t="str">
        <f>IFERROR(VLOOKUP(Tabelle32[[#This Row],[Device ID]],BOM!$B$3:$BQ$35,26,FALSE),"")</f>
        <v>tpco-megw-vgw103.rta.st-net.media.int</v>
      </c>
      <c r="W174" s="59" t="str">
        <f>IFERROR(VLOOKUP(Tabelle32[[#This Row],[Device ID]],BOM!$B$3:$BQ$35,27,FALSE),"")</f>
        <v>10.120.236.50</v>
      </c>
      <c r="X174" s="59" t="str">
        <f>IFERROR(VLOOKUP(Tabelle32[[#This Row],[Device ID]],BOM!$B$3:$BQ$35,28,FALSE),"")</f>
        <v>AVCoreA</v>
      </c>
      <c r="Y174" s="59" t="str">
        <f>IFERROR(VLOOKUP(Tabelle32[[#This Row],[Device ID]],BOM!$B$3:$BQ$35,29,FALSE),"")</f>
        <v>5_36_1</v>
      </c>
      <c r="Z174" s="59" t="str">
        <f>IFERROR(VLOOKUP(Tabelle32[[#This Row],[Device ID]],BOM!$B$3:$BQ$35,30,FALSE),"")</f>
        <v>tpco-megw-vgw103.rtb.st-net.media.int</v>
      </c>
      <c r="AA174" s="59" t="str">
        <f>IFERROR(VLOOKUP(Tabelle32[[#This Row],[Device ID]],BOM!$B$3:$BQ$35,31,FALSE),"")</f>
        <v>10.120.236.54</v>
      </c>
      <c r="AB174" s="59" t="str">
        <f>IFERROR(VLOOKUP(Tabelle32[[#This Row],[Device ID]],BOM!$B$3:$BQ$35,32,FALSE),"")</f>
        <v>AVCoreB</v>
      </c>
      <c r="AC174" s="59" t="str">
        <f>IFERROR(VLOOKUP(Tabelle32[[#This Row],[Device ID]],BOM!$B$3:$BQ$35,33,FALSE),"")</f>
        <v>5_36_1</v>
      </c>
      <c r="AD174" s="59" t="str">
        <f>IFERROR(VLOOKUP(Tabelle32[[#This Row],[Device ID]],BOM!$B$3:$BQ$35,34,FALSE),"")</f>
        <v>tpco-megw-vgw103.st-net.media.int</v>
      </c>
      <c r="AE174" s="59" t="str">
        <f>IFERROR(VLOOKUP(Tabelle32[[#This Row],[Device ID]],BOM!$B$3:$BQ$35,35,FALSE),"")</f>
        <v>10.120.67.141</v>
      </c>
      <c r="AF174" s="59">
        <f>IFERROR(VLOOKUP(Tabelle32[[#This Row],[Device ID]],BOM!$B$3:$BQ$35,36,FALSE),"")</f>
        <v>0</v>
      </c>
      <c r="AG174" s="59">
        <f>IFERROR(VLOOKUP(Tabelle32[[#This Row],[Device ID]],BOM!$B$3:$BQ$35,37,FALSE),"")</f>
        <v>0</v>
      </c>
      <c r="AH174" s="59"/>
      <c r="AI174" s="59"/>
      <c r="AJ174" s="59"/>
      <c r="AK174" s="59"/>
      <c r="AL174" s="59" t="str">
        <f>IFERROR(VLOOKUP(Tabelle32[[#This Row],[Device ID]],BOM!$B$3:$BQ$35,42,FALSE),"")</f>
        <v>Imagine Communications SNP</v>
      </c>
      <c r="AM174" s="59" t="str">
        <f>IFERROR(VLOOKUP(Tabelle32[[#This Row],[Device ID]],BOM!$B$3:$BQ$35,43,FALSE),"")</f>
        <v>no</v>
      </c>
      <c r="AN174" s="59" t="str">
        <f>IFERROR(VLOOKUP(Tabelle32[[#This Row],[Device ID]],BOM!$B$3:$BQ$35,44,FALSE),"")</f>
        <v>yes</v>
      </c>
      <c r="AO174" s="59" t="str">
        <f>IFERROR(VLOOKUP(Tabelle32[[#This Row],[Device ID]],BOM!$B$3:$BQ$35,45,FALSE),"")</f>
        <v>no</v>
      </c>
      <c r="AP174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74" s="59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73" t="s">
        <v>199</v>
      </c>
      <c r="BI174" s="30" t="str">
        <f>IF(COUNTA(Tabelle32[[#This Row],[Type:Vid_1080i50]:[Type:Anc_Prot]])&gt;0,"x","")</f>
        <v/>
      </c>
      <c r="BJ17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74" s="59"/>
      <c r="BL174" s="59"/>
      <c r="BM174" s="63"/>
      <c r="BN174" s="63"/>
      <c r="BO174" s="96"/>
      <c r="BP174" s="96"/>
      <c r="BQ174" s="75">
        <f>LEN(Tabelle32[[#This Row],[Label 1
GFX-Unit]])</f>
        <v>0</v>
      </c>
      <c r="BR174" s="63"/>
      <c r="BS174" s="63"/>
      <c r="BT174" s="59"/>
      <c r="BU174" s="59"/>
      <c r="BV174" s="59" t="s">
        <v>211</v>
      </c>
      <c r="BW174" s="59" t="s">
        <v>212</v>
      </c>
      <c r="BX174" s="59" t="s">
        <v>463</v>
      </c>
      <c r="BY174" s="59">
        <v>9</v>
      </c>
    </row>
    <row r="175" spans="1:77" x14ac:dyDescent="0.2">
      <c r="A175" s="58" t="str">
        <f>CONCATENATE(Tabelle32[[#This Row],[Device ID]],".",Tabelle32[[#This Row],[Streamcounter]])</f>
        <v>386.09201</v>
      </c>
      <c r="B17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VGW-103_SDI09_AUDrec_0001</v>
      </c>
      <c r="C175" s="60"/>
      <c r="D175" s="61"/>
      <c r="E175" s="62"/>
      <c r="F175" s="59" t="str">
        <f>IFERROR(VLOOKUP(Tabelle32[[#This Row],[Device ID]],BOM!$B$3:$BQ$35,16,FALSE),"")</f>
        <v>IngSRV-06</v>
      </c>
      <c r="G175" s="63">
        <f>VLOOKUP(Tabelle32[[#This Row],[SDI Interface]],BOM!$A$4:$B$35,2,FALSE)</f>
        <v>386</v>
      </c>
      <c r="H175" s="59" t="str">
        <f>BOM!$C$4</f>
        <v>VGW-103</v>
      </c>
      <c r="I175" s="59" t="str">
        <f>IFERROR(VLOOKUP(Tabelle32[[#This Row],[Device ID]],BOM!$B$3:$BQ$35,12,FALSE),"")</f>
        <v>Videoserver</v>
      </c>
      <c r="J175" s="59" t="str">
        <f>IFERROR(VLOOKUP(Tabelle32[[#This Row],[Device ID]],BOM!$B$3:$BQ$35,13,FALSE),"")</f>
        <v>TC.U1.223 | MDC</v>
      </c>
      <c r="K175" s="59" t="str">
        <f>IFERROR(VLOOKUP(Tabelle32[[#This Row],[Device ID]],BOM!$B$3:$BQ$35,14,FALSE),"")</f>
        <v>Imagine Comunications</v>
      </c>
      <c r="L175" s="59" t="str">
        <f>IFERROR(VLOOKUP(Tabelle32[[#This Row],[Device ID]],BOM!$B$3:$BQ$35,16,FALSE),"")</f>
        <v>IngSRV-06</v>
      </c>
      <c r="M175" s="63" t="str">
        <f>IFERROR(VLOOKUP(Tabelle32[[#This Row],[Device ID]],BOM!$B$3:$BQ$35,17,FALSE),"")</f>
        <v>M3H</v>
      </c>
      <c r="N175" s="59" t="str">
        <f>IFERROR(VLOOKUP(Tabelle32[[#This Row],[Device ID]],BOM!$B$3:$BQ$35,18,FALSE),"")</f>
        <v>TC.03.225 | M3H</v>
      </c>
      <c r="O175" s="64"/>
      <c r="P175" s="64">
        <f>IFERROR(VLOOKUP(Tabelle32[[#This Row],[Device ID]],BOM!$B$3:$BO$50,20,FALSE),"")</f>
        <v>0</v>
      </c>
      <c r="Q175" s="64">
        <f>IFERROR(VLOOKUP(Tabelle32[[#This Row],[Device ID]],BOM!$B$3:$BO$50,21,FALSE),"")</f>
        <v>1</v>
      </c>
      <c r="R175" s="64">
        <f>IFERROR(VLOOKUP(Tabelle32[[#This Row],[Device ID]],BOM!$B$3:$BO$50,22,FALSE),"")</f>
        <v>0</v>
      </c>
      <c r="S175" s="64"/>
      <c r="T175" s="64"/>
      <c r="U175" s="59" t="str">
        <f>IFERROR(VLOOKUP(Tabelle32[[#This Row],[Device ID]],BOM!$B$3:$BQ$35,25,FALSE),"")</f>
        <v>Luis/Ivo</v>
      </c>
      <c r="V175" s="59" t="str">
        <f>IFERROR(VLOOKUP(Tabelle32[[#This Row],[Device ID]],BOM!$B$3:$BQ$35,26,FALSE),"")</f>
        <v>tpco-megw-vgw103.rta.st-net.media.int</v>
      </c>
      <c r="W175" s="59" t="str">
        <f>IFERROR(VLOOKUP(Tabelle32[[#This Row],[Device ID]],BOM!$B$3:$BQ$35,27,FALSE),"")</f>
        <v>10.120.236.50</v>
      </c>
      <c r="X175" s="59" t="str">
        <f>IFERROR(VLOOKUP(Tabelle32[[#This Row],[Device ID]],BOM!$B$3:$BQ$35,28,FALSE),"")</f>
        <v>AVCoreA</v>
      </c>
      <c r="Y175" s="59" t="str">
        <f>IFERROR(VLOOKUP(Tabelle32[[#This Row],[Device ID]],BOM!$B$3:$BQ$35,29,FALSE),"")</f>
        <v>5_36_1</v>
      </c>
      <c r="Z175" s="59" t="str">
        <f>IFERROR(VLOOKUP(Tabelle32[[#This Row],[Device ID]],BOM!$B$3:$BQ$35,30,FALSE),"")</f>
        <v>tpco-megw-vgw103.rtb.st-net.media.int</v>
      </c>
      <c r="AA175" s="59" t="str">
        <f>IFERROR(VLOOKUP(Tabelle32[[#This Row],[Device ID]],BOM!$B$3:$BQ$35,31,FALSE),"")</f>
        <v>10.120.236.54</v>
      </c>
      <c r="AB175" s="59" t="str">
        <f>IFERROR(VLOOKUP(Tabelle32[[#This Row],[Device ID]],BOM!$B$3:$BQ$35,32,FALSE),"")</f>
        <v>AVCoreB</v>
      </c>
      <c r="AC175" s="59" t="str">
        <f>IFERROR(VLOOKUP(Tabelle32[[#This Row],[Device ID]],BOM!$B$3:$BQ$35,33,FALSE),"")</f>
        <v>5_36_1</v>
      </c>
      <c r="AD175" s="59" t="str">
        <f>IFERROR(VLOOKUP(Tabelle32[[#This Row],[Device ID]],BOM!$B$3:$BQ$35,34,FALSE),"")</f>
        <v>tpco-megw-vgw103.st-net.media.int</v>
      </c>
      <c r="AE175" s="59" t="str">
        <f>IFERROR(VLOOKUP(Tabelle32[[#This Row],[Device ID]],BOM!$B$3:$BQ$35,35,FALSE),"")</f>
        <v>10.120.67.141</v>
      </c>
      <c r="AF175" s="59">
        <f>IFERROR(VLOOKUP(Tabelle32[[#This Row],[Device ID]],BOM!$B$3:$BQ$35,36,FALSE),"")</f>
        <v>0</v>
      </c>
      <c r="AG175" s="59">
        <f>IFERROR(VLOOKUP(Tabelle32[[#This Row],[Device ID]],BOM!$B$3:$BQ$35,37,FALSE),"")</f>
        <v>0</v>
      </c>
      <c r="AH175" s="59"/>
      <c r="AI175" s="59"/>
      <c r="AJ175" s="59"/>
      <c r="AK175" s="59"/>
      <c r="AL175" s="59" t="str">
        <f>IFERROR(VLOOKUP(Tabelle32[[#This Row],[Device ID]],BOM!$B$3:$BQ$35,42,FALSE),"")</f>
        <v>Imagine Communications SNP</v>
      </c>
      <c r="AM175" s="59" t="str">
        <f>IFERROR(VLOOKUP(Tabelle32[[#This Row],[Device ID]],BOM!$B$3:$BQ$35,43,FALSE),"")</f>
        <v>no</v>
      </c>
      <c r="AN175" s="59" t="str">
        <f>IFERROR(VLOOKUP(Tabelle32[[#This Row],[Device ID]],BOM!$B$3:$BQ$35,44,FALSE),"")</f>
        <v>yes</v>
      </c>
      <c r="AO175" s="59" t="str">
        <f>IFERROR(VLOOKUP(Tabelle32[[#This Row],[Device ID]],BOM!$B$3:$BQ$35,45,FALSE),"")</f>
        <v>no</v>
      </c>
      <c r="AP175" s="59" t="str">
        <f>IFERROR(CONCATENATE(Tabelle32[[#This Row],[Family
GFX-Unit]]," | ",Tabelle32[[#This Row],[Label 1
GFX-Unit]]," | ",Tabelle32[[#This Row],[Attached Device if Gateway]]),"")</f>
        <v>M3H InCh REM | Ingest Ch21-01 | IngSRV-06</v>
      </c>
      <c r="AQ175" s="59"/>
      <c r="AR175" s="90"/>
      <c r="AS175" s="90"/>
      <c r="AT175" s="90"/>
      <c r="AU175" s="90"/>
      <c r="AV175" s="90"/>
      <c r="AW175" s="90" t="s">
        <v>97</v>
      </c>
      <c r="AX175" s="90"/>
      <c r="AY175" s="90"/>
      <c r="AZ175" s="90" t="s">
        <v>97</v>
      </c>
      <c r="BA175" s="90"/>
      <c r="BB175" s="90" t="s">
        <v>97</v>
      </c>
      <c r="BC175" s="90" t="s">
        <v>97</v>
      </c>
      <c r="BD175" s="90"/>
      <c r="BE175" s="90"/>
      <c r="BF175" s="90"/>
      <c r="BG175" s="90"/>
      <c r="BH175" s="73" t="s">
        <v>199</v>
      </c>
      <c r="BI175" s="30" t="str">
        <f>IF(COUNTA(Tabelle32[[#This Row],[Type:Vid_1080i50]:[Type:Anc_Prot]])&gt;0,"x","")</f>
        <v>x</v>
      </c>
      <c r="BJ17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75" s="59"/>
      <c r="BL175" s="59"/>
      <c r="BM175" s="63"/>
      <c r="BN175" s="63"/>
      <c r="BO175" s="97" t="s">
        <v>458</v>
      </c>
      <c r="BP175" s="97" t="s">
        <v>464</v>
      </c>
      <c r="BQ175" s="75">
        <f>LEN(Tabelle32[[#This Row],[Label 1
GFX-Unit]])</f>
        <v>14</v>
      </c>
      <c r="BR175" s="63"/>
      <c r="BS175" s="63"/>
      <c r="BT175" s="59"/>
      <c r="BU175" s="59"/>
      <c r="BV175" s="59" t="s">
        <v>214</v>
      </c>
      <c r="BW175" s="59" t="s">
        <v>215</v>
      </c>
      <c r="BX175" s="59" t="s">
        <v>465</v>
      </c>
      <c r="BY175" s="59">
        <v>9</v>
      </c>
    </row>
    <row r="176" spans="1:77" x14ac:dyDescent="0.2">
      <c r="A176" s="58" t="str">
        <f>CONCATENATE(Tabelle32[[#This Row],[Device ID]],".",Tabelle32[[#This Row],[Streamcounter]])</f>
        <v>386.09202</v>
      </c>
      <c r="B17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VGW-103_SDI09_AUDrec_0002</v>
      </c>
      <c r="C176" s="67"/>
      <c r="D176" s="61"/>
      <c r="E176" s="67"/>
      <c r="F176" s="59" t="str">
        <f>IFERROR(VLOOKUP(Tabelle32[[#This Row],[Device ID]],BOM!$B$3:$BQ$35,16,FALSE),"")</f>
        <v>IngSRV-06</v>
      </c>
      <c r="G176" s="63">
        <f>VLOOKUP(Tabelle32[[#This Row],[SDI Interface]],BOM!$A$4:$B$35,2,FALSE)</f>
        <v>386</v>
      </c>
      <c r="H176" s="59" t="str">
        <f>BOM!$C$4</f>
        <v>VGW-103</v>
      </c>
      <c r="I176" s="59" t="str">
        <f>IFERROR(VLOOKUP(Tabelle32[[#This Row],[Device ID]],BOM!$B$3:$BQ$35,12,FALSE),"")</f>
        <v>Videoserver</v>
      </c>
      <c r="J176" s="59" t="str">
        <f>IFERROR(VLOOKUP(Tabelle32[[#This Row],[Device ID]],BOM!$B$3:$BQ$35,13,FALSE),"")</f>
        <v>TC.U1.223 | MDC</v>
      </c>
      <c r="K176" s="59" t="str">
        <f>IFERROR(VLOOKUP(Tabelle32[[#This Row],[Device ID]],BOM!$B$3:$BQ$35,14,FALSE),"")</f>
        <v>Imagine Comunications</v>
      </c>
      <c r="L176" s="59" t="str">
        <f>IFERROR(VLOOKUP(Tabelle32[[#This Row],[Device ID]],BOM!$B$3:$BQ$35,16,FALSE),"")</f>
        <v>IngSRV-06</v>
      </c>
      <c r="M176" s="63" t="str">
        <f>IFERROR(VLOOKUP(Tabelle32[[#This Row],[Device ID]],BOM!$B$3:$BQ$35,17,FALSE),"")</f>
        <v>M3H</v>
      </c>
      <c r="N176" s="59" t="str">
        <f>IFERROR(VLOOKUP(Tabelle32[[#This Row],[Device ID]],BOM!$B$3:$BQ$35,18,FALSE),"")</f>
        <v>TC.03.225 | M3H</v>
      </c>
      <c r="O176" s="64"/>
      <c r="P176" s="64">
        <f>IFERROR(VLOOKUP(Tabelle32[[#This Row],[Device ID]],BOM!$B$3:$BO$50,20,FALSE),"")</f>
        <v>0</v>
      </c>
      <c r="Q176" s="64">
        <f>IFERROR(VLOOKUP(Tabelle32[[#This Row],[Device ID]],BOM!$B$3:$BO$50,21,FALSE),"")</f>
        <v>1</v>
      </c>
      <c r="R176" s="64">
        <f>IFERROR(VLOOKUP(Tabelle32[[#This Row],[Device ID]],BOM!$B$3:$BO$50,22,FALSE),"")</f>
        <v>0</v>
      </c>
      <c r="S176" s="64"/>
      <c r="T176" s="64"/>
      <c r="U176" s="59" t="str">
        <f>IFERROR(VLOOKUP(Tabelle32[[#This Row],[Device ID]],BOM!$B$3:$BQ$35,25,FALSE),"")</f>
        <v>Luis/Ivo</v>
      </c>
      <c r="V176" s="59" t="str">
        <f>IFERROR(VLOOKUP(Tabelle32[[#This Row],[Device ID]],BOM!$B$3:$BQ$35,26,FALSE),"")</f>
        <v>tpco-megw-vgw103.rta.st-net.media.int</v>
      </c>
      <c r="W176" s="59" t="str">
        <f>IFERROR(VLOOKUP(Tabelle32[[#This Row],[Device ID]],BOM!$B$3:$BQ$35,27,FALSE),"")</f>
        <v>10.120.236.50</v>
      </c>
      <c r="X176" s="59" t="str">
        <f>IFERROR(VLOOKUP(Tabelle32[[#This Row],[Device ID]],BOM!$B$3:$BQ$35,28,FALSE),"")</f>
        <v>AVCoreA</v>
      </c>
      <c r="Y176" s="59" t="str">
        <f>IFERROR(VLOOKUP(Tabelle32[[#This Row],[Device ID]],BOM!$B$3:$BQ$35,29,FALSE),"")</f>
        <v>5_36_1</v>
      </c>
      <c r="Z176" s="59" t="str">
        <f>IFERROR(VLOOKUP(Tabelle32[[#This Row],[Device ID]],BOM!$B$3:$BQ$35,30,FALSE),"")</f>
        <v>tpco-megw-vgw103.rtb.st-net.media.int</v>
      </c>
      <c r="AA176" s="59" t="str">
        <f>IFERROR(VLOOKUP(Tabelle32[[#This Row],[Device ID]],BOM!$B$3:$BQ$35,31,FALSE),"")</f>
        <v>10.120.236.54</v>
      </c>
      <c r="AB176" s="59" t="str">
        <f>IFERROR(VLOOKUP(Tabelle32[[#This Row],[Device ID]],BOM!$B$3:$BQ$35,32,FALSE),"")</f>
        <v>AVCoreB</v>
      </c>
      <c r="AC176" s="59" t="str">
        <f>IFERROR(VLOOKUP(Tabelle32[[#This Row],[Device ID]],BOM!$B$3:$BQ$35,33,FALSE),"")</f>
        <v>5_36_1</v>
      </c>
      <c r="AD176" s="59" t="str">
        <f>IFERROR(VLOOKUP(Tabelle32[[#This Row],[Device ID]],BOM!$B$3:$BQ$35,34,FALSE),"")</f>
        <v>tpco-megw-vgw103.st-net.media.int</v>
      </c>
      <c r="AE176" s="59" t="str">
        <f>IFERROR(VLOOKUP(Tabelle32[[#This Row],[Device ID]],BOM!$B$3:$BQ$35,35,FALSE),"")</f>
        <v>10.120.67.141</v>
      </c>
      <c r="AF176" s="59">
        <f>IFERROR(VLOOKUP(Tabelle32[[#This Row],[Device ID]],BOM!$B$3:$BQ$35,36,FALSE),"")</f>
        <v>0</v>
      </c>
      <c r="AG176" s="59">
        <f>IFERROR(VLOOKUP(Tabelle32[[#This Row],[Device ID]],BOM!$B$3:$BQ$35,37,FALSE),"")</f>
        <v>0</v>
      </c>
      <c r="AH176" s="59"/>
      <c r="AI176" s="59"/>
      <c r="AJ176" s="59"/>
      <c r="AK176" s="59"/>
      <c r="AL176" s="59" t="str">
        <f>IFERROR(VLOOKUP(Tabelle32[[#This Row],[Device ID]],BOM!$B$3:$BQ$35,42,FALSE),"")</f>
        <v>Imagine Communications SNP</v>
      </c>
      <c r="AM176" s="59" t="str">
        <f>IFERROR(VLOOKUP(Tabelle32[[#This Row],[Device ID]],BOM!$B$3:$BQ$35,43,FALSE),"")</f>
        <v>no</v>
      </c>
      <c r="AN176" s="59" t="str">
        <f>IFERROR(VLOOKUP(Tabelle32[[#This Row],[Device ID]],BOM!$B$3:$BQ$35,44,FALSE),"")</f>
        <v>yes</v>
      </c>
      <c r="AO176" s="59" t="str">
        <f>IFERROR(VLOOKUP(Tabelle32[[#This Row],[Device ID]],BOM!$B$3:$BQ$35,45,FALSE),"")</f>
        <v>no</v>
      </c>
      <c r="AP176" s="59" t="str">
        <f>IFERROR(CONCATENATE(Tabelle32[[#This Row],[Family
GFX-Unit]]," | ",Tabelle32[[#This Row],[Label 1
GFX-Unit]]," | ",Tabelle32[[#This Row],[Attached Device if Gateway]]),"")</f>
        <v>M3H InCh REM | Ingest Ch21-02 | IngSRV-06</v>
      </c>
      <c r="AQ176" s="59"/>
      <c r="AR176" s="90"/>
      <c r="AS176" s="90"/>
      <c r="AT176" s="90"/>
      <c r="AU176" s="90"/>
      <c r="AV176" s="90"/>
      <c r="AW176" s="90" t="s">
        <v>97</v>
      </c>
      <c r="AX176" s="90"/>
      <c r="AY176" s="90"/>
      <c r="AZ176" s="90" t="s">
        <v>97</v>
      </c>
      <c r="BA176" s="90"/>
      <c r="BB176" s="90" t="s">
        <v>97</v>
      </c>
      <c r="BC176" s="90" t="s">
        <v>97</v>
      </c>
      <c r="BD176" s="90"/>
      <c r="BE176" s="90"/>
      <c r="BF176" s="90"/>
      <c r="BG176" s="90"/>
      <c r="BH176" s="73" t="s">
        <v>199</v>
      </c>
      <c r="BI176" s="30" t="str">
        <f>IF(COUNTA(Tabelle32[[#This Row],[Type:Vid_1080i50]:[Type:Anc_Prot]])&gt;0,"x","")</f>
        <v>x</v>
      </c>
      <c r="BJ17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76" s="59"/>
      <c r="BL176" s="59"/>
      <c r="BM176" s="63"/>
      <c r="BN176" s="63"/>
      <c r="BO176" s="97" t="s">
        <v>458</v>
      </c>
      <c r="BP176" s="97" t="s">
        <v>466</v>
      </c>
      <c r="BQ176" s="75">
        <f>LEN(Tabelle32[[#This Row],[Label 1
GFX-Unit]])</f>
        <v>14</v>
      </c>
      <c r="BR176" s="63"/>
      <c r="BS176" s="63"/>
      <c r="BT176" s="59"/>
      <c r="BU176" s="59"/>
      <c r="BV176" s="59" t="s">
        <v>218</v>
      </c>
      <c r="BW176" s="59" t="s">
        <v>219</v>
      </c>
      <c r="BX176" s="59" t="s">
        <v>467</v>
      </c>
      <c r="BY176" s="59">
        <v>9</v>
      </c>
    </row>
    <row r="177" spans="1:77" x14ac:dyDescent="0.2">
      <c r="A177" s="58" t="str">
        <f>CONCATENATE(Tabelle32[[#This Row],[Device ID]],".",Tabelle32[[#This Row],[Streamcounter]])</f>
        <v>386.09203</v>
      </c>
      <c r="B17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VGW-103_SDI09_AUDrec_0003</v>
      </c>
      <c r="C177" s="67"/>
      <c r="D177" s="61"/>
      <c r="E177" s="67"/>
      <c r="F177" s="59" t="str">
        <f>IFERROR(VLOOKUP(Tabelle32[[#This Row],[Device ID]],BOM!$B$3:$BQ$35,16,FALSE),"")</f>
        <v>IngSRV-06</v>
      </c>
      <c r="G177" s="63">
        <f>VLOOKUP(Tabelle32[[#This Row],[SDI Interface]],BOM!$A$4:$B$35,2,FALSE)</f>
        <v>386</v>
      </c>
      <c r="H177" s="59" t="str">
        <f>BOM!$C$4</f>
        <v>VGW-103</v>
      </c>
      <c r="I177" s="59" t="str">
        <f>IFERROR(VLOOKUP(Tabelle32[[#This Row],[Device ID]],BOM!$B$3:$BQ$35,12,FALSE),"")</f>
        <v>Videoserver</v>
      </c>
      <c r="J177" s="59" t="str">
        <f>IFERROR(VLOOKUP(Tabelle32[[#This Row],[Device ID]],BOM!$B$3:$BQ$35,13,FALSE),"")</f>
        <v>TC.U1.223 | MDC</v>
      </c>
      <c r="K177" s="59" t="str">
        <f>IFERROR(VLOOKUP(Tabelle32[[#This Row],[Device ID]],BOM!$B$3:$BQ$35,14,FALSE),"")</f>
        <v>Imagine Comunications</v>
      </c>
      <c r="L177" s="59" t="str">
        <f>IFERROR(VLOOKUP(Tabelle32[[#This Row],[Device ID]],BOM!$B$3:$BQ$35,16,FALSE),"")</f>
        <v>IngSRV-06</v>
      </c>
      <c r="M177" s="63" t="str">
        <f>IFERROR(VLOOKUP(Tabelle32[[#This Row],[Device ID]],BOM!$B$3:$BQ$35,17,FALSE),"")</f>
        <v>M3H</v>
      </c>
      <c r="N177" s="59" t="str">
        <f>IFERROR(VLOOKUP(Tabelle32[[#This Row],[Device ID]],BOM!$B$3:$BQ$35,18,FALSE),"")</f>
        <v>TC.03.225 | M3H</v>
      </c>
      <c r="O177" s="64"/>
      <c r="P177" s="64">
        <f>IFERROR(VLOOKUP(Tabelle32[[#This Row],[Device ID]],BOM!$B$3:$BO$50,20,FALSE),"")</f>
        <v>0</v>
      </c>
      <c r="Q177" s="64">
        <f>IFERROR(VLOOKUP(Tabelle32[[#This Row],[Device ID]],BOM!$B$3:$BO$50,21,FALSE),"")</f>
        <v>1</v>
      </c>
      <c r="R177" s="64">
        <f>IFERROR(VLOOKUP(Tabelle32[[#This Row],[Device ID]],BOM!$B$3:$BO$50,22,FALSE),"")</f>
        <v>0</v>
      </c>
      <c r="S177" s="64"/>
      <c r="T177" s="64"/>
      <c r="U177" s="59" t="str">
        <f>IFERROR(VLOOKUP(Tabelle32[[#This Row],[Device ID]],BOM!$B$3:$BQ$35,25,FALSE),"")</f>
        <v>Luis/Ivo</v>
      </c>
      <c r="V177" s="59" t="str">
        <f>IFERROR(VLOOKUP(Tabelle32[[#This Row],[Device ID]],BOM!$B$3:$BQ$35,26,FALSE),"")</f>
        <v>tpco-megw-vgw103.rta.st-net.media.int</v>
      </c>
      <c r="W177" s="59" t="str">
        <f>IFERROR(VLOOKUP(Tabelle32[[#This Row],[Device ID]],BOM!$B$3:$BQ$35,27,FALSE),"")</f>
        <v>10.120.236.50</v>
      </c>
      <c r="X177" s="59" t="str">
        <f>IFERROR(VLOOKUP(Tabelle32[[#This Row],[Device ID]],BOM!$B$3:$BQ$35,28,FALSE),"")</f>
        <v>AVCoreA</v>
      </c>
      <c r="Y177" s="59" t="str">
        <f>IFERROR(VLOOKUP(Tabelle32[[#This Row],[Device ID]],BOM!$B$3:$BQ$35,29,FALSE),"")</f>
        <v>5_36_1</v>
      </c>
      <c r="Z177" s="59" t="str">
        <f>IFERROR(VLOOKUP(Tabelle32[[#This Row],[Device ID]],BOM!$B$3:$BQ$35,30,FALSE),"")</f>
        <v>tpco-megw-vgw103.rtb.st-net.media.int</v>
      </c>
      <c r="AA177" s="59" t="str">
        <f>IFERROR(VLOOKUP(Tabelle32[[#This Row],[Device ID]],BOM!$B$3:$BQ$35,31,FALSE),"")</f>
        <v>10.120.236.54</v>
      </c>
      <c r="AB177" s="59" t="str">
        <f>IFERROR(VLOOKUP(Tabelle32[[#This Row],[Device ID]],BOM!$B$3:$BQ$35,32,FALSE),"")</f>
        <v>AVCoreB</v>
      </c>
      <c r="AC177" s="59" t="str">
        <f>IFERROR(VLOOKUP(Tabelle32[[#This Row],[Device ID]],BOM!$B$3:$BQ$35,33,FALSE),"")</f>
        <v>5_36_1</v>
      </c>
      <c r="AD177" s="59" t="str">
        <f>IFERROR(VLOOKUP(Tabelle32[[#This Row],[Device ID]],BOM!$B$3:$BQ$35,34,FALSE),"")</f>
        <v>tpco-megw-vgw103.st-net.media.int</v>
      </c>
      <c r="AE177" s="59" t="str">
        <f>IFERROR(VLOOKUP(Tabelle32[[#This Row],[Device ID]],BOM!$B$3:$BQ$35,35,FALSE),"")</f>
        <v>10.120.67.141</v>
      </c>
      <c r="AF177" s="59">
        <f>IFERROR(VLOOKUP(Tabelle32[[#This Row],[Device ID]],BOM!$B$3:$BQ$35,36,FALSE),"")</f>
        <v>0</v>
      </c>
      <c r="AG177" s="59">
        <f>IFERROR(VLOOKUP(Tabelle32[[#This Row],[Device ID]],BOM!$B$3:$BQ$35,37,FALSE),"")</f>
        <v>0</v>
      </c>
      <c r="AH177" s="59"/>
      <c r="AI177" s="59"/>
      <c r="AJ177" s="59"/>
      <c r="AK177" s="59"/>
      <c r="AL177" s="59" t="str">
        <f>IFERROR(VLOOKUP(Tabelle32[[#This Row],[Device ID]],BOM!$B$3:$BQ$35,42,FALSE),"")</f>
        <v>Imagine Communications SNP</v>
      </c>
      <c r="AM177" s="59" t="str">
        <f>IFERROR(VLOOKUP(Tabelle32[[#This Row],[Device ID]],BOM!$B$3:$BQ$35,43,FALSE),"")</f>
        <v>no</v>
      </c>
      <c r="AN177" s="59" t="str">
        <f>IFERROR(VLOOKUP(Tabelle32[[#This Row],[Device ID]],BOM!$B$3:$BQ$35,44,FALSE),"")</f>
        <v>yes</v>
      </c>
      <c r="AO177" s="59" t="str">
        <f>IFERROR(VLOOKUP(Tabelle32[[#This Row],[Device ID]],BOM!$B$3:$BQ$35,45,FALSE),"")</f>
        <v>no</v>
      </c>
      <c r="AP177" s="59" t="str">
        <f>IFERROR(CONCATENATE(Tabelle32[[#This Row],[Family
GFX-Unit]]," | ",Tabelle32[[#This Row],[Label 1
GFX-Unit]]," | ",Tabelle32[[#This Row],[Attached Device if Gateway]]),"")</f>
        <v>M3H InCh REM | Ingest Ch21-03 | IngSRV-06</v>
      </c>
      <c r="AQ177" s="59"/>
      <c r="AR177" s="90"/>
      <c r="AS177" s="90"/>
      <c r="AT177" s="90"/>
      <c r="AU177" s="90"/>
      <c r="AV177" s="90"/>
      <c r="AW177" s="90" t="s">
        <v>97</v>
      </c>
      <c r="AX177" s="90"/>
      <c r="AY177" s="90"/>
      <c r="AZ177" s="90" t="s">
        <v>97</v>
      </c>
      <c r="BA177" s="90"/>
      <c r="BB177" s="90" t="s">
        <v>97</v>
      </c>
      <c r="BC177" s="90" t="s">
        <v>97</v>
      </c>
      <c r="BD177" s="90"/>
      <c r="BE177" s="90"/>
      <c r="BF177" s="90"/>
      <c r="BG177" s="90"/>
      <c r="BH177" s="73" t="s">
        <v>199</v>
      </c>
      <c r="BI177" s="30" t="str">
        <f>IF(COUNTA(Tabelle32[[#This Row],[Type:Vid_1080i50]:[Type:Anc_Prot]])&gt;0,"x","")</f>
        <v>x</v>
      </c>
      <c r="BJ17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77" s="59"/>
      <c r="BL177" s="59"/>
      <c r="BM177" s="63"/>
      <c r="BN177" s="63"/>
      <c r="BO177" s="97" t="s">
        <v>458</v>
      </c>
      <c r="BP177" s="97" t="s">
        <v>468</v>
      </c>
      <c r="BQ177" s="75">
        <f>LEN(Tabelle32[[#This Row],[Label 1
GFX-Unit]])</f>
        <v>14</v>
      </c>
      <c r="BR177" s="63"/>
      <c r="BS177" s="63"/>
      <c r="BT177" s="59"/>
      <c r="BU177" s="59"/>
      <c r="BV177" s="59" t="s">
        <v>222</v>
      </c>
      <c r="BW177" s="59" t="s">
        <v>223</v>
      </c>
      <c r="BX177" s="59" t="s">
        <v>469</v>
      </c>
      <c r="BY177" s="59">
        <v>9</v>
      </c>
    </row>
    <row r="178" spans="1:77" x14ac:dyDescent="0.2">
      <c r="A178" s="58" t="str">
        <f>CONCATENATE(Tabelle32[[#This Row],[Device ID]],".",Tabelle32[[#This Row],[Streamcounter]])</f>
        <v>386.09204</v>
      </c>
      <c r="B17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VGW-103_SDI09_AUDrec_0004</v>
      </c>
      <c r="C178" s="60"/>
      <c r="D178" s="61"/>
      <c r="E178" s="62"/>
      <c r="F178" s="59" t="str">
        <f>IFERROR(VLOOKUP(Tabelle32[[#This Row],[Device ID]],BOM!$B$3:$BQ$35,16,FALSE),"")</f>
        <v>IngSRV-06</v>
      </c>
      <c r="G178" s="63">
        <f>VLOOKUP(Tabelle32[[#This Row],[SDI Interface]],BOM!$A$4:$B$35,2,FALSE)</f>
        <v>386</v>
      </c>
      <c r="H178" s="59" t="str">
        <f>BOM!$C$4</f>
        <v>VGW-103</v>
      </c>
      <c r="I178" s="59" t="str">
        <f>IFERROR(VLOOKUP(Tabelle32[[#This Row],[Device ID]],BOM!$B$3:$BQ$35,12,FALSE),"")</f>
        <v>Videoserver</v>
      </c>
      <c r="J178" s="59" t="str">
        <f>IFERROR(VLOOKUP(Tabelle32[[#This Row],[Device ID]],BOM!$B$3:$BQ$35,13,FALSE),"")</f>
        <v>TC.U1.223 | MDC</v>
      </c>
      <c r="K178" s="59" t="str">
        <f>IFERROR(VLOOKUP(Tabelle32[[#This Row],[Device ID]],BOM!$B$3:$BQ$35,14,FALSE),"")</f>
        <v>Imagine Comunications</v>
      </c>
      <c r="L178" s="59" t="str">
        <f>IFERROR(VLOOKUP(Tabelle32[[#This Row],[Device ID]],BOM!$B$3:$BQ$35,16,FALSE),"")</f>
        <v>IngSRV-06</v>
      </c>
      <c r="M178" s="63" t="str">
        <f>IFERROR(VLOOKUP(Tabelle32[[#This Row],[Device ID]],BOM!$B$3:$BQ$35,17,FALSE),"")</f>
        <v>M3H</v>
      </c>
      <c r="N178" s="59" t="str">
        <f>IFERROR(VLOOKUP(Tabelle32[[#This Row],[Device ID]],BOM!$B$3:$BQ$35,18,FALSE),"")</f>
        <v>TC.03.225 | M3H</v>
      </c>
      <c r="O178" s="64"/>
      <c r="P178" s="64">
        <f>IFERROR(VLOOKUP(Tabelle32[[#This Row],[Device ID]],BOM!$B$3:$BO$50,20,FALSE),"")</f>
        <v>0</v>
      </c>
      <c r="Q178" s="64">
        <f>IFERROR(VLOOKUP(Tabelle32[[#This Row],[Device ID]],BOM!$B$3:$BO$50,21,FALSE),"")</f>
        <v>1</v>
      </c>
      <c r="R178" s="64">
        <f>IFERROR(VLOOKUP(Tabelle32[[#This Row],[Device ID]],BOM!$B$3:$BO$50,22,FALSE),"")</f>
        <v>0</v>
      </c>
      <c r="S178" s="64"/>
      <c r="T178" s="64"/>
      <c r="U178" s="59" t="str">
        <f>IFERROR(VLOOKUP(Tabelle32[[#This Row],[Device ID]],BOM!$B$3:$BQ$35,25,FALSE),"")</f>
        <v>Luis/Ivo</v>
      </c>
      <c r="V178" s="59" t="str">
        <f>IFERROR(VLOOKUP(Tabelle32[[#This Row],[Device ID]],BOM!$B$3:$BQ$35,26,FALSE),"")</f>
        <v>tpco-megw-vgw103.rta.st-net.media.int</v>
      </c>
      <c r="W178" s="59" t="str">
        <f>IFERROR(VLOOKUP(Tabelle32[[#This Row],[Device ID]],BOM!$B$3:$BQ$35,27,FALSE),"")</f>
        <v>10.120.236.50</v>
      </c>
      <c r="X178" s="59" t="str">
        <f>IFERROR(VLOOKUP(Tabelle32[[#This Row],[Device ID]],BOM!$B$3:$BQ$35,28,FALSE),"")</f>
        <v>AVCoreA</v>
      </c>
      <c r="Y178" s="59" t="str">
        <f>IFERROR(VLOOKUP(Tabelle32[[#This Row],[Device ID]],BOM!$B$3:$BQ$35,29,FALSE),"")</f>
        <v>5_36_1</v>
      </c>
      <c r="Z178" s="59" t="str">
        <f>IFERROR(VLOOKUP(Tabelle32[[#This Row],[Device ID]],BOM!$B$3:$BQ$35,30,FALSE),"")</f>
        <v>tpco-megw-vgw103.rtb.st-net.media.int</v>
      </c>
      <c r="AA178" s="59" t="str">
        <f>IFERROR(VLOOKUP(Tabelle32[[#This Row],[Device ID]],BOM!$B$3:$BQ$35,31,FALSE),"")</f>
        <v>10.120.236.54</v>
      </c>
      <c r="AB178" s="59" t="str">
        <f>IFERROR(VLOOKUP(Tabelle32[[#This Row],[Device ID]],BOM!$B$3:$BQ$35,32,FALSE),"")</f>
        <v>AVCoreB</v>
      </c>
      <c r="AC178" s="59" t="str">
        <f>IFERROR(VLOOKUP(Tabelle32[[#This Row],[Device ID]],BOM!$B$3:$BQ$35,33,FALSE),"")</f>
        <v>5_36_1</v>
      </c>
      <c r="AD178" s="59" t="str">
        <f>IFERROR(VLOOKUP(Tabelle32[[#This Row],[Device ID]],BOM!$B$3:$BQ$35,34,FALSE),"")</f>
        <v>tpco-megw-vgw103.st-net.media.int</v>
      </c>
      <c r="AE178" s="59" t="str">
        <f>IFERROR(VLOOKUP(Tabelle32[[#This Row],[Device ID]],BOM!$B$3:$BQ$35,35,FALSE),"")</f>
        <v>10.120.67.141</v>
      </c>
      <c r="AF178" s="59">
        <f>IFERROR(VLOOKUP(Tabelle32[[#This Row],[Device ID]],BOM!$B$3:$BQ$35,36,FALSE),"")</f>
        <v>0</v>
      </c>
      <c r="AG178" s="59">
        <f>IFERROR(VLOOKUP(Tabelle32[[#This Row],[Device ID]],BOM!$B$3:$BQ$35,37,FALSE),"")</f>
        <v>0</v>
      </c>
      <c r="AH178" s="59"/>
      <c r="AI178" s="59"/>
      <c r="AJ178" s="59"/>
      <c r="AK178" s="59"/>
      <c r="AL178" s="59" t="str">
        <f>IFERROR(VLOOKUP(Tabelle32[[#This Row],[Device ID]],BOM!$B$3:$BQ$35,42,FALSE),"")</f>
        <v>Imagine Communications SNP</v>
      </c>
      <c r="AM178" s="59" t="str">
        <f>IFERROR(VLOOKUP(Tabelle32[[#This Row],[Device ID]],BOM!$B$3:$BQ$35,43,FALSE),"")</f>
        <v>no</v>
      </c>
      <c r="AN178" s="59" t="str">
        <f>IFERROR(VLOOKUP(Tabelle32[[#This Row],[Device ID]],BOM!$B$3:$BQ$35,44,FALSE),"")</f>
        <v>yes</v>
      </c>
      <c r="AO178" s="59" t="str">
        <f>IFERROR(VLOOKUP(Tabelle32[[#This Row],[Device ID]],BOM!$B$3:$BQ$35,45,FALSE),"")</f>
        <v>no</v>
      </c>
      <c r="AP178" s="59" t="str">
        <f>IFERROR(CONCATENATE(Tabelle32[[#This Row],[Family
GFX-Unit]]," | ",Tabelle32[[#This Row],[Label 1
GFX-Unit]]," | ",Tabelle32[[#This Row],[Attached Device if Gateway]]),"")</f>
        <v>M3H InCh REM | Ingest Ch21-04 | IngSRV-06</v>
      </c>
      <c r="AQ178" s="59"/>
      <c r="AR178" s="90"/>
      <c r="AS178" s="90"/>
      <c r="AT178" s="90"/>
      <c r="AU178" s="90"/>
      <c r="AV178" s="90"/>
      <c r="AW178" s="90" t="s">
        <v>97</v>
      </c>
      <c r="AX178" s="90"/>
      <c r="AY178" s="90"/>
      <c r="AZ178" s="90" t="s">
        <v>97</v>
      </c>
      <c r="BA178" s="90"/>
      <c r="BB178" s="90" t="s">
        <v>97</v>
      </c>
      <c r="BC178" s="90" t="s">
        <v>97</v>
      </c>
      <c r="BD178" s="90"/>
      <c r="BE178" s="90"/>
      <c r="BF178" s="90"/>
      <c r="BG178" s="90"/>
      <c r="BH178" s="73" t="s">
        <v>199</v>
      </c>
      <c r="BI178" s="30" t="str">
        <f>IF(COUNTA(Tabelle32[[#This Row],[Type:Vid_1080i50]:[Type:Anc_Prot]])&gt;0,"x","")</f>
        <v>x</v>
      </c>
      <c r="BJ17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78" s="59"/>
      <c r="BL178" s="59"/>
      <c r="BM178" s="63"/>
      <c r="BN178" s="63"/>
      <c r="BO178" s="97" t="s">
        <v>458</v>
      </c>
      <c r="BP178" s="97" t="s">
        <v>470</v>
      </c>
      <c r="BQ178" s="75">
        <f>LEN(Tabelle32[[#This Row],[Label 1
GFX-Unit]])</f>
        <v>14</v>
      </c>
      <c r="BR178" s="63"/>
      <c r="BS178" s="63"/>
      <c r="BT178" s="59"/>
      <c r="BU178" s="59"/>
      <c r="BV178" s="59" t="s">
        <v>226</v>
      </c>
      <c r="BW178" s="59" t="s">
        <v>227</v>
      </c>
      <c r="BX178" s="59" t="s">
        <v>471</v>
      </c>
      <c r="BY178" s="59">
        <v>9</v>
      </c>
    </row>
    <row r="179" spans="1:77" x14ac:dyDescent="0.2">
      <c r="A179" s="58" t="str">
        <f>CONCATENATE(Tabelle32[[#This Row],[Device ID]],".",Tabelle32[[#This Row],[Streamcounter]])</f>
        <v>386.09205</v>
      </c>
      <c r="B17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VGW-103_SDI09_AUDrec_0005</v>
      </c>
      <c r="C179" s="60"/>
      <c r="D179" s="61"/>
      <c r="E179" s="62"/>
      <c r="F179" s="59" t="str">
        <f>IFERROR(VLOOKUP(Tabelle32[[#This Row],[Device ID]],BOM!$B$3:$BQ$35,16,FALSE),"")</f>
        <v>IngSRV-06</v>
      </c>
      <c r="G179" s="63">
        <f>VLOOKUP(Tabelle32[[#This Row],[SDI Interface]],BOM!$A$4:$B$35,2,FALSE)</f>
        <v>386</v>
      </c>
      <c r="H179" s="59" t="str">
        <f>BOM!$C$4</f>
        <v>VGW-103</v>
      </c>
      <c r="I179" s="59" t="str">
        <f>IFERROR(VLOOKUP(Tabelle32[[#This Row],[Device ID]],BOM!$B$3:$BQ$35,12,FALSE),"")</f>
        <v>Videoserver</v>
      </c>
      <c r="J179" s="59" t="str">
        <f>IFERROR(VLOOKUP(Tabelle32[[#This Row],[Device ID]],BOM!$B$3:$BQ$35,13,FALSE),"")</f>
        <v>TC.U1.223 | MDC</v>
      </c>
      <c r="K179" s="59" t="str">
        <f>IFERROR(VLOOKUP(Tabelle32[[#This Row],[Device ID]],BOM!$B$3:$BQ$35,14,FALSE),"")</f>
        <v>Imagine Comunications</v>
      </c>
      <c r="L179" s="59" t="str">
        <f>IFERROR(VLOOKUP(Tabelle32[[#This Row],[Device ID]],BOM!$B$3:$BQ$35,16,FALSE),"")</f>
        <v>IngSRV-06</v>
      </c>
      <c r="M179" s="63" t="str">
        <f>IFERROR(VLOOKUP(Tabelle32[[#This Row],[Device ID]],BOM!$B$3:$BQ$35,17,FALSE),"")</f>
        <v>M3H</v>
      </c>
      <c r="N179" s="59" t="str">
        <f>IFERROR(VLOOKUP(Tabelle32[[#This Row],[Device ID]],BOM!$B$3:$BQ$35,18,FALSE),"")</f>
        <v>TC.03.225 | M3H</v>
      </c>
      <c r="O179" s="64"/>
      <c r="P179" s="64">
        <f>IFERROR(VLOOKUP(Tabelle32[[#This Row],[Device ID]],BOM!$B$3:$BO$50,20,FALSE),"")</f>
        <v>0</v>
      </c>
      <c r="Q179" s="64">
        <f>IFERROR(VLOOKUP(Tabelle32[[#This Row],[Device ID]],BOM!$B$3:$BO$50,21,FALSE),"")</f>
        <v>1</v>
      </c>
      <c r="R179" s="64">
        <f>IFERROR(VLOOKUP(Tabelle32[[#This Row],[Device ID]],BOM!$B$3:$BO$50,22,FALSE),"")</f>
        <v>0</v>
      </c>
      <c r="S179" s="64"/>
      <c r="T179" s="64"/>
      <c r="U179" s="59" t="str">
        <f>IFERROR(VLOOKUP(Tabelle32[[#This Row],[Device ID]],BOM!$B$3:$BQ$35,25,FALSE),"")</f>
        <v>Luis/Ivo</v>
      </c>
      <c r="V179" s="59" t="str">
        <f>IFERROR(VLOOKUP(Tabelle32[[#This Row],[Device ID]],BOM!$B$3:$BQ$35,26,FALSE),"")</f>
        <v>tpco-megw-vgw103.rta.st-net.media.int</v>
      </c>
      <c r="W179" s="59" t="str">
        <f>IFERROR(VLOOKUP(Tabelle32[[#This Row],[Device ID]],BOM!$B$3:$BQ$35,27,FALSE),"")</f>
        <v>10.120.236.50</v>
      </c>
      <c r="X179" s="59" t="str">
        <f>IFERROR(VLOOKUP(Tabelle32[[#This Row],[Device ID]],BOM!$B$3:$BQ$35,28,FALSE),"")</f>
        <v>AVCoreA</v>
      </c>
      <c r="Y179" s="59" t="str">
        <f>IFERROR(VLOOKUP(Tabelle32[[#This Row],[Device ID]],BOM!$B$3:$BQ$35,29,FALSE),"")</f>
        <v>5_36_1</v>
      </c>
      <c r="Z179" s="59" t="str">
        <f>IFERROR(VLOOKUP(Tabelle32[[#This Row],[Device ID]],BOM!$B$3:$BQ$35,30,FALSE),"")</f>
        <v>tpco-megw-vgw103.rtb.st-net.media.int</v>
      </c>
      <c r="AA179" s="59" t="str">
        <f>IFERROR(VLOOKUP(Tabelle32[[#This Row],[Device ID]],BOM!$B$3:$BQ$35,31,FALSE),"")</f>
        <v>10.120.236.54</v>
      </c>
      <c r="AB179" s="59" t="str">
        <f>IFERROR(VLOOKUP(Tabelle32[[#This Row],[Device ID]],BOM!$B$3:$BQ$35,32,FALSE),"")</f>
        <v>AVCoreB</v>
      </c>
      <c r="AC179" s="59" t="str">
        <f>IFERROR(VLOOKUP(Tabelle32[[#This Row],[Device ID]],BOM!$B$3:$BQ$35,33,FALSE),"")</f>
        <v>5_36_1</v>
      </c>
      <c r="AD179" s="59" t="str">
        <f>IFERROR(VLOOKUP(Tabelle32[[#This Row],[Device ID]],BOM!$B$3:$BQ$35,34,FALSE),"")</f>
        <v>tpco-megw-vgw103.st-net.media.int</v>
      </c>
      <c r="AE179" s="59" t="str">
        <f>IFERROR(VLOOKUP(Tabelle32[[#This Row],[Device ID]],BOM!$B$3:$BQ$35,35,FALSE),"")</f>
        <v>10.120.67.141</v>
      </c>
      <c r="AF179" s="59">
        <f>IFERROR(VLOOKUP(Tabelle32[[#This Row],[Device ID]],BOM!$B$3:$BQ$35,36,FALSE),"")</f>
        <v>0</v>
      </c>
      <c r="AG179" s="59">
        <f>IFERROR(VLOOKUP(Tabelle32[[#This Row],[Device ID]],BOM!$B$3:$BQ$35,37,FALSE),"")</f>
        <v>0</v>
      </c>
      <c r="AH179" s="59"/>
      <c r="AI179" s="59"/>
      <c r="AJ179" s="59"/>
      <c r="AK179" s="59"/>
      <c r="AL179" s="59" t="str">
        <f>IFERROR(VLOOKUP(Tabelle32[[#This Row],[Device ID]],BOM!$B$3:$BQ$35,42,FALSE),"")</f>
        <v>Imagine Communications SNP</v>
      </c>
      <c r="AM179" s="59" t="str">
        <f>IFERROR(VLOOKUP(Tabelle32[[#This Row],[Device ID]],BOM!$B$3:$BQ$35,43,FALSE),"")</f>
        <v>no</v>
      </c>
      <c r="AN179" s="59" t="str">
        <f>IFERROR(VLOOKUP(Tabelle32[[#This Row],[Device ID]],BOM!$B$3:$BQ$35,44,FALSE),"")</f>
        <v>yes</v>
      </c>
      <c r="AO179" s="59" t="str">
        <f>IFERROR(VLOOKUP(Tabelle32[[#This Row],[Device ID]],BOM!$B$3:$BQ$35,45,FALSE),"")</f>
        <v>no</v>
      </c>
      <c r="AP179" s="59" t="str">
        <f>IFERROR(CONCATENATE(Tabelle32[[#This Row],[Family
GFX-Unit]]," | ",Tabelle32[[#This Row],[Label 1
GFX-Unit]]," | ",Tabelle32[[#This Row],[Attached Device if Gateway]]),"")</f>
        <v>M3H InCh REM | Ingest Ch21-05 | IngSRV-06</v>
      </c>
      <c r="AQ179" s="59"/>
      <c r="AR179" s="90"/>
      <c r="AS179" s="90"/>
      <c r="AT179" s="90"/>
      <c r="AU179" s="90"/>
      <c r="AV179" s="90"/>
      <c r="AW179" s="90" t="s">
        <v>97</v>
      </c>
      <c r="AX179" s="90"/>
      <c r="AY179" s="90"/>
      <c r="AZ179" s="90" t="s">
        <v>97</v>
      </c>
      <c r="BA179" s="90"/>
      <c r="BB179" s="90" t="s">
        <v>97</v>
      </c>
      <c r="BC179" s="90" t="s">
        <v>97</v>
      </c>
      <c r="BD179" s="90"/>
      <c r="BE179" s="90"/>
      <c r="BF179" s="90"/>
      <c r="BG179" s="90"/>
      <c r="BH179" s="73" t="s">
        <v>199</v>
      </c>
      <c r="BI179" s="30" t="str">
        <f>IF(COUNTA(Tabelle32[[#This Row],[Type:Vid_1080i50]:[Type:Anc_Prot]])&gt;0,"x","")</f>
        <v>x</v>
      </c>
      <c r="BJ17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79" s="59"/>
      <c r="BL179" s="59"/>
      <c r="BM179" s="63"/>
      <c r="BN179" s="63"/>
      <c r="BO179" s="97" t="s">
        <v>458</v>
      </c>
      <c r="BP179" s="97" t="s">
        <v>472</v>
      </c>
      <c r="BQ179" s="75">
        <f>LEN(Tabelle32[[#This Row],[Label 1
GFX-Unit]])</f>
        <v>14</v>
      </c>
      <c r="BR179" s="63"/>
      <c r="BS179" s="63"/>
      <c r="BT179" s="59"/>
      <c r="BU179" s="59"/>
      <c r="BV179" s="59" t="s">
        <v>230</v>
      </c>
      <c r="BW179" s="59" t="s">
        <v>231</v>
      </c>
      <c r="BX179" s="59" t="s">
        <v>473</v>
      </c>
      <c r="BY179" s="59">
        <v>9</v>
      </c>
    </row>
    <row r="180" spans="1:77" x14ac:dyDescent="0.2">
      <c r="A180" s="58" t="str">
        <f>CONCATENATE(Tabelle32[[#This Row],[Device ID]],".",Tabelle32[[#This Row],[Streamcounter]])</f>
        <v>386.09206</v>
      </c>
      <c r="B18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VGW-103_SDI09_AUDrec_0006</v>
      </c>
      <c r="C180" s="60"/>
      <c r="D180" s="61"/>
      <c r="E180" s="62"/>
      <c r="F180" s="59" t="str">
        <f>IFERROR(VLOOKUP(Tabelle32[[#This Row],[Device ID]],BOM!$B$3:$BQ$35,16,FALSE),"")</f>
        <v>IngSRV-06</v>
      </c>
      <c r="G180" s="63">
        <f>VLOOKUP(Tabelle32[[#This Row],[SDI Interface]],BOM!$A$4:$B$35,2,FALSE)</f>
        <v>386</v>
      </c>
      <c r="H180" s="59" t="str">
        <f>BOM!$C$4</f>
        <v>VGW-103</v>
      </c>
      <c r="I180" s="59" t="str">
        <f>IFERROR(VLOOKUP(Tabelle32[[#This Row],[Device ID]],BOM!$B$3:$BQ$35,12,FALSE),"")</f>
        <v>Videoserver</v>
      </c>
      <c r="J180" s="59" t="str">
        <f>IFERROR(VLOOKUP(Tabelle32[[#This Row],[Device ID]],BOM!$B$3:$BQ$35,13,FALSE),"")</f>
        <v>TC.U1.223 | MDC</v>
      </c>
      <c r="K180" s="59" t="str">
        <f>IFERROR(VLOOKUP(Tabelle32[[#This Row],[Device ID]],BOM!$B$3:$BQ$35,14,FALSE),"")</f>
        <v>Imagine Comunications</v>
      </c>
      <c r="L180" s="59" t="str">
        <f>IFERROR(VLOOKUP(Tabelle32[[#This Row],[Device ID]],BOM!$B$3:$BQ$35,16,FALSE),"")</f>
        <v>IngSRV-06</v>
      </c>
      <c r="M180" s="63" t="str">
        <f>IFERROR(VLOOKUP(Tabelle32[[#This Row],[Device ID]],BOM!$B$3:$BQ$35,17,FALSE),"")</f>
        <v>M3H</v>
      </c>
      <c r="N180" s="59" t="str">
        <f>IFERROR(VLOOKUP(Tabelle32[[#This Row],[Device ID]],BOM!$B$3:$BQ$35,18,FALSE),"")</f>
        <v>TC.03.225 | M3H</v>
      </c>
      <c r="O180" s="64"/>
      <c r="P180" s="64">
        <f>IFERROR(VLOOKUP(Tabelle32[[#This Row],[Device ID]],BOM!$B$3:$BO$50,20,FALSE),"")</f>
        <v>0</v>
      </c>
      <c r="Q180" s="64">
        <f>IFERROR(VLOOKUP(Tabelle32[[#This Row],[Device ID]],BOM!$B$3:$BO$50,21,FALSE),"")</f>
        <v>1</v>
      </c>
      <c r="R180" s="64">
        <f>IFERROR(VLOOKUP(Tabelle32[[#This Row],[Device ID]],BOM!$B$3:$BO$50,22,FALSE),"")</f>
        <v>0</v>
      </c>
      <c r="S180" s="64"/>
      <c r="T180" s="64"/>
      <c r="U180" s="59" t="str">
        <f>IFERROR(VLOOKUP(Tabelle32[[#This Row],[Device ID]],BOM!$B$3:$BQ$35,25,FALSE),"")</f>
        <v>Luis/Ivo</v>
      </c>
      <c r="V180" s="59" t="str">
        <f>IFERROR(VLOOKUP(Tabelle32[[#This Row],[Device ID]],BOM!$B$3:$BQ$35,26,FALSE),"")</f>
        <v>tpco-megw-vgw103.rta.st-net.media.int</v>
      </c>
      <c r="W180" s="59" t="str">
        <f>IFERROR(VLOOKUP(Tabelle32[[#This Row],[Device ID]],BOM!$B$3:$BQ$35,27,FALSE),"")</f>
        <v>10.120.236.50</v>
      </c>
      <c r="X180" s="59" t="str">
        <f>IFERROR(VLOOKUP(Tabelle32[[#This Row],[Device ID]],BOM!$B$3:$BQ$35,28,FALSE),"")</f>
        <v>AVCoreA</v>
      </c>
      <c r="Y180" s="59" t="str">
        <f>IFERROR(VLOOKUP(Tabelle32[[#This Row],[Device ID]],BOM!$B$3:$BQ$35,29,FALSE),"")</f>
        <v>5_36_1</v>
      </c>
      <c r="Z180" s="59" t="str">
        <f>IFERROR(VLOOKUP(Tabelle32[[#This Row],[Device ID]],BOM!$B$3:$BQ$35,30,FALSE),"")</f>
        <v>tpco-megw-vgw103.rtb.st-net.media.int</v>
      </c>
      <c r="AA180" s="59" t="str">
        <f>IFERROR(VLOOKUP(Tabelle32[[#This Row],[Device ID]],BOM!$B$3:$BQ$35,31,FALSE),"")</f>
        <v>10.120.236.54</v>
      </c>
      <c r="AB180" s="59" t="str">
        <f>IFERROR(VLOOKUP(Tabelle32[[#This Row],[Device ID]],BOM!$B$3:$BQ$35,32,FALSE),"")</f>
        <v>AVCoreB</v>
      </c>
      <c r="AC180" s="59" t="str">
        <f>IFERROR(VLOOKUP(Tabelle32[[#This Row],[Device ID]],BOM!$B$3:$BQ$35,33,FALSE),"")</f>
        <v>5_36_1</v>
      </c>
      <c r="AD180" s="59" t="str">
        <f>IFERROR(VLOOKUP(Tabelle32[[#This Row],[Device ID]],BOM!$B$3:$BQ$35,34,FALSE),"")</f>
        <v>tpco-megw-vgw103.st-net.media.int</v>
      </c>
      <c r="AE180" s="59" t="str">
        <f>IFERROR(VLOOKUP(Tabelle32[[#This Row],[Device ID]],BOM!$B$3:$BQ$35,35,FALSE),"")</f>
        <v>10.120.67.141</v>
      </c>
      <c r="AF180" s="59">
        <f>IFERROR(VLOOKUP(Tabelle32[[#This Row],[Device ID]],BOM!$B$3:$BQ$35,36,FALSE),"")</f>
        <v>0</v>
      </c>
      <c r="AG180" s="59">
        <f>IFERROR(VLOOKUP(Tabelle32[[#This Row],[Device ID]],BOM!$B$3:$BQ$35,37,FALSE),"")</f>
        <v>0</v>
      </c>
      <c r="AH180" s="59"/>
      <c r="AI180" s="59"/>
      <c r="AJ180" s="59"/>
      <c r="AK180" s="59"/>
      <c r="AL180" s="59" t="str">
        <f>IFERROR(VLOOKUP(Tabelle32[[#This Row],[Device ID]],BOM!$B$3:$BQ$35,42,FALSE),"")</f>
        <v>Imagine Communications SNP</v>
      </c>
      <c r="AM180" s="59" t="str">
        <f>IFERROR(VLOOKUP(Tabelle32[[#This Row],[Device ID]],BOM!$B$3:$BQ$35,43,FALSE),"")</f>
        <v>no</v>
      </c>
      <c r="AN180" s="59" t="str">
        <f>IFERROR(VLOOKUP(Tabelle32[[#This Row],[Device ID]],BOM!$B$3:$BQ$35,44,FALSE),"")</f>
        <v>yes</v>
      </c>
      <c r="AO180" s="59" t="str">
        <f>IFERROR(VLOOKUP(Tabelle32[[#This Row],[Device ID]],BOM!$B$3:$BQ$35,45,FALSE),"")</f>
        <v>no</v>
      </c>
      <c r="AP180" s="59" t="str">
        <f>IFERROR(CONCATENATE(Tabelle32[[#This Row],[Family
GFX-Unit]]," | ",Tabelle32[[#This Row],[Label 1
GFX-Unit]]," | ",Tabelle32[[#This Row],[Attached Device if Gateway]]),"")</f>
        <v>M3H InCh REM | Ingest Ch21-06 | IngSRV-06</v>
      </c>
      <c r="AQ180" s="59"/>
      <c r="AR180" s="90"/>
      <c r="AS180" s="90"/>
      <c r="AT180" s="90"/>
      <c r="AU180" s="90"/>
      <c r="AV180" s="90"/>
      <c r="AW180" s="90" t="s">
        <v>97</v>
      </c>
      <c r="AX180" s="90"/>
      <c r="AY180" s="90"/>
      <c r="AZ180" s="90" t="s">
        <v>97</v>
      </c>
      <c r="BA180" s="90"/>
      <c r="BB180" s="90" t="s">
        <v>97</v>
      </c>
      <c r="BC180" s="90" t="s">
        <v>97</v>
      </c>
      <c r="BD180" s="90"/>
      <c r="BE180" s="90"/>
      <c r="BF180" s="90"/>
      <c r="BG180" s="90"/>
      <c r="BH180" s="73" t="s">
        <v>199</v>
      </c>
      <c r="BI180" s="30" t="str">
        <f>IF(COUNTA(Tabelle32[[#This Row],[Type:Vid_1080i50]:[Type:Anc_Prot]])&gt;0,"x","")</f>
        <v>x</v>
      </c>
      <c r="BJ18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80" s="59"/>
      <c r="BL180" s="59"/>
      <c r="BM180" s="63"/>
      <c r="BN180" s="63"/>
      <c r="BO180" s="97" t="s">
        <v>458</v>
      </c>
      <c r="BP180" s="97" t="s">
        <v>474</v>
      </c>
      <c r="BQ180" s="75">
        <f>LEN(Tabelle32[[#This Row],[Label 1
GFX-Unit]])</f>
        <v>14</v>
      </c>
      <c r="BR180" s="63"/>
      <c r="BS180" s="63"/>
      <c r="BT180" s="59"/>
      <c r="BU180" s="59"/>
      <c r="BV180" s="59" t="s">
        <v>234</v>
      </c>
      <c r="BW180" s="59" t="s">
        <v>235</v>
      </c>
      <c r="BX180" s="59" t="s">
        <v>475</v>
      </c>
      <c r="BY180" s="59">
        <v>9</v>
      </c>
    </row>
    <row r="181" spans="1:77" x14ac:dyDescent="0.2">
      <c r="A181" s="58" t="str">
        <f>CONCATENATE(Tabelle32[[#This Row],[Device ID]],".",Tabelle32[[#This Row],[Streamcounter]])</f>
        <v>386.09207</v>
      </c>
      <c r="B18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VGW-103_SDI09_AUDrec_0007</v>
      </c>
      <c r="C181" s="60"/>
      <c r="D181" s="61"/>
      <c r="E181" s="62"/>
      <c r="F181" s="59" t="str">
        <f>IFERROR(VLOOKUP(Tabelle32[[#This Row],[Device ID]],BOM!$B$3:$BQ$35,16,FALSE),"")</f>
        <v>IngSRV-06</v>
      </c>
      <c r="G181" s="63">
        <f>VLOOKUP(Tabelle32[[#This Row],[SDI Interface]],BOM!$A$4:$B$35,2,FALSE)</f>
        <v>386</v>
      </c>
      <c r="H181" s="59" t="str">
        <f>BOM!$C$4</f>
        <v>VGW-103</v>
      </c>
      <c r="I181" s="59" t="str">
        <f>IFERROR(VLOOKUP(Tabelle32[[#This Row],[Device ID]],BOM!$B$3:$BQ$35,12,FALSE),"")</f>
        <v>Videoserver</v>
      </c>
      <c r="J181" s="59" t="str">
        <f>IFERROR(VLOOKUP(Tabelle32[[#This Row],[Device ID]],BOM!$B$3:$BQ$35,13,FALSE),"")</f>
        <v>TC.U1.223 | MDC</v>
      </c>
      <c r="K181" s="59" t="str">
        <f>IFERROR(VLOOKUP(Tabelle32[[#This Row],[Device ID]],BOM!$B$3:$BQ$35,14,FALSE),"")</f>
        <v>Imagine Comunications</v>
      </c>
      <c r="L181" s="59" t="str">
        <f>IFERROR(VLOOKUP(Tabelle32[[#This Row],[Device ID]],BOM!$B$3:$BQ$35,16,FALSE),"")</f>
        <v>IngSRV-06</v>
      </c>
      <c r="M181" s="63" t="str">
        <f>IFERROR(VLOOKUP(Tabelle32[[#This Row],[Device ID]],BOM!$B$3:$BQ$35,17,FALSE),"")</f>
        <v>M3H</v>
      </c>
      <c r="N181" s="59" t="str">
        <f>IFERROR(VLOOKUP(Tabelle32[[#This Row],[Device ID]],BOM!$B$3:$BQ$35,18,FALSE),"")</f>
        <v>TC.03.225 | M3H</v>
      </c>
      <c r="O181" s="64"/>
      <c r="P181" s="64">
        <f>IFERROR(VLOOKUP(Tabelle32[[#This Row],[Device ID]],BOM!$B$3:$BO$50,20,FALSE),"")</f>
        <v>0</v>
      </c>
      <c r="Q181" s="64">
        <f>IFERROR(VLOOKUP(Tabelle32[[#This Row],[Device ID]],BOM!$B$3:$BO$50,21,FALSE),"")</f>
        <v>1</v>
      </c>
      <c r="R181" s="64">
        <f>IFERROR(VLOOKUP(Tabelle32[[#This Row],[Device ID]],BOM!$B$3:$BO$50,22,FALSE),"")</f>
        <v>0</v>
      </c>
      <c r="S181" s="64"/>
      <c r="T181" s="64"/>
      <c r="U181" s="59" t="str">
        <f>IFERROR(VLOOKUP(Tabelle32[[#This Row],[Device ID]],BOM!$B$3:$BQ$35,25,FALSE),"")</f>
        <v>Luis/Ivo</v>
      </c>
      <c r="V181" s="59" t="str">
        <f>IFERROR(VLOOKUP(Tabelle32[[#This Row],[Device ID]],BOM!$B$3:$BQ$35,26,FALSE),"")</f>
        <v>tpco-megw-vgw103.rta.st-net.media.int</v>
      </c>
      <c r="W181" s="59" t="str">
        <f>IFERROR(VLOOKUP(Tabelle32[[#This Row],[Device ID]],BOM!$B$3:$BQ$35,27,FALSE),"")</f>
        <v>10.120.236.50</v>
      </c>
      <c r="X181" s="59" t="str">
        <f>IFERROR(VLOOKUP(Tabelle32[[#This Row],[Device ID]],BOM!$B$3:$BQ$35,28,FALSE),"")</f>
        <v>AVCoreA</v>
      </c>
      <c r="Y181" s="59" t="str">
        <f>IFERROR(VLOOKUP(Tabelle32[[#This Row],[Device ID]],BOM!$B$3:$BQ$35,29,FALSE),"")</f>
        <v>5_36_1</v>
      </c>
      <c r="Z181" s="59" t="str">
        <f>IFERROR(VLOOKUP(Tabelle32[[#This Row],[Device ID]],BOM!$B$3:$BQ$35,30,FALSE),"")</f>
        <v>tpco-megw-vgw103.rtb.st-net.media.int</v>
      </c>
      <c r="AA181" s="59" t="str">
        <f>IFERROR(VLOOKUP(Tabelle32[[#This Row],[Device ID]],BOM!$B$3:$BQ$35,31,FALSE),"")</f>
        <v>10.120.236.54</v>
      </c>
      <c r="AB181" s="59" t="str">
        <f>IFERROR(VLOOKUP(Tabelle32[[#This Row],[Device ID]],BOM!$B$3:$BQ$35,32,FALSE),"")</f>
        <v>AVCoreB</v>
      </c>
      <c r="AC181" s="59" t="str">
        <f>IFERROR(VLOOKUP(Tabelle32[[#This Row],[Device ID]],BOM!$B$3:$BQ$35,33,FALSE),"")</f>
        <v>5_36_1</v>
      </c>
      <c r="AD181" s="59" t="str">
        <f>IFERROR(VLOOKUP(Tabelle32[[#This Row],[Device ID]],BOM!$B$3:$BQ$35,34,FALSE),"")</f>
        <v>tpco-megw-vgw103.st-net.media.int</v>
      </c>
      <c r="AE181" s="59" t="str">
        <f>IFERROR(VLOOKUP(Tabelle32[[#This Row],[Device ID]],BOM!$B$3:$BQ$35,35,FALSE),"")</f>
        <v>10.120.67.141</v>
      </c>
      <c r="AF181" s="59">
        <f>IFERROR(VLOOKUP(Tabelle32[[#This Row],[Device ID]],BOM!$B$3:$BQ$35,36,FALSE),"")</f>
        <v>0</v>
      </c>
      <c r="AG181" s="59">
        <f>IFERROR(VLOOKUP(Tabelle32[[#This Row],[Device ID]],BOM!$B$3:$BQ$35,37,FALSE),"")</f>
        <v>0</v>
      </c>
      <c r="AH181" s="59"/>
      <c r="AI181" s="59"/>
      <c r="AJ181" s="59"/>
      <c r="AK181" s="59"/>
      <c r="AL181" s="59" t="str">
        <f>IFERROR(VLOOKUP(Tabelle32[[#This Row],[Device ID]],BOM!$B$3:$BQ$35,42,FALSE),"")</f>
        <v>Imagine Communications SNP</v>
      </c>
      <c r="AM181" s="59" t="str">
        <f>IFERROR(VLOOKUP(Tabelle32[[#This Row],[Device ID]],BOM!$B$3:$BQ$35,43,FALSE),"")</f>
        <v>no</v>
      </c>
      <c r="AN181" s="59" t="str">
        <f>IFERROR(VLOOKUP(Tabelle32[[#This Row],[Device ID]],BOM!$B$3:$BQ$35,44,FALSE),"")</f>
        <v>yes</v>
      </c>
      <c r="AO181" s="59" t="str">
        <f>IFERROR(VLOOKUP(Tabelle32[[#This Row],[Device ID]],BOM!$B$3:$BQ$35,45,FALSE),"")</f>
        <v>no</v>
      </c>
      <c r="AP181" s="59" t="str">
        <f>IFERROR(CONCATENATE(Tabelle32[[#This Row],[Family
GFX-Unit]]," | ",Tabelle32[[#This Row],[Label 1
GFX-Unit]]," | ",Tabelle32[[#This Row],[Attached Device if Gateway]]),"")</f>
        <v>M3H InCh REM | Ingest Ch21-07 | IngSRV-06</v>
      </c>
      <c r="AQ181" s="59"/>
      <c r="AR181" s="90"/>
      <c r="AS181" s="90"/>
      <c r="AT181" s="90"/>
      <c r="AU181" s="90"/>
      <c r="AV181" s="90"/>
      <c r="AW181" s="90" t="s">
        <v>97</v>
      </c>
      <c r="AX181" s="90"/>
      <c r="AY181" s="90"/>
      <c r="AZ181" s="90" t="s">
        <v>97</v>
      </c>
      <c r="BA181" s="90"/>
      <c r="BB181" s="90" t="s">
        <v>97</v>
      </c>
      <c r="BC181" s="90" t="s">
        <v>97</v>
      </c>
      <c r="BD181" s="90"/>
      <c r="BE181" s="90"/>
      <c r="BF181" s="90"/>
      <c r="BG181" s="90"/>
      <c r="BH181" s="73" t="s">
        <v>199</v>
      </c>
      <c r="BI181" s="30" t="str">
        <f>IF(COUNTA(Tabelle32[[#This Row],[Type:Vid_1080i50]:[Type:Anc_Prot]])&gt;0,"x","")</f>
        <v>x</v>
      </c>
      <c r="BJ18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81" s="59"/>
      <c r="BL181" s="59"/>
      <c r="BM181" s="63"/>
      <c r="BN181" s="63"/>
      <c r="BO181" s="97" t="s">
        <v>458</v>
      </c>
      <c r="BP181" s="97" t="s">
        <v>476</v>
      </c>
      <c r="BQ181" s="75">
        <f>LEN(Tabelle32[[#This Row],[Label 1
GFX-Unit]])</f>
        <v>14</v>
      </c>
      <c r="BR181" s="63"/>
      <c r="BS181" s="63"/>
      <c r="BT181" s="59"/>
      <c r="BU181" s="59"/>
      <c r="BV181" s="59" t="s">
        <v>238</v>
      </c>
      <c r="BW181" s="59" t="s">
        <v>239</v>
      </c>
      <c r="BX181" s="59" t="s">
        <v>477</v>
      </c>
      <c r="BY181" s="59">
        <v>9</v>
      </c>
    </row>
    <row r="182" spans="1:77" x14ac:dyDescent="0.2">
      <c r="A182" s="58" t="str">
        <f>CONCATENATE(Tabelle32[[#This Row],[Device ID]],".",Tabelle32[[#This Row],[Streamcounter]])</f>
        <v>386.09208</v>
      </c>
      <c r="B18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VGW-103_SDI09_AUDrec_0008</v>
      </c>
      <c r="C182" s="60"/>
      <c r="D182" s="61"/>
      <c r="E182" s="62"/>
      <c r="F182" s="59" t="str">
        <f>IFERROR(VLOOKUP(Tabelle32[[#This Row],[Device ID]],BOM!$B$3:$BQ$35,16,FALSE),"")</f>
        <v>IngSRV-06</v>
      </c>
      <c r="G182" s="63">
        <f>VLOOKUP(Tabelle32[[#This Row],[SDI Interface]],BOM!$A$4:$B$35,2,FALSE)</f>
        <v>386</v>
      </c>
      <c r="H182" s="59" t="str">
        <f>BOM!$C$4</f>
        <v>VGW-103</v>
      </c>
      <c r="I182" s="59" t="str">
        <f>IFERROR(VLOOKUP(Tabelle32[[#This Row],[Device ID]],BOM!$B$3:$BQ$35,12,FALSE),"")</f>
        <v>Videoserver</v>
      </c>
      <c r="J182" s="59" t="str">
        <f>IFERROR(VLOOKUP(Tabelle32[[#This Row],[Device ID]],BOM!$B$3:$BQ$35,13,FALSE),"")</f>
        <v>TC.U1.223 | MDC</v>
      </c>
      <c r="K182" s="59" t="str">
        <f>IFERROR(VLOOKUP(Tabelle32[[#This Row],[Device ID]],BOM!$B$3:$BQ$35,14,FALSE),"")</f>
        <v>Imagine Comunications</v>
      </c>
      <c r="L182" s="59" t="str">
        <f>IFERROR(VLOOKUP(Tabelle32[[#This Row],[Device ID]],BOM!$B$3:$BQ$35,16,FALSE),"")</f>
        <v>IngSRV-06</v>
      </c>
      <c r="M182" s="63" t="str">
        <f>IFERROR(VLOOKUP(Tabelle32[[#This Row],[Device ID]],BOM!$B$3:$BQ$35,17,FALSE),"")</f>
        <v>M3H</v>
      </c>
      <c r="N182" s="59" t="str">
        <f>IFERROR(VLOOKUP(Tabelle32[[#This Row],[Device ID]],BOM!$B$3:$BQ$35,18,FALSE),"")</f>
        <v>TC.03.225 | M3H</v>
      </c>
      <c r="O182" s="64"/>
      <c r="P182" s="64">
        <f>IFERROR(VLOOKUP(Tabelle32[[#This Row],[Device ID]],BOM!$B$3:$BO$50,20,FALSE),"")</f>
        <v>0</v>
      </c>
      <c r="Q182" s="64">
        <f>IFERROR(VLOOKUP(Tabelle32[[#This Row],[Device ID]],BOM!$B$3:$BO$50,21,FALSE),"")</f>
        <v>1</v>
      </c>
      <c r="R182" s="64">
        <f>IFERROR(VLOOKUP(Tabelle32[[#This Row],[Device ID]],BOM!$B$3:$BO$50,22,FALSE),"")</f>
        <v>0</v>
      </c>
      <c r="S182" s="64"/>
      <c r="T182" s="64"/>
      <c r="U182" s="59" t="str">
        <f>IFERROR(VLOOKUP(Tabelle32[[#This Row],[Device ID]],BOM!$B$3:$BQ$35,25,FALSE),"")</f>
        <v>Luis/Ivo</v>
      </c>
      <c r="V182" s="59" t="str">
        <f>IFERROR(VLOOKUP(Tabelle32[[#This Row],[Device ID]],BOM!$B$3:$BQ$35,26,FALSE),"")</f>
        <v>tpco-megw-vgw103.rta.st-net.media.int</v>
      </c>
      <c r="W182" s="59" t="str">
        <f>IFERROR(VLOOKUP(Tabelle32[[#This Row],[Device ID]],BOM!$B$3:$BQ$35,27,FALSE),"")</f>
        <v>10.120.236.50</v>
      </c>
      <c r="X182" s="59" t="str">
        <f>IFERROR(VLOOKUP(Tabelle32[[#This Row],[Device ID]],BOM!$B$3:$BQ$35,28,FALSE),"")</f>
        <v>AVCoreA</v>
      </c>
      <c r="Y182" s="59" t="str">
        <f>IFERROR(VLOOKUP(Tabelle32[[#This Row],[Device ID]],BOM!$B$3:$BQ$35,29,FALSE),"")</f>
        <v>5_36_1</v>
      </c>
      <c r="Z182" s="59" t="str">
        <f>IFERROR(VLOOKUP(Tabelle32[[#This Row],[Device ID]],BOM!$B$3:$BQ$35,30,FALSE),"")</f>
        <v>tpco-megw-vgw103.rtb.st-net.media.int</v>
      </c>
      <c r="AA182" s="59" t="str">
        <f>IFERROR(VLOOKUP(Tabelle32[[#This Row],[Device ID]],BOM!$B$3:$BQ$35,31,FALSE),"")</f>
        <v>10.120.236.54</v>
      </c>
      <c r="AB182" s="59" t="str">
        <f>IFERROR(VLOOKUP(Tabelle32[[#This Row],[Device ID]],BOM!$B$3:$BQ$35,32,FALSE),"")</f>
        <v>AVCoreB</v>
      </c>
      <c r="AC182" s="59" t="str">
        <f>IFERROR(VLOOKUP(Tabelle32[[#This Row],[Device ID]],BOM!$B$3:$BQ$35,33,FALSE),"")</f>
        <v>5_36_1</v>
      </c>
      <c r="AD182" s="59" t="str">
        <f>IFERROR(VLOOKUP(Tabelle32[[#This Row],[Device ID]],BOM!$B$3:$BQ$35,34,FALSE),"")</f>
        <v>tpco-megw-vgw103.st-net.media.int</v>
      </c>
      <c r="AE182" s="59" t="str">
        <f>IFERROR(VLOOKUP(Tabelle32[[#This Row],[Device ID]],BOM!$B$3:$BQ$35,35,FALSE),"")</f>
        <v>10.120.67.141</v>
      </c>
      <c r="AF182" s="59">
        <f>IFERROR(VLOOKUP(Tabelle32[[#This Row],[Device ID]],BOM!$B$3:$BQ$35,36,FALSE),"")</f>
        <v>0</v>
      </c>
      <c r="AG182" s="59">
        <f>IFERROR(VLOOKUP(Tabelle32[[#This Row],[Device ID]],BOM!$B$3:$BQ$35,37,FALSE),"")</f>
        <v>0</v>
      </c>
      <c r="AH182" s="59"/>
      <c r="AI182" s="59"/>
      <c r="AJ182" s="59"/>
      <c r="AK182" s="59"/>
      <c r="AL182" s="59" t="str">
        <f>IFERROR(VLOOKUP(Tabelle32[[#This Row],[Device ID]],BOM!$B$3:$BQ$35,42,FALSE),"")</f>
        <v>Imagine Communications SNP</v>
      </c>
      <c r="AM182" s="59" t="str">
        <f>IFERROR(VLOOKUP(Tabelle32[[#This Row],[Device ID]],BOM!$B$3:$BQ$35,43,FALSE),"")</f>
        <v>no</v>
      </c>
      <c r="AN182" s="59" t="str">
        <f>IFERROR(VLOOKUP(Tabelle32[[#This Row],[Device ID]],BOM!$B$3:$BQ$35,44,FALSE),"")</f>
        <v>yes</v>
      </c>
      <c r="AO182" s="59" t="str">
        <f>IFERROR(VLOOKUP(Tabelle32[[#This Row],[Device ID]],BOM!$B$3:$BQ$35,45,FALSE),"")</f>
        <v>no</v>
      </c>
      <c r="AP182" s="59" t="str">
        <f>IFERROR(CONCATENATE(Tabelle32[[#This Row],[Family
GFX-Unit]]," | ",Tabelle32[[#This Row],[Label 1
GFX-Unit]]," | ",Tabelle32[[#This Row],[Attached Device if Gateway]]),"")</f>
        <v>M3H InCh REM | Ingest Ch21-08 | IngSRV-06</v>
      </c>
      <c r="AQ182" s="59"/>
      <c r="AR182" s="90"/>
      <c r="AS182" s="90"/>
      <c r="AT182" s="90"/>
      <c r="AU182" s="90"/>
      <c r="AV182" s="90"/>
      <c r="AW182" s="90" t="s">
        <v>97</v>
      </c>
      <c r="AX182" s="90"/>
      <c r="AY182" s="90"/>
      <c r="AZ182" s="90" t="s">
        <v>97</v>
      </c>
      <c r="BA182" s="90"/>
      <c r="BB182" s="90" t="s">
        <v>97</v>
      </c>
      <c r="BC182" s="90" t="s">
        <v>97</v>
      </c>
      <c r="BD182" s="90"/>
      <c r="BE182" s="90"/>
      <c r="BF182" s="90"/>
      <c r="BG182" s="90"/>
      <c r="BH182" s="73" t="s">
        <v>199</v>
      </c>
      <c r="BI182" s="30" t="str">
        <f>IF(COUNTA(Tabelle32[[#This Row],[Type:Vid_1080i50]:[Type:Anc_Prot]])&gt;0,"x","")</f>
        <v>x</v>
      </c>
      <c r="BJ18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82" s="59"/>
      <c r="BL182" s="59"/>
      <c r="BM182" s="63"/>
      <c r="BN182" s="63"/>
      <c r="BO182" s="97" t="s">
        <v>458</v>
      </c>
      <c r="BP182" s="97" t="s">
        <v>478</v>
      </c>
      <c r="BQ182" s="75">
        <f>LEN(Tabelle32[[#This Row],[Label 1
GFX-Unit]])</f>
        <v>14</v>
      </c>
      <c r="BR182" s="63"/>
      <c r="BS182" s="63"/>
      <c r="BT182" s="59"/>
      <c r="BU182" s="59"/>
      <c r="BV182" s="59" t="s">
        <v>242</v>
      </c>
      <c r="BW182" s="59" t="s">
        <v>243</v>
      </c>
      <c r="BX182" s="59" t="s">
        <v>479</v>
      </c>
      <c r="BY182" s="59">
        <v>9</v>
      </c>
    </row>
    <row r="183" spans="1:77" x14ac:dyDescent="0.2">
      <c r="A183" s="58" t="str">
        <f>CONCATENATE(Tabelle32[[#This Row],[Device ID]],".",Tabelle32[[#This Row],[Streamcounter]])</f>
        <v>386.09209</v>
      </c>
      <c r="B18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VGW-103_SDI09_AUDrec_0009</v>
      </c>
      <c r="C183" s="60"/>
      <c r="D183" s="61"/>
      <c r="E183" s="62"/>
      <c r="F183" s="59" t="str">
        <f>IFERROR(VLOOKUP(Tabelle32[[#This Row],[Device ID]],BOM!$B$3:$BQ$35,16,FALSE),"")</f>
        <v>IngSRV-06</v>
      </c>
      <c r="G183" s="63">
        <f>VLOOKUP(Tabelle32[[#This Row],[SDI Interface]],BOM!$A$4:$B$35,2,FALSE)</f>
        <v>386</v>
      </c>
      <c r="H183" s="59" t="str">
        <f>BOM!$C$4</f>
        <v>VGW-103</v>
      </c>
      <c r="I183" s="59" t="str">
        <f>IFERROR(VLOOKUP(Tabelle32[[#This Row],[Device ID]],BOM!$B$3:$BQ$35,12,FALSE),"")</f>
        <v>Videoserver</v>
      </c>
      <c r="J183" s="59" t="str">
        <f>IFERROR(VLOOKUP(Tabelle32[[#This Row],[Device ID]],BOM!$B$3:$BQ$35,13,FALSE),"")</f>
        <v>TC.U1.223 | MDC</v>
      </c>
      <c r="K183" s="59" t="str">
        <f>IFERROR(VLOOKUP(Tabelle32[[#This Row],[Device ID]],BOM!$B$3:$BQ$35,14,FALSE),"")</f>
        <v>Imagine Comunications</v>
      </c>
      <c r="L183" s="59" t="str">
        <f>IFERROR(VLOOKUP(Tabelle32[[#This Row],[Device ID]],BOM!$B$3:$BQ$35,16,FALSE),"")</f>
        <v>IngSRV-06</v>
      </c>
      <c r="M183" s="63" t="str">
        <f>IFERROR(VLOOKUP(Tabelle32[[#This Row],[Device ID]],BOM!$B$3:$BQ$35,17,FALSE),"")</f>
        <v>M3H</v>
      </c>
      <c r="N183" s="59" t="str">
        <f>IFERROR(VLOOKUP(Tabelle32[[#This Row],[Device ID]],BOM!$B$3:$BQ$35,18,FALSE),"")</f>
        <v>TC.03.225 | M3H</v>
      </c>
      <c r="O183" s="64"/>
      <c r="P183" s="64">
        <f>IFERROR(VLOOKUP(Tabelle32[[#This Row],[Device ID]],BOM!$B$3:$BO$50,20,FALSE),"")</f>
        <v>0</v>
      </c>
      <c r="Q183" s="64">
        <f>IFERROR(VLOOKUP(Tabelle32[[#This Row],[Device ID]],BOM!$B$3:$BO$50,21,FALSE),"")</f>
        <v>1</v>
      </c>
      <c r="R183" s="64">
        <f>IFERROR(VLOOKUP(Tabelle32[[#This Row],[Device ID]],BOM!$B$3:$BO$50,22,FALSE),"")</f>
        <v>0</v>
      </c>
      <c r="S183" s="64"/>
      <c r="T183" s="64"/>
      <c r="U183" s="59" t="str">
        <f>IFERROR(VLOOKUP(Tabelle32[[#This Row],[Device ID]],BOM!$B$3:$BQ$35,25,FALSE),"")</f>
        <v>Luis/Ivo</v>
      </c>
      <c r="V183" s="59" t="str">
        <f>IFERROR(VLOOKUP(Tabelle32[[#This Row],[Device ID]],BOM!$B$3:$BQ$35,26,FALSE),"")</f>
        <v>tpco-megw-vgw103.rta.st-net.media.int</v>
      </c>
      <c r="W183" s="59" t="str">
        <f>IFERROR(VLOOKUP(Tabelle32[[#This Row],[Device ID]],BOM!$B$3:$BQ$35,27,FALSE),"")</f>
        <v>10.120.236.50</v>
      </c>
      <c r="X183" s="59" t="str">
        <f>IFERROR(VLOOKUP(Tabelle32[[#This Row],[Device ID]],BOM!$B$3:$BQ$35,28,FALSE),"")</f>
        <v>AVCoreA</v>
      </c>
      <c r="Y183" s="59" t="str">
        <f>IFERROR(VLOOKUP(Tabelle32[[#This Row],[Device ID]],BOM!$B$3:$BQ$35,29,FALSE),"")</f>
        <v>5_36_1</v>
      </c>
      <c r="Z183" s="59" t="str">
        <f>IFERROR(VLOOKUP(Tabelle32[[#This Row],[Device ID]],BOM!$B$3:$BQ$35,30,FALSE),"")</f>
        <v>tpco-megw-vgw103.rtb.st-net.media.int</v>
      </c>
      <c r="AA183" s="59" t="str">
        <f>IFERROR(VLOOKUP(Tabelle32[[#This Row],[Device ID]],BOM!$B$3:$BQ$35,31,FALSE),"")</f>
        <v>10.120.236.54</v>
      </c>
      <c r="AB183" s="59" t="str">
        <f>IFERROR(VLOOKUP(Tabelle32[[#This Row],[Device ID]],BOM!$B$3:$BQ$35,32,FALSE),"")</f>
        <v>AVCoreB</v>
      </c>
      <c r="AC183" s="59" t="str">
        <f>IFERROR(VLOOKUP(Tabelle32[[#This Row],[Device ID]],BOM!$B$3:$BQ$35,33,FALSE),"")</f>
        <v>5_36_1</v>
      </c>
      <c r="AD183" s="59" t="str">
        <f>IFERROR(VLOOKUP(Tabelle32[[#This Row],[Device ID]],BOM!$B$3:$BQ$35,34,FALSE),"")</f>
        <v>tpco-megw-vgw103.st-net.media.int</v>
      </c>
      <c r="AE183" s="59" t="str">
        <f>IFERROR(VLOOKUP(Tabelle32[[#This Row],[Device ID]],BOM!$B$3:$BQ$35,35,FALSE),"")</f>
        <v>10.120.67.141</v>
      </c>
      <c r="AF183" s="59">
        <f>IFERROR(VLOOKUP(Tabelle32[[#This Row],[Device ID]],BOM!$B$3:$BQ$35,36,FALSE),"")</f>
        <v>0</v>
      </c>
      <c r="AG183" s="59">
        <f>IFERROR(VLOOKUP(Tabelle32[[#This Row],[Device ID]],BOM!$B$3:$BQ$35,37,FALSE),"")</f>
        <v>0</v>
      </c>
      <c r="AH183" s="59"/>
      <c r="AI183" s="59"/>
      <c r="AJ183" s="59"/>
      <c r="AK183" s="59"/>
      <c r="AL183" s="59" t="str">
        <f>IFERROR(VLOOKUP(Tabelle32[[#This Row],[Device ID]],BOM!$B$3:$BQ$35,42,FALSE),"")</f>
        <v>Imagine Communications SNP</v>
      </c>
      <c r="AM183" s="59" t="str">
        <f>IFERROR(VLOOKUP(Tabelle32[[#This Row],[Device ID]],BOM!$B$3:$BQ$35,43,FALSE),"")</f>
        <v>no</v>
      </c>
      <c r="AN183" s="59" t="str">
        <f>IFERROR(VLOOKUP(Tabelle32[[#This Row],[Device ID]],BOM!$B$3:$BQ$35,44,FALSE),"")</f>
        <v>yes</v>
      </c>
      <c r="AO183" s="59" t="str">
        <f>IFERROR(VLOOKUP(Tabelle32[[#This Row],[Device ID]],BOM!$B$3:$BQ$35,45,FALSE),"")</f>
        <v>no</v>
      </c>
      <c r="AP183" s="59" t="str">
        <f>IFERROR(CONCATENATE(Tabelle32[[#This Row],[Family
GFX-Unit]]," | ",Tabelle32[[#This Row],[Label 1
GFX-Unit]]," | ",Tabelle32[[#This Row],[Attached Device if Gateway]]),"")</f>
        <v>M3H InCh REM | Ingest Ch21-09 | IngSRV-06</v>
      </c>
      <c r="AQ183" s="59"/>
      <c r="AR183" s="90"/>
      <c r="AS183" s="90"/>
      <c r="AT183" s="90"/>
      <c r="AU183" s="90"/>
      <c r="AV183" s="90"/>
      <c r="AW183" s="90" t="s">
        <v>97</v>
      </c>
      <c r="AX183" s="90"/>
      <c r="AY183" s="90"/>
      <c r="AZ183" s="90" t="s">
        <v>97</v>
      </c>
      <c r="BA183" s="90"/>
      <c r="BB183" s="90" t="s">
        <v>97</v>
      </c>
      <c r="BC183" s="90" t="s">
        <v>97</v>
      </c>
      <c r="BD183" s="90"/>
      <c r="BE183" s="90"/>
      <c r="BF183" s="90"/>
      <c r="BG183" s="90"/>
      <c r="BH183" s="73" t="s">
        <v>199</v>
      </c>
      <c r="BI183" s="30" t="str">
        <f>IF(COUNTA(Tabelle32[[#This Row],[Type:Vid_1080i50]:[Type:Anc_Prot]])&gt;0,"x","")</f>
        <v>x</v>
      </c>
      <c r="BJ18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83" s="59"/>
      <c r="BL183" s="59"/>
      <c r="BM183" s="63"/>
      <c r="BN183" s="63"/>
      <c r="BO183" s="97" t="s">
        <v>458</v>
      </c>
      <c r="BP183" s="97" t="s">
        <v>480</v>
      </c>
      <c r="BQ183" s="75">
        <f>LEN(Tabelle32[[#This Row],[Label 1
GFX-Unit]])</f>
        <v>14</v>
      </c>
      <c r="BR183" s="63"/>
      <c r="BS183" s="63"/>
      <c r="BT183" s="59"/>
      <c r="BU183" s="59"/>
      <c r="BV183" s="59" t="s">
        <v>245</v>
      </c>
      <c r="BW183" s="59" t="s">
        <v>246</v>
      </c>
      <c r="BX183" s="59" t="s">
        <v>481</v>
      </c>
      <c r="BY183" s="59">
        <v>9</v>
      </c>
    </row>
    <row r="184" spans="1:77" hidden="1" x14ac:dyDescent="0.2">
      <c r="A184" s="58" t="str">
        <f>CONCATENATE(Tabelle32[[#This Row],[Device ID]],".",Tabelle32[[#This Row],[Streamcounter]])</f>
        <v>386.09210</v>
      </c>
      <c r="B18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VGW-103_SDI09_AUDrec_0010</v>
      </c>
      <c r="C184" s="60"/>
      <c r="D184" s="61"/>
      <c r="E184" s="62"/>
      <c r="F184" s="59" t="str">
        <f>IFERROR(VLOOKUP(Tabelle32[[#This Row],[Device ID]],BOM!$B$3:$BQ$35,16,FALSE),"")</f>
        <v>IngSRV-06</v>
      </c>
      <c r="G184" s="63">
        <f>VLOOKUP(Tabelle32[[#This Row],[SDI Interface]],BOM!$A$4:$B$35,2,FALSE)</f>
        <v>386</v>
      </c>
      <c r="H184" s="59" t="str">
        <f>BOM!$C$4</f>
        <v>VGW-103</v>
      </c>
      <c r="I184" s="59" t="str">
        <f>IFERROR(VLOOKUP(Tabelle32[[#This Row],[Device ID]],BOM!$B$3:$BQ$35,12,FALSE),"")</f>
        <v>Videoserver</v>
      </c>
      <c r="J184" s="59" t="str">
        <f>IFERROR(VLOOKUP(Tabelle32[[#This Row],[Device ID]],BOM!$B$3:$BQ$35,13,FALSE),"")</f>
        <v>TC.U1.223 | MDC</v>
      </c>
      <c r="K184" s="59" t="str">
        <f>IFERROR(VLOOKUP(Tabelle32[[#This Row],[Device ID]],BOM!$B$3:$BQ$35,14,FALSE),"")</f>
        <v>Imagine Comunications</v>
      </c>
      <c r="L184" s="59" t="str">
        <f>IFERROR(VLOOKUP(Tabelle32[[#This Row],[Device ID]],BOM!$B$3:$BQ$35,16,FALSE),"")</f>
        <v>IngSRV-06</v>
      </c>
      <c r="M184" s="63" t="str">
        <f>IFERROR(VLOOKUP(Tabelle32[[#This Row],[Device ID]],BOM!$B$3:$BQ$35,17,FALSE),"")</f>
        <v>M3H</v>
      </c>
      <c r="N184" s="59" t="str">
        <f>IFERROR(VLOOKUP(Tabelle32[[#This Row],[Device ID]],BOM!$B$3:$BQ$35,18,FALSE),"")</f>
        <v>TC.03.225 | M3H</v>
      </c>
      <c r="O184" s="64"/>
      <c r="P184" s="64">
        <f>IFERROR(VLOOKUP(Tabelle32[[#This Row],[Device ID]],BOM!$B$3:$BO$50,20,FALSE),"")</f>
        <v>0</v>
      </c>
      <c r="Q184" s="64">
        <f>IFERROR(VLOOKUP(Tabelle32[[#This Row],[Device ID]],BOM!$B$3:$BO$50,21,FALSE),"")</f>
        <v>1</v>
      </c>
      <c r="R184" s="64">
        <f>IFERROR(VLOOKUP(Tabelle32[[#This Row],[Device ID]],BOM!$B$3:$BO$50,22,FALSE),"")</f>
        <v>0</v>
      </c>
      <c r="S184" s="64"/>
      <c r="T184" s="64"/>
      <c r="U184" s="59" t="str">
        <f>IFERROR(VLOOKUP(Tabelle32[[#This Row],[Device ID]],BOM!$B$3:$BQ$35,25,FALSE),"")</f>
        <v>Luis/Ivo</v>
      </c>
      <c r="V184" s="59" t="str">
        <f>IFERROR(VLOOKUP(Tabelle32[[#This Row],[Device ID]],BOM!$B$3:$BQ$35,26,FALSE),"")</f>
        <v>tpco-megw-vgw103.rta.st-net.media.int</v>
      </c>
      <c r="W184" s="59" t="str">
        <f>IFERROR(VLOOKUP(Tabelle32[[#This Row],[Device ID]],BOM!$B$3:$BQ$35,27,FALSE),"")</f>
        <v>10.120.236.50</v>
      </c>
      <c r="X184" s="59" t="str">
        <f>IFERROR(VLOOKUP(Tabelle32[[#This Row],[Device ID]],BOM!$B$3:$BQ$35,28,FALSE),"")</f>
        <v>AVCoreA</v>
      </c>
      <c r="Y184" s="59" t="str">
        <f>IFERROR(VLOOKUP(Tabelle32[[#This Row],[Device ID]],BOM!$B$3:$BQ$35,29,FALSE),"")</f>
        <v>5_36_1</v>
      </c>
      <c r="Z184" s="59" t="str">
        <f>IFERROR(VLOOKUP(Tabelle32[[#This Row],[Device ID]],BOM!$B$3:$BQ$35,30,FALSE),"")</f>
        <v>tpco-megw-vgw103.rtb.st-net.media.int</v>
      </c>
      <c r="AA184" s="59" t="str">
        <f>IFERROR(VLOOKUP(Tabelle32[[#This Row],[Device ID]],BOM!$B$3:$BQ$35,31,FALSE),"")</f>
        <v>10.120.236.54</v>
      </c>
      <c r="AB184" s="59" t="str">
        <f>IFERROR(VLOOKUP(Tabelle32[[#This Row],[Device ID]],BOM!$B$3:$BQ$35,32,FALSE),"")</f>
        <v>AVCoreB</v>
      </c>
      <c r="AC184" s="59" t="str">
        <f>IFERROR(VLOOKUP(Tabelle32[[#This Row],[Device ID]],BOM!$B$3:$BQ$35,33,FALSE),"")</f>
        <v>5_36_1</v>
      </c>
      <c r="AD184" s="59" t="str">
        <f>IFERROR(VLOOKUP(Tabelle32[[#This Row],[Device ID]],BOM!$B$3:$BQ$35,34,FALSE),"")</f>
        <v>tpco-megw-vgw103.st-net.media.int</v>
      </c>
      <c r="AE184" s="59" t="str">
        <f>IFERROR(VLOOKUP(Tabelle32[[#This Row],[Device ID]],BOM!$B$3:$BQ$35,35,FALSE),"")</f>
        <v>10.120.67.141</v>
      </c>
      <c r="AF184" s="59">
        <f>IFERROR(VLOOKUP(Tabelle32[[#This Row],[Device ID]],BOM!$B$3:$BQ$35,36,FALSE),"")</f>
        <v>0</v>
      </c>
      <c r="AG184" s="59">
        <f>IFERROR(VLOOKUP(Tabelle32[[#This Row],[Device ID]],BOM!$B$3:$BQ$35,37,FALSE),"")</f>
        <v>0</v>
      </c>
      <c r="AH184" s="59"/>
      <c r="AI184" s="59"/>
      <c r="AJ184" s="59"/>
      <c r="AK184" s="59"/>
      <c r="AL184" s="59" t="str">
        <f>IFERROR(VLOOKUP(Tabelle32[[#This Row],[Device ID]],BOM!$B$3:$BQ$35,42,FALSE),"")</f>
        <v>Imagine Communications SNP</v>
      </c>
      <c r="AM184" s="59" t="str">
        <f>IFERROR(VLOOKUP(Tabelle32[[#This Row],[Device ID]],BOM!$B$3:$BQ$35,43,FALSE),"")</f>
        <v>no</v>
      </c>
      <c r="AN184" s="59" t="str">
        <f>IFERROR(VLOOKUP(Tabelle32[[#This Row],[Device ID]],BOM!$B$3:$BQ$35,44,FALSE),"")</f>
        <v>yes</v>
      </c>
      <c r="AO184" s="59" t="str">
        <f>IFERROR(VLOOKUP(Tabelle32[[#This Row],[Device ID]],BOM!$B$3:$BQ$35,45,FALSE),"")</f>
        <v>no</v>
      </c>
      <c r="AP184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84" s="59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73" t="s">
        <v>199</v>
      </c>
      <c r="BI184" s="30" t="str">
        <f>IF(COUNTA(Tabelle32[[#This Row],[Type:Vid_1080i50]:[Type:Anc_Prot]])&gt;0,"x","")</f>
        <v/>
      </c>
      <c r="BJ18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84" s="59"/>
      <c r="BL184" s="59"/>
      <c r="BM184" s="63"/>
      <c r="BN184" s="63"/>
      <c r="BO184" s="96"/>
      <c r="BP184" s="96"/>
      <c r="BQ184" s="75">
        <f>LEN(Tabelle32[[#This Row],[Label 1
GFX-Unit]])</f>
        <v>0</v>
      </c>
      <c r="BR184" s="63"/>
      <c r="BS184" s="63"/>
      <c r="BT184" s="59"/>
      <c r="BU184" s="59"/>
      <c r="BV184" s="59" t="s">
        <v>248</v>
      </c>
      <c r="BW184" s="59" t="s">
        <v>249</v>
      </c>
      <c r="BX184" s="59" t="s">
        <v>482</v>
      </c>
      <c r="BY184" s="59">
        <v>9</v>
      </c>
    </row>
    <row r="185" spans="1:77" hidden="1" x14ac:dyDescent="0.2">
      <c r="A185" s="58" t="str">
        <f>CONCATENATE(Tabelle32[[#This Row],[Device ID]],".",Tabelle32[[#This Row],[Streamcounter]])</f>
        <v>386.09211</v>
      </c>
      <c r="B18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VGW-103_SDI09_AUDrec_0011</v>
      </c>
      <c r="C185" s="60"/>
      <c r="D185" s="61"/>
      <c r="E185" s="62"/>
      <c r="F185" s="59" t="str">
        <f>IFERROR(VLOOKUP(Tabelle32[[#This Row],[Device ID]],BOM!$B$3:$BQ$35,16,FALSE),"")</f>
        <v>IngSRV-06</v>
      </c>
      <c r="G185" s="63">
        <f>VLOOKUP(Tabelle32[[#This Row],[SDI Interface]],BOM!$A$4:$B$35,2,FALSE)</f>
        <v>386</v>
      </c>
      <c r="H185" s="59" t="str">
        <f>BOM!$C$4</f>
        <v>VGW-103</v>
      </c>
      <c r="I185" s="59" t="str">
        <f>IFERROR(VLOOKUP(Tabelle32[[#This Row],[Device ID]],BOM!$B$3:$BQ$35,12,FALSE),"")</f>
        <v>Videoserver</v>
      </c>
      <c r="J185" s="59" t="str">
        <f>IFERROR(VLOOKUP(Tabelle32[[#This Row],[Device ID]],BOM!$B$3:$BQ$35,13,FALSE),"")</f>
        <v>TC.U1.223 | MDC</v>
      </c>
      <c r="K185" s="59" t="str">
        <f>IFERROR(VLOOKUP(Tabelle32[[#This Row],[Device ID]],BOM!$B$3:$BQ$35,14,FALSE),"")</f>
        <v>Imagine Comunications</v>
      </c>
      <c r="L185" s="59" t="str">
        <f>IFERROR(VLOOKUP(Tabelle32[[#This Row],[Device ID]],BOM!$B$3:$BQ$35,16,FALSE),"")</f>
        <v>IngSRV-06</v>
      </c>
      <c r="M185" s="63" t="str">
        <f>IFERROR(VLOOKUP(Tabelle32[[#This Row],[Device ID]],BOM!$B$3:$BQ$35,17,FALSE),"")</f>
        <v>M3H</v>
      </c>
      <c r="N185" s="59" t="str">
        <f>IFERROR(VLOOKUP(Tabelle32[[#This Row],[Device ID]],BOM!$B$3:$BQ$35,18,FALSE),"")</f>
        <v>TC.03.225 | M3H</v>
      </c>
      <c r="O185" s="64"/>
      <c r="P185" s="64">
        <f>IFERROR(VLOOKUP(Tabelle32[[#This Row],[Device ID]],BOM!$B$3:$BO$50,20,FALSE),"")</f>
        <v>0</v>
      </c>
      <c r="Q185" s="64">
        <f>IFERROR(VLOOKUP(Tabelle32[[#This Row],[Device ID]],BOM!$B$3:$BO$50,21,FALSE),"")</f>
        <v>1</v>
      </c>
      <c r="R185" s="64">
        <f>IFERROR(VLOOKUP(Tabelle32[[#This Row],[Device ID]],BOM!$B$3:$BO$50,22,FALSE),"")</f>
        <v>0</v>
      </c>
      <c r="S185" s="64"/>
      <c r="T185" s="64"/>
      <c r="U185" s="59" t="str">
        <f>IFERROR(VLOOKUP(Tabelle32[[#This Row],[Device ID]],BOM!$B$3:$BQ$35,25,FALSE),"")</f>
        <v>Luis/Ivo</v>
      </c>
      <c r="V185" s="59" t="str">
        <f>IFERROR(VLOOKUP(Tabelle32[[#This Row],[Device ID]],BOM!$B$3:$BQ$35,26,FALSE),"")</f>
        <v>tpco-megw-vgw103.rta.st-net.media.int</v>
      </c>
      <c r="W185" s="59" t="str">
        <f>IFERROR(VLOOKUP(Tabelle32[[#This Row],[Device ID]],BOM!$B$3:$BQ$35,27,FALSE),"")</f>
        <v>10.120.236.50</v>
      </c>
      <c r="X185" s="59" t="str">
        <f>IFERROR(VLOOKUP(Tabelle32[[#This Row],[Device ID]],BOM!$B$3:$BQ$35,28,FALSE),"")</f>
        <v>AVCoreA</v>
      </c>
      <c r="Y185" s="59" t="str">
        <f>IFERROR(VLOOKUP(Tabelle32[[#This Row],[Device ID]],BOM!$B$3:$BQ$35,29,FALSE),"")</f>
        <v>5_36_1</v>
      </c>
      <c r="Z185" s="59" t="str">
        <f>IFERROR(VLOOKUP(Tabelle32[[#This Row],[Device ID]],BOM!$B$3:$BQ$35,30,FALSE),"")</f>
        <v>tpco-megw-vgw103.rtb.st-net.media.int</v>
      </c>
      <c r="AA185" s="59" t="str">
        <f>IFERROR(VLOOKUP(Tabelle32[[#This Row],[Device ID]],BOM!$B$3:$BQ$35,31,FALSE),"")</f>
        <v>10.120.236.54</v>
      </c>
      <c r="AB185" s="59" t="str">
        <f>IFERROR(VLOOKUP(Tabelle32[[#This Row],[Device ID]],BOM!$B$3:$BQ$35,32,FALSE),"")</f>
        <v>AVCoreB</v>
      </c>
      <c r="AC185" s="59" t="str">
        <f>IFERROR(VLOOKUP(Tabelle32[[#This Row],[Device ID]],BOM!$B$3:$BQ$35,33,FALSE),"")</f>
        <v>5_36_1</v>
      </c>
      <c r="AD185" s="59" t="str">
        <f>IFERROR(VLOOKUP(Tabelle32[[#This Row],[Device ID]],BOM!$B$3:$BQ$35,34,FALSE),"")</f>
        <v>tpco-megw-vgw103.st-net.media.int</v>
      </c>
      <c r="AE185" s="59" t="str">
        <f>IFERROR(VLOOKUP(Tabelle32[[#This Row],[Device ID]],BOM!$B$3:$BQ$35,35,FALSE),"")</f>
        <v>10.120.67.141</v>
      </c>
      <c r="AF185" s="59">
        <f>IFERROR(VLOOKUP(Tabelle32[[#This Row],[Device ID]],BOM!$B$3:$BQ$35,36,FALSE),"")</f>
        <v>0</v>
      </c>
      <c r="AG185" s="59">
        <f>IFERROR(VLOOKUP(Tabelle32[[#This Row],[Device ID]],BOM!$B$3:$BQ$35,37,FALSE),"")</f>
        <v>0</v>
      </c>
      <c r="AH185" s="59"/>
      <c r="AI185" s="59"/>
      <c r="AJ185" s="59"/>
      <c r="AK185" s="59"/>
      <c r="AL185" s="59" t="str">
        <f>IFERROR(VLOOKUP(Tabelle32[[#This Row],[Device ID]],BOM!$B$3:$BQ$35,42,FALSE),"")</f>
        <v>Imagine Communications SNP</v>
      </c>
      <c r="AM185" s="59" t="str">
        <f>IFERROR(VLOOKUP(Tabelle32[[#This Row],[Device ID]],BOM!$B$3:$BQ$35,43,FALSE),"")</f>
        <v>no</v>
      </c>
      <c r="AN185" s="59" t="str">
        <f>IFERROR(VLOOKUP(Tabelle32[[#This Row],[Device ID]],BOM!$B$3:$BQ$35,44,FALSE),"")</f>
        <v>yes</v>
      </c>
      <c r="AO185" s="59" t="str">
        <f>IFERROR(VLOOKUP(Tabelle32[[#This Row],[Device ID]],BOM!$B$3:$BQ$35,45,FALSE),"")</f>
        <v>no</v>
      </c>
      <c r="AP185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85" s="59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73" t="s">
        <v>199</v>
      </c>
      <c r="BI185" s="30" t="str">
        <f>IF(COUNTA(Tabelle32[[#This Row],[Type:Vid_1080i50]:[Type:Anc_Prot]])&gt;0,"x","")</f>
        <v/>
      </c>
      <c r="BJ18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85" s="59"/>
      <c r="BL185" s="59"/>
      <c r="BM185" s="63"/>
      <c r="BN185" s="63"/>
      <c r="BO185" s="96"/>
      <c r="BP185" s="96"/>
      <c r="BQ185" s="75">
        <f>LEN(Tabelle32[[#This Row],[Label 1
GFX-Unit]])</f>
        <v>0</v>
      </c>
      <c r="BR185" s="63"/>
      <c r="BS185" s="63"/>
      <c r="BT185" s="59"/>
      <c r="BU185" s="59"/>
      <c r="BV185" s="59" t="s">
        <v>251</v>
      </c>
      <c r="BW185" s="59" t="s">
        <v>252</v>
      </c>
      <c r="BX185" s="59" t="s">
        <v>483</v>
      </c>
      <c r="BY185" s="59">
        <v>9</v>
      </c>
    </row>
    <row r="186" spans="1:77" hidden="1" x14ac:dyDescent="0.2">
      <c r="A186" s="58" t="str">
        <f>CONCATENATE(Tabelle32[[#This Row],[Device ID]],".",Tabelle32[[#This Row],[Streamcounter]])</f>
        <v>386.09212</v>
      </c>
      <c r="B18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VGW-103_SDI09_AUDrec_0012</v>
      </c>
      <c r="C186" s="60"/>
      <c r="D186" s="61"/>
      <c r="E186" s="62"/>
      <c r="F186" s="59" t="str">
        <f>IFERROR(VLOOKUP(Tabelle32[[#This Row],[Device ID]],BOM!$B$3:$BQ$35,16,FALSE),"")</f>
        <v>IngSRV-06</v>
      </c>
      <c r="G186" s="63">
        <f>VLOOKUP(Tabelle32[[#This Row],[SDI Interface]],BOM!$A$4:$B$35,2,FALSE)</f>
        <v>386</v>
      </c>
      <c r="H186" s="59" t="str">
        <f>BOM!$C$4</f>
        <v>VGW-103</v>
      </c>
      <c r="I186" s="59" t="str">
        <f>IFERROR(VLOOKUP(Tabelle32[[#This Row],[Device ID]],BOM!$B$3:$BQ$35,12,FALSE),"")</f>
        <v>Videoserver</v>
      </c>
      <c r="J186" s="59" t="str">
        <f>IFERROR(VLOOKUP(Tabelle32[[#This Row],[Device ID]],BOM!$B$3:$BQ$35,13,FALSE),"")</f>
        <v>TC.U1.223 | MDC</v>
      </c>
      <c r="K186" s="59" t="str">
        <f>IFERROR(VLOOKUP(Tabelle32[[#This Row],[Device ID]],BOM!$B$3:$BQ$35,14,FALSE),"")</f>
        <v>Imagine Comunications</v>
      </c>
      <c r="L186" s="59" t="str">
        <f>IFERROR(VLOOKUP(Tabelle32[[#This Row],[Device ID]],BOM!$B$3:$BQ$35,16,FALSE),"")</f>
        <v>IngSRV-06</v>
      </c>
      <c r="M186" s="63" t="str">
        <f>IFERROR(VLOOKUP(Tabelle32[[#This Row],[Device ID]],BOM!$B$3:$BQ$35,17,FALSE),"")</f>
        <v>M3H</v>
      </c>
      <c r="N186" s="59" t="str">
        <f>IFERROR(VLOOKUP(Tabelle32[[#This Row],[Device ID]],BOM!$B$3:$BQ$35,18,FALSE),"")</f>
        <v>TC.03.225 | M3H</v>
      </c>
      <c r="O186" s="64"/>
      <c r="P186" s="64">
        <f>IFERROR(VLOOKUP(Tabelle32[[#This Row],[Device ID]],BOM!$B$3:$BO$50,20,FALSE),"")</f>
        <v>0</v>
      </c>
      <c r="Q186" s="64">
        <f>IFERROR(VLOOKUP(Tabelle32[[#This Row],[Device ID]],BOM!$B$3:$BO$50,21,FALSE),"")</f>
        <v>1</v>
      </c>
      <c r="R186" s="64">
        <f>IFERROR(VLOOKUP(Tabelle32[[#This Row],[Device ID]],BOM!$B$3:$BO$50,22,FALSE),"")</f>
        <v>0</v>
      </c>
      <c r="S186" s="64"/>
      <c r="T186" s="64"/>
      <c r="U186" s="59" t="str">
        <f>IFERROR(VLOOKUP(Tabelle32[[#This Row],[Device ID]],BOM!$B$3:$BQ$35,25,FALSE),"")</f>
        <v>Luis/Ivo</v>
      </c>
      <c r="V186" s="59" t="str">
        <f>IFERROR(VLOOKUP(Tabelle32[[#This Row],[Device ID]],BOM!$B$3:$BQ$35,26,FALSE),"")</f>
        <v>tpco-megw-vgw103.rta.st-net.media.int</v>
      </c>
      <c r="W186" s="59" t="str">
        <f>IFERROR(VLOOKUP(Tabelle32[[#This Row],[Device ID]],BOM!$B$3:$BQ$35,27,FALSE),"")</f>
        <v>10.120.236.50</v>
      </c>
      <c r="X186" s="59" t="str">
        <f>IFERROR(VLOOKUP(Tabelle32[[#This Row],[Device ID]],BOM!$B$3:$BQ$35,28,FALSE),"")</f>
        <v>AVCoreA</v>
      </c>
      <c r="Y186" s="59" t="str">
        <f>IFERROR(VLOOKUP(Tabelle32[[#This Row],[Device ID]],BOM!$B$3:$BQ$35,29,FALSE),"")</f>
        <v>5_36_1</v>
      </c>
      <c r="Z186" s="59" t="str">
        <f>IFERROR(VLOOKUP(Tabelle32[[#This Row],[Device ID]],BOM!$B$3:$BQ$35,30,FALSE),"")</f>
        <v>tpco-megw-vgw103.rtb.st-net.media.int</v>
      </c>
      <c r="AA186" s="59" t="str">
        <f>IFERROR(VLOOKUP(Tabelle32[[#This Row],[Device ID]],BOM!$B$3:$BQ$35,31,FALSE),"")</f>
        <v>10.120.236.54</v>
      </c>
      <c r="AB186" s="59" t="str">
        <f>IFERROR(VLOOKUP(Tabelle32[[#This Row],[Device ID]],BOM!$B$3:$BQ$35,32,FALSE),"")</f>
        <v>AVCoreB</v>
      </c>
      <c r="AC186" s="59" t="str">
        <f>IFERROR(VLOOKUP(Tabelle32[[#This Row],[Device ID]],BOM!$B$3:$BQ$35,33,FALSE),"")</f>
        <v>5_36_1</v>
      </c>
      <c r="AD186" s="59" t="str">
        <f>IFERROR(VLOOKUP(Tabelle32[[#This Row],[Device ID]],BOM!$B$3:$BQ$35,34,FALSE),"")</f>
        <v>tpco-megw-vgw103.st-net.media.int</v>
      </c>
      <c r="AE186" s="59" t="str">
        <f>IFERROR(VLOOKUP(Tabelle32[[#This Row],[Device ID]],BOM!$B$3:$BQ$35,35,FALSE),"")</f>
        <v>10.120.67.141</v>
      </c>
      <c r="AF186" s="59">
        <f>IFERROR(VLOOKUP(Tabelle32[[#This Row],[Device ID]],BOM!$B$3:$BQ$35,36,FALSE),"")</f>
        <v>0</v>
      </c>
      <c r="AG186" s="59">
        <f>IFERROR(VLOOKUP(Tabelle32[[#This Row],[Device ID]],BOM!$B$3:$BQ$35,37,FALSE),"")</f>
        <v>0</v>
      </c>
      <c r="AH186" s="59"/>
      <c r="AI186" s="59"/>
      <c r="AJ186" s="59"/>
      <c r="AK186" s="59"/>
      <c r="AL186" s="59" t="str">
        <f>IFERROR(VLOOKUP(Tabelle32[[#This Row],[Device ID]],BOM!$B$3:$BQ$35,42,FALSE),"")</f>
        <v>Imagine Communications SNP</v>
      </c>
      <c r="AM186" s="59" t="str">
        <f>IFERROR(VLOOKUP(Tabelle32[[#This Row],[Device ID]],BOM!$B$3:$BQ$35,43,FALSE),"")</f>
        <v>no</v>
      </c>
      <c r="AN186" s="59" t="str">
        <f>IFERROR(VLOOKUP(Tabelle32[[#This Row],[Device ID]],BOM!$B$3:$BQ$35,44,FALSE),"")</f>
        <v>yes</v>
      </c>
      <c r="AO186" s="59" t="str">
        <f>IFERROR(VLOOKUP(Tabelle32[[#This Row],[Device ID]],BOM!$B$3:$BQ$35,45,FALSE),"")</f>
        <v>no</v>
      </c>
      <c r="AP186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86" s="59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73" t="s">
        <v>199</v>
      </c>
      <c r="BI186" s="30" t="str">
        <f>IF(COUNTA(Tabelle32[[#This Row],[Type:Vid_1080i50]:[Type:Anc_Prot]])&gt;0,"x","")</f>
        <v/>
      </c>
      <c r="BJ18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86" s="59"/>
      <c r="BL186" s="59"/>
      <c r="BM186" s="63"/>
      <c r="BN186" s="63"/>
      <c r="BO186" s="96"/>
      <c r="BP186" s="96"/>
      <c r="BQ186" s="75">
        <f>LEN(Tabelle32[[#This Row],[Label 1
GFX-Unit]])</f>
        <v>0</v>
      </c>
      <c r="BR186" s="63"/>
      <c r="BS186" s="63"/>
      <c r="BT186" s="59"/>
      <c r="BU186" s="59"/>
      <c r="BV186" s="59" t="s">
        <v>254</v>
      </c>
      <c r="BW186" s="59" t="s">
        <v>255</v>
      </c>
      <c r="BX186" s="59" t="s">
        <v>484</v>
      </c>
      <c r="BY186" s="59">
        <v>9</v>
      </c>
    </row>
    <row r="187" spans="1:77" hidden="1" x14ac:dyDescent="0.2">
      <c r="A187" s="58" t="str">
        <f>CONCATENATE(Tabelle32[[#This Row],[Device ID]],".",Tabelle32[[#This Row],[Streamcounter]])</f>
        <v>386.09213</v>
      </c>
      <c r="B18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VGW-103_SDI09_AUDrec_0013</v>
      </c>
      <c r="C187" s="60"/>
      <c r="D187" s="61"/>
      <c r="E187" s="62"/>
      <c r="F187" s="59" t="str">
        <f>IFERROR(VLOOKUP(Tabelle32[[#This Row],[Device ID]],BOM!$B$3:$BQ$35,16,FALSE),"")</f>
        <v>IngSRV-06</v>
      </c>
      <c r="G187" s="63">
        <f>VLOOKUP(Tabelle32[[#This Row],[SDI Interface]],BOM!$A$4:$B$35,2,FALSE)</f>
        <v>386</v>
      </c>
      <c r="H187" s="59" t="str">
        <f>BOM!$C$4</f>
        <v>VGW-103</v>
      </c>
      <c r="I187" s="59" t="str">
        <f>IFERROR(VLOOKUP(Tabelle32[[#This Row],[Device ID]],BOM!$B$3:$BQ$35,12,FALSE),"")</f>
        <v>Videoserver</v>
      </c>
      <c r="J187" s="59" t="str">
        <f>IFERROR(VLOOKUP(Tabelle32[[#This Row],[Device ID]],BOM!$B$3:$BQ$35,13,FALSE),"")</f>
        <v>TC.U1.223 | MDC</v>
      </c>
      <c r="K187" s="59" t="str">
        <f>IFERROR(VLOOKUP(Tabelle32[[#This Row],[Device ID]],BOM!$B$3:$BQ$35,14,FALSE),"")</f>
        <v>Imagine Comunications</v>
      </c>
      <c r="L187" s="59" t="str">
        <f>IFERROR(VLOOKUP(Tabelle32[[#This Row],[Device ID]],BOM!$B$3:$BQ$35,16,FALSE),"")</f>
        <v>IngSRV-06</v>
      </c>
      <c r="M187" s="63" t="str">
        <f>IFERROR(VLOOKUP(Tabelle32[[#This Row],[Device ID]],BOM!$B$3:$BQ$35,17,FALSE),"")</f>
        <v>M3H</v>
      </c>
      <c r="N187" s="59" t="str">
        <f>IFERROR(VLOOKUP(Tabelle32[[#This Row],[Device ID]],BOM!$B$3:$BQ$35,18,FALSE),"")</f>
        <v>TC.03.225 | M3H</v>
      </c>
      <c r="O187" s="64"/>
      <c r="P187" s="64">
        <f>IFERROR(VLOOKUP(Tabelle32[[#This Row],[Device ID]],BOM!$B$3:$BO$50,20,FALSE),"")</f>
        <v>0</v>
      </c>
      <c r="Q187" s="64">
        <f>IFERROR(VLOOKUP(Tabelle32[[#This Row],[Device ID]],BOM!$B$3:$BO$50,21,FALSE),"")</f>
        <v>1</v>
      </c>
      <c r="R187" s="64">
        <f>IFERROR(VLOOKUP(Tabelle32[[#This Row],[Device ID]],BOM!$B$3:$BO$50,22,FALSE),"")</f>
        <v>0</v>
      </c>
      <c r="S187" s="64"/>
      <c r="T187" s="64"/>
      <c r="U187" s="59" t="str">
        <f>IFERROR(VLOOKUP(Tabelle32[[#This Row],[Device ID]],BOM!$B$3:$BQ$35,25,FALSE),"")</f>
        <v>Luis/Ivo</v>
      </c>
      <c r="V187" s="59" t="str">
        <f>IFERROR(VLOOKUP(Tabelle32[[#This Row],[Device ID]],BOM!$B$3:$BQ$35,26,FALSE),"")</f>
        <v>tpco-megw-vgw103.rta.st-net.media.int</v>
      </c>
      <c r="W187" s="59" t="str">
        <f>IFERROR(VLOOKUP(Tabelle32[[#This Row],[Device ID]],BOM!$B$3:$BQ$35,27,FALSE),"")</f>
        <v>10.120.236.50</v>
      </c>
      <c r="X187" s="59" t="str">
        <f>IFERROR(VLOOKUP(Tabelle32[[#This Row],[Device ID]],BOM!$B$3:$BQ$35,28,FALSE),"")</f>
        <v>AVCoreA</v>
      </c>
      <c r="Y187" s="59" t="str">
        <f>IFERROR(VLOOKUP(Tabelle32[[#This Row],[Device ID]],BOM!$B$3:$BQ$35,29,FALSE),"")</f>
        <v>5_36_1</v>
      </c>
      <c r="Z187" s="59" t="str">
        <f>IFERROR(VLOOKUP(Tabelle32[[#This Row],[Device ID]],BOM!$B$3:$BQ$35,30,FALSE),"")</f>
        <v>tpco-megw-vgw103.rtb.st-net.media.int</v>
      </c>
      <c r="AA187" s="59" t="str">
        <f>IFERROR(VLOOKUP(Tabelle32[[#This Row],[Device ID]],BOM!$B$3:$BQ$35,31,FALSE),"")</f>
        <v>10.120.236.54</v>
      </c>
      <c r="AB187" s="59" t="str">
        <f>IFERROR(VLOOKUP(Tabelle32[[#This Row],[Device ID]],BOM!$B$3:$BQ$35,32,FALSE),"")</f>
        <v>AVCoreB</v>
      </c>
      <c r="AC187" s="59" t="str">
        <f>IFERROR(VLOOKUP(Tabelle32[[#This Row],[Device ID]],BOM!$B$3:$BQ$35,33,FALSE),"")</f>
        <v>5_36_1</v>
      </c>
      <c r="AD187" s="59" t="str">
        <f>IFERROR(VLOOKUP(Tabelle32[[#This Row],[Device ID]],BOM!$B$3:$BQ$35,34,FALSE),"")</f>
        <v>tpco-megw-vgw103.st-net.media.int</v>
      </c>
      <c r="AE187" s="59" t="str">
        <f>IFERROR(VLOOKUP(Tabelle32[[#This Row],[Device ID]],BOM!$B$3:$BQ$35,35,FALSE),"")</f>
        <v>10.120.67.141</v>
      </c>
      <c r="AF187" s="59">
        <f>IFERROR(VLOOKUP(Tabelle32[[#This Row],[Device ID]],BOM!$B$3:$BQ$35,36,FALSE),"")</f>
        <v>0</v>
      </c>
      <c r="AG187" s="59">
        <f>IFERROR(VLOOKUP(Tabelle32[[#This Row],[Device ID]],BOM!$B$3:$BQ$35,37,FALSE),"")</f>
        <v>0</v>
      </c>
      <c r="AH187" s="59"/>
      <c r="AI187" s="59"/>
      <c r="AJ187" s="59"/>
      <c r="AK187" s="59"/>
      <c r="AL187" s="59" t="str">
        <f>IFERROR(VLOOKUP(Tabelle32[[#This Row],[Device ID]],BOM!$B$3:$BQ$35,42,FALSE),"")</f>
        <v>Imagine Communications SNP</v>
      </c>
      <c r="AM187" s="59" t="str">
        <f>IFERROR(VLOOKUP(Tabelle32[[#This Row],[Device ID]],BOM!$B$3:$BQ$35,43,FALSE),"")</f>
        <v>no</v>
      </c>
      <c r="AN187" s="59" t="str">
        <f>IFERROR(VLOOKUP(Tabelle32[[#This Row],[Device ID]],BOM!$B$3:$BQ$35,44,FALSE),"")</f>
        <v>yes</v>
      </c>
      <c r="AO187" s="59" t="str">
        <f>IFERROR(VLOOKUP(Tabelle32[[#This Row],[Device ID]],BOM!$B$3:$BQ$35,45,FALSE),"")</f>
        <v>no</v>
      </c>
      <c r="AP187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87" s="59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73" t="s">
        <v>199</v>
      </c>
      <c r="BI187" s="30" t="str">
        <f>IF(COUNTA(Tabelle32[[#This Row],[Type:Vid_1080i50]:[Type:Anc_Prot]])&gt;0,"x","")</f>
        <v/>
      </c>
      <c r="BJ18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87" s="59"/>
      <c r="BL187" s="59"/>
      <c r="BM187" s="63"/>
      <c r="BN187" s="63"/>
      <c r="BO187" s="96"/>
      <c r="BP187" s="96"/>
      <c r="BQ187" s="75">
        <f>LEN(Tabelle32[[#This Row],[Label 1
GFX-Unit]])</f>
        <v>0</v>
      </c>
      <c r="BR187" s="63"/>
      <c r="BS187" s="63"/>
      <c r="BT187" s="59"/>
      <c r="BU187" s="59"/>
      <c r="BV187" s="59" t="s">
        <v>257</v>
      </c>
      <c r="BW187" s="59" t="s">
        <v>258</v>
      </c>
      <c r="BX187" s="59" t="s">
        <v>485</v>
      </c>
      <c r="BY187" s="59">
        <v>9</v>
      </c>
    </row>
    <row r="188" spans="1:77" hidden="1" x14ac:dyDescent="0.2">
      <c r="A188" s="58" t="str">
        <f>CONCATENATE(Tabelle32[[#This Row],[Device ID]],".",Tabelle32[[#This Row],[Streamcounter]])</f>
        <v>386.09214</v>
      </c>
      <c r="B18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VGW-103_SDI09_AUDrec_0014</v>
      </c>
      <c r="C188" s="60"/>
      <c r="D188" s="61"/>
      <c r="E188" s="62"/>
      <c r="F188" s="59" t="str">
        <f>IFERROR(VLOOKUP(Tabelle32[[#This Row],[Device ID]],BOM!$B$3:$BQ$35,16,FALSE),"")</f>
        <v>IngSRV-06</v>
      </c>
      <c r="G188" s="63">
        <f>VLOOKUP(Tabelle32[[#This Row],[SDI Interface]],BOM!$A$4:$B$35,2,FALSE)</f>
        <v>386</v>
      </c>
      <c r="H188" s="59" t="str">
        <f>BOM!$C$4</f>
        <v>VGW-103</v>
      </c>
      <c r="I188" s="59" t="str">
        <f>IFERROR(VLOOKUP(Tabelle32[[#This Row],[Device ID]],BOM!$B$3:$BQ$35,12,FALSE),"")</f>
        <v>Videoserver</v>
      </c>
      <c r="J188" s="59" t="str">
        <f>IFERROR(VLOOKUP(Tabelle32[[#This Row],[Device ID]],BOM!$B$3:$BQ$35,13,FALSE),"")</f>
        <v>TC.U1.223 | MDC</v>
      </c>
      <c r="K188" s="59" t="str">
        <f>IFERROR(VLOOKUP(Tabelle32[[#This Row],[Device ID]],BOM!$B$3:$BQ$35,14,FALSE),"")</f>
        <v>Imagine Comunications</v>
      </c>
      <c r="L188" s="59" t="str">
        <f>IFERROR(VLOOKUP(Tabelle32[[#This Row],[Device ID]],BOM!$B$3:$BQ$35,16,FALSE),"")</f>
        <v>IngSRV-06</v>
      </c>
      <c r="M188" s="63" t="str">
        <f>IFERROR(VLOOKUP(Tabelle32[[#This Row],[Device ID]],BOM!$B$3:$BQ$35,17,FALSE),"")</f>
        <v>M3H</v>
      </c>
      <c r="N188" s="59" t="str">
        <f>IFERROR(VLOOKUP(Tabelle32[[#This Row],[Device ID]],BOM!$B$3:$BQ$35,18,FALSE),"")</f>
        <v>TC.03.225 | M3H</v>
      </c>
      <c r="O188" s="64"/>
      <c r="P188" s="64">
        <f>IFERROR(VLOOKUP(Tabelle32[[#This Row],[Device ID]],BOM!$B$3:$BO$50,20,FALSE),"")</f>
        <v>0</v>
      </c>
      <c r="Q188" s="64">
        <f>IFERROR(VLOOKUP(Tabelle32[[#This Row],[Device ID]],BOM!$B$3:$BO$50,21,FALSE),"")</f>
        <v>1</v>
      </c>
      <c r="R188" s="64">
        <f>IFERROR(VLOOKUP(Tabelle32[[#This Row],[Device ID]],BOM!$B$3:$BO$50,22,FALSE),"")</f>
        <v>0</v>
      </c>
      <c r="S188" s="64"/>
      <c r="T188" s="64"/>
      <c r="U188" s="59" t="str">
        <f>IFERROR(VLOOKUP(Tabelle32[[#This Row],[Device ID]],BOM!$B$3:$BQ$35,25,FALSE),"")</f>
        <v>Luis/Ivo</v>
      </c>
      <c r="V188" s="59" t="str">
        <f>IFERROR(VLOOKUP(Tabelle32[[#This Row],[Device ID]],BOM!$B$3:$BQ$35,26,FALSE),"")</f>
        <v>tpco-megw-vgw103.rta.st-net.media.int</v>
      </c>
      <c r="W188" s="59" t="str">
        <f>IFERROR(VLOOKUP(Tabelle32[[#This Row],[Device ID]],BOM!$B$3:$BQ$35,27,FALSE),"")</f>
        <v>10.120.236.50</v>
      </c>
      <c r="X188" s="59" t="str">
        <f>IFERROR(VLOOKUP(Tabelle32[[#This Row],[Device ID]],BOM!$B$3:$BQ$35,28,FALSE),"")</f>
        <v>AVCoreA</v>
      </c>
      <c r="Y188" s="59" t="str">
        <f>IFERROR(VLOOKUP(Tabelle32[[#This Row],[Device ID]],BOM!$B$3:$BQ$35,29,FALSE),"")</f>
        <v>5_36_1</v>
      </c>
      <c r="Z188" s="59" t="str">
        <f>IFERROR(VLOOKUP(Tabelle32[[#This Row],[Device ID]],BOM!$B$3:$BQ$35,30,FALSE),"")</f>
        <v>tpco-megw-vgw103.rtb.st-net.media.int</v>
      </c>
      <c r="AA188" s="59" t="str">
        <f>IFERROR(VLOOKUP(Tabelle32[[#This Row],[Device ID]],BOM!$B$3:$BQ$35,31,FALSE),"")</f>
        <v>10.120.236.54</v>
      </c>
      <c r="AB188" s="59" t="str">
        <f>IFERROR(VLOOKUP(Tabelle32[[#This Row],[Device ID]],BOM!$B$3:$BQ$35,32,FALSE),"")</f>
        <v>AVCoreB</v>
      </c>
      <c r="AC188" s="59" t="str">
        <f>IFERROR(VLOOKUP(Tabelle32[[#This Row],[Device ID]],BOM!$B$3:$BQ$35,33,FALSE),"")</f>
        <v>5_36_1</v>
      </c>
      <c r="AD188" s="59" t="str">
        <f>IFERROR(VLOOKUP(Tabelle32[[#This Row],[Device ID]],BOM!$B$3:$BQ$35,34,FALSE),"")</f>
        <v>tpco-megw-vgw103.st-net.media.int</v>
      </c>
      <c r="AE188" s="59" t="str">
        <f>IFERROR(VLOOKUP(Tabelle32[[#This Row],[Device ID]],BOM!$B$3:$BQ$35,35,FALSE),"")</f>
        <v>10.120.67.141</v>
      </c>
      <c r="AF188" s="59">
        <f>IFERROR(VLOOKUP(Tabelle32[[#This Row],[Device ID]],BOM!$B$3:$BQ$35,36,FALSE),"")</f>
        <v>0</v>
      </c>
      <c r="AG188" s="59">
        <f>IFERROR(VLOOKUP(Tabelle32[[#This Row],[Device ID]],BOM!$B$3:$BQ$35,37,FALSE),"")</f>
        <v>0</v>
      </c>
      <c r="AH188" s="59"/>
      <c r="AI188" s="59"/>
      <c r="AJ188" s="59"/>
      <c r="AK188" s="59"/>
      <c r="AL188" s="59" t="str">
        <f>IFERROR(VLOOKUP(Tabelle32[[#This Row],[Device ID]],BOM!$B$3:$BQ$35,42,FALSE),"")</f>
        <v>Imagine Communications SNP</v>
      </c>
      <c r="AM188" s="59" t="str">
        <f>IFERROR(VLOOKUP(Tabelle32[[#This Row],[Device ID]],BOM!$B$3:$BQ$35,43,FALSE),"")</f>
        <v>no</v>
      </c>
      <c r="AN188" s="59" t="str">
        <f>IFERROR(VLOOKUP(Tabelle32[[#This Row],[Device ID]],BOM!$B$3:$BQ$35,44,FALSE),"")</f>
        <v>yes</v>
      </c>
      <c r="AO188" s="59" t="str">
        <f>IFERROR(VLOOKUP(Tabelle32[[#This Row],[Device ID]],BOM!$B$3:$BQ$35,45,FALSE),"")</f>
        <v>no</v>
      </c>
      <c r="AP188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88" s="59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73" t="s">
        <v>199</v>
      </c>
      <c r="BI188" s="30" t="str">
        <f>IF(COUNTA(Tabelle32[[#This Row],[Type:Vid_1080i50]:[Type:Anc_Prot]])&gt;0,"x","")</f>
        <v/>
      </c>
      <c r="BJ18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88" s="59"/>
      <c r="BL188" s="59"/>
      <c r="BM188" s="63"/>
      <c r="BN188" s="63"/>
      <c r="BO188" s="96"/>
      <c r="BP188" s="96"/>
      <c r="BQ188" s="75">
        <f>LEN(Tabelle32[[#This Row],[Label 1
GFX-Unit]])</f>
        <v>0</v>
      </c>
      <c r="BR188" s="63"/>
      <c r="BS188" s="63"/>
      <c r="BT188" s="59"/>
      <c r="BU188" s="59"/>
      <c r="BV188" s="59" t="s">
        <v>260</v>
      </c>
      <c r="BW188" s="59" t="s">
        <v>261</v>
      </c>
      <c r="BX188" s="59" t="s">
        <v>486</v>
      </c>
      <c r="BY188" s="59">
        <v>9</v>
      </c>
    </row>
    <row r="189" spans="1:77" x14ac:dyDescent="0.2">
      <c r="A189" s="58" t="str">
        <f>CONCATENATE(Tabelle32[[#This Row],[Device ID]],".",Tabelle32[[#This Row],[Streamcounter]])</f>
        <v>386.09215</v>
      </c>
      <c r="B18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VGW-103_SDI09_AUDrec_0015</v>
      </c>
      <c r="C189" s="60"/>
      <c r="D189" s="61"/>
      <c r="E189" s="62"/>
      <c r="F189" s="59" t="str">
        <f>IFERROR(VLOOKUP(Tabelle32[[#This Row],[Device ID]],BOM!$B$3:$BQ$35,16,FALSE),"")</f>
        <v>IngSRV-06</v>
      </c>
      <c r="G189" s="63">
        <f>VLOOKUP(Tabelle32[[#This Row],[SDI Interface]],BOM!$A$4:$B$35,2,FALSE)</f>
        <v>386</v>
      </c>
      <c r="H189" s="59" t="str">
        <f>BOM!$C$4</f>
        <v>VGW-103</v>
      </c>
      <c r="I189" s="59" t="str">
        <f>IFERROR(VLOOKUP(Tabelle32[[#This Row],[Device ID]],BOM!$B$3:$BQ$35,12,FALSE),"")</f>
        <v>Videoserver</v>
      </c>
      <c r="J189" s="59" t="str">
        <f>IFERROR(VLOOKUP(Tabelle32[[#This Row],[Device ID]],BOM!$B$3:$BQ$35,13,FALSE),"")</f>
        <v>TC.U1.223 | MDC</v>
      </c>
      <c r="K189" s="59" t="str">
        <f>IFERROR(VLOOKUP(Tabelle32[[#This Row],[Device ID]],BOM!$B$3:$BQ$35,14,FALSE),"")</f>
        <v>Imagine Comunications</v>
      </c>
      <c r="L189" s="59" t="str">
        <f>IFERROR(VLOOKUP(Tabelle32[[#This Row],[Device ID]],BOM!$B$3:$BQ$35,16,FALSE),"")</f>
        <v>IngSRV-06</v>
      </c>
      <c r="M189" s="63" t="str">
        <f>IFERROR(VLOOKUP(Tabelle32[[#This Row],[Device ID]],BOM!$B$3:$BQ$35,17,FALSE),"")</f>
        <v>M3H</v>
      </c>
      <c r="N189" s="59" t="str">
        <f>IFERROR(VLOOKUP(Tabelle32[[#This Row],[Device ID]],BOM!$B$3:$BQ$35,18,FALSE),"")</f>
        <v>TC.03.225 | M3H</v>
      </c>
      <c r="O189" s="64"/>
      <c r="P189" s="64">
        <f>IFERROR(VLOOKUP(Tabelle32[[#This Row],[Device ID]],BOM!$B$3:$BO$50,20,FALSE),"")</f>
        <v>0</v>
      </c>
      <c r="Q189" s="64">
        <f>IFERROR(VLOOKUP(Tabelle32[[#This Row],[Device ID]],BOM!$B$3:$BO$50,21,FALSE),"")</f>
        <v>1</v>
      </c>
      <c r="R189" s="64">
        <f>IFERROR(VLOOKUP(Tabelle32[[#This Row],[Device ID]],BOM!$B$3:$BO$50,22,FALSE),"")</f>
        <v>0</v>
      </c>
      <c r="S189" s="64"/>
      <c r="T189" s="64"/>
      <c r="U189" s="59" t="str">
        <f>IFERROR(VLOOKUP(Tabelle32[[#This Row],[Device ID]],BOM!$B$3:$BQ$35,25,FALSE),"")</f>
        <v>Luis/Ivo</v>
      </c>
      <c r="V189" s="59" t="str">
        <f>IFERROR(VLOOKUP(Tabelle32[[#This Row],[Device ID]],BOM!$B$3:$BQ$35,26,FALSE),"")</f>
        <v>tpco-megw-vgw103.rta.st-net.media.int</v>
      </c>
      <c r="W189" s="59" t="str">
        <f>IFERROR(VLOOKUP(Tabelle32[[#This Row],[Device ID]],BOM!$B$3:$BQ$35,27,FALSE),"")</f>
        <v>10.120.236.50</v>
      </c>
      <c r="X189" s="59" t="str">
        <f>IFERROR(VLOOKUP(Tabelle32[[#This Row],[Device ID]],BOM!$B$3:$BQ$35,28,FALSE),"")</f>
        <v>AVCoreA</v>
      </c>
      <c r="Y189" s="59" t="str">
        <f>IFERROR(VLOOKUP(Tabelle32[[#This Row],[Device ID]],BOM!$B$3:$BQ$35,29,FALSE),"")</f>
        <v>5_36_1</v>
      </c>
      <c r="Z189" s="59" t="str">
        <f>IFERROR(VLOOKUP(Tabelle32[[#This Row],[Device ID]],BOM!$B$3:$BQ$35,30,FALSE),"")</f>
        <v>tpco-megw-vgw103.rtb.st-net.media.int</v>
      </c>
      <c r="AA189" s="59" t="str">
        <f>IFERROR(VLOOKUP(Tabelle32[[#This Row],[Device ID]],BOM!$B$3:$BQ$35,31,FALSE),"")</f>
        <v>10.120.236.54</v>
      </c>
      <c r="AB189" s="59" t="str">
        <f>IFERROR(VLOOKUP(Tabelle32[[#This Row],[Device ID]],BOM!$B$3:$BQ$35,32,FALSE),"")</f>
        <v>AVCoreB</v>
      </c>
      <c r="AC189" s="59" t="str">
        <f>IFERROR(VLOOKUP(Tabelle32[[#This Row],[Device ID]],BOM!$B$3:$BQ$35,33,FALSE),"")</f>
        <v>5_36_1</v>
      </c>
      <c r="AD189" s="59" t="str">
        <f>IFERROR(VLOOKUP(Tabelle32[[#This Row],[Device ID]],BOM!$B$3:$BQ$35,34,FALSE),"")</f>
        <v>tpco-megw-vgw103.st-net.media.int</v>
      </c>
      <c r="AE189" s="59" t="str">
        <f>IFERROR(VLOOKUP(Tabelle32[[#This Row],[Device ID]],BOM!$B$3:$BQ$35,35,FALSE),"")</f>
        <v>10.120.67.141</v>
      </c>
      <c r="AF189" s="59">
        <f>IFERROR(VLOOKUP(Tabelle32[[#This Row],[Device ID]],BOM!$B$3:$BQ$35,36,FALSE),"")</f>
        <v>0</v>
      </c>
      <c r="AG189" s="59">
        <f>IFERROR(VLOOKUP(Tabelle32[[#This Row],[Device ID]],BOM!$B$3:$BQ$35,37,FALSE),"")</f>
        <v>0</v>
      </c>
      <c r="AH189" s="59"/>
      <c r="AI189" s="59"/>
      <c r="AJ189" s="59"/>
      <c r="AK189" s="59"/>
      <c r="AL189" s="59" t="str">
        <f>IFERROR(VLOOKUP(Tabelle32[[#This Row],[Device ID]],BOM!$B$3:$BQ$35,42,FALSE),"")</f>
        <v>Imagine Communications SNP</v>
      </c>
      <c r="AM189" s="59" t="str">
        <f>IFERROR(VLOOKUP(Tabelle32[[#This Row],[Device ID]],BOM!$B$3:$BQ$35,43,FALSE),"")</f>
        <v>no</v>
      </c>
      <c r="AN189" s="59" t="str">
        <f>IFERROR(VLOOKUP(Tabelle32[[#This Row],[Device ID]],BOM!$B$3:$BQ$35,44,FALSE),"")</f>
        <v>yes</v>
      </c>
      <c r="AO189" s="59" t="str">
        <f>IFERROR(VLOOKUP(Tabelle32[[#This Row],[Device ID]],BOM!$B$3:$BQ$35,45,FALSE),"")</f>
        <v>no</v>
      </c>
      <c r="AP189" s="59" t="str">
        <f>IFERROR(CONCATENATE(Tabelle32[[#This Row],[Family
GFX-Unit]]," | ",Tabelle32[[#This Row],[Label 1
GFX-Unit]]," | ",Tabelle32[[#This Row],[Attached Device if Gateway]]),"")</f>
        <v>M3H InCh REM | Ingest Ch21-15 | IngSRV-06</v>
      </c>
      <c r="AQ189" s="59"/>
      <c r="AR189" s="90"/>
      <c r="AS189" s="90"/>
      <c r="AT189" s="90"/>
      <c r="AU189" s="90"/>
      <c r="AV189" s="90"/>
      <c r="AW189" s="90" t="s">
        <v>97</v>
      </c>
      <c r="AX189" s="90"/>
      <c r="AY189" s="90"/>
      <c r="AZ189" s="90" t="s">
        <v>97</v>
      </c>
      <c r="BA189" s="90"/>
      <c r="BB189" s="90" t="s">
        <v>97</v>
      </c>
      <c r="BC189" s="90" t="s">
        <v>97</v>
      </c>
      <c r="BD189" s="90" t="s">
        <v>97</v>
      </c>
      <c r="BE189" s="90"/>
      <c r="BF189" s="90"/>
      <c r="BG189" s="90"/>
      <c r="BH189" s="73" t="s">
        <v>199</v>
      </c>
      <c r="BI189" s="30" t="str">
        <f>IF(COUNTA(Tabelle32[[#This Row],[Type:Vid_1080i50]:[Type:Anc_Prot]])&gt;0,"x","")</f>
        <v>x</v>
      </c>
      <c r="BJ18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189" s="59"/>
      <c r="BL189" s="59"/>
      <c r="BM189" s="63"/>
      <c r="BN189" s="63"/>
      <c r="BO189" s="97" t="s">
        <v>458</v>
      </c>
      <c r="BP189" s="97" t="s">
        <v>487</v>
      </c>
      <c r="BQ189" s="75">
        <f>LEN(Tabelle32[[#This Row],[Label 1
GFX-Unit]])</f>
        <v>14</v>
      </c>
      <c r="BR189" s="63"/>
      <c r="BS189" s="63"/>
      <c r="BT189" s="59"/>
      <c r="BU189" s="59"/>
      <c r="BV189" s="59" t="s">
        <v>264</v>
      </c>
      <c r="BW189" s="59" t="s">
        <v>265</v>
      </c>
      <c r="BX189" s="59" t="s">
        <v>488</v>
      </c>
      <c r="BY189" s="59">
        <v>9</v>
      </c>
    </row>
    <row r="190" spans="1:77" x14ac:dyDescent="0.2">
      <c r="A190" s="58" t="str">
        <f>CONCATENATE(Tabelle32[[#This Row],[Device ID]],".",Tabelle32[[#This Row],[Streamcounter]])</f>
        <v>386.09216</v>
      </c>
      <c r="B19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VGW-103_SDI09_AUDrec_0016</v>
      </c>
      <c r="C190" s="60"/>
      <c r="D190" s="61"/>
      <c r="E190" s="62"/>
      <c r="F190" s="59" t="str">
        <f>IFERROR(VLOOKUP(Tabelle32[[#This Row],[Device ID]],BOM!$B$3:$BQ$35,16,FALSE),"")</f>
        <v>IngSRV-06</v>
      </c>
      <c r="G190" s="63">
        <f>VLOOKUP(Tabelle32[[#This Row],[SDI Interface]],BOM!$A$4:$B$35,2,FALSE)</f>
        <v>386</v>
      </c>
      <c r="H190" s="59" t="str">
        <f>BOM!$C$4</f>
        <v>VGW-103</v>
      </c>
      <c r="I190" s="59" t="str">
        <f>IFERROR(VLOOKUP(Tabelle32[[#This Row],[Device ID]],BOM!$B$3:$BQ$35,12,FALSE),"")</f>
        <v>Videoserver</v>
      </c>
      <c r="J190" s="59" t="str">
        <f>IFERROR(VLOOKUP(Tabelle32[[#This Row],[Device ID]],BOM!$B$3:$BQ$35,13,FALSE),"")</f>
        <v>TC.U1.223 | MDC</v>
      </c>
      <c r="K190" s="59" t="str">
        <f>IFERROR(VLOOKUP(Tabelle32[[#This Row],[Device ID]],BOM!$B$3:$BQ$35,14,FALSE),"")</f>
        <v>Imagine Comunications</v>
      </c>
      <c r="L190" s="59" t="str">
        <f>IFERROR(VLOOKUP(Tabelle32[[#This Row],[Device ID]],BOM!$B$3:$BQ$35,16,FALSE),"")</f>
        <v>IngSRV-06</v>
      </c>
      <c r="M190" s="63" t="str">
        <f>IFERROR(VLOOKUP(Tabelle32[[#This Row],[Device ID]],BOM!$B$3:$BQ$35,17,FALSE),"")</f>
        <v>M3H</v>
      </c>
      <c r="N190" s="59" t="str">
        <f>IFERROR(VLOOKUP(Tabelle32[[#This Row],[Device ID]],BOM!$B$3:$BQ$35,18,FALSE),"")</f>
        <v>TC.03.225 | M3H</v>
      </c>
      <c r="O190" s="64"/>
      <c r="P190" s="64">
        <f>IFERROR(VLOOKUP(Tabelle32[[#This Row],[Device ID]],BOM!$B$3:$BO$50,20,FALSE),"")</f>
        <v>0</v>
      </c>
      <c r="Q190" s="64">
        <f>IFERROR(VLOOKUP(Tabelle32[[#This Row],[Device ID]],BOM!$B$3:$BO$50,21,FALSE),"")</f>
        <v>1</v>
      </c>
      <c r="R190" s="64">
        <f>IFERROR(VLOOKUP(Tabelle32[[#This Row],[Device ID]],BOM!$B$3:$BO$50,22,FALSE),"")</f>
        <v>0</v>
      </c>
      <c r="S190" s="64"/>
      <c r="T190" s="64"/>
      <c r="U190" s="59" t="str">
        <f>IFERROR(VLOOKUP(Tabelle32[[#This Row],[Device ID]],BOM!$B$3:$BQ$35,25,FALSE),"")</f>
        <v>Luis/Ivo</v>
      </c>
      <c r="V190" s="59" t="str">
        <f>IFERROR(VLOOKUP(Tabelle32[[#This Row],[Device ID]],BOM!$B$3:$BQ$35,26,FALSE),"")</f>
        <v>tpco-megw-vgw103.rta.st-net.media.int</v>
      </c>
      <c r="W190" s="59" t="str">
        <f>IFERROR(VLOOKUP(Tabelle32[[#This Row],[Device ID]],BOM!$B$3:$BQ$35,27,FALSE),"")</f>
        <v>10.120.236.50</v>
      </c>
      <c r="X190" s="59" t="str">
        <f>IFERROR(VLOOKUP(Tabelle32[[#This Row],[Device ID]],BOM!$B$3:$BQ$35,28,FALSE),"")</f>
        <v>AVCoreA</v>
      </c>
      <c r="Y190" s="59" t="str">
        <f>IFERROR(VLOOKUP(Tabelle32[[#This Row],[Device ID]],BOM!$B$3:$BQ$35,29,FALSE),"")</f>
        <v>5_36_1</v>
      </c>
      <c r="Z190" s="59" t="str">
        <f>IFERROR(VLOOKUP(Tabelle32[[#This Row],[Device ID]],BOM!$B$3:$BQ$35,30,FALSE),"")</f>
        <v>tpco-megw-vgw103.rtb.st-net.media.int</v>
      </c>
      <c r="AA190" s="59" t="str">
        <f>IFERROR(VLOOKUP(Tabelle32[[#This Row],[Device ID]],BOM!$B$3:$BQ$35,31,FALSE),"")</f>
        <v>10.120.236.54</v>
      </c>
      <c r="AB190" s="59" t="str">
        <f>IFERROR(VLOOKUP(Tabelle32[[#This Row],[Device ID]],BOM!$B$3:$BQ$35,32,FALSE),"")</f>
        <v>AVCoreB</v>
      </c>
      <c r="AC190" s="59" t="str">
        <f>IFERROR(VLOOKUP(Tabelle32[[#This Row],[Device ID]],BOM!$B$3:$BQ$35,33,FALSE),"")</f>
        <v>5_36_1</v>
      </c>
      <c r="AD190" s="59" t="str">
        <f>IFERROR(VLOOKUP(Tabelle32[[#This Row],[Device ID]],BOM!$B$3:$BQ$35,34,FALSE),"")</f>
        <v>tpco-megw-vgw103.st-net.media.int</v>
      </c>
      <c r="AE190" s="59" t="str">
        <f>IFERROR(VLOOKUP(Tabelle32[[#This Row],[Device ID]],BOM!$B$3:$BQ$35,35,FALSE),"")</f>
        <v>10.120.67.141</v>
      </c>
      <c r="AF190" s="59">
        <f>IFERROR(VLOOKUP(Tabelle32[[#This Row],[Device ID]],BOM!$B$3:$BQ$35,36,FALSE),"")</f>
        <v>0</v>
      </c>
      <c r="AG190" s="59">
        <f>IFERROR(VLOOKUP(Tabelle32[[#This Row],[Device ID]],BOM!$B$3:$BQ$35,37,FALSE),"")</f>
        <v>0</v>
      </c>
      <c r="AH190" s="59"/>
      <c r="AI190" s="59"/>
      <c r="AJ190" s="59"/>
      <c r="AK190" s="59"/>
      <c r="AL190" s="59" t="str">
        <f>IFERROR(VLOOKUP(Tabelle32[[#This Row],[Device ID]],BOM!$B$3:$BQ$35,42,FALSE),"")</f>
        <v>Imagine Communications SNP</v>
      </c>
      <c r="AM190" s="59" t="str">
        <f>IFERROR(VLOOKUP(Tabelle32[[#This Row],[Device ID]],BOM!$B$3:$BQ$35,43,FALSE),"")</f>
        <v>no</v>
      </c>
      <c r="AN190" s="59" t="str">
        <f>IFERROR(VLOOKUP(Tabelle32[[#This Row],[Device ID]],BOM!$B$3:$BQ$35,44,FALSE),"")</f>
        <v>yes</v>
      </c>
      <c r="AO190" s="59" t="str">
        <f>IFERROR(VLOOKUP(Tabelle32[[#This Row],[Device ID]],BOM!$B$3:$BQ$35,45,FALSE),"")</f>
        <v>no</v>
      </c>
      <c r="AP190" s="59" t="str">
        <f>IFERROR(CONCATENATE(Tabelle32[[#This Row],[Family
GFX-Unit]]," | ",Tabelle32[[#This Row],[Label 1
GFX-Unit]]," | ",Tabelle32[[#This Row],[Attached Device if Gateway]]),"")</f>
        <v>M3H InCh REM | Ingest Ch21-16 | IngSRV-06</v>
      </c>
      <c r="AQ190" s="59"/>
      <c r="AR190" s="90"/>
      <c r="AS190" s="90"/>
      <c r="AT190" s="90"/>
      <c r="AU190" s="90"/>
      <c r="AV190" s="90"/>
      <c r="AW190" s="90" t="s">
        <v>97</v>
      </c>
      <c r="AX190" s="90"/>
      <c r="AY190" s="90"/>
      <c r="AZ190" s="90" t="s">
        <v>97</v>
      </c>
      <c r="BA190" s="90"/>
      <c r="BB190" s="90" t="s">
        <v>97</v>
      </c>
      <c r="BC190" s="90" t="s">
        <v>97</v>
      </c>
      <c r="BD190" s="90" t="s">
        <v>97</v>
      </c>
      <c r="BE190" s="90"/>
      <c r="BF190" s="90"/>
      <c r="BG190" s="90"/>
      <c r="BH190" s="73" t="s">
        <v>199</v>
      </c>
      <c r="BI190" s="30" t="str">
        <f>IF(COUNTA(Tabelle32[[#This Row],[Type:Vid_1080i50]:[Type:Anc_Prot]])&gt;0,"x","")</f>
        <v>x</v>
      </c>
      <c r="BJ19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190" s="59"/>
      <c r="BL190" s="59"/>
      <c r="BM190" s="63"/>
      <c r="BN190" s="63"/>
      <c r="BO190" s="97" t="s">
        <v>458</v>
      </c>
      <c r="BP190" s="97" t="s">
        <v>489</v>
      </c>
      <c r="BQ190" s="75">
        <f>LEN(Tabelle32[[#This Row],[Label 1
GFX-Unit]])</f>
        <v>14</v>
      </c>
      <c r="BR190" s="63"/>
      <c r="BS190" s="63"/>
      <c r="BT190" s="59"/>
      <c r="BU190" s="59"/>
      <c r="BV190" s="59" t="s">
        <v>268</v>
      </c>
      <c r="BW190" s="59" t="s">
        <v>269</v>
      </c>
      <c r="BX190" s="59" t="s">
        <v>490</v>
      </c>
      <c r="BY190" s="59">
        <v>9</v>
      </c>
    </row>
    <row r="191" spans="1:77" x14ac:dyDescent="0.2">
      <c r="A191" s="58" t="str">
        <f>CONCATENATE(Tabelle32[[#This Row],[Device ID]],".",Tabelle32[[#This Row],[Streamcounter]])</f>
        <v>386.09101</v>
      </c>
      <c r="B19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VGW-103_SDI09_VIDrec_0001</v>
      </c>
      <c r="C191" s="60"/>
      <c r="D191" s="61"/>
      <c r="E191" s="62"/>
      <c r="F191" s="59" t="str">
        <f>IFERROR(VLOOKUP(Tabelle32[[#This Row],[Device ID]],BOM!$B$3:$BQ$35,16,FALSE),"")</f>
        <v>IngSRV-06</v>
      </c>
      <c r="G191" s="63">
        <f>VLOOKUP(Tabelle32[[#This Row],[SDI Interface]],BOM!$A$4:$B$35,2,FALSE)</f>
        <v>386</v>
      </c>
      <c r="H191" s="59" t="str">
        <f>BOM!$C$4</f>
        <v>VGW-103</v>
      </c>
      <c r="I191" s="59" t="str">
        <f>IFERROR(VLOOKUP(Tabelle32[[#This Row],[Device ID]],BOM!$B$3:$BQ$35,12,FALSE),"")</f>
        <v>Videoserver</v>
      </c>
      <c r="J191" s="59" t="str">
        <f>IFERROR(VLOOKUP(Tabelle32[[#This Row],[Device ID]],BOM!$B$3:$BQ$35,13,FALSE),"")</f>
        <v>TC.U1.223 | MDC</v>
      </c>
      <c r="K191" s="59" t="str">
        <f>IFERROR(VLOOKUP(Tabelle32[[#This Row],[Device ID]],BOM!$B$3:$BQ$35,14,FALSE),"")</f>
        <v>Imagine Comunications</v>
      </c>
      <c r="L191" s="59" t="str">
        <f>IFERROR(VLOOKUP(Tabelle32[[#This Row],[Device ID]],BOM!$B$3:$BQ$35,16,FALSE),"")</f>
        <v>IngSRV-06</v>
      </c>
      <c r="M191" s="63" t="str">
        <f>IFERROR(VLOOKUP(Tabelle32[[#This Row],[Device ID]],BOM!$B$3:$BQ$35,17,FALSE),"")</f>
        <v>M3H</v>
      </c>
      <c r="N191" s="59" t="str">
        <f>IFERROR(VLOOKUP(Tabelle32[[#This Row],[Device ID]],BOM!$B$3:$BQ$35,18,FALSE),"")</f>
        <v>TC.03.225 | M3H</v>
      </c>
      <c r="O191" s="64"/>
      <c r="P191" s="64">
        <f>IFERROR(VLOOKUP(Tabelle32[[#This Row],[Device ID]],BOM!$B$3:$BO$50,20,FALSE),"")</f>
        <v>0</v>
      </c>
      <c r="Q191" s="64">
        <f>IFERROR(VLOOKUP(Tabelle32[[#This Row],[Device ID]],BOM!$B$3:$BO$50,21,FALSE),"")</f>
        <v>1</v>
      </c>
      <c r="R191" s="64">
        <f>IFERROR(VLOOKUP(Tabelle32[[#This Row],[Device ID]],BOM!$B$3:$BO$50,22,FALSE),"")</f>
        <v>0</v>
      </c>
      <c r="S191" s="64"/>
      <c r="T191" s="64"/>
      <c r="U191" s="59" t="str">
        <f>IFERROR(VLOOKUP(Tabelle32[[#This Row],[Device ID]],BOM!$B$3:$BQ$35,25,FALSE),"")</f>
        <v>Luis/Ivo</v>
      </c>
      <c r="V191" s="59" t="str">
        <f>IFERROR(VLOOKUP(Tabelle32[[#This Row],[Device ID]],BOM!$B$3:$BQ$35,26,FALSE),"")</f>
        <v>tpco-megw-vgw103.rta.st-net.media.int</v>
      </c>
      <c r="W191" s="59" t="str">
        <f>IFERROR(VLOOKUP(Tabelle32[[#This Row],[Device ID]],BOM!$B$3:$BQ$35,27,FALSE),"")</f>
        <v>10.120.236.50</v>
      </c>
      <c r="X191" s="59" t="str">
        <f>IFERROR(VLOOKUP(Tabelle32[[#This Row],[Device ID]],BOM!$B$3:$BQ$35,28,FALSE),"")</f>
        <v>AVCoreA</v>
      </c>
      <c r="Y191" s="59" t="str">
        <f>IFERROR(VLOOKUP(Tabelle32[[#This Row],[Device ID]],BOM!$B$3:$BQ$35,29,FALSE),"")</f>
        <v>5_36_1</v>
      </c>
      <c r="Z191" s="59" t="str">
        <f>IFERROR(VLOOKUP(Tabelle32[[#This Row],[Device ID]],BOM!$B$3:$BQ$35,30,FALSE),"")</f>
        <v>tpco-megw-vgw103.rtb.st-net.media.int</v>
      </c>
      <c r="AA191" s="59" t="str">
        <f>IFERROR(VLOOKUP(Tabelle32[[#This Row],[Device ID]],BOM!$B$3:$BQ$35,31,FALSE),"")</f>
        <v>10.120.236.54</v>
      </c>
      <c r="AB191" s="59" t="str">
        <f>IFERROR(VLOOKUP(Tabelle32[[#This Row],[Device ID]],BOM!$B$3:$BQ$35,32,FALSE),"")</f>
        <v>AVCoreB</v>
      </c>
      <c r="AC191" s="59" t="str">
        <f>IFERROR(VLOOKUP(Tabelle32[[#This Row],[Device ID]],BOM!$B$3:$BQ$35,33,FALSE),"")</f>
        <v>5_36_1</v>
      </c>
      <c r="AD191" s="59" t="str">
        <f>IFERROR(VLOOKUP(Tabelle32[[#This Row],[Device ID]],BOM!$B$3:$BQ$35,34,FALSE),"")</f>
        <v>tpco-megw-vgw103.st-net.media.int</v>
      </c>
      <c r="AE191" s="59" t="str">
        <f>IFERROR(VLOOKUP(Tabelle32[[#This Row],[Device ID]],BOM!$B$3:$BQ$35,35,FALSE),"")</f>
        <v>10.120.67.141</v>
      </c>
      <c r="AF191" s="59">
        <f>IFERROR(VLOOKUP(Tabelle32[[#This Row],[Device ID]],BOM!$B$3:$BQ$35,36,FALSE),"")</f>
        <v>0</v>
      </c>
      <c r="AG191" s="59">
        <f>IFERROR(VLOOKUP(Tabelle32[[#This Row],[Device ID]],BOM!$B$3:$BQ$35,37,FALSE),"")</f>
        <v>0</v>
      </c>
      <c r="AH191" s="59"/>
      <c r="AI191" s="59"/>
      <c r="AJ191" s="59"/>
      <c r="AK191" s="59"/>
      <c r="AL191" s="59" t="str">
        <f>IFERROR(VLOOKUP(Tabelle32[[#This Row],[Device ID]],BOM!$B$3:$BQ$35,42,FALSE),"")</f>
        <v>Imagine Communications SNP</v>
      </c>
      <c r="AM191" s="59" t="str">
        <f>IFERROR(VLOOKUP(Tabelle32[[#This Row],[Device ID]],BOM!$B$3:$BQ$35,43,FALSE),"")</f>
        <v>no</v>
      </c>
      <c r="AN191" s="59" t="str">
        <f>IFERROR(VLOOKUP(Tabelle32[[#This Row],[Device ID]],BOM!$B$3:$BQ$35,44,FALSE),"")</f>
        <v>yes</v>
      </c>
      <c r="AO191" s="59" t="str">
        <f>IFERROR(VLOOKUP(Tabelle32[[#This Row],[Device ID]],BOM!$B$3:$BQ$35,45,FALSE),"")</f>
        <v>no</v>
      </c>
      <c r="AP191" s="59" t="str">
        <f>IFERROR(CONCATENATE(Tabelle32[[#This Row],[Family
GFX-Unit]]," | ",Tabelle32[[#This Row],[Label 1
GFX-Unit]]," | ",Tabelle32[[#This Row],[Attached Device if Gateway]]),"")</f>
        <v>M3H InCh REM | Ingest Ch21 | IngSRV-06</v>
      </c>
      <c r="AQ191" s="59"/>
      <c r="AR191" s="90" t="s">
        <v>97</v>
      </c>
      <c r="AS191" s="90" t="s">
        <v>97</v>
      </c>
      <c r="AT191" s="90" t="s">
        <v>97</v>
      </c>
      <c r="AU191" s="90"/>
      <c r="AV191" s="90" t="s">
        <v>97</v>
      </c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73" t="s">
        <v>199</v>
      </c>
      <c r="BI191" s="30" t="str">
        <f>IF(COUNTA(Tabelle32[[#This Row],[Type:Vid_1080i50]:[Type:Anc_Prot]])&gt;0,"x","")</f>
        <v>x</v>
      </c>
      <c r="BJ19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191" s="59"/>
      <c r="BL191" s="59"/>
      <c r="BM191" s="63"/>
      <c r="BN191" s="63"/>
      <c r="BO191" s="97" t="s">
        <v>458</v>
      </c>
      <c r="BP191" s="97" t="s">
        <v>491</v>
      </c>
      <c r="BQ191" s="75">
        <f>LEN(Tabelle32[[#This Row],[Label 1
GFX-Unit]])</f>
        <v>11</v>
      </c>
      <c r="BR191" s="63"/>
      <c r="BS191" s="63"/>
      <c r="BT191" s="59"/>
      <c r="BU191" s="59"/>
      <c r="BV191" s="59" t="s">
        <v>272</v>
      </c>
      <c r="BW191" s="59" t="s">
        <v>273</v>
      </c>
      <c r="BX191" s="59" t="s">
        <v>492</v>
      </c>
      <c r="BY191" s="59">
        <v>9</v>
      </c>
    </row>
    <row r="192" spans="1:77" x14ac:dyDescent="0.2">
      <c r="A192" s="58" t="str">
        <f>CONCATENATE(Tabelle32[[#This Row],[Device ID]],".",Tabelle32[[#This Row],[Streamcounter]])</f>
        <v>387.10301</v>
      </c>
      <c r="B19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VGW-103_SDI10_ANCrec_0001</v>
      </c>
      <c r="C192" s="60"/>
      <c r="D192" s="61"/>
      <c r="E192" s="62"/>
      <c r="F192" s="59" t="str">
        <f>IFERROR(VLOOKUP(Tabelle32[[#This Row],[Device ID]],BOM!$B$3:$BQ$35,16,FALSE),"")</f>
        <v>IngSRV-06</v>
      </c>
      <c r="G192" s="63">
        <f>VLOOKUP(Tabelle32[[#This Row],[SDI Interface]],BOM!$A$4:$B$35,2,FALSE)</f>
        <v>387</v>
      </c>
      <c r="H192" s="59" t="str">
        <f>BOM!$C$4</f>
        <v>VGW-103</v>
      </c>
      <c r="I192" s="59" t="str">
        <f>IFERROR(VLOOKUP(Tabelle32[[#This Row],[Device ID]],BOM!$B$3:$BQ$35,12,FALSE),"")</f>
        <v>Videoserver</v>
      </c>
      <c r="J192" s="59" t="str">
        <f>IFERROR(VLOOKUP(Tabelle32[[#This Row],[Device ID]],BOM!$B$3:$BQ$35,13,FALSE),"")</f>
        <v>TC.U1.223 | MDC</v>
      </c>
      <c r="K192" s="59" t="str">
        <f>IFERROR(VLOOKUP(Tabelle32[[#This Row],[Device ID]],BOM!$B$3:$BQ$35,14,FALSE),"")</f>
        <v>Imagine Comunications</v>
      </c>
      <c r="L192" s="59" t="str">
        <f>IFERROR(VLOOKUP(Tabelle32[[#This Row],[Device ID]],BOM!$B$3:$BQ$35,16,FALSE),"")</f>
        <v>IngSRV-06</v>
      </c>
      <c r="M192" s="63" t="str">
        <f>IFERROR(VLOOKUP(Tabelle32[[#This Row],[Device ID]],BOM!$B$3:$BQ$35,17,FALSE),"")</f>
        <v>M3H</v>
      </c>
      <c r="N192" s="59" t="str">
        <f>IFERROR(VLOOKUP(Tabelle32[[#This Row],[Device ID]],BOM!$B$3:$BQ$35,18,FALSE),"")</f>
        <v>TC.03.225 | M3H</v>
      </c>
      <c r="O192" s="64"/>
      <c r="P192" s="64">
        <f>IFERROR(VLOOKUP(Tabelle32[[#This Row],[Device ID]],BOM!$B$3:$BO$50,20,FALSE),"")</f>
        <v>0</v>
      </c>
      <c r="Q192" s="64">
        <f>IFERROR(VLOOKUP(Tabelle32[[#This Row],[Device ID]],BOM!$B$3:$BO$50,21,FALSE),"")</f>
        <v>1</v>
      </c>
      <c r="R192" s="64">
        <f>IFERROR(VLOOKUP(Tabelle32[[#This Row],[Device ID]],BOM!$B$3:$BO$50,22,FALSE),"")</f>
        <v>0</v>
      </c>
      <c r="S192" s="64"/>
      <c r="T192" s="64"/>
      <c r="U192" s="59" t="str">
        <f>IFERROR(VLOOKUP(Tabelle32[[#This Row],[Device ID]],BOM!$B$3:$BQ$35,25,FALSE),"")</f>
        <v>Luis/Ivo</v>
      </c>
      <c r="V192" s="59" t="str">
        <f>IFERROR(VLOOKUP(Tabelle32[[#This Row],[Device ID]],BOM!$B$3:$BQ$35,26,FALSE),"")</f>
        <v>tpco-megw-vgw103.rta.st-net.media.int</v>
      </c>
      <c r="W192" s="59" t="str">
        <f>IFERROR(VLOOKUP(Tabelle32[[#This Row],[Device ID]],BOM!$B$3:$BQ$35,27,FALSE),"")</f>
        <v>10.120.236.50</v>
      </c>
      <c r="X192" s="59" t="str">
        <f>IFERROR(VLOOKUP(Tabelle32[[#This Row],[Device ID]],BOM!$B$3:$BQ$35,28,FALSE),"")</f>
        <v>AVCoreA</v>
      </c>
      <c r="Y192" s="59" t="str">
        <f>IFERROR(VLOOKUP(Tabelle32[[#This Row],[Device ID]],BOM!$B$3:$BQ$35,29,FALSE),"")</f>
        <v>5_36_1</v>
      </c>
      <c r="Z192" s="59" t="str">
        <f>IFERROR(VLOOKUP(Tabelle32[[#This Row],[Device ID]],BOM!$B$3:$BQ$35,30,FALSE),"")</f>
        <v>tpco-megw-vgw103.rtb.st-net.media.int</v>
      </c>
      <c r="AA192" s="59" t="str">
        <f>IFERROR(VLOOKUP(Tabelle32[[#This Row],[Device ID]],BOM!$B$3:$BQ$35,31,FALSE),"")</f>
        <v>10.120.236.54</v>
      </c>
      <c r="AB192" s="59" t="str">
        <f>IFERROR(VLOOKUP(Tabelle32[[#This Row],[Device ID]],BOM!$B$3:$BQ$35,32,FALSE),"")</f>
        <v>AVCoreB</v>
      </c>
      <c r="AC192" s="59" t="str">
        <f>IFERROR(VLOOKUP(Tabelle32[[#This Row],[Device ID]],BOM!$B$3:$BQ$35,33,FALSE),"")</f>
        <v>5_36_1</v>
      </c>
      <c r="AD192" s="59" t="str">
        <f>IFERROR(VLOOKUP(Tabelle32[[#This Row],[Device ID]],BOM!$B$3:$BQ$35,34,FALSE),"")</f>
        <v>tpco-megw-vgw103.st-net.media.int</v>
      </c>
      <c r="AE192" s="59" t="str">
        <f>IFERROR(VLOOKUP(Tabelle32[[#This Row],[Device ID]],BOM!$B$3:$BQ$35,35,FALSE),"")</f>
        <v>10.120.67.141</v>
      </c>
      <c r="AF192" s="59">
        <f>IFERROR(VLOOKUP(Tabelle32[[#This Row],[Device ID]],BOM!$B$3:$BQ$35,36,FALSE),"")</f>
        <v>0</v>
      </c>
      <c r="AG192" s="59">
        <f>IFERROR(VLOOKUP(Tabelle32[[#This Row],[Device ID]],BOM!$B$3:$BQ$35,37,FALSE),"")</f>
        <v>0</v>
      </c>
      <c r="AH192" s="59"/>
      <c r="AI192" s="59"/>
      <c r="AJ192" s="59"/>
      <c r="AK192" s="59"/>
      <c r="AL192" s="59" t="str">
        <f>IFERROR(VLOOKUP(Tabelle32[[#This Row],[Device ID]],BOM!$B$3:$BQ$35,42,FALSE),"")</f>
        <v>Imagine Communications SNP</v>
      </c>
      <c r="AM192" s="59" t="str">
        <f>IFERROR(VLOOKUP(Tabelle32[[#This Row],[Device ID]],BOM!$B$3:$BQ$35,43,FALSE),"")</f>
        <v>no</v>
      </c>
      <c r="AN192" s="59" t="str">
        <f>IFERROR(VLOOKUP(Tabelle32[[#This Row],[Device ID]],BOM!$B$3:$BQ$35,44,FALSE),"")</f>
        <v>yes</v>
      </c>
      <c r="AO192" s="59" t="str">
        <f>IFERROR(VLOOKUP(Tabelle32[[#This Row],[Device ID]],BOM!$B$3:$BQ$35,45,FALSE),"")</f>
        <v>no</v>
      </c>
      <c r="AP192" s="59" t="str">
        <f>IFERROR(CONCATENATE(Tabelle32[[#This Row],[Family
GFX-Unit]]," | ",Tabelle32[[#This Row],[Label 1
GFX-Unit]]," | ",Tabelle32[[#This Row],[Attached Device if Gateway]]),"")</f>
        <v>M3H InCh REM | Ingest Ch22-ANC1 | IngSRV-06</v>
      </c>
      <c r="AQ192" s="59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 t="s">
        <v>97</v>
      </c>
      <c r="BH192" s="73" t="s">
        <v>199</v>
      </c>
      <c r="BI192" s="30" t="str">
        <f>IF(COUNTA(Tabelle32[[#This Row],[Type:Vid_1080i50]:[Type:Anc_Prot]])&gt;0,"x","")</f>
        <v>x</v>
      </c>
      <c r="BJ19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192" s="59"/>
      <c r="BL192" s="59"/>
      <c r="BM192" s="63"/>
      <c r="BN192" s="63"/>
      <c r="BO192" s="97" t="s">
        <v>458</v>
      </c>
      <c r="BP192" s="97" t="s">
        <v>493</v>
      </c>
      <c r="BQ192" s="75">
        <f>LEN(Tabelle32[[#This Row],[Label 1
GFX-Unit]])</f>
        <v>16</v>
      </c>
      <c r="BR192" s="63"/>
      <c r="BS192" s="63"/>
      <c r="BT192" s="59"/>
      <c r="BU192" s="59"/>
      <c r="BV192" s="59" t="s">
        <v>202</v>
      </c>
      <c r="BW192" s="59" t="s">
        <v>203</v>
      </c>
      <c r="BX192" s="59" t="s">
        <v>494</v>
      </c>
      <c r="BY192" s="59">
        <v>10</v>
      </c>
    </row>
    <row r="193" spans="1:77" hidden="1" x14ac:dyDescent="0.2">
      <c r="A193" s="58" t="str">
        <f>CONCATENATE(Tabelle32[[#This Row],[Device ID]],".",Tabelle32[[#This Row],[Streamcounter]])</f>
        <v>387.10302</v>
      </c>
      <c r="B19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VGW-103_SDI10_ANCrec_0002</v>
      </c>
      <c r="C193" s="60"/>
      <c r="D193" s="61"/>
      <c r="E193" s="62"/>
      <c r="F193" s="59" t="str">
        <f>IFERROR(VLOOKUP(Tabelle32[[#This Row],[Device ID]],BOM!$B$3:$BQ$35,16,FALSE),"")</f>
        <v>IngSRV-06</v>
      </c>
      <c r="G193" s="63">
        <f>VLOOKUP(Tabelle32[[#This Row],[SDI Interface]],BOM!$A$4:$B$35,2,FALSE)</f>
        <v>387</v>
      </c>
      <c r="H193" s="59" t="str">
        <f>BOM!$C$4</f>
        <v>VGW-103</v>
      </c>
      <c r="I193" s="59" t="str">
        <f>IFERROR(VLOOKUP(Tabelle32[[#This Row],[Device ID]],BOM!$B$3:$BQ$35,12,FALSE),"")</f>
        <v>Videoserver</v>
      </c>
      <c r="J193" s="59" t="str">
        <f>IFERROR(VLOOKUP(Tabelle32[[#This Row],[Device ID]],BOM!$B$3:$BQ$35,13,FALSE),"")</f>
        <v>TC.U1.223 | MDC</v>
      </c>
      <c r="K193" s="59" t="str">
        <f>IFERROR(VLOOKUP(Tabelle32[[#This Row],[Device ID]],BOM!$B$3:$BQ$35,14,FALSE),"")</f>
        <v>Imagine Comunications</v>
      </c>
      <c r="L193" s="59" t="str">
        <f>IFERROR(VLOOKUP(Tabelle32[[#This Row],[Device ID]],BOM!$B$3:$BQ$35,16,FALSE),"")</f>
        <v>IngSRV-06</v>
      </c>
      <c r="M193" s="63" t="str">
        <f>IFERROR(VLOOKUP(Tabelle32[[#This Row],[Device ID]],BOM!$B$3:$BQ$35,17,FALSE),"")</f>
        <v>M3H</v>
      </c>
      <c r="N193" s="59" t="str">
        <f>IFERROR(VLOOKUP(Tabelle32[[#This Row],[Device ID]],BOM!$B$3:$BQ$35,18,FALSE),"")</f>
        <v>TC.03.225 | M3H</v>
      </c>
      <c r="O193" s="64"/>
      <c r="P193" s="64">
        <f>IFERROR(VLOOKUP(Tabelle32[[#This Row],[Device ID]],BOM!$B$3:$BO$50,20,FALSE),"")</f>
        <v>0</v>
      </c>
      <c r="Q193" s="64">
        <f>IFERROR(VLOOKUP(Tabelle32[[#This Row],[Device ID]],BOM!$B$3:$BO$50,21,FALSE),"")</f>
        <v>1</v>
      </c>
      <c r="R193" s="64">
        <f>IFERROR(VLOOKUP(Tabelle32[[#This Row],[Device ID]],BOM!$B$3:$BO$50,22,FALSE),"")</f>
        <v>0</v>
      </c>
      <c r="S193" s="64"/>
      <c r="T193" s="64"/>
      <c r="U193" s="59" t="str">
        <f>IFERROR(VLOOKUP(Tabelle32[[#This Row],[Device ID]],BOM!$B$3:$BQ$35,25,FALSE),"")</f>
        <v>Luis/Ivo</v>
      </c>
      <c r="V193" s="59" t="str">
        <f>IFERROR(VLOOKUP(Tabelle32[[#This Row],[Device ID]],BOM!$B$3:$BQ$35,26,FALSE),"")</f>
        <v>tpco-megw-vgw103.rta.st-net.media.int</v>
      </c>
      <c r="W193" s="59" t="str">
        <f>IFERROR(VLOOKUP(Tabelle32[[#This Row],[Device ID]],BOM!$B$3:$BQ$35,27,FALSE),"")</f>
        <v>10.120.236.50</v>
      </c>
      <c r="X193" s="59" t="str">
        <f>IFERROR(VLOOKUP(Tabelle32[[#This Row],[Device ID]],BOM!$B$3:$BQ$35,28,FALSE),"")</f>
        <v>AVCoreA</v>
      </c>
      <c r="Y193" s="59" t="str">
        <f>IFERROR(VLOOKUP(Tabelle32[[#This Row],[Device ID]],BOM!$B$3:$BQ$35,29,FALSE),"")</f>
        <v>5_36_1</v>
      </c>
      <c r="Z193" s="59" t="str">
        <f>IFERROR(VLOOKUP(Tabelle32[[#This Row],[Device ID]],BOM!$B$3:$BQ$35,30,FALSE),"")</f>
        <v>tpco-megw-vgw103.rtb.st-net.media.int</v>
      </c>
      <c r="AA193" s="59" t="str">
        <f>IFERROR(VLOOKUP(Tabelle32[[#This Row],[Device ID]],BOM!$B$3:$BQ$35,31,FALSE),"")</f>
        <v>10.120.236.54</v>
      </c>
      <c r="AB193" s="59" t="str">
        <f>IFERROR(VLOOKUP(Tabelle32[[#This Row],[Device ID]],BOM!$B$3:$BQ$35,32,FALSE),"")</f>
        <v>AVCoreB</v>
      </c>
      <c r="AC193" s="59" t="str">
        <f>IFERROR(VLOOKUP(Tabelle32[[#This Row],[Device ID]],BOM!$B$3:$BQ$35,33,FALSE),"")</f>
        <v>5_36_1</v>
      </c>
      <c r="AD193" s="59" t="str">
        <f>IFERROR(VLOOKUP(Tabelle32[[#This Row],[Device ID]],BOM!$B$3:$BQ$35,34,FALSE),"")</f>
        <v>tpco-megw-vgw103.st-net.media.int</v>
      </c>
      <c r="AE193" s="59" t="str">
        <f>IFERROR(VLOOKUP(Tabelle32[[#This Row],[Device ID]],BOM!$B$3:$BQ$35,35,FALSE),"")</f>
        <v>10.120.67.141</v>
      </c>
      <c r="AF193" s="59">
        <f>IFERROR(VLOOKUP(Tabelle32[[#This Row],[Device ID]],BOM!$B$3:$BQ$35,36,FALSE),"")</f>
        <v>0</v>
      </c>
      <c r="AG193" s="59">
        <f>IFERROR(VLOOKUP(Tabelle32[[#This Row],[Device ID]],BOM!$B$3:$BQ$35,37,FALSE),"")</f>
        <v>0</v>
      </c>
      <c r="AH193" s="59"/>
      <c r="AI193" s="59"/>
      <c r="AJ193" s="59"/>
      <c r="AK193" s="59"/>
      <c r="AL193" s="59" t="str">
        <f>IFERROR(VLOOKUP(Tabelle32[[#This Row],[Device ID]],BOM!$B$3:$BQ$35,42,FALSE),"")</f>
        <v>Imagine Communications SNP</v>
      </c>
      <c r="AM193" s="59" t="str">
        <f>IFERROR(VLOOKUP(Tabelle32[[#This Row],[Device ID]],BOM!$B$3:$BQ$35,43,FALSE),"")</f>
        <v>no</v>
      </c>
      <c r="AN193" s="59" t="str">
        <f>IFERROR(VLOOKUP(Tabelle32[[#This Row],[Device ID]],BOM!$B$3:$BQ$35,44,FALSE),"")</f>
        <v>yes</v>
      </c>
      <c r="AO193" s="59" t="str">
        <f>IFERROR(VLOOKUP(Tabelle32[[#This Row],[Device ID]],BOM!$B$3:$BQ$35,45,FALSE),"")</f>
        <v>no</v>
      </c>
      <c r="AP193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93" s="59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73" t="s">
        <v>199</v>
      </c>
      <c r="BI193" s="30" t="str">
        <f>IF(COUNTA(Tabelle32[[#This Row],[Type:Vid_1080i50]:[Type:Anc_Prot]])&gt;0,"x","")</f>
        <v/>
      </c>
      <c r="BJ19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93" s="59"/>
      <c r="BL193" s="59"/>
      <c r="BM193" s="63"/>
      <c r="BN193" s="63"/>
      <c r="BO193" s="96"/>
      <c r="BP193" s="96"/>
      <c r="BQ193" s="75">
        <f>LEN(Tabelle32[[#This Row],[Label 1
GFX-Unit]])</f>
        <v>0</v>
      </c>
      <c r="BR193" s="63"/>
      <c r="BS193" s="63"/>
      <c r="BT193" s="59"/>
      <c r="BU193" s="59"/>
      <c r="BV193" s="59" t="s">
        <v>205</v>
      </c>
      <c r="BW193" s="59" t="s">
        <v>206</v>
      </c>
      <c r="BX193" s="59" t="s">
        <v>495</v>
      </c>
      <c r="BY193" s="59">
        <v>10</v>
      </c>
    </row>
    <row r="194" spans="1:77" hidden="1" x14ac:dyDescent="0.2">
      <c r="A194" s="58" t="str">
        <f>CONCATENATE(Tabelle32[[#This Row],[Device ID]],".",Tabelle32[[#This Row],[Streamcounter]])</f>
        <v>387.10303</v>
      </c>
      <c r="B19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VGW-103_SDI10_ANCrec_0003</v>
      </c>
      <c r="C194" s="60"/>
      <c r="D194" s="61"/>
      <c r="E194" s="62"/>
      <c r="F194" s="59" t="str">
        <f>IFERROR(VLOOKUP(Tabelle32[[#This Row],[Device ID]],BOM!$B$3:$BQ$35,16,FALSE),"")</f>
        <v>IngSRV-06</v>
      </c>
      <c r="G194" s="63">
        <f>VLOOKUP(Tabelle32[[#This Row],[SDI Interface]],BOM!$A$4:$B$35,2,FALSE)</f>
        <v>387</v>
      </c>
      <c r="H194" s="59" t="str">
        <f>BOM!$C$4</f>
        <v>VGW-103</v>
      </c>
      <c r="I194" s="59" t="str">
        <f>IFERROR(VLOOKUP(Tabelle32[[#This Row],[Device ID]],BOM!$B$3:$BQ$35,12,FALSE),"")</f>
        <v>Videoserver</v>
      </c>
      <c r="J194" s="59" t="str">
        <f>IFERROR(VLOOKUP(Tabelle32[[#This Row],[Device ID]],BOM!$B$3:$BQ$35,13,FALSE),"")</f>
        <v>TC.U1.223 | MDC</v>
      </c>
      <c r="K194" s="59" t="str">
        <f>IFERROR(VLOOKUP(Tabelle32[[#This Row],[Device ID]],BOM!$B$3:$BQ$35,14,FALSE),"")</f>
        <v>Imagine Comunications</v>
      </c>
      <c r="L194" s="59" t="str">
        <f>IFERROR(VLOOKUP(Tabelle32[[#This Row],[Device ID]],BOM!$B$3:$BQ$35,16,FALSE),"")</f>
        <v>IngSRV-06</v>
      </c>
      <c r="M194" s="63" t="str">
        <f>IFERROR(VLOOKUP(Tabelle32[[#This Row],[Device ID]],BOM!$B$3:$BQ$35,17,FALSE),"")</f>
        <v>M3H</v>
      </c>
      <c r="N194" s="59" t="str">
        <f>IFERROR(VLOOKUP(Tabelle32[[#This Row],[Device ID]],BOM!$B$3:$BQ$35,18,FALSE),"")</f>
        <v>TC.03.225 | M3H</v>
      </c>
      <c r="O194" s="64"/>
      <c r="P194" s="64">
        <f>IFERROR(VLOOKUP(Tabelle32[[#This Row],[Device ID]],BOM!$B$3:$BO$50,20,FALSE),"")</f>
        <v>0</v>
      </c>
      <c r="Q194" s="64">
        <f>IFERROR(VLOOKUP(Tabelle32[[#This Row],[Device ID]],BOM!$B$3:$BO$50,21,FALSE),"")</f>
        <v>1</v>
      </c>
      <c r="R194" s="64">
        <f>IFERROR(VLOOKUP(Tabelle32[[#This Row],[Device ID]],BOM!$B$3:$BO$50,22,FALSE),"")</f>
        <v>0</v>
      </c>
      <c r="S194" s="64"/>
      <c r="T194" s="64"/>
      <c r="U194" s="59" t="str">
        <f>IFERROR(VLOOKUP(Tabelle32[[#This Row],[Device ID]],BOM!$B$3:$BQ$35,25,FALSE),"")</f>
        <v>Luis/Ivo</v>
      </c>
      <c r="V194" s="59" t="str">
        <f>IFERROR(VLOOKUP(Tabelle32[[#This Row],[Device ID]],BOM!$B$3:$BQ$35,26,FALSE),"")</f>
        <v>tpco-megw-vgw103.rta.st-net.media.int</v>
      </c>
      <c r="W194" s="59" t="str">
        <f>IFERROR(VLOOKUP(Tabelle32[[#This Row],[Device ID]],BOM!$B$3:$BQ$35,27,FALSE),"")</f>
        <v>10.120.236.50</v>
      </c>
      <c r="X194" s="59" t="str">
        <f>IFERROR(VLOOKUP(Tabelle32[[#This Row],[Device ID]],BOM!$B$3:$BQ$35,28,FALSE),"")</f>
        <v>AVCoreA</v>
      </c>
      <c r="Y194" s="59" t="str">
        <f>IFERROR(VLOOKUP(Tabelle32[[#This Row],[Device ID]],BOM!$B$3:$BQ$35,29,FALSE),"")</f>
        <v>5_36_1</v>
      </c>
      <c r="Z194" s="59" t="str">
        <f>IFERROR(VLOOKUP(Tabelle32[[#This Row],[Device ID]],BOM!$B$3:$BQ$35,30,FALSE),"")</f>
        <v>tpco-megw-vgw103.rtb.st-net.media.int</v>
      </c>
      <c r="AA194" s="59" t="str">
        <f>IFERROR(VLOOKUP(Tabelle32[[#This Row],[Device ID]],BOM!$B$3:$BQ$35,31,FALSE),"")</f>
        <v>10.120.236.54</v>
      </c>
      <c r="AB194" s="59" t="str">
        <f>IFERROR(VLOOKUP(Tabelle32[[#This Row],[Device ID]],BOM!$B$3:$BQ$35,32,FALSE),"")</f>
        <v>AVCoreB</v>
      </c>
      <c r="AC194" s="59" t="str">
        <f>IFERROR(VLOOKUP(Tabelle32[[#This Row],[Device ID]],BOM!$B$3:$BQ$35,33,FALSE),"")</f>
        <v>5_36_1</v>
      </c>
      <c r="AD194" s="59" t="str">
        <f>IFERROR(VLOOKUP(Tabelle32[[#This Row],[Device ID]],BOM!$B$3:$BQ$35,34,FALSE),"")</f>
        <v>tpco-megw-vgw103.st-net.media.int</v>
      </c>
      <c r="AE194" s="59" t="str">
        <f>IFERROR(VLOOKUP(Tabelle32[[#This Row],[Device ID]],BOM!$B$3:$BQ$35,35,FALSE),"")</f>
        <v>10.120.67.141</v>
      </c>
      <c r="AF194" s="59">
        <f>IFERROR(VLOOKUP(Tabelle32[[#This Row],[Device ID]],BOM!$B$3:$BQ$35,36,FALSE),"")</f>
        <v>0</v>
      </c>
      <c r="AG194" s="59">
        <f>IFERROR(VLOOKUP(Tabelle32[[#This Row],[Device ID]],BOM!$B$3:$BQ$35,37,FALSE),"")</f>
        <v>0</v>
      </c>
      <c r="AH194" s="59"/>
      <c r="AI194" s="59"/>
      <c r="AJ194" s="59"/>
      <c r="AK194" s="59"/>
      <c r="AL194" s="59" t="str">
        <f>IFERROR(VLOOKUP(Tabelle32[[#This Row],[Device ID]],BOM!$B$3:$BQ$35,42,FALSE),"")</f>
        <v>Imagine Communications SNP</v>
      </c>
      <c r="AM194" s="59" t="str">
        <f>IFERROR(VLOOKUP(Tabelle32[[#This Row],[Device ID]],BOM!$B$3:$BQ$35,43,FALSE),"")</f>
        <v>no</v>
      </c>
      <c r="AN194" s="59" t="str">
        <f>IFERROR(VLOOKUP(Tabelle32[[#This Row],[Device ID]],BOM!$B$3:$BQ$35,44,FALSE),"")</f>
        <v>yes</v>
      </c>
      <c r="AO194" s="59" t="str">
        <f>IFERROR(VLOOKUP(Tabelle32[[#This Row],[Device ID]],BOM!$B$3:$BQ$35,45,FALSE),"")</f>
        <v>no</v>
      </c>
      <c r="AP194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94" s="59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73" t="s">
        <v>199</v>
      </c>
      <c r="BI194" s="30" t="str">
        <f>IF(COUNTA(Tabelle32[[#This Row],[Type:Vid_1080i50]:[Type:Anc_Prot]])&gt;0,"x","")</f>
        <v/>
      </c>
      <c r="BJ19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94" s="59"/>
      <c r="BL194" s="59"/>
      <c r="BM194" s="63"/>
      <c r="BN194" s="63"/>
      <c r="BO194" s="96"/>
      <c r="BP194" s="96"/>
      <c r="BQ194" s="75">
        <f>LEN(Tabelle32[[#This Row],[Label 1
GFX-Unit]])</f>
        <v>0</v>
      </c>
      <c r="BR194" s="63"/>
      <c r="BS194" s="63"/>
      <c r="BT194" s="59"/>
      <c r="BU194" s="59"/>
      <c r="BV194" s="59" t="s">
        <v>208</v>
      </c>
      <c r="BW194" s="59" t="s">
        <v>209</v>
      </c>
      <c r="BX194" s="59" t="s">
        <v>496</v>
      </c>
      <c r="BY194" s="59">
        <v>10</v>
      </c>
    </row>
    <row r="195" spans="1:77" hidden="1" x14ac:dyDescent="0.2">
      <c r="A195" s="58" t="str">
        <f>CONCATENATE(Tabelle32[[#This Row],[Device ID]],".",Tabelle32[[#This Row],[Streamcounter]])</f>
        <v>387.10304</v>
      </c>
      <c r="B19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VGW-103_SDI10_ANCrec_0004</v>
      </c>
      <c r="C195" s="60"/>
      <c r="D195" s="61"/>
      <c r="E195" s="62"/>
      <c r="F195" s="59" t="str">
        <f>IFERROR(VLOOKUP(Tabelle32[[#This Row],[Device ID]],BOM!$B$3:$BQ$35,16,FALSE),"")</f>
        <v>IngSRV-06</v>
      </c>
      <c r="G195" s="63">
        <f>VLOOKUP(Tabelle32[[#This Row],[SDI Interface]],BOM!$A$4:$B$35,2,FALSE)</f>
        <v>387</v>
      </c>
      <c r="H195" s="59" t="str">
        <f>BOM!$C$4</f>
        <v>VGW-103</v>
      </c>
      <c r="I195" s="59" t="str">
        <f>IFERROR(VLOOKUP(Tabelle32[[#This Row],[Device ID]],BOM!$B$3:$BQ$35,12,FALSE),"")</f>
        <v>Videoserver</v>
      </c>
      <c r="J195" s="59" t="str">
        <f>IFERROR(VLOOKUP(Tabelle32[[#This Row],[Device ID]],BOM!$B$3:$BQ$35,13,FALSE),"")</f>
        <v>TC.U1.223 | MDC</v>
      </c>
      <c r="K195" s="59" t="str">
        <f>IFERROR(VLOOKUP(Tabelle32[[#This Row],[Device ID]],BOM!$B$3:$BQ$35,14,FALSE),"")</f>
        <v>Imagine Comunications</v>
      </c>
      <c r="L195" s="59" t="str">
        <f>IFERROR(VLOOKUP(Tabelle32[[#This Row],[Device ID]],BOM!$B$3:$BQ$35,16,FALSE),"")</f>
        <v>IngSRV-06</v>
      </c>
      <c r="M195" s="63" t="str">
        <f>IFERROR(VLOOKUP(Tabelle32[[#This Row],[Device ID]],BOM!$B$3:$BQ$35,17,FALSE),"")</f>
        <v>M3H</v>
      </c>
      <c r="N195" s="59" t="str">
        <f>IFERROR(VLOOKUP(Tabelle32[[#This Row],[Device ID]],BOM!$B$3:$BQ$35,18,FALSE),"")</f>
        <v>TC.03.225 | M3H</v>
      </c>
      <c r="O195" s="64"/>
      <c r="P195" s="64">
        <f>IFERROR(VLOOKUP(Tabelle32[[#This Row],[Device ID]],BOM!$B$3:$BO$50,20,FALSE),"")</f>
        <v>0</v>
      </c>
      <c r="Q195" s="64">
        <f>IFERROR(VLOOKUP(Tabelle32[[#This Row],[Device ID]],BOM!$B$3:$BO$50,21,FALSE),"")</f>
        <v>1</v>
      </c>
      <c r="R195" s="64">
        <f>IFERROR(VLOOKUP(Tabelle32[[#This Row],[Device ID]],BOM!$B$3:$BO$50,22,FALSE),"")</f>
        <v>0</v>
      </c>
      <c r="S195" s="64"/>
      <c r="T195" s="64"/>
      <c r="U195" s="59" t="str">
        <f>IFERROR(VLOOKUP(Tabelle32[[#This Row],[Device ID]],BOM!$B$3:$BQ$35,25,FALSE),"")</f>
        <v>Luis/Ivo</v>
      </c>
      <c r="V195" s="59" t="str">
        <f>IFERROR(VLOOKUP(Tabelle32[[#This Row],[Device ID]],BOM!$B$3:$BQ$35,26,FALSE),"")</f>
        <v>tpco-megw-vgw103.rta.st-net.media.int</v>
      </c>
      <c r="W195" s="59" t="str">
        <f>IFERROR(VLOOKUP(Tabelle32[[#This Row],[Device ID]],BOM!$B$3:$BQ$35,27,FALSE),"")</f>
        <v>10.120.236.50</v>
      </c>
      <c r="X195" s="59" t="str">
        <f>IFERROR(VLOOKUP(Tabelle32[[#This Row],[Device ID]],BOM!$B$3:$BQ$35,28,FALSE),"")</f>
        <v>AVCoreA</v>
      </c>
      <c r="Y195" s="59" t="str">
        <f>IFERROR(VLOOKUP(Tabelle32[[#This Row],[Device ID]],BOM!$B$3:$BQ$35,29,FALSE),"")</f>
        <v>5_36_1</v>
      </c>
      <c r="Z195" s="59" t="str">
        <f>IFERROR(VLOOKUP(Tabelle32[[#This Row],[Device ID]],BOM!$B$3:$BQ$35,30,FALSE),"")</f>
        <v>tpco-megw-vgw103.rtb.st-net.media.int</v>
      </c>
      <c r="AA195" s="59" t="str">
        <f>IFERROR(VLOOKUP(Tabelle32[[#This Row],[Device ID]],BOM!$B$3:$BQ$35,31,FALSE),"")</f>
        <v>10.120.236.54</v>
      </c>
      <c r="AB195" s="59" t="str">
        <f>IFERROR(VLOOKUP(Tabelle32[[#This Row],[Device ID]],BOM!$B$3:$BQ$35,32,FALSE),"")</f>
        <v>AVCoreB</v>
      </c>
      <c r="AC195" s="59" t="str">
        <f>IFERROR(VLOOKUP(Tabelle32[[#This Row],[Device ID]],BOM!$B$3:$BQ$35,33,FALSE),"")</f>
        <v>5_36_1</v>
      </c>
      <c r="AD195" s="59" t="str">
        <f>IFERROR(VLOOKUP(Tabelle32[[#This Row],[Device ID]],BOM!$B$3:$BQ$35,34,FALSE),"")</f>
        <v>tpco-megw-vgw103.st-net.media.int</v>
      </c>
      <c r="AE195" s="59" t="str">
        <f>IFERROR(VLOOKUP(Tabelle32[[#This Row],[Device ID]],BOM!$B$3:$BQ$35,35,FALSE),"")</f>
        <v>10.120.67.141</v>
      </c>
      <c r="AF195" s="59">
        <f>IFERROR(VLOOKUP(Tabelle32[[#This Row],[Device ID]],BOM!$B$3:$BQ$35,36,FALSE),"")</f>
        <v>0</v>
      </c>
      <c r="AG195" s="59">
        <f>IFERROR(VLOOKUP(Tabelle32[[#This Row],[Device ID]],BOM!$B$3:$BQ$35,37,FALSE),"")</f>
        <v>0</v>
      </c>
      <c r="AH195" s="59"/>
      <c r="AI195" s="59"/>
      <c r="AJ195" s="59"/>
      <c r="AK195" s="59"/>
      <c r="AL195" s="59" t="str">
        <f>IFERROR(VLOOKUP(Tabelle32[[#This Row],[Device ID]],BOM!$B$3:$BQ$35,42,FALSE),"")</f>
        <v>Imagine Communications SNP</v>
      </c>
      <c r="AM195" s="59" t="str">
        <f>IFERROR(VLOOKUP(Tabelle32[[#This Row],[Device ID]],BOM!$B$3:$BQ$35,43,FALSE),"")</f>
        <v>no</v>
      </c>
      <c r="AN195" s="59" t="str">
        <f>IFERROR(VLOOKUP(Tabelle32[[#This Row],[Device ID]],BOM!$B$3:$BQ$35,44,FALSE),"")</f>
        <v>yes</v>
      </c>
      <c r="AO195" s="59" t="str">
        <f>IFERROR(VLOOKUP(Tabelle32[[#This Row],[Device ID]],BOM!$B$3:$BQ$35,45,FALSE),"")</f>
        <v>no</v>
      </c>
      <c r="AP195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195" s="59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73" t="s">
        <v>199</v>
      </c>
      <c r="BI195" s="30" t="str">
        <f>IF(COUNTA(Tabelle32[[#This Row],[Type:Vid_1080i50]:[Type:Anc_Prot]])&gt;0,"x","")</f>
        <v/>
      </c>
      <c r="BJ19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195" s="59"/>
      <c r="BL195" s="59"/>
      <c r="BM195" s="63"/>
      <c r="BN195" s="63"/>
      <c r="BO195" s="96"/>
      <c r="BP195" s="96"/>
      <c r="BQ195" s="75">
        <f>LEN(Tabelle32[[#This Row],[Label 1
GFX-Unit]])</f>
        <v>0</v>
      </c>
      <c r="BR195" s="63"/>
      <c r="BS195" s="63"/>
      <c r="BT195" s="59"/>
      <c r="BU195" s="59"/>
      <c r="BV195" s="59" t="s">
        <v>211</v>
      </c>
      <c r="BW195" s="59" t="s">
        <v>212</v>
      </c>
      <c r="BX195" s="59" t="s">
        <v>497</v>
      </c>
      <c r="BY195" s="59">
        <v>10</v>
      </c>
    </row>
    <row r="196" spans="1:77" x14ac:dyDescent="0.2">
      <c r="A196" s="58" t="str">
        <f>CONCATENATE(Tabelle32[[#This Row],[Device ID]],".",Tabelle32[[#This Row],[Streamcounter]])</f>
        <v>387.10201</v>
      </c>
      <c r="B19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VGW-103_SDI10_AUDrec_0001</v>
      </c>
      <c r="C196" s="60"/>
      <c r="D196" s="61"/>
      <c r="E196" s="62"/>
      <c r="F196" s="59" t="str">
        <f>IFERROR(VLOOKUP(Tabelle32[[#This Row],[Device ID]],BOM!$B$3:$BQ$35,16,FALSE),"")</f>
        <v>IngSRV-06</v>
      </c>
      <c r="G196" s="63">
        <f>VLOOKUP(Tabelle32[[#This Row],[SDI Interface]],BOM!$A$4:$B$35,2,FALSE)</f>
        <v>387</v>
      </c>
      <c r="H196" s="59" t="str">
        <f>BOM!$C$4</f>
        <v>VGW-103</v>
      </c>
      <c r="I196" s="59" t="str">
        <f>IFERROR(VLOOKUP(Tabelle32[[#This Row],[Device ID]],BOM!$B$3:$BQ$35,12,FALSE),"")</f>
        <v>Videoserver</v>
      </c>
      <c r="J196" s="59" t="str">
        <f>IFERROR(VLOOKUP(Tabelle32[[#This Row],[Device ID]],BOM!$B$3:$BQ$35,13,FALSE),"")</f>
        <v>TC.U1.223 | MDC</v>
      </c>
      <c r="K196" s="59" t="str">
        <f>IFERROR(VLOOKUP(Tabelle32[[#This Row],[Device ID]],BOM!$B$3:$BQ$35,14,FALSE),"")</f>
        <v>Imagine Comunications</v>
      </c>
      <c r="L196" s="59" t="str">
        <f>IFERROR(VLOOKUP(Tabelle32[[#This Row],[Device ID]],BOM!$B$3:$BQ$35,16,FALSE),"")</f>
        <v>IngSRV-06</v>
      </c>
      <c r="M196" s="63" t="str">
        <f>IFERROR(VLOOKUP(Tabelle32[[#This Row],[Device ID]],BOM!$B$3:$BQ$35,17,FALSE),"")</f>
        <v>M3H</v>
      </c>
      <c r="N196" s="59" t="str">
        <f>IFERROR(VLOOKUP(Tabelle32[[#This Row],[Device ID]],BOM!$B$3:$BQ$35,18,FALSE),"")</f>
        <v>TC.03.225 | M3H</v>
      </c>
      <c r="O196" s="64"/>
      <c r="P196" s="64">
        <f>IFERROR(VLOOKUP(Tabelle32[[#This Row],[Device ID]],BOM!$B$3:$BO$50,20,FALSE),"")</f>
        <v>0</v>
      </c>
      <c r="Q196" s="64">
        <f>IFERROR(VLOOKUP(Tabelle32[[#This Row],[Device ID]],BOM!$B$3:$BO$50,21,FALSE),"")</f>
        <v>1</v>
      </c>
      <c r="R196" s="64">
        <f>IFERROR(VLOOKUP(Tabelle32[[#This Row],[Device ID]],BOM!$B$3:$BO$50,22,FALSE),"")</f>
        <v>0</v>
      </c>
      <c r="S196" s="64"/>
      <c r="T196" s="64"/>
      <c r="U196" s="59" t="str">
        <f>IFERROR(VLOOKUP(Tabelle32[[#This Row],[Device ID]],BOM!$B$3:$BQ$35,25,FALSE),"")</f>
        <v>Luis/Ivo</v>
      </c>
      <c r="V196" s="59" t="str">
        <f>IFERROR(VLOOKUP(Tabelle32[[#This Row],[Device ID]],BOM!$B$3:$BQ$35,26,FALSE),"")</f>
        <v>tpco-megw-vgw103.rta.st-net.media.int</v>
      </c>
      <c r="W196" s="59" t="str">
        <f>IFERROR(VLOOKUP(Tabelle32[[#This Row],[Device ID]],BOM!$B$3:$BQ$35,27,FALSE),"")</f>
        <v>10.120.236.50</v>
      </c>
      <c r="X196" s="59" t="str">
        <f>IFERROR(VLOOKUP(Tabelle32[[#This Row],[Device ID]],BOM!$B$3:$BQ$35,28,FALSE),"")</f>
        <v>AVCoreA</v>
      </c>
      <c r="Y196" s="59" t="str">
        <f>IFERROR(VLOOKUP(Tabelle32[[#This Row],[Device ID]],BOM!$B$3:$BQ$35,29,FALSE),"")</f>
        <v>5_36_1</v>
      </c>
      <c r="Z196" s="59" t="str">
        <f>IFERROR(VLOOKUP(Tabelle32[[#This Row],[Device ID]],BOM!$B$3:$BQ$35,30,FALSE),"")</f>
        <v>tpco-megw-vgw103.rtb.st-net.media.int</v>
      </c>
      <c r="AA196" s="59" t="str">
        <f>IFERROR(VLOOKUP(Tabelle32[[#This Row],[Device ID]],BOM!$B$3:$BQ$35,31,FALSE),"")</f>
        <v>10.120.236.54</v>
      </c>
      <c r="AB196" s="59" t="str">
        <f>IFERROR(VLOOKUP(Tabelle32[[#This Row],[Device ID]],BOM!$B$3:$BQ$35,32,FALSE),"")</f>
        <v>AVCoreB</v>
      </c>
      <c r="AC196" s="59" t="str">
        <f>IFERROR(VLOOKUP(Tabelle32[[#This Row],[Device ID]],BOM!$B$3:$BQ$35,33,FALSE),"")</f>
        <v>5_36_1</v>
      </c>
      <c r="AD196" s="59" t="str">
        <f>IFERROR(VLOOKUP(Tabelle32[[#This Row],[Device ID]],BOM!$B$3:$BQ$35,34,FALSE),"")</f>
        <v>tpco-megw-vgw103.st-net.media.int</v>
      </c>
      <c r="AE196" s="59" t="str">
        <f>IFERROR(VLOOKUP(Tabelle32[[#This Row],[Device ID]],BOM!$B$3:$BQ$35,35,FALSE),"")</f>
        <v>10.120.67.141</v>
      </c>
      <c r="AF196" s="59">
        <f>IFERROR(VLOOKUP(Tabelle32[[#This Row],[Device ID]],BOM!$B$3:$BQ$35,36,FALSE),"")</f>
        <v>0</v>
      </c>
      <c r="AG196" s="59">
        <f>IFERROR(VLOOKUP(Tabelle32[[#This Row],[Device ID]],BOM!$B$3:$BQ$35,37,FALSE),"")</f>
        <v>0</v>
      </c>
      <c r="AH196" s="59"/>
      <c r="AI196" s="59"/>
      <c r="AJ196" s="59"/>
      <c r="AK196" s="59"/>
      <c r="AL196" s="59" t="str">
        <f>IFERROR(VLOOKUP(Tabelle32[[#This Row],[Device ID]],BOM!$B$3:$BQ$35,42,FALSE),"")</f>
        <v>Imagine Communications SNP</v>
      </c>
      <c r="AM196" s="59" t="str">
        <f>IFERROR(VLOOKUP(Tabelle32[[#This Row],[Device ID]],BOM!$B$3:$BQ$35,43,FALSE),"")</f>
        <v>no</v>
      </c>
      <c r="AN196" s="59" t="str">
        <f>IFERROR(VLOOKUP(Tabelle32[[#This Row],[Device ID]],BOM!$B$3:$BQ$35,44,FALSE),"")</f>
        <v>yes</v>
      </c>
      <c r="AO196" s="59" t="str">
        <f>IFERROR(VLOOKUP(Tabelle32[[#This Row],[Device ID]],BOM!$B$3:$BQ$35,45,FALSE),"")</f>
        <v>no</v>
      </c>
      <c r="AP196" s="59" t="str">
        <f>IFERROR(CONCATENATE(Tabelle32[[#This Row],[Family
GFX-Unit]]," | ",Tabelle32[[#This Row],[Label 1
GFX-Unit]]," | ",Tabelle32[[#This Row],[Attached Device if Gateway]]),"")</f>
        <v>M3H InCh REM | Ingest Ch22-01 | IngSRV-06</v>
      </c>
      <c r="AQ196" s="59"/>
      <c r="AR196" s="90"/>
      <c r="AS196" s="90"/>
      <c r="AT196" s="90"/>
      <c r="AU196" s="90"/>
      <c r="AV196" s="90"/>
      <c r="AW196" s="90" t="s">
        <v>97</v>
      </c>
      <c r="AX196" s="90"/>
      <c r="AY196" s="90"/>
      <c r="AZ196" s="90" t="s">
        <v>97</v>
      </c>
      <c r="BA196" s="90"/>
      <c r="BB196" s="90" t="s">
        <v>97</v>
      </c>
      <c r="BC196" s="90" t="s">
        <v>97</v>
      </c>
      <c r="BD196" s="90"/>
      <c r="BE196" s="90"/>
      <c r="BF196" s="90"/>
      <c r="BG196" s="90"/>
      <c r="BH196" s="73" t="s">
        <v>199</v>
      </c>
      <c r="BI196" s="30" t="str">
        <f>IF(COUNTA(Tabelle32[[#This Row],[Type:Vid_1080i50]:[Type:Anc_Prot]])&gt;0,"x","")</f>
        <v>x</v>
      </c>
      <c r="BJ19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96" s="59"/>
      <c r="BL196" s="59"/>
      <c r="BM196" s="63"/>
      <c r="BN196" s="63"/>
      <c r="BO196" s="97" t="s">
        <v>458</v>
      </c>
      <c r="BP196" s="97" t="s">
        <v>498</v>
      </c>
      <c r="BQ196" s="75">
        <f>LEN(Tabelle32[[#This Row],[Label 1
GFX-Unit]])</f>
        <v>14</v>
      </c>
      <c r="BR196" s="63"/>
      <c r="BS196" s="63"/>
      <c r="BT196" s="59"/>
      <c r="BU196" s="59"/>
      <c r="BV196" s="59" t="s">
        <v>214</v>
      </c>
      <c r="BW196" s="59" t="s">
        <v>215</v>
      </c>
      <c r="BX196" s="59" t="s">
        <v>499</v>
      </c>
      <c r="BY196" s="59">
        <v>10</v>
      </c>
    </row>
    <row r="197" spans="1:77" x14ac:dyDescent="0.2">
      <c r="A197" s="58" t="str">
        <f>CONCATENATE(Tabelle32[[#This Row],[Device ID]],".",Tabelle32[[#This Row],[Streamcounter]])</f>
        <v>387.10202</v>
      </c>
      <c r="B19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VGW-103_SDI10_AUDrec_0002</v>
      </c>
      <c r="C197" s="67"/>
      <c r="D197" s="61"/>
      <c r="E197" s="67"/>
      <c r="F197" s="59" t="str">
        <f>IFERROR(VLOOKUP(Tabelle32[[#This Row],[Device ID]],BOM!$B$3:$BQ$35,16,FALSE),"")</f>
        <v>IngSRV-06</v>
      </c>
      <c r="G197" s="63">
        <f>VLOOKUP(Tabelle32[[#This Row],[SDI Interface]],BOM!$A$4:$B$35,2,FALSE)</f>
        <v>387</v>
      </c>
      <c r="H197" s="59" t="str">
        <f>BOM!$C$4</f>
        <v>VGW-103</v>
      </c>
      <c r="I197" s="59" t="str">
        <f>IFERROR(VLOOKUP(Tabelle32[[#This Row],[Device ID]],BOM!$B$3:$BQ$35,12,FALSE),"")</f>
        <v>Videoserver</v>
      </c>
      <c r="J197" s="59" t="str">
        <f>IFERROR(VLOOKUP(Tabelle32[[#This Row],[Device ID]],BOM!$B$3:$BQ$35,13,FALSE),"")</f>
        <v>TC.U1.223 | MDC</v>
      </c>
      <c r="K197" s="59" t="str">
        <f>IFERROR(VLOOKUP(Tabelle32[[#This Row],[Device ID]],BOM!$B$3:$BQ$35,14,FALSE),"")</f>
        <v>Imagine Comunications</v>
      </c>
      <c r="L197" s="59" t="str">
        <f>IFERROR(VLOOKUP(Tabelle32[[#This Row],[Device ID]],BOM!$B$3:$BQ$35,16,FALSE),"")</f>
        <v>IngSRV-06</v>
      </c>
      <c r="M197" s="63" t="str">
        <f>IFERROR(VLOOKUP(Tabelle32[[#This Row],[Device ID]],BOM!$B$3:$BQ$35,17,FALSE),"")</f>
        <v>M3H</v>
      </c>
      <c r="N197" s="59" t="str">
        <f>IFERROR(VLOOKUP(Tabelle32[[#This Row],[Device ID]],BOM!$B$3:$BQ$35,18,FALSE),"")</f>
        <v>TC.03.225 | M3H</v>
      </c>
      <c r="O197" s="64"/>
      <c r="P197" s="64">
        <f>IFERROR(VLOOKUP(Tabelle32[[#This Row],[Device ID]],BOM!$B$3:$BO$50,20,FALSE),"")</f>
        <v>0</v>
      </c>
      <c r="Q197" s="64">
        <f>IFERROR(VLOOKUP(Tabelle32[[#This Row],[Device ID]],BOM!$B$3:$BO$50,21,FALSE),"")</f>
        <v>1</v>
      </c>
      <c r="R197" s="64">
        <f>IFERROR(VLOOKUP(Tabelle32[[#This Row],[Device ID]],BOM!$B$3:$BO$50,22,FALSE),"")</f>
        <v>0</v>
      </c>
      <c r="S197" s="64"/>
      <c r="T197" s="64"/>
      <c r="U197" s="59" t="str">
        <f>IFERROR(VLOOKUP(Tabelle32[[#This Row],[Device ID]],BOM!$B$3:$BQ$35,25,FALSE),"")</f>
        <v>Luis/Ivo</v>
      </c>
      <c r="V197" s="59" t="str">
        <f>IFERROR(VLOOKUP(Tabelle32[[#This Row],[Device ID]],BOM!$B$3:$BQ$35,26,FALSE),"")</f>
        <v>tpco-megw-vgw103.rta.st-net.media.int</v>
      </c>
      <c r="W197" s="59" t="str">
        <f>IFERROR(VLOOKUP(Tabelle32[[#This Row],[Device ID]],BOM!$B$3:$BQ$35,27,FALSE),"")</f>
        <v>10.120.236.50</v>
      </c>
      <c r="X197" s="59" t="str">
        <f>IFERROR(VLOOKUP(Tabelle32[[#This Row],[Device ID]],BOM!$B$3:$BQ$35,28,FALSE),"")</f>
        <v>AVCoreA</v>
      </c>
      <c r="Y197" s="59" t="str">
        <f>IFERROR(VLOOKUP(Tabelle32[[#This Row],[Device ID]],BOM!$B$3:$BQ$35,29,FALSE),"")</f>
        <v>5_36_1</v>
      </c>
      <c r="Z197" s="59" t="str">
        <f>IFERROR(VLOOKUP(Tabelle32[[#This Row],[Device ID]],BOM!$B$3:$BQ$35,30,FALSE),"")</f>
        <v>tpco-megw-vgw103.rtb.st-net.media.int</v>
      </c>
      <c r="AA197" s="59" t="str">
        <f>IFERROR(VLOOKUP(Tabelle32[[#This Row],[Device ID]],BOM!$B$3:$BQ$35,31,FALSE),"")</f>
        <v>10.120.236.54</v>
      </c>
      <c r="AB197" s="59" t="str">
        <f>IFERROR(VLOOKUP(Tabelle32[[#This Row],[Device ID]],BOM!$B$3:$BQ$35,32,FALSE),"")</f>
        <v>AVCoreB</v>
      </c>
      <c r="AC197" s="59" t="str">
        <f>IFERROR(VLOOKUP(Tabelle32[[#This Row],[Device ID]],BOM!$B$3:$BQ$35,33,FALSE),"")</f>
        <v>5_36_1</v>
      </c>
      <c r="AD197" s="59" t="str">
        <f>IFERROR(VLOOKUP(Tabelle32[[#This Row],[Device ID]],BOM!$B$3:$BQ$35,34,FALSE),"")</f>
        <v>tpco-megw-vgw103.st-net.media.int</v>
      </c>
      <c r="AE197" s="59" t="str">
        <f>IFERROR(VLOOKUP(Tabelle32[[#This Row],[Device ID]],BOM!$B$3:$BQ$35,35,FALSE),"")</f>
        <v>10.120.67.141</v>
      </c>
      <c r="AF197" s="59">
        <f>IFERROR(VLOOKUP(Tabelle32[[#This Row],[Device ID]],BOM!$B$3:$BQ$35,36,FALSE),"")</f>
        <v>0</v>
      </c>
      <c r="AG197" s="59">
        <f>IFERROR(VLOOKUP(Tabelle32[[#This Row],[Device ID]],BOM!$B$3:$BQ$35,37,FALSE),"")</f>
        <v>0</v>
      </c>
      <c r="AH197" s="59"/>
      <c r="AI197" s="59"/>
      <c r="AJ197" s="59"/>
      <c r="AK197" s="59"/>
      <c r="AL197" s="59" t="str">
        <f>IFERROR(VLOOKUP(Tabelle32[[#This Row],[Device ID]],BOM!$B$3:$BQ$35,42,FALSE),"")</f>
        <v>Imagine Communications SNP</v>
      </c>
      <c r="AM197" s="59" t="str">
        <f>IFERROR(VLOOKUP(Tabelle32[[#This Row],[Device ID]],BOM!$B$3:$BQ$35,43,FALSE),"")</f>
        <v>no</v>
      </c>
      <c r="AN197" s="59" t="str">
        <f>IFERROR(VLOOKUP(Tabelle32[[#This Row],[Device ID]],BOM!$B$3:$BQ$35,44,FALSE),"")</f>
        <v>yes</v>
      </c>
      <c r="AO197" s="59" t="str">
        <f>IFERROR(VLOOKUP(Tabelle32[[#This Row],[Device ID]],BOM!$B$3:$BQ$35,45,FALSE),"")</f>
        <v>no</v>
      </c>
      <c r="AP197" s="59" t="str">
        <f>IFERROR(CONCATENATE(Tabelle32[[#This Row],[Family
GFX-Unit]]," | ",Tabelle32[[#This Row],[Label 1
GFX-Unit]]," | ",Tabelle32[[#This Row],[Attached Device if Gateway]]),"")</f>
        <v>M3H InCh REM | Ingest Ch22-02 | IngSRV-06</v>
      </c>
      <c r="AQ197" s="59"/>
      <c r="AR197" s="90"/>
      <c r="AS197" s="90"/>
      <c r="AT197" s="90"/>
      <c r="AU197" s="90"/>
      <c r="AV197" s="90"/>
      <c r="AW197" s="90" t="s">
        <v>97</v>
      </c>
      <c r="AX197" s="90"/>
      <c r="AY197" s="90"/>
      <c r="AZ197" s="90" t="s">
        <v>97</v>
      </c>
      <c r="BA197" s="90"/>
      <c r="BB197" s="90" t="s">
        <v>97</v>
      </c>
      <c r="BC197" s="90" t="s">
        <v>97</v>
      </c>
      <c r="BD197" s="90"/>
      <c r="BE197" s="90"/>
      <c r="BF197" s="90"/>
      <c r="BG197" s="90"/>
      <c r="BH197" s="73" t="s">
        <v>199</v>
      </c>
      <c r="BI197" s="30" t="str">
        <f>IF(COUNTA(Tabelle32[[#This Row],[Type:Vid_1080i50]:[Type:Anc_Prot]])&gt;0,"x","")</f>
        <v>x</v>
      </c>
      <c r="BJ19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97" s="59"/>
      <c r="BL197" s="59"/>
      <c r="BM197" s="63"/>
      <c r="BN197" s="63"/>
      <c r="BO197" s="97" t="s">
        <v>458</v>
      </c>
      <c r="BP197" s="97" t="s">
        <v>500</v>
      </c>
      <c r="BQ197" s="75">
        <f>LEN(Tabelle32[[#This Row],[Label 1
GFX-Unit]])</f>
        <v>14</v>
      </c>
      <c r="BR197" s="63"/>
      <c r="BS197" s="63"/>
      <c r="BT197" s="59"/>
      <c r="BU197" s="59"/>
      <c r="BV197" s="59" t="s">
        <v>218</v>
      </c>
      <c r="BW197" s="59" t="s">
        <v>219</v>
      </c>
      <c r="BX197" s="59" t="s">
        <v>501</v>
      </c>
      <c r="BY197" s="59">
        <v>10</v>
      </c>
    </row>
    <row r="198" spans="1:77" x14ac:dyDescent="0.2">
      <c r="A198" s="58" t="str">
        <f>CONCATENATE(Tabelle32[[#This Row],[Device ID]],".",Tabelle32[[#This Row],[Streamcounter]])</f>
        <v>387.10203</v>
      </c>
      <c r="B19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VGW-103_SDI10_AUDrec_0003</v>
      </c>
      <c r="C198" s="67"/>
      <c r="D198" s="61"/>
      <c r="E198" s="67"/>
      <c r="F198" s="59" t="str">
        <f>IFERROR(VLOOKUP(Tabelle32[[#This Row],[Device ID]],BOM!$B$3:$BQ$35,16,FALSE),"")</f>
        <v>IngSRV-06</v>
      </c>
      <c r="G198" s="63">
        <f>VLOOKUP(Tabelle32[[#This Row],[SDI Interface]],BOM!$A$4:$B$35,2,FALSE)</f>
        <v>387</v>
      </c>
      <c r="H198" s="59" t="str">
        <f>BOM!$C$4</f>
        <v>VGW-103</v>
      </c>
      <c r="I198" s="59" t="str">
        <f>IFERROR(VLOOKUP(Tabelle32[[#This Row],[Device ID]],BOM!$B$3:$BQ$35,12,FALSE),"")</f>
        <v>Videoserver</v>
      </c>
      <c r="J198" s="59" t="str">
        <f>IFERROR(VLOOKUP(Tabelle32[[#This Row],[Device ID]],BOM!$B$3:$BQ$35,13,FALSE),"")</f>
        <v>TC.U1.223 | MDC</v>
      </c>
      <c r="K198" s="59" t="str">
        <f>IFERROR(VLOOKUP(Tabelle32[[#This Row],[Device ID]],BOM!$B$3:$BQ$35,14,FALSE),"")</f>
        <v>Imagine Comunications</v>
      </c>
      <c r="L198" s="59" t="str">
        <f>IFERROR(VLOOKUP(Tabelle32[[#This Row],[Device ID]],BOM!$B$3:$BQ$35,16,FALSE),"")</f>
        <v>IngSRV-06</v>
      </c>
      <c r="M198" s="63" t="str">
        <f>IFERROR(VLOOKUP(Tabelle32[[#This Row],[Device ID]],BOM!$B$3:$BQ$35,17,FALSE),"")</f>
        <v>M3H</v>
      </c>
      <c r="N198" s="59" t="str">
        <f>IFERROR(VLOOKUP(Tabelle32[[#This Row],[Device ID]],BOM!$B$3:$BQ$35,18,FALSE),"")</f>
        <v>TC.03.225 | M3H</v>
      </c>
      <c r="O198" s="64"/>
      <c r="P198" s="64">
        <f>IFERROR(VLOOKUP(Tabelle32[[#This Row],[Device ID]],BOM!$B$3:$BO$50,20,FALSE),"")</f>
        <v>0</v>
      </c>
      <c r="Q198" s="64">
        <f>IFERROR(VLOOKUP(Tabelle32[[#This Row],[Device ID]],BOM!$B$3:$BO$50,21,FALSE),"")</f>
        <v>1</v>
      </c>
      <c r="R198" s="64">
        <f>IFERROR(VLOOKUP(Tabelle32[[#This Row],[Device ID]],BOM!$B$3:$BO$50,22,FALSE),"")</f>
        <v>0</v>
      </c>
      <c r="S198" s="64"/>
      <c r="T198" s="64"/>
      <c r="U198" s="59" t="str">
        <f>IFERROR(VLOOKUP(Tabelle32[[#This Row],[Device ID]],BOM!$B$3:$BQ$35,25,FALSE),"")</f>
        <v>Luis/Ivo</v>
      </c>
      <c r="V198" s="59" t="str">
        <f>IFERROR(VLOOKUP(Tabelle32[[#This Row],[Device ID]],BOM!$B$3:$BQ$35,26,FALSE),"")</f>
        <v>tpco-megw-vgw103.rta.st-net.media.int</v>
      </c>
      <c r="W198" s="59" t="str">
        <f>IFERROR(VLOOKUP(Tabelle32[[#This Row],[Device ID]],BOM!$B$3:$BQ$35,27,FALSE),"")</f>
        <v>10.120.236.50</v>
      </c>
      <c r="X198" s="59" t="str">
        <f>IFERROR(VLOOKUP(Tabelle32[[#This Row],[Device ID]],BOM!$B$3:$BQ$35,28,FALSE),"")</f>
        <v>AVCoreA</v>
      </c>
      <c r="Y198" s="59" t="str">
        <f>IFERROR(VLOOKUP(Tabelle32[[#This Row],[Device ID]],BOM!$B$3:$BQ$35,29,FALSE),"")</f>
        <v>5_36_1</v>
      </c>
      <c r="Z198" s="59" t="str">
        <f>IFERROR(VLOOKUP(Tabelle32[[#This Row],[Device ID]],BOM!$B$3:$BQ$35,30,FALSE),"")</f>
        <v>tpco-megw-vgw103.rtb.st-net.media.int</v>
      </c>
      <c r="AA198" s="59" t="str">
        <f>IFERROR(VLOOKUP(Tabelle32[[#This Row],[Device ID]],BOM!$B$3:$BQ$35,31,FALSE),"")</f>
        <v>10.120.236.54</v>
      </c>
      <c r="AB198" s="59" t="str">
        <f>IFERROR(VLOOKUP(Tabelle32[[#This Row],[Device ID]],BOM!$B$3:$BQ$35,32,FALSE),"")</f>
        <v>AVCoreB</v>
      </c>
      <c r="AC198" s="59" t="str">
        <f>IFERROR(VLOOKUP(Tabelle32[[#This Row],[Device ID]],BOM!$B$3:$BQ$35,33,FALSE),"")</f>
        <v>5_36_1</v>
      </c>
      <c r="AD198" s="59" t="str">
        <f>IFERROR(VLOOKUP(Tabelle32[[#This Row],[Device ID]],BOM!$B$3:$BQ$35,34,FALSE),"")</f>
        <v>tpco-megw-vgw103.st-net.media.int</v>
      </c>
      <c r="AE198" s="59" t="str">
        <f>IFERROR(VLOOKUP(Tabelle32[[#This Row],[Device ID]],BOM!$B$3:$BQ$35,35,FALSE),"")</f>
        <v>10.120.67.141</v>
      </c>
      <c r="AF198" s="59">
        <f>IFERROR(VLOOKUP(Tabelle32[[#This Row],[Device ID]],BOM!$B$3:$BQ$35,36,FALSE),"")</f>
        <v>0</v>
      </c>
      <c r="AG198" s="59">
        <f>IFERROR(VLOOKUP(Tabelle32[[#This Row],[Device ID]],BOM!$B$3:$BQ$35,37,FALSE),"")</f>
        <v>0</v>
      </c>
      <c r="AH198" s="59"/>
      <c r="AI198" s="59"/>
      <c r="AJ198" s="59"/>
      <c r="AK198" s="59"/>
      <c r="AL198" s="59" t="str">
        <f>IFERROR(VLOOKUP(Tabelle32[[#This Row],[Device ID]],BOM!$B$3:$BQ$35,42,FALSE),"")</f>
        <v>Imagine Communications SNP</v>
      </c>
      <c r="AM198" s="59" t="str">
        <f>IFERROR(VLOOKUP(Tabelle32[[#This Row],[Device ID]],BOM!$B$3:$BQ$35,43,FALSE),"")</f>
        <v>no</v>
      </c>
      <c r="AN198" s="59" t="str">
        <f>IFERROR(VLOOKUP(Tabelle32[[#This Row],[Device ID]],BOM!$B$3:$BQ$35,44,FALSE),"")</f>
        <v>yes</v>
      </c>
      <c r="AO198" s="59" t="str">
        <f>IFERROR(VLOOKUP(Tabelle32[[#This Row],[Device ID]],BOM!$B$3:$BQ$35,45,FALSE),"")</f>
        <v>no</v>
      </c>
      <c r="AP198" s="59" t="str">
        <f>IFERROR(CONCATENATE(Tabelle32[[#This Row],[Family
GFX-Unit]]," | ",Tabelle32[[#This Row],[Label 1
GFX-Unit]]," | ",Tabelle32[[#This Row],[Attached Device if Gateway]]),"")</f>
        <v>M3H InCh REM | Ingest Ch22-03 | IngSRV-06</v>
      </c>
      <c r="AQ198" s="59"/>
      <c r="AR198" s="90"/>
      <c r="AS198" s="90"/>
      <c r="AT198" s="90"/>
      <c r="AU198" s="90"/>
      <c r="AV198" s="90"/>
      <c r="AW198" s="90" t="s">
        <v>97</v>
      </c>
      <c r="AX198" s="90"/>
      <c r="AY198" s="90"/>
      <c r="AZ198" s="90" t="s">
        <v>97</v>
      </c>
      <c r="BA198" s="90"/>
      <c r="BB198" s="90" t="s">
        <v>97</v>
      </c>
      <c r="BC198" s="90" t="s">
        <v>97</v>
      </c>
      <c r="BD198" s="90"/>
      <c r="BE198" s="90"/>
      <c r="BF198" s="90"/>
      <c r="BG198" s="90"/>
      <c r="BH198" s="73" t="s">
        <v>199</v>
      </c>
      <c r="BI198" s="30" t="str">
        <f>IF(COUNTA(Tabelle32[[#This Row],[Type:Vid_1080i50]:[Type:Anc_Prot]])&gt;0,"x","")</f>
        <v>x</v>
      </c>
      <c r="BJ19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98" s="59"/>
      <c r="BL198" s="59"/>
      <c r="BM198" s="63"/>
      <c r="BN198" s="63"/>
      <c r="BO198" s="97" t="s">
        <v>458</v>
      </c>
      <c r="BP198" s="97" t="s">
        <v>502</v>
      </c>
      <c r="BQ198" s="75">
        <f>LEN(Tabelle32[[#This Row],[Label 1
GFX-Unit]])</f>
        <v>14</v>
      </c>
      <c r="BR198" s="63"/>
      <c r="BS198" s="63"/>
      <c r="BT198" s="59"/>
      <c r="BU198" s="59"/>
      <c r="BV198" s="59" t="s">
        <v>222</v>
      </c>
      <c r="BW198" s="59" t="s">
        <v>223</v>
      </c>
      <c r="BX198" s="59" t="s">
        <v>503</v>
      </c>
      <c r="BY198" s="59">
        <v>10</v>
      </c>
    </row>
    <row r="199" spans="1:77" x14ac:dyDescent="0.2">
      <c r="A199" s="58" t="str">
        <f>CONCATENATE(Tabelle32[[#This Row],[Device ID]],".",Tabelle32[[#This Row],[Streamcounter]])</f>
        <v>387.10204</v>
      </c>
      <c r="B19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VGW-103_SDI10_AUDrec_0004</v>
      </c>
      <c r="C199" s="60"/>
      <c r="D199" s="61"/>
      <c r="E199" s="62"/>
      <c r="F199" s="59" t="str">
        <f>IFERROR(VLOOKUP(Tabelle32[[#This Row],[Device ID]],BOM!$B$3:$BQ$35,16,FALSE),"")</f>
        <v>IngSRV-06</v>
      </c>
      <c r="G199" s="63">
        <f>VLOOKUP(Tabelle32[[#This Row],[SDI Interface]],BOM!$A$4:$B$35,2,FALSE)</f>
        <v>387</v>
      </c>
      <c r="H199" s="59" t="str">
        <f>BOM!$C$4</f>
        <v>VGW-103</v>
      </c>
      <c r="I199" s="59" t="str">
        <f>IFERROR(VLOOKUP(Tabelle32[[#This Row],[Device ID]],BOM!$B$3:$BQ$35,12,FALSE),"")</f>
        <v>Videoserver</v>
      </c>
      <c r="J199" s="59" t="str">
        <f>IFERROR(VLOOKUP(Tabelle32[[#This Row],[Device ID]],BOM!$B$3:$BQ$35,13,FALSE),"")</f>
        <v>TC.U1.223 | MDC</v>
      </c>
      <c r="K199" s="59" t="str">
        <f>IFERROR(VLOOKUP(Tabelle32[[#This Row],[Device ID]],BOM!$B$3:$BQ$35,14,FALSE),"")</f>
        <v>Imagine Comunications</v>
      </c>
      <c r="L199" s="59" t="str">
        <f>IFERROR(VLOOKUP(Tabelle32[[#This Row],[Device ID]],BOM!$B$3:$BQ$35,16,FALSE),"")</f>
        <v>IngSRV-06</v>
      </c>
      <c r="M199" s="63" t="str">
        <f>IFERROR(VLOOKUP(Tabelle32[[#This Row],[Device ID]],BOM!$B$3:$BQ$35,17,FALSE),"")</f>
        <v>M3H</v>
      </c>
      <c r="N199" s="59" t="str">
        <f>IFERROR(VLOOKUP(Tabelle32[[#This Row],[Device ID]],BOM!$B$3:$BQ$35,18,FALSE),"")</f>
        <v>TC.03.225 | M3H</v>
      </c>
      <c r="O199" s="64"/>
      <c r="P199" s="64">
        <f>IFERROR(VLOOKUP(Tabelle32[[#This Row],[Device ID]],BOM!$B$3:$BO$50,20,FALSE),"")</f>
        <v>0</v>
      </c>
      <c r="Q199" s="64">
        <f>IFERROR(VLOOKUP(Tabelle32[[#This Row],[Device ID]],BOM!$B$3:$BO$50,21,FALSE),"")</f>
        <v>1</v>
      </c>
      <c r="R199" s="64">
        <f>IFERROR(VLOOKUP(Tabelle32[[#This Row],[Device ID]],BOM!$B$3:$BO$50,22,FALSE),"")</f>
        <v>0</v>
      </c>
      <c r="S199" s="64"/>
      <c r="T199" s="64"/>
      <c r="U199" s="59" t="str">
        <f>IFERROR(VLOOKUP(Tabelle32[[#This Row],[Device ID]],BOM!$B$3:$BQ$35,25,FALSE),"")</f>
        <v>Luis/Ivo</v>
      </c>
      <c r="V199" s="59" t="str">
        <f>IFERROR(VLOOKUP(Tabelle32[[#This Row],[Device ID]],BOM!$B$3:$BQ$35,26,FALSE),"")</f>
        <v>tpco-megw-vgw103.rta.st-net.media.int</v>
      </c>
      <c r="W199" s="59" t="str">
        <f>IFERROR(VLOOKUP(Tabelle32[[#This Row],[Device ID]],BOM!$B$3:$BQ$35,27,FALSE),"")</f>
        <v>10.120.236.50</v>
      </c>
      <c r="X199" s="59" t="str">
        <f>IFERROR(VLOOKUP(Tabelle32[[#This Row],[Device ID]],BOM!$B$3:$BQ$35,28,FALSE),"")</f>
        <v>AVCoreA</v>
      </c>
      <c r="Y199" s="59" t="str">
        <f>IFERROR(VLOOKUP(Tabelle32[[#This Row],[Device ID]],BOM!$B$3:$BQ$35,29,FALSE),"")</f>
        <v>5_36_1</v>
      </c>
      <c r="Z199" s="59" t="str">
        <f>IFERROR(VLOOKUP(Tabelle32[[#This Row],[Device ID]],BOM!$B$3:$BQ$35,30,FALSE),"")</f>
        <v>tpco-megw-vgw103.rtb.st-net.media.int</v>
      </c>
      <c r="AA199" s="59" t="str">
        <f>IFERROR(VLOOKUP(Tabelle32[[#This Row],[Device ID]],BOM!$B$3:$BQ$35,31,FALSE),"")</f>
        <v>10.120.236.54</v>
      </c>
      <c r="AB199" s="59" t="str">
        <f>IFERROR(VLOOKUP(Tabelle32[[#This Row],[Device ID]],BOM!$B$3:$BQ$35,32,FALSE),"")</f>
        <v>AVCoreB</v>
      </c>
      <c r="AC199" s="59" t="str">
        <f>IFERROR(VLOOKUP(Tabelle32[[#This Row],[Device ID]],BOM!$B$3:$BQ$35,33,FALSE),"")</f>
        <v>5_36_1</v>
      </c>
      <c r="AD199" s="59" t="str">
        <f>IFERROR(VLOOKUP(Tabelle32[[#This Row],[Device ID]],BOM!$B$3:$BQ$35,34,FALSE),"")</f>
        <v>tpco-megw-vgw103.st-net.media.int</v>
      </c>
      <c r="AE199" s="59" t="str">
        <f>IFERROR(VLOOKUP(Tabelle32[[#This Row],[Device ID]],BOM!$B$3:$BQ$35,35,FALSE),"")</f>
        <v>10.120.67.141</v>
      </c>
      <c r="AF199" s="59">
        <f>IFERROR(VLOOKUP(Tabelle32[[#This Row],[Device ID]],BOM!$B$3:$BQ$35,36,FALSE),"")</f>
        <v>0</v>
      </c>
      <c r="AG199" s="59">
        <f>IFERROR(VLOOKUP(Tabelle32[[#This Row],[Device ID]],BOM!$B$3:$BQ$35,37,FALSE),"")</f>
        <v>0</v>
      </c>
      <c r="AH199" s="59"/>
      <c r="AI199" s="59"/>
      <c r="AJ199" s="59"/>
      <c r="AK199" s="59"/>
      <c r="AL199" s="59" t="str">
        <f>IFERROR(VLOOKUP(Tabelle32[[#This Row],[Device ID]],BOM!$B$3:$BQ$35,42,FALSE),"")</f>
        <v>Imagine Communications SNP</v>
      </c>
      <c r="AM199" s="59" t="str">
        <f>IFERROR(VLOOKUP(Tabelle32[[#This Row],[Device ID]],BOM!$B$3:$BQ$35,43,FALSE),"")</f>
        <v>no</v>
      </c>
      <c r="AN199" s="59" t="str">
        <f>IFERROR(VLOOKUP(Tabelle32[[#This Row],[Device ID]],BOM!$B$3:$BQ$35,44,FALSE),"")</f>
        <v>yes</v>
      </c>
      <c r="AO199" s="59" t="str">
        <f>IFERROR(VLOOKUP(Tabelle32[[#This Row],[Device ID]],BOM!$B$3:$BQ$35,45,FALSE),"")</f>
        <v>no</v>
      </c>
      <c r="AP199" s="59" t="str">
        <f>IFERROR(CONCATENATE(Tabelle32[[#This Row],[Family
GFX-Unit]]," | ",Tabelle32[[#This Row],[Label 1
GFX-Unit]]," | ",Tabelle32[[#This Row],[Attached Device if Gateway]]),"")</f>
        <v>M3H InCh REM | Ingest Ch22-04 | IngSRV-06</v>
      </c>
      <c r="AQ199" s="59"/>
      <c r="AR199" s="90"/>
      <c r="AS199" s="90"/>
      <c r="AT199" s="90"/>
      <c r="AU199" s="90"/>
      <c r="AV199" s="90"/>
      <c r="AW199" s="90" t="s">
        <v>97</v>
      </c>
      <c r="AX199" s="90"/>
      <c r="AY199" s="90"/>
      <c r="AZ199" s="90" t="s">
        <v>97</v>
      </c>
      <c r="BA199" s="90"/>
      <c r="BB199" s="90" t="s">
        <v>97</v>
      </c>
      <c r="BC199" s="90" t="s">
        <v>97</v>
      </c>
      <c r="BD199" s="90"/>
      <c r="BE199" s="90"/>
      <c r="BF199" s="90"/>
      <c r="BG199" s="90"/>
      <c r="BH199" s="73" t="s">
        <v>199</v>
      </c>
      <c r="BI199" s="30" t="str">
        <f>IF(COUNTA(Tabelle32[[#This Row],[Type:Vid_1080i50]:[Type:Anc_Prot]])&gt;0,"x","")</f>
        <v>x</v>
      </c>
      <c r="BJ19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199" s="59"/>
      <c r="BL199" s="59"/>
      <c r="BM199" s="63"/>
      <c r="BN199" s="63"/>
      <c r="BO199" s="97" t="s">
        <v>458</v>
      </c>
      <c r="BP199" s="97" t="s">
        <v>504</v>
      </c>
      <c r="BQ199" s="75">
        <f>LEN(Tabelle32[[#This Row],[Label 1
GFX-Unit]])</f>
        <v>14</v>
      </c>
      <c r="BR199" s="63"/>
      <c r="BS199" s="63"/>
      <c r="BT199" s="59"/>
      <c r="BU199" s="59"/>
      <c r="BV199" s="59" t="s">
        <v>226</v>
      </c>
      <c r="BW199" s="59" t="s">
        <v>227</v>
      </c>
      <c r="BX199" s="59" t="s">
        <v>505</v>
      </c>
      <c r="BY199" s="59">
        <v>10</v>
      </c>
    </row>
    <row r="200" spans="1:77" x14ac:dyDescent="0.2">
      <c r="A200" s="58" t="str">
        <f>CONCATENATE(Tabelle32[[#This Row],[Device ID]],".",Tabelle32[[#This Row],[Streamcounter]])</f>
        <v>387.10205</v>
      </c>
      <c r="B20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VGW-103_SDI10_AUDrec_0005</v>
      </c>
      <c r="C200" s="60"/>
      <c r="D200" s="61"/>
      <c r="E200" s="62"/>
      <c r="F200" s="59" t="str">
        <f>IFERROR(VLOOKUP(Tabelle32[[#This Row],[Device ID]],BOM!$B$3:$BQ$35,16,FALSE),"")</f>
        <v>IngSRV-06</v>
      </c>
      <c r="G200" s="63">
        <f>VLOOKUP(Tabelle32[[#This Row],[SDI Interface]],BOM!$A$4:$B$35,2,FALSE)</f>
        <v>387</v>
      </c>
      <c r="H200" s="59" t="str">
        <f>BOM!$C$4</f>
        <v>VGW-103</v>
      </c>
      <c r="I200" s="59" t="str">
        <f>IFERROR(VLOOKUP(Tabelle32[[#This Row],[Device ID]],BOM!$B$3:$BQ$35,12,FALSE),"")</f>
        <v>Videoserver</v>
      </c>
      <c r="J200" s="59" t="str">
        <f>IFERROR(VLOOKUP(Tabelle32[[#This Row],[Device ID]],BOM!$B$3:$BQ$35,13,FALSE),"")</f>
        <v>TC.U1.223 | MDC</v>
      </c>
      <c r="K200" s="59" t="str">
        <f>IFERROR(VLOOKUP(Tabelle32[[#This Row],[Device ID]],BOM!$B$3:$BQ$35,14,FALSE),"")</f>
        <v>Imagine Comunications</v>
      </c>
      <c r="L200" s="59" t="str">
        <f>IFERROR(VLOOKUP(Tabelle32[[#This Row],[Device ID]],BOM!$B$3:$BQ$35,16,FALSE),"")</f>
        <v>IngSRV-06</v>
      </c>
      <c r="M200" s="63" t="str">
        <f>IFERROR(VLOOKUP(Tabelle32[[#This Row],[Device ID]],BOM!$B$3:$BQ$35,17,FALSE),"")</f>
        <v>M3H</v>
      </c>
      <c r="N200" s="59" t="str">
        <f>IFERROR(VLOOKUP(Tabelle32[[#This Row],[Device ID]],BOM!$B$3:$BQ$35,18,FALSE),"")</f>
        <v>TC.03.225 | M3H</v>
      </c>
      <c r="O200" s="64"/>
      <c r="P200" s="64">
        <f>IFERROR(VLOOKUP(Tabelle32[[#This Row],[Device ID]],BOM!$B$3:$BO$50,20,FALSE),"")</f>
        <v>0</v>
      </c>
      <c r="Q200" s="64">
        <f>IFERROR(VLOOKUP(Tabelle32[[#This Row],[Device ID]],BOM!$B$3:$BO$50,21,FALSE),"")</f>
        <v>1</v>
      </c>
      <c r="R200" s="64">
        <f>IFERROR(VLOOKUP(Tabelle32[[#This Row],[Device ID]],BOM!$B$3:$BO$50,22,FALSE),"")</f>
        <v>0</v>
      </c>
      <c r="S200" s="64"/>
      <c r="T200" s="64"/>
      <c r="U200" s="59" t="str">
        <f>IFERROR(VLOOKUP(Tabelle32[[#This Row],[Device ID]],BOM!$B$3:$BQ$35,25,FALSE),"")</f>
        <v>Luis/Ivo</v>
      </c>
      <c r="V200" s="59" t="str">
        <f>IFERROR(VLOOKUP(Tabelle32[[#This Row],[Device ID]],BOM!$B$3:$BQ$35,26,FALSE),"")</f>
        <v>tpco-megw-vgw103.rta.st-net.media.int</v>
      </c>
      <c r="W200" s="59" t="str">
        <f>IFERROR(VLOOKUP(Tabelle32[[#This Row],[Device ID]],BOM!$B$3:$BQ$35,27,FALSE),"")</f>
        <v>10.120.236.50</v>
      </c>
      <c r="X200" s="59" t="str">
        <f>IFERROR(VLOOKUP(Tabelle32[[#This Row],[Device ID]],BOM!$B$3:$BQ$35,28,FALSE),"")</f>
        <v>AVCoreA</v>
      </c>
      <c r="Y200" s="59" t="str">
        <f>IFERROR(VLOOKUP(Tabelle32[[#This Row],[Device ID]],BOM!$B$3:$BQ$35,29,FALSE),"")</f>
        <v>5_36_1</v>
      </c>
      <c r="Z200" s="59" t="str">
        <f>IFERROR(VLOOKUP(Tabelle32[[#This Row],[Device ID]],BOM!$B$3:$BQ$35,30,FALSE),"")</f>
        <v>tpco-megw-vgw103.rtb.st-net.media.int</v>
      </c>
      <c r="AA200" s="59" t="str">
        <f>IFERROR(VLOOKUP(Tabelle32[[#This Row],[Device ID]],BOM!$B$3:$BQ$35,31,FALSE),"")</f>
        <v>10.120.236.54</v>
      </c>
      <c r="AB200" s="59" t="str">
        <f>IFERROR(VLOOKUP(Tabelle32[[#This Row],[Device ID]],BOM!$B$3:$BQ$35,32,FALSE),"")</f>
        <v>AVCoreB</v>
      </c>
      <c r="AC200" s="59" t="str">
        <f>IFERROR(VLOOKUP(Tabelle32[[#This Row],[Device ID]],BOM!$B$3:$BQ$35,33,FALSE),"")</f>
        <v>5_36_1</v>
      </c>
      <c r="AD200" s="59" t="str">
        <f>IFERROR(VLOOKUP(Tabelle32[[#This Row],[Device ID]],BOM!$B$3:$BQ$35,34,FALSE),"")</f>
        <v>tpco-megw-vgw103.st-net.media.int</v>
      </c>
      <c r="AE200" s="59" t="str">
        <f>IFERROR(VLOOKUP(Tabelle32[[#This Row],[Device ID]],BOM!$B$3:$BQ$35,35,FALSE),"")</f>
        <v>10.120.67.141</v>
      </c>
      <c r="AF200" s="59">
        <f>IFERROR(VLOOKUP(Tabelle32[[#This Row],[Device ID]],BOM!$B$3:$BQ$35,36,FALSE),"")</f>
        <v>0</v>
      </c>
      <c r="AG200" s="59">
        <f>IFERROR(VLOOKUP(Tabelle32[[#This Row],[Device ID]],BOM!$B$3:$BQ$35,37,FALSE),"")</f>
        <v>0</v>
      </c>
      <c r="AH200" s="59"/>
      <c r="AI200" s="59"/>
      <c r="AJ200" s="59"/>
      <c r="AK200" s="59"/>
      <c r="AL200" s="59" t="str">
        <f>IFERROR(VLOOKUP(Tabelle32[[#This Row],[Device ID]],BOM!$B$3:$BQ$35,42,FALSE),"")</f>
        <v>Imagine Communications SNP</v>
      </c>
      <c r="AM200" s="59" t="str">
        <f>IFERROR(VLOOKUP(Tabelle32[[#This Row],[Device ID]],BOM!$B$3:$BQ$35,43,FALSE),"")</f>
        <v>no</v>
      </c>
      <c r="AN200" s="59" t="str">
        <f>IFERROR(VLOOKUP(Tabelle32[[#This Row],[Device ID]],BOM!$B$3:$BQ$35,44,FALSE),"")</f>
        <v>yes</v>
      </c>
      <c r="AO200" s="59" t="str">
        <f>IFERROR(VLOOKUP(Tabelle32[[#This Row],[Device ID]],BOM!$B$3:$BQ$35,45,FALSE),"")</f>
        <v>no</v>
      </c>
      <c r="AP200" s="59" t="str">
        <f>IFERROR(CONCATENATE(Tabelle32[[#This Row],[Family
GFX-Unit]]," | ",Tabelle32[[#This Row],[Label 1
GFX-Unit]]," | ",Tabelle32[[#This Row],[Attached Device if Gateway]]),"")</f>
        <v>M3H InCh REM | Ingest Ch22-05 | IngSRV-06</v>
      </c>
      <c r="AQ200" s="59"/>
      <c r="AR200" s="90"/>
      <c r="AS200" s="90"/>
      <c r="AT200" s="90"/>
      <c r="AU200" s="90"/>
      <c r="AV200" s="90"/>
      <c r="AW200" s="90" t="s">
        <v>97</v>
      </c>
      <c r="AX200" s="90"/>
      <c r="AY200" s="90"/>
      <c r="AZ200" s="90" t="s">
        <v>97</v>
      </c>
      <c r="BA200" s="90"/>
      <c r="BB200" s="90" t="s">
        <v>97</v>
      </c>
      <c r="BC200" s="90" t="s">
        <v>97</v>
      </c>
      <c r="BD200" s="90"/>
      <c r="BE200" s="90"/>
      <c r="BF200" s="90"/>
      <c r="BG200" s="90"/>
      <c r="BH200" s="73" t="s">
        <v>199</v>
      </c>
      <c r="BI200" s="30" t="str">
        <f>IF(COUNTA(Tabelle32[[#This Row],[Type:Vid_1080i50]:[Type:Anc_Prot]])&gt;0,"x","")</f>
        <v>x</v>
      </c>
      <c r="BJ20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00" s="59"/>
      <c r="BL200" s="59"/>
      <c r="BM200" s="63"/>
      <c r="BN200" s="63"/>
      <c r="BO200" s="97" t="s">
        <v>458</v>
      </c>
      <c r="BP200" s="97" t="s">
        <v>506</v>
      </c>
      <c r="BQ200" s="75">
        <f>LEN(Tabelle32[[#This Row],[Label 1
GFX-Unit]])</f>
        <v>14</v>
      </c>
      <c r="BR200" s="63"/>
      <c r="BS200" s="63"/>
      <c r="BT200" s="59"/>
      <c r="BU200" s="59"/>
      <c r="BV200" s="59" t="s">
        <v>230</v>
      </c>
      <c r="BW200" s="59" t="s">
        <v>231</v>
      </c>
      <c r="BX200" s="59" t="s">
        <v>507</v>
      </c>
      <c r="BY200" s="59">
        <v>10</v>
      </c>
    </row>
    <row r="201" spans="1:77" x14ac:dyDescent="0.2">
      <c r="A201" s="58" t="str">
        <f>CONCATENATE(Tabelle32[[#This Row],[Device ID]],".",Tabelle32[[#This Row],[Streamcounter]])</f>
        <v>387.10206</v>
      </c>
      <c r="B20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VGW-103_SDI10_AUDrec_0006</v>
      </c>
      <c r="C201" s="60"/>
      <c r="D201" s="61"/>
      <c r="E201" s="62"/>
      <c r="F201" s="59" t="str">
        <f>IFERROR(VLOOKUP(Tabelle32[[#This Row],[Device ID]],BOM!$B$3:$BQ$35,16,FALSE),"")</f>
        <v>IngSRV-06</v>
      </c>
      <c r="G201" s="63">
        <f>VLOOKUP(Tabelle32[[#This Row],[SDI Interface]],BOM!$A$4:$B$35,2,FALSE)</f>
        <v>387</v>
      </c>
      <c r="H201" s="59" t="str">
        <f>BOM!$C$4</f>
        <v>VGW-103</v>
      </c>
      <c r="I201" s="59" t="str">
        <f>IFERROR(VLOOKUP(Tabelle32[[#This Row],[Device ID]],BOM!$B$3:$BQ$35,12,FALSE),"")</f>
        <v>Videoserver</v>
      </c>
      <c r="J201" s="59" t="str">
        <f>IFERROR(VLOOKUP(Tabelle32[[#This Row],[Device ID]],BOM!$B$3:$BQ$35,13,FALSE),"")</f>
        <v>TC.U1.223 | MDC</v>
      </c>
      <c r="K201" s="59" t="str">
        <f>IFERROR(VLOOKUP(Tabelle32[[#This Row],[Device ID]],BOM!$B$3:$BQ$35,14,FALSE),"")</f>
        <v>Imagine Comunications</v>
      </c>
      <c r="L201" s="59" t="str">
        <f>IFERROR(VLOOKUP(Tabelle32[[#This Row],[Device ID]],BOM!$B$3:$BQ$35,16,FALSE),"")</f>
        <v>IngSRV-06</v>
      </c>
      <c r="M201" s="63" t="str">
        <f>IFERROR(VLOOKUP(Tabelle32[[#This Row],[Device ID]],BOM!$B$3:$BQ$35,17,FALSE),"")</f>
        <v>M3H</v>
      </c>
      <c r="N201" s="59" t="str">
        <f>IFERROR(VLOOKUP(Tabelle32[[#This Row],[Device ID]],BOM!$B$3:$BQ$35,18,FALSE),"")</f>
        <v>TC.03.225 | M3H</v>
      </c>
      <c r="O201" s="64"/>
      <c r="P201" s="64">
        <f>IFERROR(VLOOKUP(Tabelle32[[#This Row],[Device ID]],BOM!$B$3:$BO$50,20,FALSE),"")</f>
        <v>0</v>
      </c>
      <c r="Q201" s="64">
        <f>IFERROR(VLOOKUP(Tabelle32[[#This Row],[Device ID]],BOM!$B$3:$BO$50,21,FALSE),"")</f>
        <v>1</v>
      </c>
      <c r="R201" s="64">
        <f>IFERROR(VLOOKUP(Tabelle32[[#This Row],[Device ID]],BOM!$B$3:$BO$50,22,FALSE),"")</f>
        <v>0</v>
      </c>
      <c r="S201" s="64"/>
      <c r="T201" s="64"/>
      <c r="U201" s="59" t="str">
        <f>IFERROR(VLOOKUP(Tabelle32[[#This Row],[Device ID]],BOM!$B$3:$BQ$35,25,FALSE),"")</f>
        <v>Luis/Ivo</v>
      </c>
      <c r="V201" s="59" t="str">
        <f>IFERROR(VLOOKUP(Tabelle32[[#This Row],[Device ID]],BOM!$B$3:$BQ$35,26,FALSE),"")</f>
        <v>tpco-megw-vgw103.rta.st-net.media.int</v>
      </c>
      <c r="W201" s="59" t="str">
        <f>IFERROR(VLOOKUP(Tabelle32[[#This Row],[Device ID]],BOM!$B$3:$BQ$35,27,FALSE),"")</f>
        <v>10.120.236.50</v>
      </c>
      <c r="X201" s="59" t="str">
        <f>IFERROR(VLOOKUP(Tabelle32[[#This Row],[Device ID]],BOM!$B$3:$BQ$35,28,FALSE),"")</f>
        <v>AVCoreA</v>
      </c>
      <c r="Y201" s="59" t="str">
        <f>IFERROR(VLOOKUP(Tabelle32[[#This Row],[Device ID]],BOM!$B$3:$BQ$35,29,FALSE),"")</f>
        <v>5_36_1</v>
      </c>
      <c r="Z201" s="59" t="str">
        <f>IFERROR(VLOOKUP(Tabelle32[[#This Row],[Device ID]],BOM!$B$3:$BQ$35,30,FALSE),"")</f>
        <v>tpco-megw-vgw103.rtb.st-net.media.int</v>
      </c>
      <c r="AA201" s="59" t="str">
        <f>IFERROR(VLOOKUP(Tabelle32[[#This Row],[Device ID]],BOM!$B$3:$BQ$35,31,FALSE),"")</f>
        <v>10.120.236.54</v>
      </c>
      <c r="AB201" s="59" t="str">
        <f>IFERROR(VLOOKUP(Tabelle32[[#This Row],[Device ID]],BOM!$B$3:$BQ$35,32,FALSE),"")</f>
        <v>AVCoreB</v>
      </c>
      <c r="AC201" s="59" t="str">
        <f>IFERROR(VLOOKUP(Tabelle32[[#This Row],[Device ID]],BOM!$B$3:$BQ$35,33,FALSE),"")</f>
        <v>5_36_1</v>
      </c>
      <c r="AD201" s="59" t="str">
        <f>IFERROR(VLOOKUP(Tabelle32[[#This Row],[Device ID]],BOM!$B$3:$BQ$35,34,FALSE),"")</f>
        <v>tpco-megw-vgw103.st-net.media.int</v>
      </c>
      <c r="AE201" s="59" t="str">
        <f>IFERROR(VLOOKUP(Tabelle32[[#This Row],[Device ID]],BOM!$B$3:$BQ$35,35,FALSE),"")</f>
        <v>10.120.67.141</v>
      </c>
      <c r="AF201" s="59">
        <f>IFERROR(VLOOKUP(Tabelle32[[#This Row],[Device ID]],BOM!$B$3:$BQ$35,36,FALSE),"")</f>
        <v>0</v>
      </c>
      <c r="AG201" s="59">
        <f>IFERROR(VLOOKUP(Tabelle32[[#This Row],[Device ID]],BOM!$B$3:$BQ$35,37,FALSE),"")</f>
        <v>0</v>
      </c>
      <c r="AH201" s="59"/>
      <c r="AI201" s="59"/>
      <c r="AJ201" s="59"/>
      <c r="AK201" s="59"/>
      <c r="AL201" s="59" t="str">
        <f>IFERROR(VLOOKUP(Tabelle32[[#This Row],[Device ID]],BOM!$B$3:$BQ$35,42,FALSE),"")</f>
        <v>Imagine Communications SNP</v>
      </c>
      <c r="AM201" s="59" t="str">
        <f>IFERROR(VLOOKUP(Tabelle32[[#This Row],[Device ID]],BOM!$B$3:$BQ$35,43,FALSE),"")</f>
        <v>no</v>
      </c>
      <c r="AN201" s="59" t="str">
        <f>IFERROR(VLOOKUP(Tabelle32[[#This Row],[Device ID]],BOM!$B$3:$BQ$35,44,FALSE),"")</f>
        <v>yes</v>
      </c>
      <c r="AO201" s="59" t="str">
        <f>IFERROR(VLOOKUP(Tabelle32[[#This Row],[Device ID]],BOM!$B$3:$BQ$35,45,FALSE),"")</f>
        <v>no</v>
      </c>
      <c r="AP201" s="59" t="str">
        <f>IFERROR(CONCATENATE(Tabelle32[[#This Row],[Family
GFX-Unit]]," | ",Tabelle32[[#This Row],[Label 1
GFX-Unit]]," | ",Tabelle32[[#This Row],[Attached Device if Gateway]]),"")</f>
        <v>M3H InCh REM | Ingest Ch22-06 | IngSRV-06</v>
      </c>
      <c r="AQ201" s="59"/>
      <c r="AR201" s="90"/>
      <c r="AS201" s="90"/>
      <c r="AT201" s="90"/>
      <c r="AU201" s="90"/>
      <c r="AV201" s="90"/>
      <c r="AW201" s="90" t="s">
        <v>97</v>
      </c>
      <c r="AX201" s="90"/>
      <c r="AY201" s="90"/>
      <c r="AZ201" s="90" t="s">
        <v>97</v>
      </c>
      <c r="BA201" s="90"/>
      <c r="BB201" s="90" t="s">
        <v>97</v>
      </c>
      <c r="BC201" s="90" t="s">
        <v>97</v>
      </c>
      <c r="BD201" s="90"/>
      <c r="BE201" s="90"/>
      <c r="BF201" s="90"/>
      <c r="BG201" s="90"/>
      <c r="BH201" s="73" t="s">
        <v>199</v>
      </c>
      <c r="BI201" s="30" t="str">
        <f>IF(COUNTA(Tabelle32[[#This Row],[Type:Vid_1080i50]:[Type:Anc_Prot]])&gt;0,"x","")</f>
        <v>x</v>
      </c>
      <c r="BJ20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01" s="59"/>
      <c r="BL201" s="59"/>
      <c r="BM201" s="63"/>
      <c r="BN201" s="63"/>
      <c r="BO201" s="97" t="s">
        <v>458</v>
      </c>
      <c r="BP201" s="97" t="s">
        <v>508</v>
      </c>
      <c r="BQ201" s="75">
        <f>LEN(Tabelle32[[#This Row],[Label 1
GFX-Unit]])</f>
        <v>14</v>
      </c>
      <c r="BR201" s="63"/>
      <c r="BS201" s="63"/>
      <c r="BT201" s="59"/>
      <c r="BU201" s="59"/>
      <c r="BV201" s="59" t="s">
        <v>234</v>
      </c>
      <c r="BW201" s="59" t="s">
        <v>235</v>
      </c>
      <c r="BX201" s="59" t="s">
        <v>509</v>
      </c>
      <c r="BY201" s="59">
        <v>10</v>
      </c>
    </row>
    <row r="202" spans="1:77" x14ac:dyDescent="0.2">
      <c r="A202" s="58" t="str">
        <f>CONCATENATE(Tabelle32[[#This Row],[Device ID]],".",Tabelle32[[#This Row],[Streamcounter]])</f>
        <v>387.10207</v>
      </c>
      <c r="B20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VGW-103_SDI10_AUDrec_0007</v>
      </c>
      <c r="C202" s="60"/>
      <c r="D202" s="61"/>
      <c r="E202" s="62"/>
      <c r="F202" s="59" t="str">
        <f>IFERROR(VLOOKUP(Tabelle32[[#This Row],[Device ID]],BOM!$B$3:$BQ$35,16,FALSE),"")</f>
        <v>IngSRV-06</v>
      </c>
      <c r="G202" s="63">
        <f>VLOOKUP(Tabelle32[[#This Row],[SDI Interface]],BOM!$A$4:$B$35,2,FALSE)</f>
        <v>387</v>
      </c>
      <c r="H202" s="59" t="str">
        <f>BOM!$C$4</f>
        <v>VGW-103</v>
      </c>
      <c r="I202" s="59" t="str">
        <f>IFERROR(VLOOKUP(Tabelle32[[#This Row],[Device ID]],BOM!$B$3:$BQ$35,12,FALSE),"")</f>
        <v>Videoserver</v>
      </c>
      <c r="J202" s="59" t="str">
        <f>IFERROR(VLOOKUP(Tabelle32[[#This Row],[Device ID]],BOM!$B$3:$BQ$35,13,FALSE),"")</f>
        <v>TC.U1.223 | MDC</v>
      </c>
      <c r="K202" s="59" t="str">
        <f>IFERROR(VLOOKUP(Tabelle32[[#This Row],[Device ID]],BOM!$B$3:$BQ$35,14,FALSE),"")</f>
        <v>Imagine Comunications</v>
      </c>
      <c r="L202" s="59" t="str">
        <f>IFERROR(VLOOKUP(Tabelle32[[#This Row],[Device ID]],BOM!$B$3:$BQ$35,16,FALSE),"")</f>
        <v>IngSRV-06</v>
      </c>
      <c r="M202" s="63" t="str">
        <f>IFERROR(VLOOKUP(Tabelle32[[#This Row],[Device ID]],BOM!$B$3:$BQ$35,17,FALSE),"")</f>
        <v>M3H</v>
      </c>
      <c r="N202" s="59" t="str">
        <f>IFERROR(VLOOKUP(Tabelle32[[#This Row],[Device ID]],BOM!$B$3:$BQ$35,18,FALSE),"")</f>
        <v>TC.03.225 | M3H</v>
      </c>
      <c r="O202" s="64"/>
      <c r="P202" s="64">
        <f>IFERROR(VLOOKUP(Tabelle32[[#This Row],[Device ID]],BOM!$B$3:$BO$50,20,FALSE),"")</f>
        <v>0</v>
      </c>
      <c r="Q202" s="64">
        <f>IFERROR(VLOOKUP(Tabelle32[[#This Row],[Device ID]],BOM!$B$3:$BO$50,21,FALSE),"")</f>
        <v>1</v>
      </c>
      <c r="R202" s="64">
        <f>IFERROR(VLOOKUP(Tabelle32[[#This Row],[Device ID]],BOM!$B$3:$BO$50,22,FALSE),"")</f>
        <v>0</v>
      </c>
      <c r="S202" s="64"/>
      <c r="T202" s="64"/>
      <c r="U202" s="59" t="str">
        <f>IFERROR(VLOOKUP(Tabelle32[[#This Row],[Device ID]],BOM!$B$3:$BQ$35,25,FALSE),"")</f>
        <v>Luis/Ivo</v>
      </c>
      <c r="V202" s="59" t="str">
        <f>IFERROR(VLOOKUP(Tabelle32[[#This Row],[Device ID]],BOM!$B$3:$BQ$35,26,FALSE),"")</f>
        <v>tpco-megw-vgw103.rta.st-net.media.int</v>
      </c>
      <c r="W202" s="59" t="str">
        <f>IFERROR(VLOOKUP(Tabelle32[[#This Row],[Device ID]],BOM!$B$3:$BQ$35,27,FALSE),"")</f>
        <v>10.120.236.50</v>
      </c>
      <c r="X202" s="59" t="str">
        <f>IFERROR(VLOOKUP(Tabelle32[[#This Row],[Device ID]],BOM!$B$3:$BQ$35,28,FALSE),"")</f>
        <v>AVCoreA</v>
      </c>
      <c r="Y202" s="59" t="str">
        <f>IFERROR(VLOOKUP(Tabelle32[[#This Row],[Device ID]],BOM!$B$3:$BQ$35,29,FALSE),"")</f>
        <v>5_36_1</v>
      </c>
      <c r="Z202" s="59" t="str">
        <f>IFERROR(VLOOKUP(Tabelle32[[#This Row],[Device ID]],BOM!$B$3:$BQ$35,30,FALSE),"")</f>
        <v>tpco-megw-vgw103.rtb.st-net.media.int</v>
      </c>
      <c r="AA202" s="59" t="str">
        <f>IFERROR(VLOOKUP(Tabelle32[[#This Row],[Device ID]],BOM!$B$3:$BQ$35,31,FALSE),"")</f>
        <v>10.120.236.54</v>
      </c>
      <c r="AB202" s="59" t="str">
        <f>IFERROR(VLOOKUP(Tabelle32[[#This Row],[Device ID]],BOM!$B$3:$BQ$35,32,FALSE),"")</f>
        <v>AVCoreB</v>
      </c>
      <c r="AC202" s="59" t="str">
        <f>IFERROR(VLOOKUP(Tabelle32[[#This Row],[Device ID]],BOM!$B$3:$BQ$35,33,FALSE),"")</f>
        <v>5_36_1</v>
      </c>
      <c r="AD202" s="59" t="str">
        <f>IFERROR(VLOOKUP(Tabelle32[[#This Row],[Device ID]],BOM!$B$3:$BQ$35,34,FALSE),"")</f>
        <v>tpco-megw-vgw103.st-net.media.int</v>
      </c>
      <c r="AE202" s="59" t="str">
        <f>IFERROR(VLOOKUP(Tabelle32[[#This Row],[Device ID]],BOM!$B$3:$BQ$35,35,FALSE),"")</f>
        <v>10.120.67.141</v>
      </c>
      <c r="AF202" s="59">
        <f>IFERROR(VLOOKUP(Tabelle32[[#This Row],[Device ID]],BOM!$B$3:$BQ$35,36,FALSE),"")</f>
        <v>0</v>
      </c>
      <c r="AG202" s="59">
        <f>IFERROR(VLOOKUP(Tabelle32[[#This Row],[Device ID]],BOM!$B$3:$BQ$35,37,FALSE),"")</f>
        <v>0</v>
      </c>
      <c r="AH202" s="59"/>
      <c r="AI202" s="59"/>
      <c r="AJ202" s="59"/>
      <c r="AK202" s="59"/>
      <c r="AL202" s="59" t="str">
        <f>IFERROR(VLOOKUP(Tabelle32[[#This Row],[Device ID]],BOM!$B$3:$BQ$35,42,FALSE),"")</f>
        <v>Imagine Communications SNP</v>
      </c>
      <c r="AM202" s="59" t="str">
        <f>IFERROR(VLOOKUP(Tabelle32[[#This Row],[Device ID]],BOM!$B$3:$BQ$35,43,FALSE),"")</f>
        <v>no</v>
      </c>
      <c r="AN202" s="59" t="str">
        <f>IFERROR(VLOOKUP(Tabelle32[[#This Row],[Device ID]],BOM!$B$3:$BQ$35,44,FALSE),"")</f>
        <v>yes</v>
      </c>
      <c r="AO202" s="59" t="str">
        <f>IFERROR(VLOOKUP(Tabelle32[[#This Row],[Device ID]],BOM!$B$3:$BQ$35,45,FALSE),"")</f>
        <v>no</v>
      </c>
      <c r="AP202" s="59" t="str">
        <f>IFERROR(CONCATENATE(Tabelle32[[#This Row],[Family
GFX-Unit]]," | ",Tabelle32[[#This Row],[Label 1
GFX-Unit]]," | ",Tabelle32[[#This Row],[Attached Device if Gateway]]),"")</f>
        <v>M3H InCh REM | Ingest Ch22-07 | IngSRV-06</v>
      </c>
      <c r="AQ202" s="59"/>
      <c r="AR202" s="90"/>
      <c r="AS202" s="90"/>
      <c r="AT202" s="90"/>
      <c r="AU202" s="90"/>
      <c r="AV202" s="90"/>
      <c r="AW202" s="90" t="s">
        <v>97</v>
      </c>
      <c r="AX202" s="90"/>
      <c r="AY202" s="90"/>
      <c r="AZ202" s="90" t="s">
        <v>97</v>
      </c>
      <c r="BA202" s="90"/>
      <c r="BB202" s="90" t="s">
        <v>97</v>
      </c>
      <c r="BC202" s="90" t="s">
        <v>97</v>
      </c>
      <c r="BD202" s="90"/>
      <c r="BE202" s="90"/>
      <c r="BF202" s="90"/>
      <c r="BG202" s="90"/>
      <c r="BH202" s="73" t="s">
        <v>199</v>
      </c>
      <c r="BI202" s="30" t="str">
        <f>IF(COUNTA(Tabelle32[[#This Row],[Type:Vid_1080i50]:[Type:Anc_Prot]])&gt;0,"x","")</f>
        <v>x</v>
      </c>
      <c r="BJ20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02" s="59"/>
      <c r="BL202" s="59"/>
      <c r="BM202" s="63"/>
      <c r="BN202" s="63"/>
      <c r="BO202" s="97" t="s">
        <v>458</v>
      </c>
      <c r="BP202" s="97" t="s">
        <v>510</v>
      </c>
      <c r="BQ202" s="75">
        <f>LEN(Tabelle32[[#This Row],[Label 1
GFX-Unit]])</f>
        <v>14</v>
      </c>
      <c r="BR202" s="63"/>
      <c r="BS202" s="63"/>
      <c r="BT202" s="59"/>
      <c r="BU202" s="59"/>
      <c r="BV202" s="59" t="s">
        <v>238</v>
      </c>
      <c r="BW202" s="59" t="s">
        <v>239</v>
      </c>
      <c r="BX202" s="59" t="s">
        <v>511</v>
      </c>
      <c r="BY202" s="59">
        <v>10</v>
      </c>
    </row>
    <row r="203" spans="1:77" x14ac:dyDescent="0.2">
      <c r="A203" s="58" t="str">
        <f>CONCATENATE(Tabelle32[[#This Row],[Device ID]],".",Tabelle32[[#This Row],[Streamcounter]])</f>
        <v>387.10208</v>
      </c>
      <c r="B20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VGW-103_SDI10_AUDrec_0008</v>
      </c>
      <c r="C203" s="60"/>
      <c r="D203" s="61"/>
      <c r="E203" s="62"/>
      <c r="F203" s="59" t="str">
        <f>IFERROR(VLOOKUP(Tabelle32[[#This Row],[Device ID]],BOM!$B$3:$BQ$35,16,FALSE),"")</f>
        <v>IngSRV-06</v>
      </c>
      <c r="G203" s="63">
        <f>VLOOKUP(Tabelle32[[#This Row],[SDI Interface]],BOM!$A$4:$B$35,2,FALSE)</f>
        <v>387</v>
      </c>
      <c r="H203" s="59" t="str">
        <f>BOM!$C$4</f>
        <v>VGW-103</v>
      </c>
      <c r="I203" s="59" t="str">
        <f>IFERROR(VLOOKUP(Tabelle32[[#This Row],[Device ID]],BOM!$B$3:$BQ$35,12,FALSE),"")</f>
        <v>Videoserver</v>
      </c>
      <c r="J203" s="59" t="str">
        <f>IFERROR(VLOOKUP(Tabelle32[[#This Row],[Device ID]],BOM!$B$3:$BQ$35,13,FALSE),"")</f>
        <v>TC.U1.223 | MDC</v>
      </c>
      <c r="K203" s="59" t="str">
        <f>IFERROR(VLOOKUP(Tabelle32[[#This Row],[Device ID]],BOM!$B$3:$BQ$35,14,FALSE),"")</f>
        <v>Imagine Comunications</v>
      </c>
      <c r="L203" s="59" t="str">
        <f>IFERROR(VLOOKUP(Tabelle32[[#This Row],[Device ID]],BOM!$B$3:$BQ$35,16,FALSE),"")</f>
        <v>IngSRV-06</v>
      </c>
      <c r="M203" s="63" t="str">
        <f>IFERROR(VLOOKUP(Tabelle32[[#This Row],[Device ID]],BOM!$B$3:$BQ$35,17,FALSE),"")</f>
        <v>M3H</v>
      </c>
      <c r="N203" s="59" t="str">
        <f>IFERROR(VLOOKUP(Tabelle32[[#This Row],[Device ID]],BOM!$B$3:$BQ$35,18,FALSE),"")</f>
        <v>TC.03.225 | M3H</v>
      </c>
      <c r="O203" s="64"/>
      <c r="P203" s="64">
        <f>IFERROR(VLOOKUP(Tabelle32[[#This Row],[Device ID]],BOM!$B$3:$BO$50,20,FALSE),"")</f>
        <v>0</v>
      </c>
      <c r="Q203" s="64">
        <f>IFERROR(VLOOKUP(Tabelle32[[#This Row],[Device ID]],BOM!$B$3:$BO$50,21,FALSE),"")</f>
        <v>1</v>
      </c>
      <c r="R203" s="64">
        <f>IFERROR(VLOOKUP(Tabelle32[[#This Row],[Device ID]],BOM!$B$3:$BO$50,22,FALSE),"")</f>
        <v>0</v>
      </c>
      <c r="S203" s="64"/>
      <c r="T203" s="64"/>
      <c r="U203" s="59" t="str">
        <f>IFERROR(VLOOKUP(Tabelle32[[#This Row],[Device ID]],BOM!$B$3:$BQ$35,25,FALSE),"")</f>
        <v>Luis/Ivo</v>
      </c>
      <c r="V203" s="59" t="str">
        <f>IFERROR(VLOOKUP(Tabelle32[[#This Row],[Device ID]],BOM!$B$3:$BQ$35,26,FALSE),"")</f>
        <v>tpco-megw-vgw103.rta.st-net.media.int</v>
      </c>
      <c r="W203" s="59" t="str">
        <f>IFERROR(VLOOKUP(Tabelle32[[#This Row],[Device ID]],BOM!$B$3:$BQ$35,27,FALSE),"")</f>
        <v>10.120.236.50</v>
      </c>
      <c r="X203" s="59" t="str">
        <f>IFERROR(VLOOKUP(Tabelle32[[#This Row],[Device ID]],BOM!$B$3:$BQ$35,28,FALSE),"")</f>
        <v>AVCoreA</v>
      </c>
      <c r="Y203" s="59" t="str">
        <f>IFERROR(VLOOKUP(Tabelle32[[#This Row],[Device ID]],BOM!$B$3:$BQ$35,29,FALSE),"")</f>
        <v>5_36_1</v>
      </c>
      <c r="Z203" s="59" t="str">
        <f>IFERROR(VLOOKUP(Tabelle32[[#This Row],[Device ID]],BOM!$B$3:$BQ$35,30,FALSE),"")</f>
        <v>tpco-megw-vgw103.rtb.st-net.media.int</v>
      </c>
      <c r="AA203" s="59" t="str">
        <f>IFERROR(VLOOKUP(Tabelle32[[#This Row],[Device ID]],BOM!$B$3:$BQ$35,31,FALSE),"")</f>
        <v>10.120.236.54</v>
      </c>
      <c r="AB203" s="59" t="str">
        <f>IFERROR(VLOOKUP(Tabelle32[[#This Row],[Device ID]],BOM!$B$3:$BQ$35,32,FALSE),"")</f>
        <v>AVCoreB</v>
      </c>
      <c r="AC203" s="59" t="str">
        <f>IFERROR(VLOOKUP(Tabelle32[[#This Row],[Device ID]],BOM!$B$3:$BQ$35,33,FALSE),"")</f>
        <v>5_36_1</v>
      </c>
      <c r="AD203" s="59" t="str">
        <f>IFERROR(VLOOKUP(Tabelle32[[#This Row],[Device ID]],BOM!$B$3:$BQ$35,34,FALSE),"")</f>
        <v>tpco-megw-vgw103.st-net.media.int</v>
      </c>
      <c r="AE203" s="59" t="str">
        <f>IFERROR(VLOOKUP(Tabelle32[[#This Row],[Device ID]],BOM!$B$3:$BQ$35,35,FALSE),"")</f>
        <v>10.120.67.141</v>
      </c>
      <c r="AF203" s="59">
        <f>IFERROR(VLOOKUP(Tabelle32[[#This Row],[Device ID]],BOM!$B$3:$BQ$35,36,FALSE),"")</f>
        <v>0</v>
      </c>
      <c r="AG203" s="59">
        <f>IFERROR(VLOOKUP(Tabelle32[[#This Row],[Device ID]],BOM!$B$3:$BQ$35,37,FALSE),"")</f>
        <v>0</v>
      </c>
      <c r="AH203" s="59"/>
      <c r="AI203" s="59"/>
      <c r="AJ203" s="59"/>
      <c r="AK203" s="59"/>
      <c r="AL203" s="59" t="str">
        <f>IFERROR(VLOOKUP(Tabelle32[[#This Row],[Device ID]],BOM!$B$3:$BQ$35,42,FALSE),"")</f>
        <v>Imagine Communications SNP</v>
      </c>
      <c r="AM203" s="59" t="str">
        <f>IFERROR(VLOOKUP(Tabelle32[[#This Row],[Device ID]],BOM!$B$3:$BQ$35,43,FALSE),"")</f>
        <v>no</v>
      </c>
      <c r="AN203" s="59" t="str">
        <f>IFERROR(VLOOKUP(Tabelle32[[#This Row],[Device ID]],BOM!$B$3:$BQ$35,44,FALSE),"")</f>
        <v>yes</v>
      </c>
      <c r="AO203" s="59" t="str">
        <f>IFERROR(VLOOKUP(Tabelle32[[#This Row],[Device ID]],BOM!$B$3:$BQ$35,45,FALSE),"")</f>
        <v>no</v>
      </c>
      <c r="AP203" s="59" t="str">
        <f>IFERROR(CONCATENATE(Tabelle32[[#This Row],[Family
GFX-Unit]]," | ",Tabelle32[[#This Row],[Label 1
GFX-Unit]]," | ",Tabelle32[[#This Row],[Attached Device if Gateway]]),"")</f>
        <v>M3H InCh REM | Ingest Ch22-08 | IngSRV-06</v>
      </c>
      <c r="AQ203" s="59"/>
      <c r="AR203" s="90"/>
      <c r="AS203" s="90"/>
      <c r="AT203" s="90"/>
      <c r="AU203" s="90"/>
      <c r="AV203" s="90"/>
      <c r="AW203" s="90" t="s">
        <v>97</v>
      </c>
      <c r="AX203" s="90"/>
      <c r="AY203" s="90"/>
      <c r="AZ203" s="90" t="s">
        <v>97</v>
      </c>
      <c r="BA203" s="90"/>
      <c r="BB203" s="90" t="s">
        <v>97</v>
      </c>
      <c r="BC203" s="90" t="s">
        <v>97</v>
      </c>
      <c r="BD203" s="90"/>
      <c r="BE203" s="90"/>
      <c r="BF203" s="90"/>
      <c r="BG203" s="90"/>
      <c r="BH203" s="73" t="s">
        <v>199</v>
      </c>
      <c r="BI203" s="30" t="str">
        <f>IF(COUNTA(Tabelle32[[#This Row],[Type:Vid_1080i50]:[Type:Anc_Prot]])&gt;0,"x","")</f>
        <v>x</v>
      </c>
      <c r="BJ20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03" s="59"/>
      <c r="BL203" s="59"/>
      <c r="BM203" s="63"/>
      <c r="BN203" s="63"/>
      <c r="BO203" s="97" t="s">
        <v>458</v>
      </c>
      <c r="BP203" s="97" t="s">
        <v>512</v>
      </c>
      <c r="BQ203" s="75">
        <f>LEN(Tabelle32[[#This Row],[Label 1
GFX-Unit]])</f>
        <v>14</v>
      </c>
      <c r="BR203" s="63"/>
      <c r="BS203" s="63"/>
      <c r="BT203" s="59"/>
      <c r="BU203" s="59"/>
      <c r="BV203" s="59" t="s">
        <v>242</v>
      </c>
      <c r="BW203" s="59" t="s">
        <v>243</v>
      </c>
      <c r="BX203" s="59" t="s">
        <v>513</v>
      </c>
      <c r="BY203" s="59">
        <v>10</v>
      </c>
    </row>
    <row r="204" spans="1:77" x14ac:dyDescent="0.2">
      <c r="A204" s="58" t="str">
        <f>CONCATENATE(Tabelle32[[#This Row],[Device ID]],".",Tabelle32[[#This Row],[Streamcounter]])</f>
        <v>387.10209</v>
      </c>
      <c r="B20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VGW-103_SDI10_AUDrec_0009</v>
      </c>
      <c r="C204" s="60"/>
      <c r="D204" s="61"/>
      <c r="E204" s="62"/>
      <c r="F204" s="59" t="str">
        <f>IFERROR(VLOOKUP(Tabelle32[[#This Row],[Device ID]],BOM!$B$3:$BQ$35,16,FALSE),"")</f>
        <v>IngSRV-06</v>
      </c>
      <c r="G204" s="63">
        <f>VLOOKUP(Tabelle32[[#This Row],[SDI Interface]],BOM!$A$4:$B$35,2,FALSE)</f>
        <v>387</v>
      </c>
      <c r="H204" s="59" t="str">
        <f>BOM!$C$4</f>
        <v>VGW-103</v>
      </c>
      <c r="I204" s="59" t="str">
        <f>IFERROR(VLOOKUP(Tabelle32[[#This Row],[Device ID]],BOM!$B$3:$BQ$35,12,FALSE),"")</f>
        <v>Videoserver</v>
      </c>
      <c r="J204" s="59" t="str">
        <f>IFERROR(VLOOKUP(Tabelle32[[#This Row],[Device ID]],BOM!$B$3:$BQ$35,13,FALSE),"")</f>
        <v>TC.U1.223 | MDC</v>
      </c>
      <c r="K204" s="59" t="str">
        <f>IFERROR(VLOOKUP(Tabelle32[[#This Row],[Device ID]],BOM!$B$3:$BQ$35,14,FALSE),"")</f>
        <v>Imagine Comunications</v>
      </c>
      <c r="L204" s="59" t="str">
        <f>IFERROR(VLOOKUP(Tabelle32[[#This Row],[Device ID]],BOM!$B$3:$BQ$35,16,FALSE),"")</f>
        <v>IngSRV-06</v>
      </c>
      <c r="M204" s="63" t="str">
        <f>IFERROR(VLOOKUP(Tabelle32[[#This Row],[Device ID]],BOM!$B$3:$BQ$35,17,FALSE),"")</f>
        <v>M3H</v>
      </c>
      <c r="N204" s="59" t="str">
        <f>IFERROR(VLOOKUP(Tabelle32[[#This Row],[Device ID]],BOM!$B$3:$BQ$35,18,FALSE),"")</f>
        <v>TC.03.225 | M3H</v>
      </c>
      <c r="O204" s="64"/>
      <c r="P204" s="64">
        <f>IFERROR(VLOOKUP(Tabelle32[[#This Row],[Device ID]],BOM!$B$3:$BO$50,20,FALSE),"")</f>
        <v>0</v>
      </c>
      <c r="Q204" s="64">
        <f>IFERROR(VLOOKUP(Tabelle32[[#This Row],[Device ID]],BOM!$B$3:$BO$50,21,FALSE),"")</f>
        <v>1</v>
      </c>
      <c r="R204" s="64">
        <f>IFERROR(VLOOKUP(Tabelle32[[#This Row],[Device ID]],BOM!$B$3:$BO$50,22,FALSE),"")</f>
        <v>0</v>
      </c>
      <c r="S204" s="64"/>
      <c r="T204" s="64"/>
      <c r="U204" s="59" t="str">
        <f>IFERROR(VLOOKUP(Tabelle32[[#This Row],[Device ID]],BOM!$B$3:$BQ$35,25,FALSE),"")</f>
        <v>Luis/Ivo</v>
      </c>
      <c r="V204" s="59" t="str">
        <f>IFERROR(VLOOKUP(Tabelle32[[#This Row],[Device ID]],BOM!$B$3:$BQ$35,26,FALSE),"")</f>
        <v>tpco-megw-vgw103.rta.st-net.media.int</v>
      </c>
      <c r="W204" s="59" t="str">
        <f>IFERROR(VLOOKUP(Tabelle32[[#This Row],[Device ID]],BOM!$B$3:$BQ$35,27,FALSE),"")</f>
        <v>10.120.236.50</v>
      </c>
      <c r="X204" s="59" t="str">
        <f>IFERROR(VLOOKUP(Tabelle32[[#This Row],[Device ID]],BOM!$B$3:$BQ$35,28,FALSE),"")</f>
        <v>AVCoreA</v>
      </c>
      <c r="Y204" s="59" t="str">
        <f>IFERROR(VLOOKUP(Tabelle32[[#This Row],[Device ID]],BOM!$B$3:$BQ$35,29,FALSE),"")</f>
        <v>5_36_1</v>
      </c>
      <c r="Z204" s="59" t="str">
        <f>IFERROR(VLOOKUP(Tabelle32[[#This Row],[Device ID]],BOM!$B$3:$BQ$35,30,FALSE),"")</f>
        <v>tpco-megw-vgw103.rtb.st-net.media.int</v>
      </c>
      <c r="AA204" s="59" t="str">
        <f>IFERROR(VLOOKUP(Tabelle32[[#This Row],[Device ID]],BOM!$B$3:$BQ$35,31,FALSE),"")</f>
        <v>10.120.236.54</v>
      </c>
      <c r="AB204" s="59" t="str">
        <f>IFERROR(VLOOKUP(Tabelle32[[#This Row],[Device ID]],BOM!$B$3:$BQ$35,32,FALSE),"")</f>
        <v>AVCoreB</v>
      </c>
      <c r="AC204" s="59" t="str">
        <f>IFERROR(VLOOKUP(Tabelle32[[#This Row],[Device ID]],BOM!$B$3:$BQ$35,33,FALSE),"")</f>
        <v>5_36_1</v>
      </c>
      <c r="AD204" s="59" t="str">
        <f>IFERROR(VLOOKUP(Tabelle32[[#This Row],[Device ID]],BOM!$B$3:$BQ$35,34,FALSE),"")</f>
        <v>tpco-megw-vgw103.st-net.media.int</v>
      </c>
      <c r="AE204" s="59" t="str">
        <f>IFERROR(VLOOKUP(Tabelle32[[#This Row],[Device ID]],BOM!$B$3:$BQ$35,35,FALSE),"")</f>
        <v>10.120.67.141</v>
      </c>
      <c r="AF204" s="59">
        <f>IFERROR(VLOOKUP(Tabelle32[[#This Row],[Device ID]],BOM!$B$3:$BQ$35,36,FALSE),"")</f>
        <v>0</v>
      </c>
      <c r="AG204" s="59">
        <f>IFERROR(VLOOKUP(Tabelle32[[#This Row],[Device ID]],BOM!$B$3:$BQ$35,37,FALSE),"")</f>
        <v>0</v>
      </c>
      <c r="AH204" s="59"/>
      <c r="AI204" s="59"/>
      <c r="AJ204" s="59"/>
      <c r="AK204" s="59"/>
      <c r="AL204" s="59" t="str">
        <f>IFERROR(VLOOKUP(Tabelle32[[#This Row],[Device ID]],BOM!$B$3:$BQ$35,42,FALSE),"")</f>
        <v>Imagine Communications SNP</v>
      </c>
      <c r="AM204" s="59" t="str">
        <f>IFERROR(VLOOKUP(Tabelle32[[#This Row],[Device ID]],BOM!$B$3:$BQ$35,43,FALSE),"")</f>
        <v>no</v>
      </c>
      <c r="AN204" s="59" t="str">
        <f>IFERROR(VLOOKUP(Tabelle32[[#This Row],[Device ID]],BOM!$B$3:$BQ$35,44,FALSE),"")</f>
        <v>yes</v>
      </c>
      <c r="AO204" s="59" t="str">
        <f>IFERROR(VLOOKUP(Tabelle32[[#This Row],[Device ID]],BOM!$B$3:$BQ$35,45,FALSE),"")</f>
        <v>no</v>
      </c>
      <c r="AP204" s="59" t="str">
        <f>IFERROR(CONCATENATE(Tabelle32[[#This Row],[Family
GFX-Unit]]," | ",Tabelle32[[#This Row],[Label 1
GFX-Unit]]," | ",Tabelle32[[#This Row],[Attached Device if Gateway]]),"")</f>
        <v>M3H InCh REM | Ingest Ch22-09 | IngSRV-06</v>
      </c>
      <c r="AQ204" s="59"/>
      <c r="AR204" s="90"/>
      <c r="AS204" s="90"/>
      <c r="AT204" s="90"/>
      <c r="AU204" s="90"/>
      <c r="AV204" s="90"/>
      <c r="AW204" s="90" t="s">
        <v>97</v>
      </c>
      <c r="AX204" s="90"/>
      <c r="AY204" s="90"/>
      <c r="AZ204" s="90" t="s">
        <v>97</v>
      </c>
      <c r="BA204" s="90"/>
      <c r="BB204" s="90" t="s">
        <v>97</v>
      </c>
      <c r="BC204" s="90" t="s">
        <v>97</v>
      </c>
      <c r="BD204" s="90"/>
      <c r="BE204" s="90"/>
      <c r="BF204" s="90"/>
      <c r="BG204" s="90"/>
      <c r="BH204" s="73" t="s">
        <v>199</v>
      </c>
      <c r="BI204" s="30" t="str">
        <f>IF(COUNTA(Tabelle32[[#This Row],[Type:Vid_1080i50]:[Type:Anc_Prot]])&gt;0,"x","")</f>
        <v>x</v>
      </c>
      <c r="BJ20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04" s="59"/>
      <c r="BL204" s="59"/>
      <c r="BM204" s="63"/>
      <c r="BN204" s="63"/>
      <c r="BO204" s="97" t="s">
        <v>458</v>
      </c>
      <c r="BP204" s="97" t="s">
        <v>514</v>
      </c>
      <c r="BQ204" s="75">
        <f>LEN(Tabelle32[[#This Row],[Label 1
GFX-Unit]])</f>
        <v>14</v>
      </c>
      <c r="BR204" s="63"/>
      <c r="BS204" s="63"/>
      <c r="BT204" s="59"/>
      <c r="BU204" s="59"/>
      <c r="BV204" s="59" t="s">
        <v>245</v>
      </c>
      <c r="BW204" s="59" t="s">
        <v>246</v>
      </c>
      <c r="BX204" s="59" t="s">
        <v>515</v>
      </c>
      <c r="BY204" s="59">
        <v>10</v>
      </c>
    </row>
    <row r="205" spans="1:77" hidden="1" x14ac:dyDescent="0.2">
      <c r="A205" s="58" t="str">
        <f>CONCATENATE(Tabelle32[[#This Row],[Device ID]],".",Tabelle32[[#This Row],[Streamcounter]])</f>
        <v>387.10210</v>
      </c>
      <c r="B20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VGW-103_SDI10_AUDrec_0010</v>
      </c>
      <c r="C205" s="60"/>
      <c r="D205" s="61"/>
      <c r="E205" s="62"/>
      <c r="F205" s="59" t="str">
        <f>IFERROR(VLOOKUP(Tabelle32[[#This Row],[Device ID]],BOM!$B$3:$BQ$35,16,FALSE),"")</f>
        <v>IngSRV-06</v>
      </c>
      <c r="G205" s="63">
        <f>VLOOKUP(Tabelle32[[#This Row],[SDI Interface]],BOM!$A$4:$B$35,2,FALSE)</f>
        <v>387</v>
      </c>
      <c r="H205" s="59" t="str">
        <f>BOM!$C$4</f>
        <v>VGW-103</v>
      </c>
      <c r="I205" s="59" t="str">
        <f>IFERROR(VLOOKUP(Tabelle32[[#This Row],[Device ID]],BOM!$B$3:$BQ$35,12,FALSE),"")</f>
        <v>Videoserver</v>
      </c>
      <c r="J205" s="59" t="str">
        <f>IFERROR(VLOOKUP(Tabelle32[[#This Row],[Device ID]],BOM!$B$3:$BQ$35,13,FALSE),"")</f>
        <v>TC.U1.223 | MDC</v>
      </c>
      <c r="K205" s="59" t="str">
        <f>IFERROR(VLOOKUP(Tabelle32[[#This Row],[Device ID]],BOM!$B$3:$BQ$35,14,FALSE),"")</f>
        <v>Imagine Comunications</v>
      </c>
      <c r="L205" s="59" t="str">
        <f>IFERROR(VLOOKUP(Tabelle32[[#This Row],[Device ID]],BOM!$B$3:$BQ$35,16,FALSE),"")</f>
        <v>IngSRV-06</v>
      </c>
      <c r="M205" s="63" t="str">
        <f>IFERROR(VLOOKUP(Tabelle32[[#This Row],[Device ID]],BOM!$B$3:$BQ$35,17,FALSE),"")</f>
        <v>M3H</v>
      </c>
      <c r="N205" s="59" t="str">
        <f>IFERROR(VLOOKUP(Tabelle32[[#This Row],[Device ID]],BOM!$B$3:$BQ$35,18,FALSE),"")</f>
        <v>TC.03.225 | M3H</v>
      </c>
      <c r="O205" s="64"/>
      <c r="P205" s="64">
        <f>IFERROR(VLOOKUP(Tabelle32[[#This Row],[Device ID]],BOM!$B$3:$BO$50,20,FALSE),"")</f>
        <v>0</v>
      </c>
      <c r="Q205" s="64">
        <f>IFERROR(VLOOKUP(Tabelle32[[#This Row],[Device ID]],BOM!$B$3:$BO$50,21,FALSE),"")</f>
        <v>1</v>
      </c>
      <c r="R205" s="64">
        <f>IFERROR(VLOOKUP(Tabelle32[[#This Row],[Device ID]],BOM!$B$3:$BO$50,22,FALSE),"")</f>
        <v>0</v>
      </c>
      <c r="S205" s="64"/>
      <c r="T205" s="64"/>
      <c r="U205" s="59" t="str">
        <f>IFERROR(VLOOKUP(Tabelle32[[#This Row],[Device ID]],BOM!$B$3:$BQ$35,25,FALSE),"")</f>
        <v>Luis/Ivo</v>
      </c>
      <c r="V205" s="59" t="str">
        <f>IFERROR(VLOOKUP(Tabelle32[[#This Row],[Device ID]],BOM!$B$3:$BQ$35,26,FALSE),"")</f>
        <v>tpco-megw-vgw103.rta.st-net.media.int</v>
      </c>
      <c r="W205" s="59" t="str">
        <f>IFERROR(VLOOKUP(Tabelle32[[#This Row],[Device ID]],BOM!$B$3:$BQ$35,27,FALSE),"")</f>
        <v>10.120.236.50</v>
      </c>
      <c r="X205" s="59" t="str">
        <f>IFERROR(VLOOKUP(Tabelle32[[#This Row],[Device ID]],BOM!$B$3:$BQ$35,28,FALSE),"")</f>
        <v>AVCoreA</v>
      </c>
      <c r="Y205" s="59" t="str">
        <f>IFERROR(VLOOKUP(Tabelle32[[#This Row],[Device ID]],BOM!$B$3:$BQ$35,29,FALSE),"")</f>
        <v>5_36_1</v>
      </c>
      <c r="Z205" s="59" t="str">
        <f>IFERROR(VLOOKUP(Tabelle32[[#This Row],[Device ID]],BOM!$B$3:$BQ$35,30,FALSE),"")</f>
        <v>tpco-megw-vgw103.rtb.st-net.media.int</v>
      </c>
      <c r="AA205" s="59" t="str">
        <f>IFERROR(VLOOKUP(Tabelle32[[#This Row],[Device ID]],BOM!$B$3:$BQ$35,31,FALSE),"")</f>
        <v>10.120.236.54</v>
      </c>
      <c r="AB205" s="59" t="str">
        <f>IFERROR(VLOOKUP(Tabelle32[[#This Row],[Device ID]],BOM!$B$3:$BQ$35,32,FALSE),"")</f>
        <v>AVCoreB</v>
      </c>
      <c r="AC205" s="59" t="str">
        <f>IFERROR(VLOOKUP(Tabelle32[[#This Row],[Device ID]],BOM!$B$3:$BQ$35,33,FALSE),"")</f>
        <v>5_36_1</v>
      </c>
      <c r="AD205" s="59" t="str">
        <f>IFERROR(VLOOKUP(Tabelle32[[#This Row],[Device ID]],BOM!$B$3:$BQ$35,34,FALSE),"")</f>
        <v>tpco-megw-vgw103.st-net.media.int</v>
      </c>
      <c r="AE205" s="59" t="str">
        <f>IFERROR(VLOOKUP(Tabelle32[[#This Row],[Device ID]],BOM!$B$3:$BQ$35,35,FALSE),"")</f>
        <v>10.120.67.141</v>
      </c>
      <c r="AF205" s="59">
        <f>IFERROR(VLOOKUP(Tabelle32[[#This Row],[Device ID]],BOM!$B$3:$BQ$35,36,FALSE),"")</f>
        <v>0</v>
      </c>
      <c r="AG205" s="59">
        <f>IFERROR(VLOOKUP(Tabelle32[[#This Row],[Device ID]],BOM!$B$3:$BQ$35,37,FALSE),"")</f>
        <v>0</v>
      </c>
      <c r="AH205" s="59"/>
      <c r="AI205" s="59"/>
      <c r="AJ205" s="59"/>
      <c r="AK205" s="59"/>
      <c r="AL205" s="59" t="str">
        <f>IFERROR(VLOOKUP(Tabelle32[[#This Row],[Device ID]],BOM!$B$3:$BQ$35,42,FALSE),"")</f>
        <v>Imagine Communications SNP</v>
      </c>
      <c r="AM205" s="59" t="str">
        <f>IFERROR(VLOOKUP(Tabelle32[[#This Row],[Device ID]],BOM!$B$3:$BQ$35,43,FALSE),"")</f>
        <v>no</v>
      </c>
      <c r="AN205" s="59" t="str">
        <f>IFERROR(VLOOKUP(Tabelle32[[#This Row],[Device ID]],BOM!$B$3:$BQ$35,44,FALSE),"")</f>
        <v>yes</v>
      </c>
      <c r="AO205" s="59" t="str">
        <f>IFERROR(VLOOKUP(Tabelle32[[#This Row],[Device ID]],BOM!$B$3:$BQ$35,45,FALSE),"")</f>
        <v>no</v>
      </c>
      <c r="AP205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05" s="59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73" t="s">
        <v>199</v>
      </c>
      <c r="BI205" s="30" t="str">
        <f>IF(COUNTA(Tabelle32[[#This Row],[Type:Vid_1080i50]:[Type:Anc_Prot]])&gt;0,"x","")</f>
        <v/>
      </c>
      <c r="BJ20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05" s="59"/>
      <c r="BL205" s="59"/>
      <c r="BM205" s="63"/>
      <c r="BN205" s="63"/>
      <c r="BO205" s="96"/>
      <c r="BP205" s="96"/>
      <c r="BQ205" s="75">
        <f>LEN(Tabelle32[[#This Row],[Label 1
GFX-Unit]])</f>
        <v>0</v>
      </c>
      <c r="BR205" s="63"/>
      <c r="BS205" s="63"/>
      <c r="BT205" s="59"/>
      <c r="BU205" s="59"/>
      <c r="BV205" s="59" t="s">
        <v>248</v>
      </c>
      <c r="BW205" s="59" t="s">
        <v>249</v>
      </c>
      <c r="BX205" s="59" t="s">
        <v>516</v>
      </c>
      <c r="BY205" s="59">
        <v>10</v>
      </c>
    </row>
    <row r="206" spans="1:77" hidden="1" x14ac:dyDescent="0.2">
      <c r="A206" s="58" t="str">
        <f>CONCATENATE(Tabelle32[[#This Row],[Device ID]],".",Tabelle32[[#This Row],[Streamcounter]])</f>
        <v>387.10211</v>
      </c>
      <c r="B20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VGW-103_SDI10_AUDrec_0011</v>
      </c>
      <c r="C206" s="60"/>
      <c r="D206" s="61"/>
      <c r="E206" s="62"/>
      <c r="F206" s="59" t="str">
        <f>IFERROR(VLOOKUP(Tabelle32[[#This Row],[Device ID]],BOM!$B$3:$BQ$35,16,FALSE),"")</f>
        <v>IngSRV-06</v>
      </c>
      <c r="G206" s="63">
        <f>VLOOKUP(Tabelle32[[#This Row],[SDI Interface]],BOM!$A$4:$B$35,2,FALSE)</f>
        <v>387</v>
      </c>
      <c r="H206" s="59" t="str">
        <f>BOM!$C$4</f>
        <v>VGW-103</v>
      </c>
      <c r="I206" s="59" t="str">
        <f>IFERROR(VLOOKUP(Tabelle32[[#This Row],[Device ID]],BOM!$B$3:$BQ$35,12,FALSE),"")</f>
        <v>Videoserver</v>
      </c>
      <c r="J206" s="59" t="str">
        <f>IFERROR(VLOOKUP(Tabelle32[[#This Row],[Device ID]],BOM!$B$3:$BQ$35,13,FALSE),"")</f>
        <v>TC.U1.223 | MDC</v>
      </c>
      <c r="K206" s="59" t="str">
        <f>IFERROR(VLOOKUP(Tabelle32[[#This Row],[Device ID]],BOM!$B$3:$BQ$35,14,FALSE),"")</f>
        <v>Imagine Comunications</v>
      </c>
      <c r="L206" s="59" t="str">
        <f>IFERROR(VLOOKUP(Tabelle32[[#This Row],[Device ID]],BOM!$B$3:$BQ$35,16,FALSE),"")</f>
        <v>IngSRV-06</v>
      </c>
      <c r="M206" s="63" t="str">
        <f>IFERROR(VLOOKUP(Tabelle32[[#This Row],[Device ID]],BOM!$B$3:$BQ$35,17,FALSE),"")</f>
        <v>M3H</v>
      </c>
      <c r="N206" s="59" t="str">
        <f>IFERROR(VLOOKUP(Tabelle32[[#This Row],[Device ID]],BOM!$B$3:$BQ$35,18,FALSE),"")</f>
        <v>TC.03.225 | M3H</v>
      </c>
      <c r="O206" s="64"/>
      <c r="P206" s="64">
        <f>IFERROR(VLOOKUP(Tabelle32[[#This Row],[Device ID]],BOM!$B$3:$BO$50,20,FALSE),"")</f>
        <v>0</v>
      </c>
      <c r="Q206" s="64">
        <f>IFERROR(VLOOKUP(Tabelle32[[#This Row],[Device ID]],BOM!$B$3:$BO$50,21,FALSE),"")</f>
        <v>1</v>
      </c>
      <c r="R206" s="64">
        <f>IFERROR(VLOOKUP(Tabelle32[[#This Row],[Device ID]],BOM!$B$3:$BO$50,22,FALSE),"")</f>
        <v>0</v>
      </c>
      <c r="S206" s="64"/>
      <c r="T206" s="64"/>
      <c r="U206" s="59" t="str">
        <f>IFERROR(VLOOKUP(Tabelle32[[#This Row],[Device ID]],BOM!$B$3:$BQ$35,25,FALSE),"")</f>
        <v>Luis/Ivo</v>
      </c>
      <c r="V206" s="59" t="str">
        <f>IFERROR(VLOOKUP(Tabelle32[[#This Row],[Device ID]],BOM!$B$3:$BQ$35,26,FALSE),"")</f>
        <v>tpco-megw-vgw103.rta.st-net.media.int</v>
      </c>
      <c r="W206" s="59" t="str">
        <f>IFERROR(VLOOKUP(Tabelle32[[#This Row],[Device ID]],BOM!$B$3:$BQ$35,27,FALSE),"")</f>
        <v>10.120.236.50</v>
      </c>
      <c r="X206" s="59" t="str">
        <f>IFERROR(VLOOKUP(Tabelle32[[#This Row],[Device ID]],BOM!$B$3:$BQ$35,28,FALSE),"")</f>
        <v>AVCoreA</v>
      </c>
      <c r="Y206" s="59" t="str">
        <f>IFERROR(VLOOKUP(Tabelle32[[#This Row],[Device ID]],BOM!$B$3:$BQ$35,29,FALSE),"")</f>
        <v>5_36_1</v>
      </c>
      <c r="Z206" s="59" t="str">
        <f>IFERROR(VLOOKUP(Tabelle32[[#This Row],[Device ID]],BOM!$B$3:$BQ$35,30,FALSE),"")</f>
        <v>tpco-megw-vgw103.rtb.st-net.media.int</v>
      </c>
      <c r="AA206" s="59" t="str">
        <f>IFERROR(VLOOKUP(Tabelle32[[#This Row],[Device ID]],BOM!$B$3:$BQ$35,31,FALSE),"")</f>
        <v>10.120.236.54</v>
      </c>
      <c r="AB206" s="59" t="str">
        <f>IFERROR(VLOOKUP(Tabelle32[[#This Row],[Device ID]],BOM!$B$3:$BQ$35,32,FALSE),"")</f>
        <v>AVCoreB</v>
      </c>
      <c r="AC206" s="59" t="str">
        <f>IFERROR(VLOOKUP(Tabelle32[[#This Row],[Device ID]],BOM!$B$3:$BQ$35,33,FALSE),"")</f>
        <v>5_36_1</v>
      </c>
      <c r="AD206" s="59" t="str">
        <f>IFERROR(VLOOKUP(Tabelle32[[#This Row],[Device ID]],BOM!$B$3:$BQ$35,34,FALSE),"")</f>
        <v>tpco-megw-vgw103.st-net.media.int</v>
      </c>
      <c r="AE206" s="59" t="str">
        <f>IFERROR(VLOOKUP(Tabelle32[[#This Row],[Device ID]],BOM!$B$3:$BQ$35,35,FALSE),"")</f>
        <v>10.120.67.141</v>
      </c>
      <c r="AF206" s="59">
        <f>IFERROR(VLOOKUP(Tabelle32[[#This Row],[Device ID]],BOM!$B$3:$BQ$35,36,FALSE),"")</f>
        <v>0</v>
      </c>
      <c r="AG206" s="59">
        <f>IFERROR(VLOOKUP(Tabelle32[[#This Row],[Device ID]],BOM!$B$3:$BQ$35,37,FALSE),"")</f>
        <v>0</v>
      </c>
      <c r="AH206" s="59"/>
      <c r="AI206" s="59"/>
      <c r="AJ206" s="59"/>
      <c r="AK206" s="59"/>
      <c r="AL206" s="59" t="str">
        <f>IFERROR(VLOOKUP(Tabelle32[[#This Row],[Device ID]],BOM!$B$3:$BQ$35,42,FALSE),"")</f>
        <v>Imagine Communications SNP</v>
      </c>
      <c r="AM206" s="59" t="str">
        <f>IFERROR(VLOOKUP(Tabelle32[[#This Row],[Device ID]],BOM!$B$3:$BQ$35,43,FALSE),"")</f>
        <v>no</v>
      </c>
      <c r="AN206" s="59" t="str">
        <f>IFERROR(VLOOKUP(Tabelle32[[#This Row],[Device ID]],BOM!$B$3:$BQ$35,44,FALSE),"")</f>
        <v>yes</v>
      </c>
      <c r="AO206" s="59" t="str">
        <f>IFERROR(VLOOKUP(Tabelle32[[#This Row],[Device ID]],BOM!$B$3:$BQ$35,45,FALSE),"")</f>
        <v>no</v>
      </c>
      <c r="AP206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06" s="59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73" t="s">
        <v>199</v>
      </c>
      <c r="BI206" s="30" t="str">
        <f>IF(COUNTA(Tabelle32[[#This Row],[Type:Vid_1080i50]:[Type:Anc_Prot]])&gt;0,"x","")</f>
        <v/>
      </c>
      <c r="BJ20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06" s="59"/>
      <c r="BL206" s="59"/>
      <c r="BM206" s="63"/>
      <c r="BN206" s="63"/>
      <c r="BO206" s="96"/>
      <c r="BP206" s="96"/>
      <c r="BQ206" s="75">
        <f>LEN(Tabelle32[[#This Row],[Label 1
GFX-Unit]])</f>
        <v>0</v>
      </c>
      <c r="BR206" s="63"/>
      <c r="BS206" s="63"/>
      <c r="BT206" s="59"/>
      <c r="BU206" s="59"/>
      <c r="BV206" s="59" t="s">
        <v>251</v>
      </c>
      <c r="BW206" s="59" t="s">
        <v>252</v>
      </c>
      <c r="BX206" s="59" t="s">
        <v>517</v>
      </c>
      <c r="BY206" s="59">
        <v>10</v>
      </c>
    </row>
    <row r="207" spans="1:77" hidden="1" x14ac:dyDescent="0.2">
      <c r="A207" s="58" t="str">
        <f>CONCATENATE(Tabelle32[[#This Row],[Device ID]],".",Tabelle32[[#This Row],[Streamcounter]])</f>
        <v>387.10212</v>
      </c>
      <c r="B20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VGW-103_SDI10_AUDrec_0012</v>
      </c>
      <c r="C207" s="60"/>
      <c r="D207" s="61"/>
      <c r="E207" s="62"/>
      <c r="F207" s="59" t="str">
        <f>IFERROR(VLOOKUP(Tabelle32[[#This Row],[Device ID]],BOM!$B$3:$BQ$35,16,FALSE),"")</f>
        <v>IngSRV-06</v>
      </c>
      <c r="G207" s="63">
        <f>VLOOKUP(Tabelle32[[#This Row],[SDI Interface]],BOM!$A$4:$B$35,2,FALSE)</f>
        <v>387</v>
      </c>
      <c r="H207" s="59" t="str">
        <f>BOM!$C$4</f>
        <v>VGW-103</v>
      </c>
      <c r="I207" s="59" t="str">
        <f>IFERROR(VLOOKUP(Tabelle32[[#This Row],[Device ID]],BOM!$B$3:$BQ$35,12,FALSE),"")</f>
        <v>Videoserver</v>
      </c>
      <c r="J207" s="59" t="str">
        <f>IFERROR(VLOOKUP(Tabelle32[[#This Row],[Device ID]],BOM!$B$3:$BQ$35,13,FALSE),"")</f>
        <v>TC.U1.223 | MDC</v>
      </c>
      <c r="K207" s="59" t="str">
        <f>IFERROR(VLOOKUP(Tabelle32[[#This Row],[Device ID]],BOM!$B$3:$BQ$35,14,FALSE),"")</f>
        <v>Imagine Comunications</v>
      </c>
      <c r="L207" s="59" t="str">
        <f>IFERROR(VLOOKUP(Tabelle32[[#This Row],[Device ID]],BOM!$B$3:$BQ$35,16,FALSE),"")</f>
        <v>IngSRV-06</v>
      </c>
      <c r="M207" s="63" t="str">
        <f>IFERROR(VLOOKUP(Tabelle32[[#This Row],[Device ID]],BOM!$B$3:$BQ$35,17,FALSE),"")</f>
        <v>M3H</v>
      </c>
      <c r="N207" s="59" t="str">
        <f>IFERROR(VLOOKUP(Tabelle32[[#This Row],[Device ID]],BOM!$B$3:$BQ$35,18,FALSE),"")</f>
        <v>TC.03.225 | M3H</v>
      </c>
      <c r="O207" s="64"/>
      <c r="P207" s="64">
        <f>IFERROR(VLOOKUP(Tabelle32[[#This Row],[Device ID]],BOM!$B$3:$BO$50,20,FALSE),"")</f>
        <v>0</v>
      </c>
      <c r="Q207" s="64">
        <f>IFERROR(VLOOKUP(Tabelle32[[#This Row],[Device ID]],BOM!$B$3:$BO$50,21,FALSE),"")</f>
        <v>1</v>
      </c>
      <c r="R207" s="64">
        <f>IFERROR(VLOOKUP(Tabelle32[[#This Row],[Device ID]],BOM!$B$3:$BO$50,22,FALSE),"")</f>
        <v>0</v>
      </c>
      <c r="S207" s="64"/>
      <c r="T207" s="64"/>
      <c r="U207" s="59" t="str">
        <f>IFERROR(VLOOKUP(Tabelle32[[#This Row],[Device ID]],BOM!$B$3:$BQ$35,25,FALSE),"")</f>
        <v>Luis/Ivo</v>
      </c>
      <c r="V207" s="59" t="str">
        <f>IFERROR(VLOOKUP(Tabelle32[[#This Row],[Device ID]],BOM!$B$3:$BQ$35,26,FALSE),"")</f>
        <v>tpco-megw-vgw103.rta.st-net.media.int</v>
      </c>
      <c r="W207" s="59" t="str">
        <f>IFERROR(VLOOKUP(Tabelle32[[#This Row],[Device ID]],BOM!$B$3:$BQ$35,27,FALSE),"")</f>
        <v>10.120.236.50</v>
      </c>
      <c r="X207" s="59" t="str">
        <f>IFERROR(VLOOKUP(Tabelle32[[#This Row],[Device ID]],BOM!$B$3:$BQ$35,28,FALSE),"")</f>
        <v>AVCoreA</v>
      </c>
      <c r="Y207" s="59" t="str">
        <f>IFERROR(VLOOKUP(Tabelle32[[#This Row],[Device ID]],BOM!$B$3:$BQ$35,29,FALSE),"")</f>
        <v>5_36_1</v>
      </c>
      <c r="Z207" s="59" t="str">
        <f>IFERROR(VLOOKUP(Tabelle32[[#This Row],[Device ID]],BOM!$B$3:$BQ$35,30,FALSE),"")</f>
        <v>tpco-megw-vgw103.rtb.st-net.media.int</v>
      </c>
      <c r="AA207" s="59" t="str">
        <f>IFERROR(VLOOKUP(Tabelle32[[#This Row],[Device ID]],BOM!$B$3:$BQ$35,31,FALSE),"")</f>
        <v>10.120.236.54</v>
      </c>
      <c r="AB207" s="59" t="str">
        <f>IFERROR(VLOOKUP(Tabelle32[[#This Row],[Device ID]],BOM!$B$3:$BQ$35,32,FALSE),"")</f>
        <v>AVCoreB</v>
      </c>
      <c r="AC207" s="59" t="str">
        <f>IFERROR(VLOOKUP(Tabelle32[[#This Row],[Device ID]],BOM!$B$3:$BQ$35,33,FALSE),"")</f>
        <v>5_36_1</v>
      </c>
      <c r="AD207" s="59" t="str">
        <f>IFERROR(VLOOKUP(Tabelle32[[#This Row],[Device ID]],BOM!$B$3:$BQ$35,34,FALSE),"")</f>
        <v>tpco-megw-vgw103.st-net.media.int</v>
      </c>
      <c r="AE207" s="59" t="str">
        <f>IFERROR(VLOOKUP(Tabelle32[[#This Row],[Device ID]],BOM!$B$3:$BQ$35,35,FALSE),"")</f>
        <v>10.120.67.141</v>
      </c>
      <c r="AF207" s="59">
        <f>IFERROR(VLOOKUP(Tabelle32[[#This Row],[Device ID]],BOM!$B$3:$BQ$35,36,FALSE),"")</f>
        <v>0</v>
      </c>
      <c r="AG207" s="59">
        <f>IFERROR(VLOOKUP(Tabelle32[[#This Row],[Device ID]],BOM!$B$3:$BQ$35,37,FALSE),"")</f>
        <v>0</v>
      </c>
      <c r="AH207" s="59"/>
      <c r="AI207" s="59"/>
      <c r="AJ207" s="59"/>
      <c r="AK207" s="59"/>
      <c r="AL207" s="59" t="str">
        <f>IFERROR(VLOOKUP(Tabelle32[[#This Row],[Device ID]],BOM!$B$3:$BQ$35,42,FALSE),"")</f>
        <v>Imagine Communications SNP</v>
      </c>
      <c r="AM207" s="59" t="str">
        <f>IFERROR(VLOOKUP(Tabelle32[[#This Row],[Device ID]],BOM!$B$3:$BQ$35,43,FALSE),"")</f>
        <v>no</v>
      </c>
      <c r="AN207" s="59" t="str">
        <f>IFERROR(VLOOKUP(Tabelle32[[#This Row],[Device ID]],BOM!$B$3:$BQ$35,44,FALSE),"")</f>
        <v>yes</v>
      </c>
      <c r="AO207" s="59" t="str">
        <f>IFERROR(VLOOKUP(Tabelle32[[#This Row],[Device ID]],BOM!$B$3:$BQ$35,45,FALSE),"")</f>
        <v>no</v>
      </c>
      <c r="AP207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07" s="59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73" t="s">
        <v>199</v>
      </c>
      <c r="BI207" s="30" t="str">
        <f>IF(COUNTA(Tabelle32[[#This Row],[Type:Vid_1080i50]:[Type:Anc_Prot]])&gt;0,"x","")</f>
        <v/>
      </c>
      <c r="BJ20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07" s="59"/>
      <c r="BL207" s="59"/>
      <c r="BM207" s="63"/>
      <c r="BN207" s="63"/>
      <c r="BO207" s="96"/>
      <c r="BP207" s="96"/>
      <c r="BQ207" s="75">
        <f>LEN(Tabelle32[[#This Row],[Label 1
GFX-Unit]])</f>
        <v>0</v>
      </c>
      <c r="BR207" s="63"/>
      <c r="BS207" s="63"/>
      <c r="BT207" s="59"/>
      <c r="BU207" s="59"/>
      <c r="BV207" s="59" t="s">
        <v>254</v>
      </c>
      <c r="BW207" s="59" t="s">
        <v>255</v>
      </c>
      <c r="BX207" s="59" t="s">
        <v>518</v>
      </c>
      <c r="BY207" s="59">
        <v>10</v>
      </c>
    </row>
    <row r="208" spans="1:77" hidden="1" x14ac:dyDescent="0.2">
      <c r="A208" s="58" t="str">
        <f>CONCATENATE(Tabelle32[[#This Row],[Device ID]],".",Tabelle32[[#This Row],[Streamcounter]])</f>
        <v>387.10213</v>
      </c>
      <c r="B20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VGW-103_SDI10_AUDrec_0013</v>
      </c>
      <c r="C208" s="60"/>
      <c r="D208" s="61"/>
      <c r="E208" s="62"/>
      <c r="F208" s="59" t="str">
        <f>IFERROR(VLOOKUP(Tabelle32[[#This Row],[Device ID]],BOM!$B$3:$BQ$35,16,FALSE),"")</f>
        <v>IngSRV-06</v>
      </c>
      <c r="G208" s="63">
        <f>VLOOKUP(Tabelle32[[#This Row],[SDI Interface]],BOM!$A$4:$B$35,2,FALSE)</f>
        <v>387</v>
      </c>
      <c r="H208" s="59" t="str">
        <f>BOM!$C$4</f>
        <v>VGW-103</v>
      </c>
      <c r="I208" s="59" t="str">
        <f>IFERROR(VLOOKUP(Tabelle32[[#This Row],[Device ID]],BOM!$B$3:$BQ$35,12,FALSE),"")</f>
        <v>Videoserver</v>
      </c>
      <c r="J208" s="59" t="str">
        <f>IFERROR(VLOOKUP(Tabelle32[[#This Row],[Device ID]],BOM!$B$3:$BQ$35,13,FALSE),"")</f>
        <v>TC.U1.223 | MDC</v>
      </c>
      <c r="K208" s="59" t="str">
        <f>IFERROR(VLOOKUP(Tabelle32[[#This Row],[Device ID]],BOM!$B$3:$BQ$35,14,FALSE),"")</f>
        <v>Imagine Comunications</v>
      </c>
      <c r="L208" s="59" t="str">
        <f>IFERROR(VLOOKUP(Tabelle32[[#This Row],[Device ID]],BOM!$B$3:$BQ$35,16,FALSE),"")</f>
        <v>IngSRV-06</v>
      </c>
      <c r="M208" s="63" t="str">
        <f>IFERROR(VLOOKUP(Tabelle32[[#This Row],[Device ID]],BOM!$B$3:$BQ$35,17,FALSE),"")</f>
        <v>M3H</v>
      </c>
      <c r="N208" s="59" t="str">
        <f>IFERROR(VLOOKUP(Tabelle32[[#This Row],[Device ID]],BOM!$B$3:$BQ$35,18,FALSE),"")</f>
        <v>TC.03.225 | M3H</v>
      </c>
      <c r="O208" s="64"/>
      <c r="P208" s="64">
        <f>IFERROR(VLOOKUP(Tabelle32[[#This Row],[Device ID]],BOM!$B$3:$BO$50,20,FALSE),"")</f>
        <v>0</v>
      </c>
      <c r="Q208" s="64">
        <f>IFERROR(VLOOKUP(Tabelle32[[#This Row],[Device ID]],BOM!$B$3:$BO$50,21,FALSE),"")</f>
        <v>1</v>
      </c>
      <c r="R208" s="64">
        <f>IFERROR(VLOOKUP(Tabelle32[[#This Row],[Device ID]],BOM!$B$3:$BO$50,22,FALSE),"")</f>
        <v>0</v>
      </c>
      <c r="S208" s="64"/>
      <c r="T208" s="64"/>
      <c r="U208" s="59" t="str">
        <f>IFERROR(VLOOKUP(Tabelle32[[#This Row],[Device ID]],BOM!$B$3:$BQ$35,25,FALSE),"")</f>
        <v>Luis/Ivo</v>
      </c>
      <c r="V208" s="59" t="str">
        <f>IFERROR(VLOOKUP(Tabelle32[[#This Row],[Device ID]],BOM!$B$3:$BQ$35,26,FALSE),"")</f>
        <v>tpco-megw-vgw103.rta.st-net.media.int</v>
      </c>
      <c r="W208" s="59" t="str">
        <f>IFERROR(VLOOKUP(Tabelle32[[#This Row],[Device ID]],BOM!$B$3:$BQ$35,27,FALSE),"")</f>
        <v>10.120.236.50</v>
      </c>
      <c r="X208" s="59" t="str">
        <f>IFERROR(VLOOKUP(Tabelle32[[#This Row],[Device ID]],BOM!$B$3:$BQ$35,28,FALSE),"")</f>
        <v>AVCoreA</v>
      </c>
      <c r="Y208" s="59" t="str">
        <f>IFERROR(VLOOKUP(Tabelle32[[#This Row],[Device ID]],BOM!$B$3:$BQ$35,29,FALSE),"")</f>
        <v>5_36_1</v>
      </c>
      <c r="Z208" s="59" t="str">
        <f>IFERROR(VLOOKUP(Tabelle32[[#This Row],[Device ID]],BOM!$B$3:$BQ$35,30,FALSE),"")</f>
        <v>tpco-megw-vgw103.rtb.st-net.media.int</v>
      </c>
      <c r="AA208" s="59" t="str">
        <f>IFERROR(VLOOKUP(Tabelle32[[#This Row],[Device ID]],BOM!$B$3:$BQ$35,31,FALSE),"")</f>
        <v>10.120.236.54</v>
      </c>
      <c r="AB208" s="59" t="str">
        <f>IFERROR(VLOOKUP(Tabelle32[[#This Row],[Device ID]],BOM!$B$3:$BQ$35,32,FALSE),"")</f>
        <v>AVCoreB</v>
      </c>
      <c r="AC208" s="59" t="str">
        <f>IFERROR(VLOOKUP(Tabelle32[[#This Row],[Device ID]],BOM!$B$3:$BQ$35,33,FALSE),"")</f>
        <v>5_36_1</v>
      </c>
      <c r="AD208" s="59" t="str">
        <f>IFERROR(VLOOKUP(Tabelle32[[#This Row],[Device ID]],BOM!$B$3:$BQ$35,34,FALSE),"")</f>
        <v>tpco-megw-vgw103.st-net.media.int</v>
      </c>
      <c r="AE208" s="59" t="str">
        <f>IFERROR(VLOOKUP(Tabelle32[[#This Row],[Device ID]],BOM!$B$3:$BQ$35,35,FALSE),"")</f>
        <v>10.120.67.141</v>
      </c>
      <c r="AF208" s="59">
        <f>IFERROR(VLOOKUP(Tabelle32[[#This Row],[Device ID]],BOM!$B$3:$BQ$35,36,FALSE),"")</f>
        <v>0</v>
      </c>
      <c r="AG208" s="59">
        <f>IFERROR(VLOOKUP(Tabelle32[[#This Row],[Device ID]],BOM!$B$3:$BQ$35,37,FALSE),"")</f>
        <v>0</v>
      </c>
      <c r="AH208" s="59"/>
      <c r="AI208" s="59"/>
      <c r="AJ208" s="59"/>
      <c r="AK208" s="59"/>
      <c r="AL208" s="59" t="str">
        <f>IFERROR(VLOOKUP(Tabelle32[[#This Row],[Device ID]],BOM!$B$3:$BQ$35,42,FALSE),"")</f>
        <v>Imagine Communications SNP</v>
      </c>
      <c r="AM208" s="59" t="str">
        <f>IFERROR(VLOOKUP(Tabelle32[[#This Row],[Device ID]],BOM!$B$3:$BQ$35,43,FALSE),"")</f>
        <v>no</v>
      </c>
      <c r="AN208" s="59" t="str">
        <f>IFERROR(VLOOKUP(Tabelle32[[#This Row],[Device ID]],BOM!$B$3:$BQ$35,44,FALSE),"")</f>
        <v>yes</v>
      </c>
      <c r="AO208" s="59" t="str">
        <f>IFERROR(VLOOKUP(Tabelle32[[#This Row],[Device ID]],BOM!$B$3:$BQ$35,45,FALSE),"")</f>
        <v>no</v>
      </c>
      <c r="AP208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08" s="59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73" t="s">
        <v>199</v>
      </c>
      <c r="BI208" s="30" t="str">
        <f>IF(COUNTA(Tabelle32[[#This Row],[Type:Vid_1080i50]:[Type:Anc_Prot]])&gt;0,"x","")</f>
        <v/>
      </c>
      <c r="BJ20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08" s="59"/>
      <c r="BL208" s="59"/>
      <c r="BM208" s="63"/>
      <c r="BN208" s="63"/>
      <c r="BO208" s="96"/>
      <c r="BP208" s="96"/>
      <c r="BQ208" s="75">
        <f>LEN(Tabelle32[[#This Row],[Label 1
GFX-Unit]])</f>
        <v>0</v>
      </c>
      <c r="BR208" s="63"/>
      <c r="BS208" s="63"/>
      <c r="BT208" s="59"/>
      <c r="BU208" s="59"/>
      <c r="BV208" s="59" t="s">
        <v>257</v>
      </c>
      <c r="BW208" s="59" t="s">
        <v>258</v>
      </c>
      <c r="BX208" s="59" t="s">
        <v>519</v>
      </c>
      <c r="BY208" s="59">
        <v>10</v>
      </c>
    </row>
    <row r="209" spans="1:77" hidden="1" x14ac:dyDescent="0.2">
      <c r="A209" s="58" t="str">
        <f>CONCATENATE(Tabelle32[[#This Row],[Device ID]],".",Tabelle32[[#This Row],[Streamcounter]])</f>
        <v>387.10214</v>
      </c>
      <c r="B20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VGW-103_SDI10_AUDrec_0014</v>
      </c>
      <c r="C209" s="60"/>
      <c r="D209" s="61"/>
      <c r="E209" s="62"/>
      <c r="F209" s="59" t="str">
        <f>IFERROR(VLOOKUP(Tabelle32[[#This Row],[Device ID]],BOM!$B$3:$BQ$35,16,FALSE),"")</f>
        <v>IngSRV-06</v>
      </c>
      <c r="G209" s="63">
        <f>VLOOKUP(Tabelle32[[#This Row],[SDI Interface]],BOM!$A$4:$B$35,2,FALSE)</f>
        <v>387</v>
      </c>
      <c r="H209" s="59" t="str">
        <f>BOM!$C$4</f>
        <v>VGW-103</v>
      </c>
      <c r="I209" s="59" t="str">
        <f>IFERROR(VLOOKUP(Tabelle32[[#This Row],[Device ID]],BOM!$B$3:$BQ$35,12,FALSE),"")</f>
        <v>Videoserver</v>
      </c>
      <c r="J209" s="59" t="str">
        <f>IFERROR(VLOOKUP(Tabelle32[[#This Row],[Device ID]],BOM!$B$3:$BQ$35,13,FALSE),"")</f>
        <v>TC.U1.223 | MDC</v>
      </c>
      <c r="K209" s="59" t="str">
        <f>IFERROR(VLOOKUP(Tabelle32[[#This Row],[Device ID]],BOM!$B$3:$BQ$35,14,FALSE),"")</f>
        <v>Imagine Comunications</v>
      </c>
      <c r="L209" s="59" t="str">
        <f>IFERROR(VLOOKUP(Tabelle32[[#This Row],[Device ID]],BOM!$B$3:$BQ$35,16,FALSE),"")</f>
        <v>IngSRV-06</v>
      </c>
      <c r="M209" s="63" t="str">
        <f>IFERROR(VLOOKUP(Tabelle32[[#This Row],[Device ID]],BOM!$B$3:$BQ$35,17,FALSE),"")</f>
        <v>M3H</v>
      </c>
      <c r="N209" s="59" t="str">
        <f>IFERROR(VLOOKUP(Tabelle32[[#This Row],[Device ID]],BOM!$B$3:$BQ$35,18,FALSE),"")</f>
        <v>TC.03.225 | M3H</v>
      </c>
      <c r="O209" s="64"/>
      <c r="P209" s="64">
        <f>IFERROR(VLOOKUP(Tabelle32[[#This Row],[Device ID]],BOM!$B$3:$BO$50,20,FALSE),"")</f>
        <v>0</v>
      </c>
      <c r="Q209" s="64">
        <f>IFERROR(VLOOKUP(Tabelle32[[#This Row],[Device ID]],BOM!$B$3:$BO$50,21,FALSE),"")</f>
        <v>1</v>
      </c>
      <c r="R209" s="64">
        <f>IFERROR(VLOOKUP(Tabelle32[[#This Row],[Device ID]],BOM!$B$3:$BO$50,22,FALSE),"")</f>
        <v>0</v>
      </c>
      <c r="S209" s="64"/>
      <c r="T209" s="64"/>
      <c r="U209" s="59" t="str">
        <f>IFERROR(VLOOKUP(Tabelle32[[#This Row],[Device ID]],BOM!$B$3:$BQ$35,25,FALSE),"")</f>
        <v>Luis/Ivo</v>
      </c>
      <c r="V209" s="59" t="str">
        <f>IFERROR(VLOOKUP(Tabelle32[[#This Row],[Device ID]],BOM!$B$3:$BQ$35,26,FALSE),"")</f>
        <v>tpco-megw-vgw103.rta.st-net.media.int</v>
      </c>
      <c r="W209" s="59" t="str">
        <f>IFERROR(VLOOKUP(Tabelle32[[#This Row],[Device ID]],BOM!$B$3:$BQ$35,27,FALSE),"")</f>
        <v>10.120.236.50</v>
      </c>
      <c r="X209" s="59" t="str">
        <f>IFERROR(VLOOKUP(Tabelle32[[#This Row],[Device ID]],BOM!$B$3:$BQ$35,28,FALSE),"")</f>
        <v>AVCoreA</v>
      </c>
      <c r="Y209" s="59" t="str">
        <f>IFERROR(VLOOKUP(Tabelle32[[#This Row],[Device ID]],BOM!$B$3:$BQ$35,29,FALSE),"")</f>
        <v>5_36_1</v>
      </c>
      <c r="Z209" s="59" t="str">
        <f>IFERROR(VLOOKUP(Tabelle32[[#This Row],[Device ID]],BOM!$B$3:$BQ$35,30,FALSE),"")</f>
        <v>tpco-megw-vgw103.rtb.st-net.media.int</v>
      </c>
      <c r="AA209" s="59" t="str">
        <f>IFERROR(VLOOKUP(Tabelle32[[#This Row],[Device ID]],BOM!$B$3:$BQ$35,31,FALSE),"")</f>
        <v>10.120.236.54</v>
      </c>
      <c r="AB209" s="59" t="str">
        <f>IFERROR(VLOOKUP(Tabelle32[[#This Row],[Device ID]],BOM!$B$3:$BQ$35,32,FALSE),"")</f>
        <v>AVCoreB</v>
      </c>
      <c r="AC209" s="59" t="str">
        <f>IFERROR(VLOOKUP(Tabelle32[[#This Row],[Device ID]],BOM!$B$3:$BQ$35,33,FALSE),"")</f>
        <v>5_36_1</v>
      </c>
      <c r="AD209" s="59" t="str">
        <f>IFERROR(VLOOKUP(Tabelle32[[#This Row],[Device ID]],BOM!$B$3:$BQ$35,34,FALSE),"")</f>
        <v>tpco-megw-vgw103.st-net.media.int</v>
      </c>
      <c r="AE209" s="59" t="str">
        <f>IFERROR(VLOOKUP(Tabelle32[[#This Row],[Device ID]],BOM!$B$3:$BQ$35,35,FALSE),"")</f>
        <v>10.120.67.141</v>
      </c>
      <c r="AF209" s="59">
        <f>IFERROR(VLOOKUP(Tabelle32[[#This Row],[Device ID]],BOM!$B$3:$BQ$35,36,FALSE),"")</f>
        <v>0</v>
      </c>
      <c r="AG209" s="59">
        <f>IFERROR(VLOOKUP(Tabelle32[[#This Row],[Device ID]],BOM!$B$3:$BQ$35,37,FALSE),"")</f>
        <v>0</v>
      </c>
      <c r="AH209" s="59"/>
      <c r="AI209" s="59"/>
      <c r="AJ209" s="59"/>
      <c r="AK209" s="59"/>
      <c r="AL209" s="59" t="str">
        <f>IFERROR(VLOOKUP(Tabelle32[[#This Row],[Device ID]],BOM!$B$3:$BQ$35,42,FALSE),"")</f>
        <v>Imagine Communications SNP</v>
      </c>
      <c r="AM209" s="59" t="str">
        <f>IFERROR(VLOOKUP(Tabelle32[[#This Row],[Device ID]],BOM!$B$3:$BQ$35,43,FALSE),"")</f>
        <v>no</v>
      </c>
      <c r="AN209" s="59" t="str">
        <f>IFERROR(VLOOKUP(Tabelle32[[#This Row],[Device ID]],BOM!$B$3:$BQ$35,44,FALSE),"")</f>
        <v>yes</v>
      </c>
      <c r="AO209" s="59" t="str">
        <f>IFERROR(VLOOKUP(Tabelle32[[#This Row],[Device ID]],BOM!$B$3:$BQ$35,45,FALSE),"")</f>
        <v>no</v>
      </c>
      <c r="AP209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09" s="59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73" t="s">
        <v>199</v>
      </c>
      <c r="BI209" s="30" t="str">
        <f>IF(COUNTA(Tabelle32[[#This Row],[Type:Vid_1080i50]:[Type:Anc_Prot]])&gt;0,"x","")</f>
        <v/>
      </c>
      <c r="BJ20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09" s="59"/>
      <c r="BL209" s="59"/>
      <c r="BM209" s="63"/>
      <c r="BN209" s="63"/>
      <c r="BO209" s="96"/>
      <c r="BP209" s="96"/>
      <c r="BQ209" s="75">
        <f>LEN(Tabelle32[[#This Row],[Label 1
GFX-Unit]])</f>
        <v>0</v>
      </c>
      <c r="BR209" s="63"/>
      <c r="BS209" s="63"/>
      <c r="BT209" s="59"/>
      <c r="BU209" s="59"/>
      <c r="BV209" s="59" t="s">
        <v>260</v>
      </c>
      <c r="BW209" s="59" t="s">
        <v>261</v>
      </c>
      <c r="BX209" s="59" t="s">
        <v>520</v>
      </c>
      <c r="BY209" s="59">
        <v>10</v>
      </c>
    </row>
    <row r="210" spans="1:77" x14ac:dyDescent="0.2">
      <c r="A210" s="58" t="str">
        <f>CONCATENATE(Tabelle32[[#This Row],[Device ID]],".",Tabelle32[[#This Row],[Streamcounter]])</f>
        <v>387.10215</v>
      </c>
      <c r="B21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VGW-103_SDI10_AUDrec_0015</v>
      </c>
      <c r="C210" s="60"/>
      <c r="D210" s="61"/>
      <c r="E210" s="62"/>
      <c r="F210" s="59" t="str">
        <f>IFERROR(VLOOKUP(Tabelle32[[#This Row],[Device ID]],BOM!$B$3:$BQ$35,16,FALSE),"")</f>
        <v>IngSRV-06</v>
      </c>
      <c r="G210" s="63">
        <f>VLOOKUP(Tabelle32[[#This Row],[SDI Interface]],BOM!$A$4:$B$35,2,FALSE)</f>
        <v>387</v>
      </c>
      <c r="H210" s="59" t="str">
        <f>BOM!$C$4</f>
        <v>VGW-103</v>
      </c>
      <c r="I210" s="59" t="str">
        <f>IFERROR(VLOOKUP(Tabelle32[[#This Row],[Device ID]],BOM!$B$3:$BQ$35,12,FALSE),"")</f>
        <v>Videoserver</v>
      </c>
      <c r="J210" s="59" t="str">
        <f>IFERROR(VLOOKUP(Tabelle32[[#This Row],[Device ID]],BOM!$B$3:$BQ$35,13,FALSE),"")</f>
        <v>TC.U1.223 | MDC</v>
      </c>
      <c r="K210" s="59" t="str">
        <f>IFERROR(VLOOKUP(Tabelle32[[#This Row],[Device ID]],BOM!$B$3:$BQ$35,14,FALSE),"")</f>
        <v>Imagine Comunications</v>
      </c>
      <c r="L210" s="59" t="str">
        <f>IFERROR(VLOOKUP(Tabelle32[[#This Row],[Device ID]],BOM!$B$3:$BQ$35,16,FALSE),"")</f>
        <v>IngSRV-06</v>
      </c>
      <c r="M210" s="63" t="str">
        <f>IFERROR(VLOOKUP(Tabelle32[[#This Row],[Device ID]],BOM!$B$3:$BQ$35,17,FALSE),"")</f>
        <v>M3H</v>
      </c>
      <c r="N210" s="59" t="str">
        <f>IFERROR(VLOOKUP(Tabelle32[[#This Row],[Device ID]],BOM!$B$3:$BQ$35,18,FALSE),"")</f>
        <v>TC.03.225 | M3H</v>
      </c>
      <c r="O210" s="64"/>
      <c r="P210" s="64">
        <f>IFERROR(VLOOKUP(Tabelle32[[#This Row],[Device ID]],BOM!$B$3:$BO$50,20,FALSE),"")</f>
        <v>0</v>
      </c>
      <c r="Q210" s="64">
        <f>IFERROR(VLOOKUP(Tabelle32[[#This Row],[Device ID]],BOM!$B$3:$BO$50,21,FALSE),"")</f>
        <v>1</v>
      </c>
      <c r="R210" s="64">
        <f>IFERROR(VLOOKUP(Tabelle32[[#This Row],[Device ID]],BOM!$B$3:$BO$50,22,FALSE),"")</f>
        <v>0</v>
      </c>
      <c r="S210" s="64"/>
      <c r="T210" s="64"/>
      <c r="U210" s="59" t="str">
        <f>IFERROR(VLOOKUP(Tabelle32[[#This Row],[Device ID]],BOM!$B$3:$BQ$35,25,FALSE),"")</f>
        <v>Luis/Ivo</v>
      </c>
      <c r="V210" s="59" t="str">
        <f>IFERROR(VLOOKUP(Tabelle32[[#This Row],[Device ID]],BOM!$B$3:$BQ$35,26,FALSE),"")</f>
        <v>tpco-megw-vgw103.rta.st-net.media.int</v>
      </c>
      <c r="W210" s="59" t="str">
        <f>IFERROR(VLOOKUP(Tabelle32[[#This Row],[Device ID]],BOM!$B$3:$BQ$35,27,FALSE),"")</f>
        <v>10.120.236.50</v>
      </c>
      <c r="X210" s="59" t="str">
        <f>IFERROR(VLOOKUP(Tabelle32[[#This Row],[Device ID]],BOM!$B$3:$BQ$35,28,FALSE),"")</f>
        <v>AVCoreA</v>
      </c>
      <c r="Y210" s="59" t="str">
        <f>IFERROR(VLOOKUP(Tabelle32[[#This Row],[Device ID]],BOM!$B$3:$BQ$35,29,FALSE),"")</f>
        <v>5_36_1</v>
      </c>
      <c r="Z210" s="59" t="str">
        <f>IFERROR(VLOOKUP(Tabelle32[[#This Row],[Device ID]],BOM!$B$3:$BQ$35,30,FALSE),"")</f>
        <v>tpco-megw-vgw103.rtb.st-net.media.int</v>
      </c>
      <c r="AA210" s="59" t="str">
        <f>IFERROR(VLOOKUP(Tabelle32[[#This Row],[Device ID]],BOM!$B$3:$BQ$35,31,FALSE),"")</f>
        <v>10.120.236.54</v>
      </c>
      <c r="AB210" s="59" t="str">
        <f>IFERROR(VLOOKUP(Tabelle32[[#This Row],[Device ID]],BOM!$B$3:$BQ$35,32,FALSE),"")</f>
        <v>AVCoreB</v>
      </c>
      <c r="AC210" s="59" t="str">
        <f>IFERROR(VLOOKUP(Tabelle32[[#This Row],[Device ID]],BOM!$B$3:$BQ$35,33,FALSE),"")</f>
        <v>5_36_1</v>
      </c>
      <c r="AD210" s="59" t="str">
        <f>IFERROR(VLOOKUP(Tabelle32[[#This Row],[Device ID]],BOM!$B$3:$BQ$35,34,FALSE),"")</f>
        <v>tpco-megw-vgw103.st-net.media.int</v>
      </c>
      <c r="AE210" s="59" t="str">
        <f>IFERROR(VLOOKUP(Tabelle32[[#This Row],[Device ID]],BOM!$B$3:$BQ$35,35,FALSE),"")</f>
        <v>10.120.67.141</v>
      </c>
      <c r="AF210" s="59">
        <f>IFERROR(VLOOKUP(Tabelle32[[#This Row],[Device ID]],BOM!$B$3:$BQ$35,36,FALSE),"")</f>
        <v>0</v>
      </c>
      <c r="AG210" s="59">
        <f>IFERROR(VLOOKUP(Tabelle32[[#This Row],[Device ID]],BOM!$B$3:$BQ$35,37,FALSE),"")</f>
        <v>0</v>
      </c>
      <c r="AH210" s="59"/>
      <c r="AI210" s="59"/>
      <c r="AJ210" s="59"/>
      <c r="AK210" s="59"/>
      <c r="AL210" s="59" t="str">
        <f>IFERROR(VLOOKUP(Tabelle32[[#This Row],[Device ID]],BOM!$B$3:$BQ$35,42,FALSE),"")</f>
        <v>Imagine Communications SNP</v>
      </c>
      <c r="AM210" s="59" t="str">
        <f>IFERROR(VLOOKUP(Tabelle32[[#This Row],[Device ID]],BOM!$B$3:$BQ$35,43,FALSE),"")</f>
        <v>no</v>
      </c>
      <c r="AN210" s="59" t="str">
        <f>IFERROR(VLOOKUP(Tabelle32[[#This Row],[Device ID]],BOM!$B$3:$BQ$35,44,FALSE),"")</f>
        <v>yes</v>
      </c>
      <c r="AO210" s="59" t="str">
        <f>IFERROR(VLOOKUP(Tabelle32[[#This Row],[Device ID]],BOM!$B$3:$BQ$35,45,FALSE),"")</f>
        <v>no</v>
      </c>
      <c r="AP210" s="59" t="str">
        <f>IFERROR(CONCATENATE(Tabelle32[[#This Row],[Family
GFX-Unit]]," | ",Tabelle32[[#This Row],[Label 1
GFX-Unit]]," | ",Tabelle32[[#This Row],[Attached Device if Gateway]]),"")</f>
        <v>M3H InCh REM | Ingest Ch22-15 | IngSRV-06</v>
      </c>
      <c r="AQ210" s="59"/>
      <c r="AR210" s="90"/>
      <c r="AS210" s="90"/>
      <c r="AT210" s="90"/>
      <c r="AU210" s="90"/>
      <c r="AV210" s="90"/>
      <c r="AW210" s="90" t="s">
        <v>97</v>
      </c>
      <c r="AX210" s="90"/>
      <c r="AY210" s="90"/>
      <c r="AZ210" s="90" t="s">
        <v>97</v>
      </c>
      <c r="BA210" s="90"/>
      <c r="BB210" s="90" t="s">
        <v>97</v>
      </c>
      <c r="BC210" s="90" t="s">
        <v>97</v>
      </c>
      <c r="BD210" s="90" t="s">
        <v>97</v>
      </c>
      <c r="BE210" s="90"/>
      <c r="BF210" s="90"/>
      <c r="BG210" s="90"/>
      <c r="BH210" s="73" t="s">
        <v>199</v>
      </c>
      <c r="BI210" s="30" t="str">
        <f>IF(COUNTA(Tabelle32[[#This Row],[Type:Vid_1080i50]:[Type:Anc_Prot]])&gt;0,"x","")</f>
        <v>x</v>
      </c>
      <c r="BJ21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10" s="59"/>
      <c r="BL210" s="59"/>
      <c r="BM210" s="63"/>
      <c r="BN210" s="63"/>
      <c r="BO210" s="97" t="s">
        <v>458</v>
      </c>
      <c r="BP210" s="97" t="s">
        <v>521</v>
      </c>
      <c r="BQ210" s="75">
        <f>LEN(Tabelle32[[#This Row],[Label 1
GFX-Unit]])</f>
        <v>14</v>
      </c>
      <c r="BR210" s="63"/>
      <c r="BS210" s="63"/>
      <c r="BT210" s="59"/>
      <c r="BU210" s="59"/>
      <c r="BV210" s="59" t="s">
        <v>264</v>
      </c>
      <c r="BW210" s="59" t="s">
        <v>265</v>
      </c>
      <c r="BX210" s="59" t="s">
        <v>522</v>
      </c>
      <c r="BY210" s="59">
        <v>10</v>
      </c>
    </row>
    <row r="211" spans="1:77" x14ac:dyDescent="0.2">
      <c r="A211" s="58" t="str">
        <f>CONCATENATE(Tabelle32[[#This Row],[Device ID]],".",Tabelle32[[#This Row],[Streamcounter]])</f>
        <v>387.10216</v>
      </c>
      <c r="B21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VGW-103_SDI10_AUDrec_0016</v>
      </c>
      <c r="C211" s="60"/>
      <c r="D211" s="61"/>
      <c r="E211" s="62"/>
      <c r="F211" s="59" t="str">
        <f>IFERROR(VLOOKUP(Tabelle32[[#This Row],[Device ID]],BOM!$B$3:$BQ$35,16,FALSE),"")</f>
        <v>IngSRV-06</v>
      </c>
      <c r="G211" s="63">
        <f>VLOOKUP(Tabelle32[[#This Row],[SDI Interface]],BOM!$A$4:$B$35,2,FALSE)</f>
        <v>387</v>
      </c>
      <c r="H211" s="59" t="str">
        <f>BOM!$C$4</f>
        <v>VGW-103</v>
      </c>
      <c r="I211" s="59" t="str">
        <f>IFERROR(VLOOKUP(Tabelle32[[#This Row],[Device ID]],BOM!$B$3:$BQ$35,12,FALSE),"")</f>
        <v>Videoserver</v>
      </c>
      <c r="J211" s="59" t="str">
        <f>IFERROR(VLOOKUP(Tabelle32[[#This Row],[Device ID]],BOM!$B$3:$BQ$35,13,FALSE),"")</f>
        <v>TC.U1.223 | MDC</v>
      </c>
      <c r="K211" s="59" t="str">
        <f>IFERROR(VLOOKUP(Tabelle32[[#This Row],[Device ID]],BOM!$B$3:$BQ$35,14,FALSE),"")</f>
        <v>Imagine Comunications</v>
      </c>
      <c r="L211" s="59" t="str">
        <f>IFERROR(VLOOKUP(Tabelle32[[#This Row],[Device ID]],BOM!$B$3:$BQ$35,16,FALSE),"")</f>
        <v>IngSRV-06</v>
      </c>
      <c r="M211" s="63" t="str">
        <f>IFERROR(VLOOKUP(Tabelle32[[#This Row],[Device ID]],BOM!$B$3:$BQ$35,17,FALSE),"")</f>
        <v>M3H</v>
      </c>
      <c r="N211" s="59" t="str">
        <f>IFERROR(VLOOKUP(Tabelle32[[#This Row],[Device ID]],BOM!$B$3:$BQ$35,18,FALSE),"")</f>
        <v>TC.03.225 | M3H</v>
      </c>
      <c r="O211" s="64"/>
      <c r="P211" s="64">
        <f>IFERROR(VLOOKUP(Tabelle32[[#This Row],[Device ID]],BOM!$B$3:$BO$50,20,FALSE),"")</f>
        <v>0</v>
      </c>
      <c r="Q211" s="64">
        <f>IFERROR(VLOOKUP(Tabelle32[[#This Row],[Device ID]],BOM!$B$3:$BO$50,21,FALSE),"")</f>
        <v>1</v>
      </c>
      <c r="R211" s="64">
        <f>IFERROR(VLOOKUP(Tabelle32[[#This Row],[Device ID]],BOM!$B$3:$BO$50,22,FALSE),"")</f>
        <v>0</v>
      </c>
      <c r="S211" s="64"/>
      <c r="T211" s="64"/>
      <c r="U211" s="59" t="str">
        <f>IFERROR(VLOOKUP(Tabelle32[[#This Row],[Device ID]],BOM!$B$3:$BQ$35,25,FALSE),"")</f>
        <v>Luis/Ivo</v>
      </c>
      <c r="V211" s="59" t="str">
        <f>IFERROR(VLOOKUP(Tabelle32[[#This Row],[Device ID]],BOM!$B$3:$BQ$35,26,FALSE),"")</f>
        <v>tpco-megw-vgw103.rta.st-net.media.int</v>
      </c>
      <c r="W211" s="59" t="str">
        <f>IFERROR(VLOOKUP(Tabelle32[[#This Row],[Device ID]],BOM!$B$3:$BQ$35,27,FALSE),"")</f>
        <v>10.120.236.50</v>
      </c>
      <c r="X211" s="59" t="str">
        <f>IFERROR(VLOOKUP(Tabelle32[[#This Row],[Device ID]],BOM!$B$3:$BQ$35,28,FALSE),"")</f>
        <v>AVCoreA</v>
      </c>
      <c r="Y211" s="59" t="str">
        <f>IFERROR(VLOOKUP(Tabelle32[[#This Row],[Device ID]],BOM!$B$3:$BQ$35,29,FALSE),"")</f>
        <v>5_36_1</v>
      </c>
      <c r="Z211" s="59" t="str">
        <f>IFERROR(VLOOKUP(Tabelle32[[#This Row],[Device ID]],BOM!$B$3:$BQ$35,30,FALSE),"")</f>
        <v>tpco-megw-vgw103.rtb.st-net.media.int</v>
      </c>
      <c r="AA211" s="59" t="str">
        <f>IFERROR(VLOOKUP(Tabelle32[[#This Row],[Device ID]],BOM!$B$3:$BQ$35,31,FALSE),"")</f>
        <v>10.120.236.54</v>
      </c>
      <c r="AB211" s="59" t="str">
        <f>IFERROR(VLOOKUP(Tabelle32[[#This Row],[Device ID]],BOM!$B$3:$BQ$35,32,FALSE),"")</f>
        <v>AVCoreB</v>
      </c>
      <c r="AC211" s="59" t="str">
        <f>IFERROR(VLOOKUP(Tabelle32[[#This Row],[Device ID]],BOM!$B$3:$BQ$35,33,FALSE),"")</f>
        <v>5_36_1</v>
      </c>
      <c r="AD211" s="59" t="str">
        <f>IFERROR(VLOOKUP(Tabelle32[[#This Row],[Device ID]],BOM!$B$3:$BQ$35,34,FALSE),"")</f>
        <v>tpco-megw-vgw103.st-net.media.int</v>
      </c>
      <c r="AE211" s="59" t="str">
        <f>IFERROR(VLOOKUP(Tabelle32[[#This Row],[Device ID]],BOM!$B$3:$BQ$35,35,FALSE),"")</f>
        <v>10.120.67.141</v>
      </c>
      <c r="AF211" s="59">
        <f>IFERROR(VLOOKUP(Tabelle32[[#This Row],[Device ID]],BOM!$B$3:$BQ$35,36,FALSE),"")</f>
        <v>0</v>
      </c>
      <c r="AG211" s="59">
        <f>IFERROR(VLOOKUP(Tabelle32[[#This Row],[Device ID]],BOM!$B$3:$BQ$35,37,FALSE),"")</f>
        <v>0</v>
      </c>
      <c r="AH211" s="59"/>
      <c r="AI211" s="59"/>
      <c r="AJ211" s="59"/>
      <c r="AK211" s="59"/>
      <c r="AL211" s="59" t="str">
        <f>IFERROR(VLOOKUP(Tabelle32[[#This Row],[Device ID]],BOM!$B$3:$BQ$35,42,FALSE),"")</f>
        <v>Imagine Communications SNP</v>
      </c>
      <c r="AM211" s="59" t="str">
        <f>IFERROR(VLOOKUP(Tabelle32[[#This Row],[Device ID]],BOM!$B$3:$BQ$35,43,FALSE),"")</f>
        <v>no</v>
      </c>
      <c r="AN211" s="59" t="str">
        <f>IFERROR(VLOOKUP(Tabelle32[[#This Row],[Device ID]],BOM!$B$3:$BQ$35,44,FALSE),"")</f>
        <v>yes</v>
      </c>
      <c r="AO211" s="59" t="str">
        <f>IFERROR(VLOOKUP(Tabelle32[[#This Row],[Device ID]],BOM!$B$3:$BQ$35,45,FALSE),"")</f>
        <v>no</v>
      </c>
      <c r="AP211" s="59" t="str">
        <f>IFERROR(CONCATENATE(Tabelle32[[#This Row],[Family
GFX-Unit]]," | ",Tabelle32[[#This Row],[Label 1
GFX-Unit]]," | ",Tabelle32[[#This Row],[Attached Device if Gateway]]),"")</f>
        <v>M3H InCh REM | Ingest Ch22-16 | IngSRV-06</v>
      </c>
      <c r="AQ211" s="59"/>
      <c r="AR211" s="90"/>
      <c r="AS211" s="90"/>
      <c r="AT211" s="90"/>
      <c r="AU211" s="90"/>
      <c r="AV211" s="90"/>
      <c r="AW211" s="90" t="s">
        <v>97</v>
      </c>
      <c r="AX211" s="90"/>
      <c r="AY211" s="90"/>
      <c r="AZ211" s="90" t="s">
        <v>97</v>
      </c>
      <c r="BA211" s="90"/>
      <c r="BB211" s="90" t="s">
        <v>97</v>
      </c>
      <c r="BC211" s="90" t="s">
        <v>97</v>
      </c>
      <c r="BD211" s="90" t="s">
        <v>97</v>
      </c>
      <c r="BE211" s="90"/>
      <c r="BF211" s="90"/>
      <c r="BG211" s="90"/>
      <c r="BH211" s="73" t="s">
        <v>199</v>
      </c>
      <c r="BI211" s="30" t="str">
        <f>IF(COUNTA(Tabelle32[[#This Row],[Type:Vid_1080i50]:[Type:Anc_Prot]])&gt;0,"x","")</f>
        <v>x</v>
      </c>
      <c r="BJ21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11" s="59"/>
      <c r="BL211" s="59"/>
      <c r="BM211" s="63"/>
      <c r="BN211" s="63"/>
      <c r="BO211" s="97" t="s">
        <v>458</v>
      </c>
      <c r="BP211" s="97" t="s">
        <v>523</v>
      </c>
      <c r="BQ211" s="75">
        <f>LEN(Tabelle32[[#This Row],[Label 1
GFX-Unit]])</f>
        <v>14</v>
      </c>
      <c r="BR211" s="63"/>
      <c r="BS211" s="63"/>
      <c r="BT211" s="59"/>
      <c r="BU211" s="59"/>
      <c r="BV211" s="59" t="s">
        <v>268</v>
      </c>
      <c r="BW211" s="59" t="s">
        <v>269</v>
      </c>
      <c r="BX211" s="59" t="s">
        <v>524</v>
      </c>
      <c r="BY211" s="59">
        <v>10</v>
      </c>
    </row>
    <row r="212" spans="1:77" x14ac:dyDescent="0.2">
      <c r="A212" s="58" t="str">
        <f>CONCATENATE(Tabelle32[[#This Row],[Device ID]],".",Tabelle32[[#This Row],[Streamcounter]])</f>
        <v>387.10101</v>
      </c>
      <c r="B21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VGW-103_SDI10_VIDrec_0001</v>
      </c>
      <c r="C212" s="60"/>
      <c r="D212" s="61"/>
      <c r="E212" s="62"/>
      <c r="F212" s="59" t="str">
        <f>IFERROR(VLOOKUP(Tabelle32[[#This Row],[Device ID]],BOM!$B$3:$BQ$35,16,FALSE),"")</f>
        <v>IngSRV-06</v>
      </c>
      <c r="G212" s="63">
        <f>VLOOKUP(Tabelle32[[#This Row],[SDI Interface]],BOM!$A$4:$B$35,2,FALSE)</f>
        <v>387</v>
      </c>
      <c r="H212" s="59" t="str">
        <f>BOM!$C$4</f>
        <v>VGW-103</v>
      </c>
      <c r="I212" s="59" t="str">
        <f>IFERROR(VLOOKUP(Tabelle32[[#This Row],[Device ID]],BOM!$B$3:$BQ$35,12,FALSE),"")</f>
        <v>Videoserver</v>
      </c>
      <c r="J212" s="59" t="str">
        <f>IFERROR(VLOOKUP(Tabelle32[[#This Row],[Device ID]],BOM!$B$3:$BQ$35,13,FALSE),"")</f>
        <v>TC.U1.223 | MDC</v>
      </c>
      <c r="K212" s="59" t="str">
        <f>IFERROR(VLOOKUP(Tabelle32[[#This Row],[Device ID]],BOM!$B$3:$BQ$35,14,FALSE),"")</f>
        <v>Imagine Comunications</v>
      </c>
      <c r="L212" s="59" t="str">
        <f>IFERROR(VLOOKUP(Tabelle32[[#This Row],[Device ID]],BOM!$B$3:$BQ$35,16,FALSE),"")</f>
        <v>IngSRV-06</v>
      </c>
      <c r="M212" s="63" t="str">
        <f>IFERROR(VLOOKUP(Tabelle32[[#This Row],[Device ID]],BOM!$B$3:$BQ$35,17,FALSE),"")</f>
        <v>M3H</v>
      </c>
      <c r="N212" s="59" t="str">
        <f>IFERROR(VLOOKUP(Tabelle32[[#This Row],[Device ID]],BOM!$B$3:$BQ$35,18,FALSE),"")</f>
        <v>TC.03.225 | M3H</v>
      </c>
      <c r="O212" s="64"/>
      <c r="P212" s="64">
        <f>IFERROR(VLOOKUP(Tabelle32[[#This Row],[Device ID]],BOM!$B$3:$BO$50,20,FALSE),"")</f>
        <v>0</v>
      </c>
      <c r="Q212" s="64">
        <f>IFERROR(VLOOKUP(Tabelle32[[#This Row],[Device ID]],BOM!$B$3:$BO$50,21,FALSE),"")</f>
        <v>1</v>
      </c>
      <c r="R212" s="64">
        <f>IFERROR(VLOOKUP(Tabelle32[[#This Row],[Device ID]],BOM!$B$3:$BO$50,22,FALSE),"")</f>
        <v>0</v>
      </c>
      <c r="S212" s="64"/>
      <c r="T212" s="64"/>
      <c r="U212" s="59" t="str">
        <f>IFERROR(VLOOKUP(Tabelle32[[#This Row],[Device ID]],BOM!$B$3:$BQ$35,25,FALSE),"")</f>
        <v>Luis/Ivo</v>
      </c>
      <c r="V212" s="59" t="str">
        <f>IFERROR(VLOOKUP(Tabelle32[[#This Row],[Device ID]],BOM!$B$3:$BQ$35,26,FALSE),"")</f>
        <v>tpco-megw-vgw103.rta.st-net.media.int</v>
      </c>
      <c r="W212" s="59" t="str">
        <f>IFERROR(VLOOKUP(Tabelle32[[#This Row],[Device ID]],BOM!$B$3:$BQ$35,27,FALSE),"")</f>
        <v>10.120.236.50</v>
      </c>
      <c r="X212" s="59" t="str">
        <f>IFERROR(VLOOKUP(Tabelle32[[#This Row],[Device ID]],BOM!$B$3:$BQ$35,28,FALSE),"")</f>
        <v>AVCoreA</v>
      </c>
      <c r="Y212" s="59" t="str">
        <f>IFERROR(VLOOKUP(Tabelle32[[#This Row],[Device ID]],BOM!$B$3:$BQ$35,29,FALSE),"")</f>
        <v>5_36_1</v>
      </c>
      <c r="Z212" s="59" t="str">
        <f>IFERROR(VLOOKUP(Tabelle32[[#This Row],[Device ID]],BOM!$B$3:$BQ$35,30,FALSE),"")</f>
        <v>tpco-megw-vgw103.rtb.st-net.media.int</v>
      </c>
      <c r="AA212" s="59" t="str">
        <f>IFERROR(VLOOKUP(Tabelle32[[#This Row],[Device ID]],BOM!$B$3:$BQ$35,31,FALSE),"")</f>
        <v>10.120.236.54</v>
      </c>
      <c r="AB212" s="59" t="str">
        <f>IFERROR(VLOOKUP(Tabelle32[[#This Row],[Device ID]],BOM!$B$3:$BQ$35,32,FALSE),"")</f>
        <v>AVCoreB</v>
      </c>
      <c r="AC212" s="59" t="str">
        <f>IFERROR(VLOOKUP(Tabelle32[[#This Row],[Device ID]],BOM!$B$3:$BQ$35,33,FALSE),"")</f>
        <v>5_36_1</v>
      </c>
      <c r="AD212" s="59" t="str">
        <f>IFERROR(VLOOKUP(Tabelle32[[#This Row],[Device ID]],BOM!$B$3:$BQ$35,34,FALSE),"")</f>
        <v>tpco-megw-vgw103.st-net.media.int</v>
      </c>
      <c r="AE212" s="59" t="str">
        <f>IFERROR(VLOOKUP(Tabelle32[[#This Row],[Device ID]],BOM!$B$3:$BQ$35,35,FALSE),"")</f>
        <v>10.120.67.141</v>
      </c>
      <c r="AF212" s="59">
        <f>IFERROR(VLOOKUP(Tabelle32[[#This Row],[Device ID]],BOM!$B$3:$BQ$35,36,FALSE),"")</f>
        <v>0</v>
      </c>
      <c r="AG212" s="59">
        <f>IFERROR(VLOOKUP(Tabelle32[[#This Row],[Device ID]],BOM!$B$3:$BQ$35,37,FALSE),"")</f>
        <v>0</v>
      </c>
      <c r="AH212" s="59"/>
      <c r="AI212" s="59"/>
      <c r="AJ212" s="59"/>
      <c r="AK212" s="59"/>
      <c r="AL212" s="59" t="str">
        <f>IFERROR(VLOOKUP(Tabelle32[[#This Row],[Device ID]],BOM!$B$3:$BQ$35,42,FALSE),"")</f>
        <v>Imagine Communications SNP</v>
      </c>
      <c r="AM212" s="59" t="str">
        <f>IFERROR(VLOOKUP(Tabelle32[[#This Row],[Device ID]],BOM!$B$3:$BQ$35,43,FALSE),"")</f>
        <v>no</v>
      </c>
      <c r="AN212" s="59" t="str">
        <f>IFERROR(VLOOKUP(Tabelle32[[#This Row],[Device ID]],BOM!$B$3:$BQ$35,44,FALSE),"")</f>
        <v>yes</v>
      </c>
      <c r="AO212" s="59" t="str">
        <f>IFERROR(VLOOKUP(Tabelle32[[#This Row],[Device ID]],BOM!$B$3:$BQ$35,45,FALSE),"")</f>
        <v>no</v>
      </c>
      <c r="AP212" s="59" t="str">
        <f>IFERROR(CONCATENATE(Tabelle32[[#This Row],[Family
GFX-Unit]]," | ",Tabelle32[[#This Row],[Label 1
GFX-Unit]]," | ",Tabelle32[[#This Row],[Attached Device if Gateway]]),"")</f>
        <v>M3H InCh REM | Ingest Ch22 | IngSRV-06</v>
      </c>
      <c r="AQ212" s="59"/>
      <c r="AR212" s="90" t="s">
        <v>97</v>
      </c>
      <c r="AS212" s="90" t="s">
        <v>97</v>
      </c>
      <c r="AT212" s="90" t="s">
        <v>97</v>
      </c>
      <c r="AU212" s="90"/>
      <c r="AV212" s="90" t="s">
        <v>97</v>
      </c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73" t="s">
        <v>199</v>
      </c>
      <c r="BI212" s="30" t="str">
        <f>IF(COUNTA(Tabelle32[[#This Row],[Type:Vid_1080i50]:[Type:Anc_Prot]])&gt;0,"x","")</f>
        <v>x</v>
      </c>
      <c r="BJ21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212" s="59"/>
      <c r="BL212" s="59"/>
      <c r="BM212" s="63"/>
      <c r="BN212" s="63"/>
      <c r="BO212" s="97" t="s">
        <v>458</v>
      </c>
      <c r="BP212" s="97" t="s">
        <v>525</v>
      </c>
      <c r="BQ212" s="75">
        <f>LEN(Tabelle32[[#This Row],[Label 1
GFX-Unit]])</f>
        <v>11</v>
      </c>
      <c r="BR212" s="63"/>
      <c r="BS212" s="63"/>
      <c r="BT212" s="59"/>
      <c r="BU212" s="59"/>
      <c r="BV212" s="59" t="s">
        <v>272</v>
      </c>
      <c r="BW212" s="59" t="s">
        <v>273</v>
      </c>
      <c r="BX212" s="59" t="s">
        <v>526</v>
      </c>
      <c r="BY212" s="59">
        <v>10</v>
      </c>
    </row>
    <row r="213" spans="1:77" x14ac:dyDescent="0.2">
      <c r="A213" s="58" t="str">
        <f>CONCATENATE(Tabelle32[[#This Row],[Device ID]],".",Tabelle32[[#This Row],[Streamcounter]])</f>
        <v>388.11301</v>
      </c>
      <c r="B21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VGW-103_SDI11_ANCrec_0001</v>
      </c>
      <c r="C213" s="60"/>
      <c r="D213" s="61"/>
      <c r="E213" s="62"/>
      <c r="F213" s="59" t="str">
        <f>IFERROR(VLOOKUP(Tabelle32[[#This Row],[Device ID]],BOM!$B$3:$BQ$35,16,FALSE),"")</f>
        <v>IngSRV-06</v>
      </c>
      <c r="G213" s="63">
        <f>VLOOKUP(Tabelle32[[#This Row],[SDI Interface]],BOM!$A$4:$B$35,2,FALSE)</f>
        <v>388</v>
      </c>
      <c r="H213" s="59" t="str">
        <f>BOM!$C$4</f>
        <v>VGW-103</v>
      </c>
      <c r="I213" s="59" t="str">
        <f>IFERROR(VLOOKUP(Tabelle32[[#This Row],[Device ID]],BOM!$B$3:$BQ$35,12,FALSE),"")</f>
        <v>Videoserver</v>
      </c>
      <c r="J213" s="59" t="str">
        <f>IFERROR(VLOOKUP(Tabelle32[[#This Row],[Device ID]],BOM!$B$3:$BQ$35,13,FALSE),"")</f>
        <v>TC.U1.223 | MDC</v>
      </c>
      <c r="K213" s="59" t="str">
        <f>IFERROR(VLOOKUP(Tabelle32[[#This Row],[Device ID]],BOM!$B$3:$BQ$35,14,FALSE),"")</f>
        <v>Imagine Comunications</v>
      </c>
      <c r="L213" s="59" t="str">
        <f>IFERROR(VLOOKUP(Tabelle32[[#This Row],[Device ID]],BOM!$B$3:$BQ$35,16,FALSE),"")</f>
        <v>IngSRV-06</v>
      </c>
      <c r="M213" s="63" t="str">
        <f>IFERROR(VLOOKUP(Tabelle32[[#This Row],[Device ID]],BOM!$B$3:$BQ$35,17,FALSE),"")</f>
        <v>M3H</v>
      </c>
      <c r="N213" s="59" t="str">
        <f>IFERROR(VLOOKUP(Tabelle32[[#This Row],[Device ID]],BOM!$B$3:$BQ$35,18,FALSE),"")</f>
        <v>TC.03.225 | M3H</v>
      </c>
      <c r="O213" s="64"/>
      <c r="P213" s="64">
        <f>IFERROR(VLOOKUP(Tabelle32[[#This Row],[Device ID]],BOM!$B$3:$BO$50,20,FALSE),"")</f>
        <v>0</v>
      </c>
      <c r="Q213" s="64">
        <f>IFERROR(VLOOKUP(Tabelle32[[#This Row],[Device ID]],BOM!$B$3:$BO$50,21,FALSE),"")</f>
        <v>1</v>
      </c>
      <c r="R213" s="64">
        <f>IFERROR(VLOOKUP(Tabelle32[[#This Row],[Device ID]],BOM!$B$3:$BO$50,22,FALSE),"")</f>
        <v>0</v>
      </c>
      <c r="S213" s="64"/>
      <c r="T213" s="64"/>
      <c r="U213" s="59" t="str">
        <f>IFERROR(VLOOKUP(Tabelle32[[#This Row],[Device ID]],BOM!$B$3:$BQ$35,25,FALSE),"")</f>
        <v>Luis/Ivo</v>
      </c>
      <c r="V213" s="59" t="str">
        <f>IFERROR(VLOOKUP(Tabelle32[[#This Row],[Device ID]],BOM!$B$3:$BQ$35,26,FALSE),"")</f>
        <v>tpco-megw-vgw103.rta.st-net.media.int</v>
      </c>
      <c r="W213" s="59" t="str">
        <f>IFERROR(VLOOKUP(Tabelle32[[#This Row],[Device ID]],BOM!$B$3:$BQ$35,27,FALSE),"")</f>
        <v>10.120.236.50</v>
      </c>
      <c r="X213" s="59" t="str">
        <f>IFERROR(VLOOKUP(Tabelle32[[#This Row],[Device ID]],BOM!$B$3:$BQ$35,28,FALSE),"")</f>
        <v>AVCoreA</v>
      </c>
      <c r="Y213" s="59" t="str">
        <f>IFERROR(VLOOKUP(Tabelle32[[#This Row],[Device ID]],BOM!$B$3:$BQ$35,29,FALSE),"")</f>
        <v>5_36_1</v>
      </c>
      <c r="Z213" s="59" t="str">
        <f>IFERROR(VLOOKUP(Tabelle32[[#This Row],[Device ID]],BOM!$B$3:$BQ$35,30,FALSE),"")</f>
        <v>tpco-megw-vgw103.rtb.st-net.media.int</v>
      </c>
      <c r="AA213" s="59" t="str">
        <f>IFERROR(VLOOKUP(Tabelle32[[#This Row],[Device ID]],BOM!$B$3:$BQ$35,31,FALSE),"")</f>
        <v>10.120.236.54</v>
      </c>
      <c r="AB213" s="59" t="str">
        <f>IFERROR(VLOOKUP(Tabelle32[[#This Row],[Device ID]],BOM!$B$3:$BQ$35,32,FALSE),"")</f>
        <v>AVCoreB</v>
      </c>
      <c r="AC213" s="59" t="str">
        <f>IFERROR(VLOOKUP(Tabelle32[[#This Row],[Device ID]],BOM!$B$3:$BQ$35,33,FALSE),"")</f>
        <v>5_36_1</v>
      </c>
      <c r="AD213" s="59" t="str">
        <f>IFERROR(VLOOKUP(Tabelle32[[#This Row],[Device ID]],BOM!$B$3:$BQ$35,34,FALSE),"")</f>
        <v>tpco-megw-vgw103.st-net.media.int</v>
      </c>
      <c r="AE213" s="59" t="str">
        <f>IFERROR(VLOOKUP(Tabelle32[[#This Row],[Device ID]],BOM!$B$3:$BQ$35,35,FALSE),"")</f>
        <v>10.120.67.141</v>
      </c>
      <c r="AF213" s="59">
        <f>IFERROR(VLOOKUP(Tabelle32[[#This Row],[Device ID]],BOM!$B$3:$BQ$35,36,FALSE),"")</f>
        <v>0</v>
      </c>
      <c r="AG213" s="59">
        <f>IFERROR(VLOOKUP(Tabelle32[[#This Row],[Device ID]],BOM!$B$3:$BQ$35,37,FALSE),"")</f>
        <v>0</v>
      </c>
      <c r="AH213" s="59"/>
      <c r="AI213" s="59"/>
      <c r="AJ213" s="59"/>
      <c r="AK213" s="59"/>
      <c r="AL213" s="59" t="str">
        <f>IFERROR(VLOOKUP(Tabelle32[[#This Row],[Device ID]],BOM!$B$3:$BQ$35,42,FALSE),"")</f>
        <v>Imagine Communications SNP</v>
      </c>
      <c r="AM213" s="59" t="str">
        <f>IFERROR(VLOOKUP(Tabelle32[[#This Row],[Device ID]],BOM!$B$3:$BQ$35,43,FALSE),"")</f>
        <v>no</v>
      </c>
      <c r="AN213" s="59" t="str">
        <f>IFERROR(VLOOKUP(Tabelle32[[#This Row],[Device ID]],BOM!$B$3:$BQ$35,44,FALSE),"")</f>
        <v>yes</v>
      </c>
      <c r="AO213" s="59" t="str">
        <f>IFERROR(VLOOKUP(Tabelle32[[#This Row],[Device ID]],BOM!$B$3:$BQ$35,45,FALSE),"")</f>
        <v>no</v>
      </c>
      <c r="AP213" s="59" t="str">
        <f>IFERROR(CONCATENATE(Tabelle32[[#This Row],[Family
GFX-Unit]]," | ",Tabelle32[[#This Row],[Label 1
GFX-Unit]]," | ",Tabelle32[[#This Row],[Attached Device if Gateway]]),"")</f>
        <v>M3H InCh REM | Ingest Ch23-ANC1 | IngSRV-06</v>
      </c>
      <c r="AQ213" s="59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 t="s">
        <v>97</v>
      </c>
      <c r="BH213" s="73" t="s">
        <v>199</v>
      </c>
      <c r="BI213" s="30" t="str">
        <f>IF(COUNTA(Tabelle32[[#This Row],[Type:Vid_1080i50]:[Type:Anc_Prot]])&gt;0,"x","")</f>
        <v>x</v>
      </c>
      <c r="BJ21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213" s="59"/>
      <c r="BL213" s="59"/>
      <c r="BM213" s="63"/>
      <c r="BN213" s="63"/>
      <c r="BO213" s="97" t="s">
        <v>458</v>
      </c>
      <c r="BP213" s="97" t="s">
        <v>527</v>
      </c>
      <c r="BQ213" s="75">
        <f>LEN(Tabelle32[[#This Row],[Label 1
GFX-Unit]])</f>
        <v>16</v>
      </c>
      <c r="BR213" s="63"/>
      <c r="BS213" s="63"/>
      <c r="BT213" s="59"/>
      <c r="BU213" s="59"/>
      <c r="BV213" s="59" t="s">
        <v>202</v>
      </c>
      <c r="BW213" s="59" t="s">
        <v>203</v>
      </c>
      <c r="BX213" s="59" t="s">
        <v>528</v>
      </c>
      <c r="BY213" s="59">
        <v>11</v>
      </c>
    </row>
    <row r="214" spans="1:77" hidden="1" x14ac:dyDescent="0.2">
      <c r="A214" s="58" t="str">
        <f>CONCATENATE(Tabelle32[[#This Row],[Device ID]],".",Tabelle32[[#This Row],[Streamcounter]])</f>
        <v>388.11302</v>
      </c>
      <c r="B21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VGW-103_SDI11_ANCrec_0002</v>
      </c>
      <c r="C214" s="60"/>
      <c r="D214" s="61"/>
      <c r="E214" s="62"/>
      <c r="F214" s="59" t="str">
        <f>IFERROR(VLOOKUP(Tabelle32[[#This Row],[Device ID]],BOM!$B$3:$BQ$35,16,FALSE),"")</f>
        <v>IngSRV-06</v>
      </c>
      <c r="G214" s="63">
        <f>VLOOKUP(Tabelle32[[#This Row],[SDI Interface]],BOM!$A$4:$B$35,2,FALSE)</f>
        <v>388</v>
      </c>
      <c r="H214" s="59" t="str">
        <f>BOM!$C$4</f>
        <v>VGW-103</v>
      </c>
      <c r="I214" s="59" t="str">
        <f>IFERROR(VLOOKUP(Tabelle32[[#This Row],[Device ID]],BOM!$B$3:$BQ$35,12,FALSE),"")</f>
        <v>Videoserver</v>
      </c>
      <c r="J214" s="59" t="str">
        <f>IFERROR(VLOOKUP(Tabelle32[[#This Row],[Device ID]],BOM!$B$3:$BQ$35,13,FALSE),"")</f>
        <v>TC.U1.223 | MDC</v>
      </c>
      <c r="K214" s="59" t="str">
        <f>IFERROR(VLOOKUP(Tabelle32[[#This Row],[Device ID]],BOM!$B$3:$BQ$35,14,FALSE),"")</f>
        <v>Imagine Comunications</v>
      </c>
      <c r="L214" s="59" t="str">
        <f>IFERROR(VLOOKUP(Tabelle32[[#This Row],[Device ID]],BOM!$B$3:$BQ$35,16,FALSE),"")</f>
        <v>IngSRV-06</v>
      </c>
      <c r="M214" s="63" t="str">
        <f>IFERROR(VLOOKUP(Tabelle32[[#This Row],[Device ID]],BOM!$B$3:$BQ$35,17,FALSE),"")</f>
        <v>M3H</v>
      </c>
      <c r="N214" s="59" t="str">
        <f>IFERROR(VLOOKUP(Tabelle32[[#This Row],[Device ID]],BOM!$B$3:$BQ$35,18,FALSE),"")</f>
        <v>TC.03.225 | M3H</v>
      </c>
      <c r="O214" s="64"/>
      <c r="P214" s="64">
        <f>IFERROR(VLOOKUP(Tabelle32[[#This Row],[Device ID]],BOM!$B$3:$BO$50,20,FALSE),"")</f>
        <v>0</v>
      </c>
      <c r="Q214" s="64">
        <f>IFERROR(VLOOKUP(Tabelle32[[#This Row],[Device ID]],BOM!$B$3:$BO$50,21,FALSE),"")</f>
        <v>1</v>
      </c>
      <c r="R214" s="64">
        <f>IFERROR(VLOOKUP(Tabelle32[[#This Row],[Device ID]],BOM!$B$3:$BO$50,22,FALSE),"")</f>
        <v>0</v>
      </c>
      <c r="S214" s="64"/>
      <c r="T214" s="64"/>
      <c r="U214" s="59" t="str">
        <f>IFERROR(VLOOKUP(Tabelle32[[#This Row],[Device ID]],BOM!$B$3:$BQ$35,25,FALSE),"")</f>
        <v>Luis/Ivo</v>
      </c>
      <c r="V214" s="59" t="str">
        <f>IFERROR(VLOOKUP(Tabelle32[[#This Row],[Device ID]],BOM!$B$3:$BQ$35,26,FALSE),"")</f>
        <v>tpco-megw-vgw103.rta.st-net.media.int</v>
      </c>
      <c r="W214" s="59" t="str">
        <f>IFERROR(VLOOKUP(Tabelle32[[#This Row],[Device ID]],BOM!$B$3:$BQ$35,27,FALSE),"")</f>
        <v>10.120.236.50</v>
      </c>
      <c r="X214" s="59" t="str">
        <f>IFERROR(VLOOKUP(Tabelle32[[#This Row],[Device ID]],BOM!$B$3:$BQ$35,28,FALSE),"")</f>
        <v>AVCoreA</v>
      </c>
      <c r="Y214" s="59" t="str">
        <f>IFERROR(VLOOKUP(Tabelle32[[#This Row],[Device ID]],BOM!$B$3:$BQ$35,29,FALSE),"")</f>
        <v>5_36_1</v>
      </c>
      <c r="Z214" s="59" t="str">
        <f>IFERROR(VLOOKUP(Tabelle32[[#This Row],[Device ID]],BOM!$B$3:$BQ$35,30,FALSE),"")</f>
        <v>tpco-megw-vgw103.rtb.st-net.media.int</v>
      </c>
      <c r="AA214" s="59" t="str">
        <f>IFERROR(VLOOKUP(Tabelle32[[#This Row],[Device ID]],BOM!$B$3:$BQ$35,31,FALSE),"")</f>
        <v>10.120.236.54</v>
      </c>
      <c r="AB214" s="59" t="str">
        <f>IFERROR(VLOOKUP(Tabelle32[[#This Row],[Device ID]],BOM!$B$3:$BQ$35,32,FALSE),"")</f>
        <v>AVCoreB</v>
      </c>
      <c r="AC214" s="59" t="str">
        <f>IFERROR(VLOOKUP(Tabelle32[[#This Row],[Device ID]],BOM!$B$3:$BQ$35,33,FALSE),"")</f>
        <v>5_36_1</v>
      </c>
      <c r="AD214" s="59" t="str">
        <f>IFERROR(VLOOKUP(Tabelle32[[#This Row],[Device ID]],BOM!$B$3:$BQ$35,34,FALSE),"")</f>
        <v>tpco-megw-vgw103.st-net.media.int</v>
      </c>
      <c r="AE214" s="59" t="str">
        <f>IFERROR(VLOOKUP(Tabelle32[[#This Row],[Device ID]],BOM!$B$3:$BQ$35,35,FALSE),"")</f>
        <v>10.120.67.141</v>
      </c>
      <c r="AF214" s="59">
        <f>IFERROR(VLOOKUP(Tabelle32[[#This Row],[Device ID]],BOM!$B$3:$BQ$35,36,FALSE),"")</f>
        <v>0</v>
      </c>
      <c r="AG214" s="59">
        <f>IFERROR(VLOOKUP(Tabelle32[[#This Row],[Device ID]],BOM!$B$3:$BQ$35,37,FALSE),"")</f>
        <v>0</v>
      </c>
      <c r="AH214" s="59"/>
      <c r="AI214" s="59"/>
      <c r="AJ214" s="59"/>
      <c r="AK214" s="59"/>
      <c r="AL214" s="59" t="str">
        <f>IFERROR(VLOOKUP(Tabelle32[[#This Row],[Device ID]],BOM!$B$3:$BQ$35,42,FALSE),"")</f>
        <v>Imagine Communications SNP</v>
      </c>
      <c r="AM214" s="59" t="str">
        <f>IFERROR(VLOOKUP(Tabelle32[[#This Row],[Device ID]],BOM!$B$3:$BQ$35,43,FALSE),"")</f>
        <v>no</v>
      </c>
      <c r="AN214" s="59" t="str">
        <f>IFERROR(VLOOKUP(Tabelle32[[#This Row],[Device ID]],BOM!$B$3:$BQ$35,44,FALSE),"")</f>
        <v>yes</v>
      </c>
      <c r="AO214" s="59" t="str">
        <f>IFERROR(VLOOKUP(Tabelle32[[#This Row],[Device ID]],BOM!$B$3:$BQ$35,45,FALSE),"")</f>
        <v>no</v>
      </c>
      <c r="AP214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14" s="59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73" t="s">
        <v>199</v>
      </c>
      <c r="BI214" s="30" t="str">
        <f>IF(COUNTA(Tabelle32[[#This Row],[Type:Vid_1080i50]:[Type:Anc_Prot]])&gt;0,"x","")</f>
        <v/>
      </c>
      <c r="BJ21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14" s="59"/>
      <c r="BL214" s="59"/>
      <c r="BM214" s="63"/>
      <c r="BN214" s="63"/>
      <c r="BO214" s="96"/>
      <c r="BP214" s="96"/>
      <c r="BQ214" s="75">
        <f>LEN(Tabelle32[[#This Row],[Label 1
GFX-Unit]])</f>
        <v>0</v>
      </c>
      <c r="BR214" s="63"/>
      <c r="BS214" s="63"/>
      <c r="BT214" s="59"/>
      <c r="BU214" s="59"/>
      <c r="BV214" s="59" t="s">
        <v>205</v>
      </c>
      <c r="BW214" s="59" t="s">
        <v>206</v>
      </c>
      <c r="BX214" s="59" t="s">
        <v>529</v>
      </c>
      <c r="BY214" s="59">
        <v>11</v>
      </c>
    </row>
    <row r="215" spans="1:77" hidden="1" x14ac:dyDescent="0.2">
      <c r="A215" s="58" t="str">
        <f>CONCATENATE(Tabelle32[[#This Row],[Device ID]],".",Tabelle32[[#This Row],[Streamcounter]])</f>
        <v>388.11303</v>
      </c>
      <c r="B21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VGW-103_SDI11_ANCrec_0003</v>
      </c>
      <c r="C215" s="60"/>
      <c r="D215" s="61"/>
      <c r="E215" s="62"/>
      <c r="F215" s="59" t="str">
        <f>IFERROR(VLOOKUP(Tabelle32[[#This Row],[Device ID]],BOM!$B$3:$BQ$35,16,FALSE),"")</f>
        <v>IngSRV-06</v>
      </c>
      <c r="G215" s="63">
        <f>VLOOKUP(Tabelle32[[#This Row],[SDI Interface]],BOM!$A$4:$B$35,2,FALSE)</f>
        <v>388</v>
      </c>
      <c r="H215" s="59" t="str">
        <f>BOM!$C$4</f>
        <v>VGW-103</v>
      </c>
      <c r="I215" s="59" t="str">
        <f>IFERROR(VLOOKUP(Tabelle32[[#This Row],[Device ID]],BOM!$B$3:$BQ$35,12,FALSE),"")</f>
        <v>Videoserver</v>
      </c>
      <c r="J215" s="59" t="str">
        <f>IFERROR(VLOOKUP(Tabelle32[[#This Row],[Device ID]],BOM!$B$3:$BQ$35,13,FALSE),"")</f>
        <v>TC.U1.223 | MDC</v>
      </c>
      <c r="K215" s="59" t="str">
        <f>IFERROR(VLOOKUP(Tabelle32[[#This Row],[Device ID]],BOM!$B$3:$BQ$35,14,FALSE),"")</f>
        <v>Imagine Comunications</v>
      </c>
      <c r="L215" s="59" t="str">
        <f>IFERROR(VLOOKUP(Tabelle32[[#This Row],[Device ID]],BOM!$B$3:$BQ$35,16,FALSE),"")</f>
        <v>IngSRV-06</v>
      </c>
      <c r="M215" s="63" t="str">
        <f>IFERROR(VLOOKUP(Tabelle32[[#This Row],[Device ID]],BOM!$B$3:$BQ$35,17,FALSE),"")</f>
        <v>M3H</v>
      </c>
      <c r="N215" s="59" t="str">
        <f>IFERROR(VLOOKUP(Tabelle32[[#This Row],[Device ID]],BOM!$B$3:$BQ$35,18,FALSE),"")</f>
        <v>TC.03.225 | M3H</v>
      </c>
      <c r="O215" s="64"/>
      <c r="P215" s="64">
        <f>IFERROR(VLOOKUP(Tabelle32[[#This Row],[Device ID]],BOM!$B$3:$BO$50,20,FALSE),"")</f>
        <v>0</v>
      </c>
      <c r="Q215" s="64">
        <f>IFERROR(VLOOKUP(Tabelle32[[#This Row],[Device ID]],BOM!$B$3:$BO$50,21,FALSE),"")</f>
        <v>1</v>
      </c>
      <c r="R215" s="64">
        <f>IFERROR(VLOOKUP(Tabelle32[[#This Row],[Device ID]],BOM!$B$3:$BO$50,22,FALSE),"")</f>
        <v>0</v>
      </c>
      <c r="S215" s="64"/>
      <c r="T215" s="64"/>
      <c r="U215" s="59" t="str">
        <f>IFERROR(VLOOKUP(Tabelle32[[#This Row],[Device ID]],BOM!$B$3:$BQ$35,25,FALSE),"")</f>
        <v>Luis/Ivo</v>
      </c>
      <c r="V215" s="59" t="str">
        <f>IFERROR(VLOOKUP(Tabelle32[[#This Row],[Device ID]],BOM!$B$3:$BQ$35,26,FALSE),"")</f>
        <v>tpco-megw-vgw103.rta.st-net.media.int</v>
      </c>
      <c r="W215" s="59" t="str">
        <f>IFERROR(VLOOKUP(Tabelle32[[#This Row],[Device ID]],BOM!$B$3:$BQ$35,27,FALSE),"")</f>
        <v>10.120.236.50</v>
      </c>
      <c r="X215" s="59" t="str">
        <f>IFERROR(VLOOKUP(Tabelle32[[#This Row],[Device ID]],BOM!$B$3:$BQ$35,28,FALSE),"")</f>
        <v>AVCoreA</v>
      </c>
      <c r="Y215" s="59" t="str">
        <f>IFERROR(VLOOKUP(Tabelle32[[#This Row],[Device ID]],BOM!$B$3:$BQ$35,29,FALSE),"")</f>
        <v>5_36_1</v>
      </c>
      <c r="Z215" s="59" t="str">
        <f>IFERROR(VLOOKUP(Tabelle32[[#This Row],[Device ID]],BOM!$B$3:$BQ$35,30,FALSE),"")</f>
        <v>tpco-megw-vgw103.rtb.st-net.media.int</v>
      </c>
      <c r="AA215" s="59" t="str">
        <f>IFERROR(VLOOKUP(Tabelle32[[#This Row],[Device ID]],BOM!$B$3:$BQ$35,31,FALSE),"")</f>
        <v>10.120.236.54</v>
      </c>
      <c r="AB215" s="59" t="str">
        <f>IFERROR(VLOOKUP(Tabelle32[[#This Row],[Device ID]],BOM!$B$3:$BQ$35,32,FALSE),"")</f>
        <v>AVCoreB</v>
      </c>
      <c r="AC215" s="59" t="str">
        <f>IFERROR(VLOOKUP(Tabelle32[[#This Row],[Device ID]],BOM!$B$3:$BQ$35,33,FALSE),"")</f>
        <v>5_36_1</v>
      </c>
      <c r="AD215" s="59" t="str">
        <f>IFERROR(VLOOKUP(Tabelle32[[#This Row],[Device ID]],BOM!$B$3:$BQ$35,34,FALSE),"")</f>
        <v>tpco-megw-vgw103.st-net.media.int</v>
      </c>
      <c r="AE215" s="59" t="str">
        <f>IFERROR(VLOOKUP(Tabelle32[[#This Row],[Device ID]],BOM!$B$3:$BQ$35,35,FALSE),"")</f>
        <v>10.120.67.141</v>
      </c>
      <c r="AF215" s="59">
        <f>IFERROR(VLOOKUP(Tabelle32[[#This Row],[Device ID]],BOM!$B$3:$BQ$35,36,FALSE),"")</f>
        <v>0</v>
      </c>
      <c r="AG215" s="59">
        <f>IFERROR(VLOOKUP(Tabelle32[[#This Row],[Device ID]],BOM!$B$3:$BQ$35,37,FALSE),"")</f>
        <v>0</v>
      </c>
      <c r="AH215" s="59"/>
      <c r="AI215" s="59"/>
      <c r="AJ215" s="59"/>
      <c r="AK215" s="59"/>
      <c r="AL215" s="59" t="str">
        <f>IFERROR(VLOOKUP(Tabelle32[[#This Row],[Device ID]],BOM!$B$3:$BQ$35,42,FALSE),"")</f>
        <v>Imagine Communications SNP</v>
      </c>
      <c r="AM215" s="59" t="str">
        <f>IFERROR(VLOOKUP(Tabelle32[[#This Row],[Device ID]],BOM!$B$3:$BQ$35,43,FALSE),"")</f>
        <v>no</v>
      </c>
      <c r="AN215" s="59" t="str">
        <f>IFERROR(VLOOKUP(Tabelle32[[#This Row],[Device ID]],BOM!$B$3:$BQ$35,44,FALSE),"")</f>
        <v>yes</v>
      </c>
      <c r="AO215" s="59" t="str">
        <f>IFERROR(VLOOKUP(Tabelle32[[#This Row],[Device ID]],BOM!$B$3:$BQ$35,45,FALSE),"")</f>
        <v>no</v>
      </c>
      <c r="AP215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15" s="59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73" t="s">
        <v>199</v>
      </c>
      <c r="BI215" s="30" t="str">
        <f>IF(COUNTA(Tabelle32[[#This Row],[Type:Vid_1080i50]:[Type:Anc_Prot]])&gt;0,"x","")</f>
        <v/>
      </c>
      <c r="BJ21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15" s="59"/>
      <c r="BL215" s="59"/>
      <c r="BM215" s="63"/>
      <c r="BN215" s="63"/>
      <c r="BO215" s="96"/>
      <c r="BP215" s="96"/>
      <c r="BQ215" s="75">
        <f>LEN(Tabelle32[[#This Row],[Label 1
GFX-Unit]])</f>
        <v>0</v>
      </c>
      <c r="BR215" s="63"/>
      <c r="BS215" s="63"/>
      <c r="BT215" s="59"/>
      <c r="BU215" s="59"/>
      <c r="BV215" s="59" t="s">
        <v>208</v>
      </c>
      <c r="BW215" s="59" t="s">
        <v>209</v>
      </c>
      <c r="BX215" s="59" t="s">
        <v>530</v>
      </c>
      <c r="BY215" s="59">
        <v>11</v>
      </c>
    </row>
    <row r="216" spans="1:77" hidden="1" x14ac:dyDescent="0.2">
      <c r="A216" s="58" t="str">
        <f>CONCATENATE(Tabelle32[[#This Row],[Device ID]],".",Tabelle32[[#This Row],[Streamcounter]])</f>
        <v>388.11304</v>
      </c>
      <c r="B21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VGW-103_SDI11_ANCrec_0004</v>
      </c>
      <c r="C216" s="60"/>
      <c r="D216" s="61"/>
      <c r="E216" s="62"/>
      <c r="F216" s="59" t="str">
        <f>IFERROR(VLOOKUP(Tabelle32[[#This Row],[Device ID]],BOM!$B$3:$BQ$35,16,FALSE),"")</f>
        <v>IngSRV-06</v>
      </c>
      <c r="G216" s="63">
        <f>VLOOKUP(Tabelle32[[#This Row],[SDI Interface]],BOM!$A$4:$B$35,2,FALSE)</f>
        <v>388</v>
      </c>
      <c r="H216" s="59" t="str">
        <f>BOM!$C$4</f>
        <v>VGW-103</v>
      </c>
      <c r="I216" s="59" t="str">
        <f>IFERROR(VLOOKUP(Tabelle32[[#This Row],[Device ID]],BOM!$B$3:$BQ$35,12,FALSE),"")</f>
        <v>Videoserver</v>
      </c>
      <c r="J216" s="59" t="str">
        <f>IFERROR(VLOOKUP(Tabelle32[[#This Row],[Device ID]],BOM!$B$3:$BQ$35,13,FALSE),"")</f>
        <v>TC.U1.223 | MDC</v>
      </c>
      <c r="K216" s="59" t="str">
        <f>IFERROR(VLOOKUP(Tabelle32[[#This Row],[Device ID]],BOM!$B$3:$BQ$35,14,FALSE),"")</f>
        <v>Imagine Comunications</v>
      </c>
      <c r="L216" s="59" t="str">
        <f>IFERROR(VLOOKUP(Tabelle32[[#This Row],[Device ID]],BOM!$B$3:$BQ$35,16,FALSE),"")</f>
        <v>IngSRV-06</v>
      </c>
      <c r="M216" s="63" t="str">
        <f>IFERROR(VLOOKUP(Tabelle32[[#This Row],[Device ID]],BOM!$B$3:$BQ$35,17,FALSE),"")</f>
        <v>M3H</v>
      </c>
      <c r="N216" s="59" t="str">
        <f>IFERROR(VLOOKUP(Tabelle32[[#This Row],[Device ID]],BOM!$B$3:$BQ$35,18,FALSE),"")</f>
        <v>TC.03.225 | M3H</v>
      </c>
      <c r="O216" s="64"/>
      <c r="P216" s="64">
        <f>IFERROR(VLOOKUP(Tabelle32[[#This Row],[Device ID]],BOM!$B$3:$BO$50,20,FALSE),"")</f>
        <v>0</v>
      </c>
      <c r="Q216" s="64">
        <f>IFERROR(VLOOKUP(Tabelle32[[#This Row],[Device ID]],BOM!$B$3:$BO$50,21,FALSE),"")</f>
        <v>1</v>
      </c>
      <c r="R216" s="64">
        <f>IFERROR(VLOOKUP(Tabelle32[[#This Row],[Device ID]],BOM!$B$3:$BO$50,22,FALSE),"")</f>
        <v>0</v>
      </c>
      <c r="S216" s="64"/>
      <c r="T216" s="64"/>
      <c r="U216" s="59" t="str">
        <f>IFERROR(VLOOKUP(Tabelle32[[#This Row],[Device ID]],BOM!$B$3:$BQ$35,25,FALSE),"")</f>
        <v>Luis/Ivo</v>
      </c>
      <c r="V216" s="59" t="str">
        <f>IFERROR(VLOOKUP(Tabelle32[[#This Row],[Device ID]],BOM!$B$3:$BQ$35,26,FALSE),"")</f>
        <v>tpco-megw-vgw103.rta.st-net.media.int</v>
      </c>
      <c r="W216" s="59" t="str">
        <f>IFERROR(VLOOKUP(Tabelle32[[#This Row],[Device ID]],BOM!$B$3:$BQ$35,27,FALSE),"")</f>
        <v>10.120.236.50</v>
      </c>
      <c r="X216" s="59" t="str">
        <f>IFERROR(VLOOKUP(Tabelle32[[#This Row],[Device ID]],BOM!$B$3:$BQ$35,28,FALSE),"")</f>
        <v>AVCoreA</v>
      </c>
      <c r="Y216" s="59" t="str">
        <f>IFERROR(VLOOKUP(Tabelle32[[#This Row],[Device ID]],BOM!$B$3:$BQ$35,29,FALSE),"")</f>
        <v>5_36_1</v>
      </c>
      <c r="Z216" s="59" t="str">
        <f>IFERROR(VLOOKUP(Tabelle32[[#This Row],[Device ID]],BOM!$B$3:$BQ$35,30,FALSE),"")</f>
        <v>tpco-megw-vgw103.rtb.st-net.media.int</v>
      </c>
      <c r="AA216" s="59" t="str">
        <f>IFERROR(VLOOKUP(Tabelle32[[#This Row],[Device ID]],BOM!$B$3:$BQ$35,31,FALSE),"")</f>
        <v>10.120.236.54</v>
      </c>
      <c r="AB216" s="59" t="str">
        <f>IFERROR(VLOOKUP(Tabelle32[[#This Row],[Device ID]],BOM!$B$3:$BQ$35,32,FALSE),"")</f>
        <v>AVCoreB</v>
      </c>
      <c r="AC216" s="59" t="str">
        <f>IFERROR(VLOOKUP(Tabelle32[[#This Row],[Device ID]],BOM!$B$3:$BQ$35,33,FALSE),"")</f>
        <v>5_36_1</v>
      </c>
      <c r="AD216" s="59" t="str">
        <f>IFERROR(VLOOKUP(Tabelle32[[#This Row],[Device ID]],BOM!$B$3:$BQ$35,34,FALSE),"")</f>
        <v>tpco-megw-vgw103.st-net.media.int</v>
      </c>
      <c r="AE216" s="59" t="str">
        <f>IFERROR(VLOOKUP(Tabelle32[[#This Row],[Device ID]],BOM!$B$3:$BQ$35,35,FALSE),"")</f>
        <v>10.120.67.141</v>
      </c>
      <c r="AF216" s="59">
        <f>IFERROR(VLOOKUP(Tabelle32[[#This Row],[Device ID]],BOM!$B$3:$BQ$35,36,FALSE),"")</f>
        <v>0</v>
      </c>
      <c r="AG216" s="59">
        <f>IFERROR(VLOOKUP(Tabelle32[[#This Row],[Device ID]],BOM!$B$3:$BQ$35,37,FALSE),"")</f>
        <v>0</v>
      </c>
      <c r="AH216" s="59"/>
      <c r="AI216" s="59"/>
      <c r="AJ216" s="59"/>
      <c r="AK216" s="59"/>
      <c r="AL216" s="59" t="str">
        <f>IFERROR(VLOOKUP(Tabelle32[[#This Row],[Device ID]],BOM!$B$3:$BQ$35,42,FALSE),"")</f>
        <v>Imagine Communications SNP</v>
      </c>
      <c r="AM216" s="59" t="str">
        <f>IFERROR(VLOOKUP(Tabelle32[[#This Row],[Device ID]],BOM!$B$3:$BQ$35,43,FALSE),"")</f>
        <v>no</v>
      </c>
      <c r="AN216" s="59" t="str">
        <f>IFERROR(VLOOKUP(Tabelle32[[#This Row],[Device ID]],BOM!$B$3:$BQ$35,44,FALSE),"")</f>
        <v>yes</v>
      </c>
      <c r="AO216" s="59" t="str">
        <f>IFERROR(VLOOKUP(Tabelle32[[#This Row],[Device ID]],BOM!$B$3:$BQ$35,45,FALSE),"")</f>
        <v>no</v>
      </c>
      <c r="AP216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16" s="59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73" t="s">
        <v>199</v>
      </c>
      <c r="BI216" s="30" t="str">
        <f>IF(COUNTA(Tabelle32[[#This Row],[Type:Vid_1080i50]:[Type:Anc_Prot]])&gt;0,"x","")</f>
        <v/>
      </c>
      <c r="BJ21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16" s="59"/>
      <c r="BL216" s="59"/>
      <c r="BM216" s="63"/>
      <c r="BN216" s="63"/>
      <c r="BO216" s="96"/>
      <c r="BP216" s="96"/>
      <c r="BQ216" s="75">
        <f>LEN(Tabelle32[[#This Row],[Label 1
GFX-Unit]])</f>
        <v>0</v>
      </c>
      <c r="BR216" s="63"/>
      <c r="BS216" s="63"/>
      <c r="BT216" s="59"/>
      <c r="BU216" s="59"/>
      <c r="BV216" s="59" t="s">
        <v>211</v>
      </c>
      <c r="BW216" s="59" t="s">
        <v>212</v>
      </c>
      <c r="BX216" s="59" t="s">
        <v>531</v>
      </c>
      <c r="BY216" s="59">
        <v>11</v>
      </c>
    </row>
    <row r="217" spans="1:77" x14ac:dyDescent="0.2">
      <c r="A217" s="58" t="str">
        <f>CONCATENATE(Tabelle32[[#This Row],[Device ID]],".",Tabelle32[[#This Row],[Streamcounter]])</f>
        <v>388.11201</v>
      </c>
      <c r="B21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VGW-103_SDI11_AUDrec_0001</v>
      </c>
      <c r="C217" s="60"/>
      <c r="D217" s="61"/>
      <c r="E217" s="62"/>
      <c r="F217" s="59" t="str">
        <f>IFERROR(VLOOKUP(Tabelle32[[#This Row],[Device ID]],BOM!$B$3:$BQ$35,16,FALSE),"")</f>
        <v>IngSRV-06</v>
      </c>
      <c r="G217" s="63">
        <f>VLOOKUP(Tabelle32[[#This Row],[SDI Interface]],BOM!$A$4:$B$35,2,FALSE)</f>
        <v>388</v>
      </c>
      <c r="H217" s="59" t="str">
        <f>BOM!$C$4</f>
        <v>VGW-103</v>
      </c>
      <c r="I217" s="59" t="str">
        <f>IFERROR(VLOOKUP(Tabelle32[[#This Row],[Device ID]],BOM!$B$3:$BQ$35,12,FALSE),"")</f>
        <v>Videoserver</v>
      </c>
      <c r="J217" s="59" t="str">
        <f>IFERROR(VLOOKUP(Tabelle32[[#This Row],[Device ID]],BOM!$B$3:$BQ$35,13,FALSE),"")</f>
        <v>TC.U1.223 | MDC</v>
      </c>
      <c r="K217" s="59" t="str">
        <f>IFERROR(VLOOKUP(Tabelle32[[#This Row],[Device ID]],BOM!$B$3:$BQ$35,14,FALSE),"")</f>
        <v>Imagine Comunications</v>
      </c>
      <c r="L217" s="59" t="str">
        <f>IFERROR(VLOOKUP(Tabelle32[[#This Row],[Device ID]],BOM!$B$3:$BQ$35,16,FALSE),"")</f>
        <v>IngSRV-06</v>
      </c>
      <c r="M217" s="63" t="str">
        <f>IFERROR(VLOOKUP(Tabelle32[[#This Row],[Device ID]],BOM!$B$3:$BQ$35,17,FALSE),"")</f>
        <v>M3H</v>
      </c>
      <c r="N217" s="59" t="str">
        <f>IFERROR(VLOOKUP(Tabelle32[[#This Row],[Device ID]],BOM!$B$3:$BQ$35,18,FALSE),"")</f>
        <v>TC.03.225 | M3H</v>
      </c>
      <c r="O217" s="64"/>
      <c r="P217" s="64">
        <f>IFERROR(VLOOKUP(Tabelle32[[#This Row],[Device ID]],BOM!$B$3:$BO$50,20,FALSE),"")</f>
        <v>0</v>
      </c>
      <c r="Q217" s="64">
        <f>IFERROR(VLOOKUP(Tabelle32[[#This Row],[Device ID]],BOM!$B$3:$BO$50,21,FALSE),"")</f>
        <v>1</v>
      </c>
      <c r="R217" s="64">
        <f>IFERROR(VLOOKUP(Tabelle32[[#This Row],[Device ID]],BOM!$B$3:$BO$50,22,FALSE),"")</f>
        <v>0</v>
      </c>
      <c r="S217" s="64"/>
      <c r="T217" s="64"/>
      <c r="U217" s="59" t="str">
        <f>IFERROR(VLOOKUP(Tabelle32[[#This Row],[Device ID]],BOM!$B$3:$BQ$35,25,FALSE),"")</f>
        <v>Luis/Ivo</v>
      </c>
      <c r="V217" s="59" t="str">
        <f>IFERROR(VLOOKUP(Tabelle32[[#This Row],[Device ID]],BOM!$B$3:$BQ$35,26,FALSE),"")</f>
        <v>tpco-megw-vgw103.rta.st-net.media.int</v>
      </c>
      <c r="W217" s="59" t="str">
        <f>IFERROR(VLOOKUP(Tabelle32[[#This Row],[Device ID]],BOM!$B$3:$BQ$35,27,FALSE),"")</f>
        <v>10.120.236.50</v>
      </c>
      <c r="X217" s="59" t="str">
        <f>IFERROR(VLOOKUP(Tabelle32[[#This Row],[Device ID]],BOM!$B$3:$BQ$35,28,FALSE),"")</f>
        <v>AVCoreA</v>
      </c>
      <c r="Y217" s="59" t="str">
        <f>IFERROR(VLOOKUP(Tabelle32[[#This Row],[Device ID]],BOM!$B$3:$BQ$35,29,FALSE),"")</f>
        <v>5_36_1</v>
      </c>
      <c r="Z217" s="59" t="str">
        <f>IFERROR(VLOOKUP(Tabelle32[[#This Row],[Device ID]],BOM!$B$3:$BQ$35,30,FALSE),"")</f>
        <v>tpco-megw-vgw103.rtb.st-net.media.int</v>
      </c>
      <c r="AA217" s="59" t="str">
        <f>IFERROR(VLOOKUP(Tabelle32[[#This Row],[Device ID]],BOM!$B$3:$BQ$35,31,FALSE),"")</f>
        <v>10.120.236.54</v>
      </c>
      <c r="AB217" s="59" t="str">
        <f>IFERROR(VLOOKUP(Tabelle32[[#This Row],[Device ID]],BOM!$B$3:$BQ$35,32,FALSE),"")</f>
        <v>AVCoreB</v>
      </c>
      <c r="AC217" s="59" t="str">
        <f>IFERROR(VLOOKUP(Tabelle32[[#This Row],[Device ID]],BOM!$B$3:$BQ$35,33,FALSE),"")</f>
        <v>5_36_1</v>
      </c>
      <c r="AD217" s="59" t="str">
        <f>IFERROR(VLOOKUP(Tabelle32[[#This Row],[Device ID]],BOM!$B$3:$BQ$35,34,FALSE),"")</f>
        <v>tpco-megw-vgw103.st-net.media.int</v>
      </c>
      <c r="AE217" s="59" t="str">
        <f>IFERROR(VLOOKUP(Tabelle32[[#This Row],[Device ID]],BOM!$B$3:$BQ$35,35,FALSE),"")</f>
        <v>10.120.67.141</v>
      </c>
      <c r="AF217" s="59">
        <f>IFERROR(VLOOKUP(Tabelle32[[#This Row],[Device ID]],BOM!$B$3:$BQ$35,36,FALSE),"")</f>
        <v>0</v>
      </c>
      <c r="AG217" s="59">
        <f>IFERROR(VLOOKUP(Tabelle32[[#This Row],[Device ID]],BOM!$B$3:$BQ$35,37,FALSE),"")</f>
        <v>0</v>
      </c>
      <c r="AH217" s="59"/>
      <c r="AI217" s="59"/>
      <c r="AJ217" s="59"/>
      <c r="AK217" s="59"/>
      <c r="AL217" s="59" t="str">
        <f>IFERROR(VLOOKUP(Tabelle32[[#This Row],[Device ID]],BOM!$B$3:$BQ$35,42,FALSE),"")</f>
        <v>Imagine Communications SNP</v>
      </c>
      <c r="AM217" s="59" t="str">
        <f>IFERROR(VLOOKUP(Tabelle32[[#This Row],[Device ID]],BOM!$B$3:$BQ$35,43,FALSE),"")</f>
        <v>no</v>
      </c>
      <c r="AN217" s="59" t="str">
        <f>IFERROR(VLOOKUP(Tabelle32[[#This Row],[Device ID]],BOM!$B$3:$BQ$35,44,FALSE),"")</f>
        <v>yes</v>
      </c>
      <c r="AO217" s="59" t="str">
        <f>IFERROR(VLOOKUP(Tabelle32[[#This Row],[Device ID]],BOM!$B$3:$BQ$35,45,FALSE),"")</f>
        <v>no</v>
      </c>
      <c r="AP217" s="59" t="str">
        <f>IFERROR(CONCATENATE(Tabelle32[[#This Row],[Family
GFX-Unit]]," | ",Tabelle32[[#This Row],[Label 1
GFX-Unit]]," | ",Tabelle32[[#This Row],[Attached Device if Gateway]]),"")</f>
        <v>M3H InCh REM | Ingest Ch23-01 | IngSRV-06</v>
      </c>
      <c r="AQ217" s="59"/>
      <c r="AR217" s="90"/>
      <c r="AS217" s="90"/>
      <c r="AT217" s="90"/>
      <c r="AU217" s="90"/>
      <c r="AV217" s="90"/>
      <c r="AW217" s="90" t="s">
        <v>97</v>
      </c>
      <c r="AX217" s="90"/>
      <c r="AY217" s="90"/>
      <c r="AZ217" s="90" t="s">
        <v>97</v>
      </c>
      <c r="BA217" s="90"/>
      <c r="BB217" s="90" t="s">
        <v>97</v>
      </c>
      <c r="BC217" s="90" t="s">
        <v>97</v>
      </c>
      <c r="BD217" s="90"/>
      <c r="BE217" s="90"/>
      <c r="BF217" s="90"/>
      <c r="BG217" s="90"/>
      <c r="BH217" s="73" t="s">
        <v>199</v>
      </c>
      <c r="BI217" s="30" t="str">
        <f>IF(COUNTA(Tabelle32[[#This Row],[Type:Vid_1080i50]:[Type:Anc_Prot]])&gt;0,"x","")</f>
        <v>x</v>
      </c>
      <c r="BJ21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17" s="59"/>
      <c r="BL217" s="59"/>
      <c r="BM217" s="63"/>
      <c r="BN217" s="63"/>
      <c r="BO217" s="97" t="s">
        <v>458</v>
      </c>
      <c r="BP217" s="97" t="s">
        <v>532</v>
      </c>
      <c r="BQ217" s="75">
        <f>LEN(Tabelle32[[#This Row],[Label 1
GFX-Unit]])</f>
        <v>14</v>
      </c>
      <c r="BR217" s="63"/>
      <c r="BS217" s="63"/>
      <c r="BT217" s="59"/>
      <c r="BU217" s="59"/>
      <c r="BV217" s="59" t="s">
        <v>214</v>
      </c>
      <c r="BW217" s="59" t="s">
        <v>215</v>
      </c>
      <c r="BX217" s="59" t="s">
        <v>533</v>
      </c>
      <c r="BY217" s="59">
        <v>11</v>
      </c>
    </row>
    <row r="218" spans="1:77" x14ac:dyDescent="0.2">
      <c r="A218" s="58" t="str">
        <f>CONCATENATE(Tabelle32[[#This Row],[Device ID]],".",Tabelle32[[#This Row],[Streamcounter]])</f>
        <v>388.11202</v>
      </c>
      <c r="B21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VGW-103_SDI11_AUDrec_0002</v>
      </c>
      <c r="C218" s="67"/>
      <c r="D218" s="61"/>
      <c r="E218" s="67"/>
      <c r="F218" s="59" t="str">
        <f>IFERROR(VLOOKUP(Tabelle32[[#This Row],[Device ID]],BOM!$B$3:$BQ$35,16,FALSE),"")</f>
        <v>IngSRV-06</v>
      </c>
      <c r="G218" s="63">
        <f>VLOOKUP(Tabelle32[[#This Row],[SDI Interface]],BOM!$A$4:$B$35,2,FALSE)</f>
        <v>388</v>
      </c>
      <c r="H218" s="59" t="str">
        <f>BOM!$C$4</f>
        <v>VGW-103</v>
      </c>
      <c r="I218" s="59" t="str">
        <f>IFERROR(VLOOKUP(Tabelle32[[#This Row],[Device ID]],BOM!$B$3:$BQ$35,12,FALSE),"")</f>
        <v>Videoserver</v>
      </c>
      <c r="J218" s="59" t="str">
        <f>IFERROR(VLOOKUP(Tabelle32[[#This Row],[Device ID]],BOM!$B$3:$BQ$35,13,FALSE),"")</f>
        <v>TC.U1.223 | MDC</v>
      </c>
      <c r="K218" s="59" t="str">
        <f>IFERROR(VLOOKUP(Tabelle32[[#This Row],[Device ID]],BOM!$B$3:$BQ$35,14,FALSE),"")</f>
        <v>Imagine Comunications</v>
      </c>
      <c r="L218" s="59" t="str">
        <f>IFERROR(VLOOKUP(Tabelle32[[#This Row],[Device ID]],BOM!$B$3:$BQ$35,16,FALSE),"")</f>
        <v>IngSRV-06</v>
      </c>
      <c r="M218" s="63" t="str">
        <f>IFERROR(VLOOKUP(Tabelle32[[#This Row],[Device ID]],BOM!$B$3:$BQ$35,17,FALSE),"")</f>
        <v>M3H</v>
      </c>
      <c r="N218" s="59" t="str">
        <f>IFERROR(VLOOKUP(Tabelle32[[#This Row],[Device ID]],BOM!$B$3:$BQ$35,18,FALSE),"")</f>
        <v>TC.03.225 | M3H</v>
      </c>
      <c r="O218" s="64"/>
      <c r="P218" s="64">
        <f>IFERROR(VLOOKUP(Tabelle32[[#This Row],[Device ID]],BOM!$B$3:$BO$50,20,FALSE),"")</f>
        <v>0</v>
      </c>
      <c r="Q218" s="64">
        <f>IFERROR(VLOOKUP(Tabelle32[[#This Row],[Device ID]],BOM!$B$3:$BO$50,21,FALSE),"")</f>
        <v>1</v>
      </c>
      <c r="R218" s="64">
        <f>IFERROR(VLOOKUP(Tabelle32[[#This Row],[Device ID]],BOM!$B$3:$BO$50,22,FALSE),"")</f>
        <v>0</v>
      </c>
      <c r="S218" s="64"/>
      <c r="T218" s="64"/>
      <c r="U218" s="59" t="str">
        <f>IFERROR(VLOOKUP(Tabelle32[[#This Row],[Device ID]],BOM!$B$3:$BQ$35,25,FALSE),"")</f>
        <v>Luis/Ivo</v>
      </c>
      <c r="V218" s="59" t="str">
        <f>IFERROR(VLOOKUP(Tabelle32[[#This Row],[Device ID]],BOM!$B$3:$BQ$35,26,FALSE),"")</f>
        <v>tpco-megw-vgw103.rta.st-net.media.int</v>
      </c>
      <c r="W218" s="59" t="str">
        <f>IFERROR(VLOOKUP(Tabelle32[[#This Row],[Device ID]],BOM!$B$3:$BQ$35,27,FALSE),"")</f>
        <v>10.120.236.50</v>
      </c>
      <c r="X218" s="59" t="str">
        <f>IFERROR(VLOOKUP(Tabelle32[[#This Row],[Device ID]],BOM!$B$3:$BQ$35,28,FALSE),"")</f>
        <v>AVCoreA</v>
      </c>
      <c r="Y218" s="59" t="str">
        <f>IFERROR(VLOOKUP(Tabelle32[[#This Row],[Device ID]],BOM!$B$3:$BQ$35,29,FALSE),"")</f>
        <v>5_36_1</v>
      </c>
      <c r="Z218" s="59" t="str">
        <f>IFERROR(VLOOKUP(Tabelle32[[#This Row],[Device ID]],BOM!$B$3:$BQ$35,30,FALSE),"")</f>
        <v>tpco-megw-vgw103.rtb.st-net.media.int</v>
      </c>
      <c r="AA218" s="59" t="str">
        <f>IFERROR(VLOOKUP(Tabelle32[[#This Row],[Device ID]],BOM!$B$3:$BQ$35,31,FALSE),"")</f>
        <v>10.120.236.54</v>
      </c>
      <c r="AB218" s="59" t="str">
        <f>IFERROR(VLOOKUP(Tabelle32[[#This Row],[Device ID]],BOM!$B$3:$BQ$35,32,FALSE),"")</f>
        <v>AVCoreB</v>
      </c>
      <c r="AC218" s="59" t="str">
        <f>IFERROR(VLOOKUP(Tabelle32[[#This Row],[Device ID]],BOM!$B$3:$BQ$35,33,FALSE),"")</f>
        <v>5_36_1</v>
      </c>
      <c r="AD218" s="59" t="str">
        <f>IFERROR(VLOOKUP(Tabelle32[[#This Row],[Device ID]],BOM!$B$3:$BQ$35,34,FALSE),"")</f>
        <v>tpco-megw-vgw103.st-net.media.int</v>
      </c>
      <c r="AE218" s="59" t="str">
        <f>IFERROR(VLOOKUP(Tabelle32[[#This Row],[Device ID]],BOM!$B$3:$BQ$35,35,FALSE),"")</f>
        <v>10.120.67.141</v>
      </c>
      <c r="AF218" s="59">
        <f>IFERROR(VLOOKUP(Tabelle32[[#This Row],[Device ID]],BOM!$B$3:$BQ$35,36,FALSE),"")</f>
        <v>0</v>
      </c>
      <c r="AG218" s="59">
        <f>IFERROR(VLOOKUP(Tabelle32[[#This Row],[Device ID]],BOM!$B$3:$BQ$35,37,FALSE),"")</f>
        <v>0</v>
      </c>
      <c r="AH218" s="59"/>
      <c r="AI218" s="59"/>
      <c r="AJ218" s="59"/>
      <c r="AK218" s="59"/>
      <c r="AL218" s="59" t="str">
        <f>IFERROR(VLOOKUP(Tabelle32[[#This Row],[Device ID]],BOM!$B$3:$BQ$35,42,FALSE),"")</f>
        <v>Imagine Communications SNP</v>
      </c>
      <c r="AM218" s="59" t="str">
        <f>IFERROR(VLOOKUP(Tabelle32[[#This Row],[Device ID]],BOM!$B$3:$BQ$35,43,FALSE),"")</f>
        <v>no</v>
      </c>
      <c r="AN218" s="59" t="str">
        <f>IFERROR(VLOOKUP(Tabelle32[[#This Row],[Device ID]],BOM!$B$3:$BQ$35,44,FALSE),"")</f>
        <v>yes</v>
      </c>
      <c r="AO218" s="59" t="str">
        <f>IFERROR(VLOOKUP(Tabelle32[[#This Row],[Device ID]],BOM!$B$3:$BQ$35,45,FALSE),"")</f>
        <v>no</v>
      </c>
      <c r="AP218" s="59" t="str">
        <f>IFERROR(CONCATENATE(Tabelle32[[#This Row],[Family
GFX-Unit]]," | ",Tabelle32[[#This Row],[Label 1
GFX-Unit]]," | ",Tabelle32[[#This Row],[Attached Device if Gateway]]),"")</f>
        <v>M3H InCh REM | Ingest Ch23-02 | IngSRV-06</v>
      </c>
      <c r="AQ218" s="59"/>
      <c r="AR218" s="90"/>
      <c r="AS218" s="90"/>
      <c r="AT218" s="90"/>
      <c r="AU218" s="90"/>
      <c r="AV218" s="90"/>
      <c r="AW218" s="90" t="s">
        <v>97</v>
      </c>
      <c r="AX218" s="90"/>
      <c r="AY218" s="90"/>
      <c r="AZ218" s="90" t="s">
        <v>97</v>
      </c>
      <c r="BA218" s="90"/>
      <c r="BB218" s="90" t="s">
        <v>97</v>
      </c>
      <c r="BC218" s="90" t="s">
        <v>97</v>
      </c>
      <c r="BD218" s="90"/>
      <c r="BE218" s="90"/>
      <c r="BF218" s="90"/>
      <c r="BG218" s="90"/>
      <c r="BH218" s="73" t="s">
        <v>199</v>
      </c>
      <c r="BI218" s="30" t="str">
        <f>IF(COUNTA(Tabelle32[[#This Row],[Type:Vid_1080i50]:[Type:Anc_Prot]])&gt;0,"x","")</f>
        <v>x</v>
      </c>
      <c r="BJ21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18" s="59"/>
      <c r="BL218" s="59"/>
      <c r="BM218" s="63"/>
      <c r="BN218" s="63"/>
      <c r="BO218" s="97" t="s">
        <v>458</v>
      </c>
      <c r="BP218" s="97" t="s">
        <v>534</v>
      </c>
      <c r="BQ218" s="75">
        <f>LEN(Tabelle32[[#This Row],[Label 1
GFX-Unit]])</f>
        <v>14</v>
      </c>
      <c r="BR218" s="63"/>
      <c r="BS218" s="63"/>
      <c r="BT218" s="59"/>
      <c r="BU218" s="59"/>
      <c r="BV218" s="59" t="s">
        <v>218</v>
      </c>
      <c r="BW218" s="59" t="s">
        <v>219</v>
      </c>
      <c r="BX218" s="59" t="s">
        <v>535</v>
      </c>
      <c r="BY218" s="59">
        <v>11</v>
      </c>
    </row>
    <row r="219" spans="1:77" x14ac:dyDescent="0.2">
      <c r="A219" s="58" t="str">
        <f>CONCATENATE(Tabelle32[[#This Row],[Device ID]],".",Tabelle32[[#This Row],[Streamcounter]])</f>
        <v>388.11203</v>
      </c>
      <c r="B21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VGW-103_SDI11_AUDrec_0003</v>
      </c>
      <c r="C219" s="67"/>
      <c r="D219" s="61"/>
      <c r="E219" s="67"/>
      <c r="F219" s="59" t="str">
        <f>IFERROR(VLOOKUP(Tabelle32[[#This Row],[Device ID]],BOM!$B$3:$BQ$35,16,FALSE),"")</f>
        <v>IngSRV-06</v>
      </c>
      <c r="G219" s="63">
        <f>VLOOKUP(Tabelle32[[#This Row],[SDI Interface]],BOM!$A$4:$B$35,2,FALSE)</f>
        <v>388</v>
      </c>
      <c r="H219" s="59" t="str">
        <f>BOM!$C$4</f>
        <v>VGW-103</v>
      </c>
      <c r="I219" s="59" t="str">
        <f>IFERROR(VLOOKUP(Tabelle32[[#This Row],[Device ID]],BOM!$B$3:$BQ$35,12,FALSE),"")</f>
        <v>Videoserver</v>
      </c>
      <c r="J219" s="59" t="str">
        <f>IFERROR(VLOOKUP(Tabelle32[[#This Row],[Device ID]],BOM!$B$3:$BQ$35,13,FALSE),"")</f>
        <v>TC.U1.223 | MDC</v>
      </c>
      <c r="K219" s="59" t="str">
        <f>IFERROR(VLOOKUP(Tabelle32[[#This Row],[Device ID]],BOM!$B$3:$BQ$35,14,FALSE),"")</f>
        <v>Imagine Comunications</v>
      </c>
      <c r="L219" s="59" t="str">
        <f>IFERROR(VLOOKUP(Tabelle32[[#This Row],[Device ID]],BOM!$B$3:$BQ$35,16,FALSE),"")</f>
        <v>IngSRV-06</v>
      </c>
      <c r="M219" s="63" t="str">
        <f>IFERROR(VLOOKUP(Tabelle32[[#This Row],[Device ID]],BOM!$B$3:$BQ$35,17,FALSE),"")</f>
        <v>M3H</v>
      </c>
      <c r="N219" s="59" t="str">
        <f>IFERROR(VLOOKUP(Tabelle32[[#This Row],[Device ID]],BOM!$B$3:$BQ$35,18,FALSE),"")</f>
        <v>TC.03.225 | M3H</v>
      </c>
      <c r="O219" s="64"/>
      <c r="P219" s="64">
        <f>IFERROR(VLOOKUP(Tabelle32[[#This Row],[Device ID]],BOM!$B$3:$BO$50,20,FALSE),"")</f>
        <v>0</v>
      </c>
      <c r="Q219" s="64">
        <f>IFERROR(VLOOKUP(Tabelle32[[#This Row],[Device ID]],BOM!$B$3:$BO$50,21,FALSE),"")</f>
        <v>1</v>
      </c>
      <c r="R219" s="64">
        <f>IFERROR(VLOOKUP(Tabelle32[[#This Row],[Device ID]],BOM!$B$3:$BO$50,22,FALSE),"")</f>
        <v>0</v>
      </c>
      <c r="S219" s="64"/>
      <c r="T219" s="64"/>
      <c r="U219" s="59" t="str">
        <f>IFERROR(VLOOKUP(Tabelle32[[#This Row],[Device ID]],BOM!$B$3:$BQ$35,25,FALSE),"")</f>
        <v>Luis/Ivo</v>
      </c>
      <c r="V219" s="59" t="str">
        <f>IFERROR(VLOOKUP(Tabelle32[[#This Row],[Device ID]],BOM!$B$3:$BQ$35,26,FALSE),"")</f>
        <v>tpco-megw-vgw103.rta.st-net.media.int</v>
      </c>
      <c r="W219" s="59" t="str">
        <f>IFERROR(VLOOKUP(Tabelle32[[#This Row],[Device ID]],BOM!$B$3:$BQ$35,27,FALSE),"")</f>
        <v>10.120.236.50</v>
      </c>
      <c r="X219" s="59" t="str">
        <f>IFERROR(VLOOKUP(Tabelle32[[#This Row],[Device ID]],BOM!$B$3:$BQ$35,28,FALSE),"")</f>
        <v>AVCoreA</v>
      </c>
      <c r="Y219" s="59" t="str">
        <f>IFERROR(VLOOKUP(Tabelle32[[#This Row],[Device ID]],BOM!$B$3:$BQ$35,29,FALSE),"")</f>
        <v>5_36_1</v>
      </c>
      <c r="Z219" s="59" t="str">
        <f>IFERROR(VLOOKUP(Tabelle32[[#This Row],[Device ID]],BOM!$B$3:$BQ$35,30,FALSE),"")</f>
        <v>tpco-megw-vgw103.rtb.st-net.media.int</v>
      </c>
      <c r="AA219" s="59" t="str">
        <f>IFERROR(VLOOKUP(Tabelle32[[#This Row],[Device ID]],BOM!$B$3:$BQ$35,31,FALSE),"")</f>
        <v>10.120.236.54</v>
      </c>
      <c r="AB219" s="59" t="str">
        <f>IFERROR(VLOOKUP(Tabelle32[[#This Row],[Device ID]],BOM!$B$3:$BQ$35,32,FALSE),"")</f>
        <v>AVCoreB</v>
      </c>
      <c r="AC219" s="59" t="str">
        <f>IFERROR(VLOOKUP(Tabelle32[[#This Row],[Device ID]],BOM!$B$3:$BQ$35,33,FALSE),"")</f>
        <v>5_36_1</v>
      </c>
      <c r="AD219" s="59" t="str">
        <f>IFERROR(VLOOKUP(Tabelle32[[#This Row],[Device ID]],BOM!$B$3:$BQ$35,34,FALSE),"")</f>
        <v>tpco-megw-vgw103.st-net.media.int</v>
      </c>
      <c r="AE219" s="59" t="str">
        <f>IFERROR(VLOOKUP(Tabelle32[[#This Row],[Device ID]],BOM!$B$3:$BQ$35,35,FALSE),"")</f>
        <v>10.120.67.141</v>
      </c>
      <c r="AF219" s="59">
        <f>IFERROR(VLOOKUP(Tabelle32[[#This Row],[Device ID]],BOM!$B$3:$BQ$35,36,FALSE),"")</f>
        <v>0</v>
      </c>
      <c r="AG219" s="59">
        <f>IFERROR(VLOOKUP(Tabelle32[[#This Row],[Device ID]],BOM!$B$3:$BQ$35,37,FALSE),"")</f>
        <v>0</v>
      </c>
      <c r="AH219" s="59"/>
      <c r="AI219" s="59"/>
      <c r="AJ219" s="59"/>
      <c r="AK219" s="59"/>
      <c r="AL219" s="59" t="str">
        <f>IFERROR(VLOOKUP(Tabelle32[[#This Row],[Device ID]],BOM!$B$3:$BQ$35,42,FALSE),"")</f>
        <v>Imagine Communications SNP</v>
      </c>
      <c r="AM219" s="59" t="str">
        <f>IFERROR(VLOOKUP(Tabelle32[[#This Row],[Device ID]],BOM!$B$3:$BQ$35,43,FALSE),"")</f>
        <v>no</v>
      </c>
      <c r="AN219" s="59" t="str">
        <f>IFERROR(VLOOKUP(Tabelle32[[#This Row],[Device ID]],BOM!$B$3:$BQ$35,44,FALSE),"")</f>
        <v>yes</v>
      </c>
      <c r="AO219" s="59" t="str">
        <f>IFERROR(VLOOKUP(Tabelle32[[#This Row],[Device ID]],BOM!$B$3:$BQ$35,45,FALSE),"")</f>
        <v>no</v>
      </c>
      <c r="AP219" s="59" t="str">
        <f>IFERROR(CONCATENATE(Tabelle32[[#This Row],[Family
GFX-Unit]]," | ",Tabelle32[[#This Row],[Label 1
GFX-Unit]]," | ",Tabelle32[[#This Row],[Attached Device if Gateway]]),"")</f>
        <v>M3H InCh REM | Ingest Ch23-03 | IngSRV-06</v>
      </c>
      <c r="AQ219" s="59"/>
      <c r="AR219" s="90"/>
      <c r="AS219" s="90"/>
      <c r="AT219" s="90"/>
      <c r="AU219" s="90"/>
      <c r="AV219" s="90"/>
      <c r="AW219" s="90" t="s">
        <v>97</v>
      </c>
      <c r="AX219" s="90"/>
      <c r="AY219" s="90"/>
      <c r="AZ219" s="90" t="s">
        <v>97</v>
      </c>
      <c r="BA219" s="90"/>
      <c r="BB219" s="90" t="s">
        <v>97</v>
      </c>
      <c r="BC219" s="90" t="s">
        <v>97</v>
      </c>
      <c r="BD219" s="90"/>
      <c r="BE219" s="90"/>
      <c r="BF219" s="90"/>
      <c r="BG219" s="90"/>
      <c r="BH219" s="73" t="s">
        <v>199</v>
      </c>
      <c r="BI219" s="30" t="str">
        <f>IF(COUNTA(Tabelle32[[#This Row],[Type:Vid_1080i50]:[Type:Anc_Prot]])&gt;0,"x","")</f>
        <v>x</v>
      </c>
      <c r="BJ21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19" s="59"/>
      <c r="BL219" s="59"/>
      <c r="BM219" s="63"/>
      <c r="BN219" s="63"/>
      <c r="BO219" s="97" t="s">
        <v>458</v>
      </c>
      <c r="BP219" s="97" t="s">
        <v>536</v>
      </c>
      <c r="BQ219" s="75">
        <f>LEN(Tabelle32[[#This Row],[Label 1
GFX-Unit]])</f>
        <v>14</v>
      </c>
      <c r="BR219" s="63"/>
      <c r="BS219" s="63"/>
      <c r="BT219" s="59"/>
      <c r="BU219" s="59"/>
      <c r="BV219" s="59" t="s">
        <v>222</v>
      </c>
      <c r="BW219" s="59" t="s">
        <v>223</v>
      </c>
      <c r="BX219" s="59" t="s">
        <v>537</v>
      </c>
      <c r="BY219" s="59">
        <v>11</v>
      </c>
    </row>
    <row r="220" spans="1:77" x14ac:dyDescent="0.2">
      <c r="A220" s="58" t="str">
        <f>CONCATENATE(Tabelle32[[#This Row],[Device ID]],".",Tabelle32[[#This Row],[Streamcounter]])</f>
        <v>388.11204</v>
      </c>
      <c r="B22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VGW-103_SDI11_AUDrec_0004</v>
      </c>
      <c r="C220" s="60"/>
      <c r="D220" s="61"/>
      <c r="E220" s="62"/>
      <c r="F220" s="59" t="str">
        <f>IFERROR(VLOOKUP(Tabelle32[[#This Row],[Device ID]],BOM!$B$3:$BQ$35,16,FALSE),"")</f>
        <v>IngSRV-06</v>
      </c>
      <c r="G220" s="63">
        <f>VLOOKUP(Tabelle32[[#This Row],[SDI Interface]],BOM!$A$4:$B$35,2,FALSE)</f>
        <v>388</v>
      </c>
      <c r="H220" s="59" t="str">
        <f>BOM!$C$4</f>
        <v>VGW-103</v>
      </c>
      <c r="I220" s="59" t="str">
        <f>IFERROR(VLOOKUP(Tabelle32[[#This Row],[Device ID]],BOM!$B$3:$BQ$35,12,FALSE),"")</f>
        <v>Videoserver</v>
      </c>
      <c r="J220" s="59" t="str">
        <f>IFERROR(VLOOKUP(Tabelle32[[#This Row],[Device ID]],BOM!$B$3:$BQ$35,13,FALSE),"")</f>
        <v>TC.U1.223 | MDC</v>
      </c>
      <c r="K220" s="59" t="str">
        <f>IFERROR(VLOOKUP(Tabelle32[[#This Row],[Device ID]],BOM!$B$3:$BQ$35,14,FALSE),"")</f>
        <v>Imagine Comunications</v>
      </c>
      <c r="L220" s="59" t="str">
        <f>IFERROR(VLOOKUP(Tabelle32[[#This Row],[Device ID]],BOM!$B$3:$BQ$35,16,FALSE),"")</f>
        <v>IngSRV-06</v>
      </c>
      <c r="M220" s="63" t="str">
        <f>IFERROR(VLOOKUP(Tabelle32[[#This Row],[Device ID]],BOM!$B$3:$BQ$35,17,FALSE),"")</f>
        <v>M3H</v>
      </c>
      <c r="N220" s="59" t="str">
        <f>IFERROR(VLOOKUP(Tabelle32[[#This Row],[Device ID]],BOM!$B$3:$BQ$35,18,FALSE),"")</f>
        <v>TC.03.225 | M3H</v>
      </c>
      <c r="O220" s="64"/>
      <c r="P220" s="64">
        <f>IFERROR(VLOOKUP(Tabelle32[[#This Row],[Device ID]],BOM!$B$3:$BO$50,20,FALSE),"")</f>
        <v>0</v>
      </c>
      <c r="Q220" s="64">
        <f>IFERROR(VLOOKUP(Tabelle32[[#This Row],[Device ID]],BOM!$B$3:$BO$50,21,FALSE),"")</f>
        <v>1</v>
      </c>
      <c r="R220" s="64">
        <f>IFERROR(VLOOKUP(Tabelle32[[#This Row],[Device ID]],BOM!$B$3:$BO$50,22,FALSE),"")</f>
        <v>0</v>
      </c>
      <c r="S220" s="64"/>
      <c r="T220" s="64"/>
      <c r="U220" s="59" t="str">
        <f>IFERROR(VLOOKUP(Tabelle32[[#This Row],[Device ID]],BOM!$B$3:$BQ$35,25,FALSE),"")</f>
        <v>Luis/Ivo</v>
      </c>
      <c r="V220" s="59" t="str">
        <f>IFERROR(VLOOKUP(Tabelle32[[#This Row],[Device ID]],BOM!$B$3:$BQ$35,26,FALSE),"")</f>
        <v>tpco-megw-vgw103.rta.st-net.media.int</v>
      </c>
      <c r="W220" s="59" t="str">
        <f>IFERROR(VLOOKUP(Tabelle32[[#This Row],[Device ID]],BOM!$B$3:$BQ$35,27,FALSE),"")</f>
        <v>10.120.236.50</v>
      </c>
      <c r="X220" s="59" t="str">
        <f>IFERROR(VLOOKUP(Tabelle32[[#This Row],[Device ID]],BOM!$B$3:$BQ$35,28,FALSE),"")</f>
        <v>AVCoreA</v>
      </c>
      <c r="Y220" s="59" t="str">
        <f>IFERROR(VLOOKUP(Tabelle32[[#This Row],[Device ID]],BOM!$B$3:$BQ$35,29,FALSE),"")</f>
        <v>5_36_1</v>
      </c>
      <c r="Z220" s="59" t="str">
        <f>IFERROR(VLOOKUP(Tabelle32[[#This Row],[Device ID]],BOM!$B$3:$BQ$35,30,FALSE),"")</f>
        <v>tpco-megw-vgw103.rtb.st-net.media.int</v>
      </c>
      <c r="AA220" s="59" t="str">
        <f>IFERROR(VLOOKUP(Tabelle32[[#This Row],[Device ID]],BOM!$B$3:$BQ$35,31,FALSE),"")</f>
        <v>10.120.236.54</v>
      </c>
      <c r="AB220" s="59" t="str">
        <f>IFERROR(VLOOKUP(Tabelle32[[#This Row],[Device ID]],BOM!$B$3:$BQ$35,32,FALSE),"")</f>
        <v>AVCoreB</v>
      </c>
      <c r="AC220" s="59" t="str">
        <f>IFERROR(VLOOKUP(Tabelle32[[#This Row],[Device ID]],BOM!$B$3:$BQ$35,33,FALSE),"")</f>
        <v>5_36_1</v>
      </c>
      <c r="AD220" s="59" t="str">
        <f>IFERROR(VLOOKUP(Tabelle32[[#This Row],[Device ID]],BOM!$B$3:$BQ$35,34,FALSE),"")</f>
        <v>tpco-megw-vgw103.st-net.media.int</v>
      </c>
      <c r="AE220" s="59" t="str">
        <f>IFERROR(VLOOKUP(Tabelle32[[#This Row],[Device ID]],BOM!$B$3:$BQ$35,35,FALSE),"")</f>
        <v>10.120.67.141</v>
      </c>
      <c r="AF220" s="59">
        <f>IFERROR(VLOOKUP(Tabelle32[[#This Row],[Device ID]],BOM!$B$3:$BQ$35,36,FALSE),"")</f>
        <v>0</v>
      </c>
      <c r="AG220" s="59">
        <f>IFERROR(VLOOKUP(Tabelle32[[#This Row],[Device ID]],BOM!$B$3:$BQ$35,37,FALSE),"")</f>
        <v>0</v>
      </c>
      <c r="AH220" s="59"/>
      <c r="AI220" s="59"/>
      <c r="AJ220" s="59"/>
      <c r="AK220" s="59"/>
      <c r="AL220" s="59" t="str">
        <f>IFERROR(VLOOKUP(Tabelle32[[#This Row],[Device ID]],BOM!$B$3:$BQ$35,42,FALSE),"")</f>
        <v>Imagine Communications SNP</v>
      </c>
      <c r="AM220" s="59" t="str">
        <f>IFERROR(VLOOKUP(Tabelle32[[#This Row],[Device ID]],BOM!$B$3:$BQ$35,43,FALSE),"")</f>
        <v>no</v>
      </c>
      <c r="AN220" s="59" t="str">
        <f>IFERROR(VLOOKUP(Tabelle32[[#This Row],[Device ID]],BOM!$B$3:$BQ$35,44,FALSE),"")</f>
        <v>yes</v>
      </c>
      <c r="AO220" s="59" t="str">
        <f>IFERROR(VLOOKUP(Tabelle32[[#This Row],[Device ID]],BOM!$B$3:$BQ$35,45,FALSE),"")</f>
        <v>no</v>
      </c>
      <c r="AP220" s="59" t="str">
        <f>IFERROR(CONCATENATE(Tabelle32[[#This Row],[Family
GFX-Unit]]," | ",Tabelle32[[#This Row],[Label 1
GFX-Unit]]," | ",Tabelle32[[#This Row],[Attached Device if Gateway]]),"")</f>
        <v>M3H InCh REM | Ingest Ch23-04 | IngSRV-06</v>
      </c>
      <c r="AQ220" s="59"/>
      <c r="AR220" s="90"/>
      <c r="AS220" s="90"/>
      <c r="AT220" s="90"/>
      <c r="AU220" s="90"/>
      <c r="AV220" s="90"/>
      <c r="AW220" s="90" t="s">
        <v>97</v>
      </c>
      <c r="AX220" s="90"/>
      <c r="AY220" s="90"/>
      <c r="AZ220" s="90" t="s">
        <v>97</v>
      </c>
      <c r="BA220" s="90"/>
      <c r="BB220" s="90" t="s">
        <v>97</v>
      </c>
      <c r="BC220" s="90" t="s">
        <v>97</v>
      </c>
      <c r="BD220" s="90"/>
      <c r="BE220" s="90"/>
      <c r="BF220" s="90"/>
      <c r="BG220" s="90"/>
      <c r="BH220" s="73" t="s">
        <v>199</v>
      </c>
      <c r="BI220" s="30" t="str">
        <f>IF(COUNTA(Tabelle32[[#This Row],[Type:Vid_1080i50]:[Type:Anc_Prot]])&gt;0,"x","")</f>
        <v>x</v>
      </c>
      <c r="BJ22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20" s="59"/>
      <c r="BL220" s="59"/>
      <c r="BM220" s="63"/>
      <c r="BN220" s="63"/>
      <c r="BO220" s="97" t="s">
        <v>458</v>
      </c>
      <c r="BP220" s="97" t="s">
        <v>538</v>
      </c>
      <c r="BQ220" s="75">
        <f>LEN(Tabelle32[[#This Row],[Label 1
GFX-Unit]])</f>
        <v>14</v>
      </c>
      <c r="BR220" s="63"/>
      <c r="BS220" s="63"/>
      <c r="BT220" s="59"/>
      <c r="BU220" s="59"/>
      <c r="BV220" s="59" t="s">
        <v>226</v>
      </c>
      <c r="BW220" s="59" t="s">
        <v>227</v>
      </c>
      <c r="BX220" s="59" t="s">
        <v>539</v>
      </c>
      <c r="BY220" s="59">
        <v>11</v>
      </c>
    </row>
    <row r="221" spans="1:77" x14ac:dyDescent="0.2">
      <c r="A221" s="58" t="str">
        <f>CONCATENATE(Tabelle32[[#This Row],[Device ID]],".",Tabelle32[[#This Row],[Streamcounter]])</f>
        <v>388.11205</v>
      </c>
      <c r="B22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VGW-103_SDI11_AUDrec_0005</v>
      </c>
      <c r="C221" s="60"/>
      <c r="D221" s="61"/>
      <c r="E221" s="62"/>
      <c r="F221" s="59" t="str">
        <f>IFERROR(VLOOKUP(Tabelle32[[#This Row],[Device ID]],BOM!$B$3:$BQ$35,16,FALSE),"")</f>
        <v>IngSRV-06</v>
      </c>
      <c r="G221" s="63">
        <f>VLOOKUP(Tabelle32[[#This Row],[SDI Interface]],BOM!$A$4:$B$35,2,FALSE)</f>
        <v>388</v>
      </c>
      <c r="H221" s="59" t="str">
        <f>BOM!$C$4</f>
        <v>VGW-103</v>
      </c>
      <c r="I221" s="59" t="str">
        <f>IFERROR(VLOOKUP(Tabelle32[[#This Row],[Device ID]],BOM!$B$3:$BQ$35,12,FALSE),"")</f>
        <v>Videoserver</v>
      </c>
      <c r="J221" s="59" t="str">
        <f>IFERROR(VLOOKUP(Tabelle32[[#This Row],[Device ID]],BOM!$B$3:$BQ$35,13,FALSE),"")</f>
        <v>TC.U1.223 | MDC</v>
      </c>
      <c r="K221" s="59" t="str">
        <f>IFERROR(VLOOKUP(Tabelle32[[#This Row],[Device ID]],BOM!$B$3:$BQ$35,14,FALSE),"")</f>
        <v>Imagine Comunications</v>
      </c>
      <c r="L221" s="59" t="str">
        <f>IFERROR(VLOOKUP(Tabelle32[[#This Row],[Device ID]],BOM!$B$3:$BQ$35,16,FALSE),"")</f>
        <v>IngSRV-06</v>
      </c>
      <c r="M221" s="63" t="str">
        <f>IFERROR(VLOOKUP(Tabelle32[[#This Row],[Device ID]],BOM!$B$3:$BQ$35,17,FALSE),"")</f>
        <v>M3H</v>
      </c>
      <c r="N221" s="59" t="str">
        <f>IFERROR(VLOOKUP(Tabelle32[[#This Row],[Device ID]],BOM!$B$3:$BQ$35,18,FALSE),"")</f>
        <v>TC.03.225 | M3H</v>
      </c>
      <c r="O221" s="64"/>
      <c r="P221" s="64">
        <f>IFERROR(VLOOKUP(Tabelle32[[#This Row],[Device ID]],BOM!$B$3:$BO$50,20,FALSE),"")</f>
        <v>0</v>
      </c>
      <c r="Q221" s="64">
        <f>IFERROR(VLOOKUP(Tabelle32[[#This Row],[Device ID]],BOM!$B$3:$BO$50,21,FALSE),"")</f>
        <v>1</v>
      </c>
      <c r="R221" s="64">
        <f>IFERROR(VLOOKUP(Tabelle32[[#This Row],[Device ID]],BOM!$B$3:$BO$50,22,FALSE),"")</f>
        <v>0</v>
      </c>
      <c r="S221" s="64"/>
      <c r="T221" s="64"/>
      <c r="U221" s="59" t="str">
        <f>IFERROR(VLOOKUP(Tabelle32[[#This Row],[Device ID]],BOM!$B$3:$BQ$35,25,FALSE),"")</f>
        <v>Luis/Ivo</v>
      </c>
      <c r="V221" s="59" t="str">
        <f>IFERROR(VLOOKUP(Tabelle32[[#This Row],[Device ID]],BOM!$B$3:$BQ$35,26,FALSE),"")</f>
        <v>tpco-megw-vgw103.rta.st-net.media.int</v>
      </c>
      <c r="W221" s="59" t="str">
        <f>IFERROR(VLOOKUP(Tabelle32[[#This Row],[Device ID]],BOM!$B$3:$BQ$35,27,FALSE),"")</f>
        <v>10.120.236.50</v>
      </c>
      <c r="X221" s="59" t="str">
        <f>IFERROR(VLOOKUP(Tabelle32[[#This Row],[Device ID]],BOM!$B$3:$BQ$35,28,FALSE),"")</f>
        <v>AVCoreA</v>
      </c>
      <c r="Y221" s="59" t="str">
        <f>IFERROR(VLOOKUP(Tabelle32[[#This Row],[Device ID]],BOM!$B$3:$BQ$35,29,FALSE),"")</f>
        <v>5_36_1</v>
      </c>
      <c r="Z221" s="59" t="str">
        <f>IFERROR(VLOOKUP(Tabelle32[[#This Row],[Device ID]],BOM!$B$3:$BQ$35,30,FALSE),"")</f>
        <v>tpco-megw-vgw103.rtb.st-net.media.int</v>
      </c>
      <c r="AA221" s="59" t="str">
        <f>IFERROR(VLOOKUP(Tabelle32[[#This Row],[Device ID]],BOM!$B$3:$BQ$35,31,FALSE),"")</f>
        <v>10.120.236.54</v>
      </c>
      <c r="AB221" s="59" t="str">
        <f>IFERROR(VLOOKUP(Tabelle32[[#This Row],[Device ID]],BOM!$B$3:$BQ$35,32,FALSE),"")</f>
        <v>AVCoreB</v>
      </c>
      <c r="AC221" s="59" t="str">
        <f>IFERROR(VLOOKUP(Tabelle32[[#This Row],[Device ID]],BOM!$B$3:$BQ$35,33,FALSE),"")</f>
        <v>5_36_1</v>
      </c>
      <c r="AD221" s="59" t="str">
        <f>IFERROR(VLOOKUP(Tabelle32[[#This Row],[Device ID]],BOM!$B$3:$BQ$35,34,FALSE),"")</f>
        <v>tpco-megw-vgw103.st-net.media.int</v>
      </c>
      <c r="AE221" s="59" t="str">
        <f>IFERROR(VLOOKUP(Tabelle32[[#This Row],[Device ID]],BOM!$B$3:$BQ$35,35,FALSE),"")</f>
        <v>10.120.67.141</v>
      </c>
      <c r="AF221" s="59">
        <f>IFERROR(VLOOKUP(Tabelle32[[#This Row],[Device ID]],BOM!$B$3:$BQ$35,36,FALSE),"")</f>
        <v>0</v>
      </c>
      <c r="AG221" s="59">
        <f>IFERROR(VLOOKUP(Tabelle32[[#This Row],[Device ID]],BOM!$B$3:$BQ$35,37,FALSE),"")</f>
        <v>0</v>
      </c>
      <c r="AH221" s="59"/>
      <c r="AI221" s="59"/>
      <c r="AJ221" s="59"/>
      <c r="AK221" s="59"/>
      <c r="AL221" s="59" t="str">
        <f>IFERROR(VLOOKUP(Tabelle32[[#This Row],[Device ID]],BOM!$B$3:$BQ$35,42,FALSE),"")</f>
        <v>Imagine Communications SNP</v>
      </c>
      <c r="AM221" s="59" t="str">
        <f>IFERROR(VLOOKUP(Tabelle32[[#This Row],[Device ID]],BOM!$B$3:$BQ$35,43,FALSE),"")</f>
        <v>no</v>
      </c>
      <c r="AN221" s="59" t="str">
        <f>IFERROR(VLOOKUP(Tabelle32[[#This Row],[Device ID]],BOM!$B$3:$BQ$35,44,FALSE),"")</f>
        <v>yes</v>
      </c>
      <c r="AO221" s="59" t="str">
        <f>IFERROR(VLOOKUP(Tabelle32[[#This Row],[Device ID]],BOM!$B$3:$BQ$35,45,FALSE),"")</f>
        <v>no</v>
      </c>
      <c r="AP221" s="59" t="str">
        <f>IFERROR(CONCATENATE(Tabelle32[[#This Row],[Family
GFX-Unit]]," | ",Tabelle32[[#This Row],[Label 1
GFX-Unit]]," | ",Tabelle32[[#This Row],[Attached Device if Gateway]]),"")</f>
        <v>M3H InCh REM | Ingest Ch23-05 | IngSRV-06</v>
      </c>
      <c r="AQ221" s="59"/>
      <c r="AR221" s="90"/>
      <c r="AS221" s="90"/>
      <c r="AT221" s="90"/>
      <c r="AU221" s="90"/>
      <c r="AV221" s="90"/>
      <c r="AW221" s="90" t="s">
        <v>97</v>
      </c>
      <c r="AX221" s="90"/>
      <c r="AY221" s="90"/>
      <c r="AZ221" s="90" t="s">
        <v>97</v>
      </c>
      <c r="BA221" s="90"/>
      <c r="BB221" s="90" t="s">
        <v>97</v>
      </c>
      <c r="BC221" s="90" t="s">
        <v>97</v>
      </c>
      <c r="BD221" s="90"/>
      <c r="BE221" s="90"/>
      <c r="BF221" s="90"/>
      <c r="BG221" s="90"/>
      <c r="BH221" s="73" t="s">
        <v>199</v>
      </c>
      <c r="BI221" s="30" t="str">
        <f>IF(COUNTA(Tabelle32[[#This Row],[Type:Vid_1080i50]:[Type:Anc_Prot]])&gt;0,"x","")</f>
        <v>x</v>
      </c>
      <c r="BJ22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21" s="59"/>
      <c r="BL221" s="59"/>
      <c r="BM221" s="63"/>
      <c r="BN221" s="63"/>
      <c r="BO221" s="97" t="s">
        <v>458</v>
      </c>
      <c r="BP221" s="97" t="s">
        <v>540</v>
      </c>
      <c r="BQ221" s="75">
        <f>LEN(Tabelle32[[#This Row],[Label 1
GFX-Unit]])</f>
        <v>14</v>
      </c>
      <c r="BR221" s="63"/>
      <c r="BS221" s="63"/>
      <c r="BT221" s="59"/>
      <c r="BU221" s="59"/>
      <c r="BV221" s="59" t="s">
        <v>230</v>
      </c>
      <c r="BW221" s="59" t="s">
        <v>231</v>
      </c>
      <c r="BX221" s="59" t="s">
        <v>541</v>
      </c>
      <c r="BY221" s="59">
        <v>11</v>
      </c>
    </row>
    <row r="222" spans="1:77" x14ac:dyDescent="0.2">
      <c r="A222" s="58" t="str">
        <f>CONCATENATE(Tabelle32[[#This Row],[Device ID]],".",Tabelle32[[#This Row],[Streamcounter]])</f>
        <v>388.11206</v>
      </c>
      <c r="B22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VGW-103_SDI11_AUDrec_0006</v>
      </c>
      <c r="C222" s="60"/>
      <c r="D222" s="61"/>
      <c r="E222" s="62"/>
      <c r="F222" s="59" t="str">
        <f>IFERROR(VLOOKUP(Tabelle32[[#This Row],[Device ID]],BOM!$B$3:$BQ$35,16,FALSE),"")</f>
        <v>IngSRV-06</v>
      </c>
      <c r="G222" s="63">
        <f>VLOOKUP(Tabelle32[[#This Row],[SDI Interface]],BOM!$A$4:$B$35,2,FALSE)</f>
        <v>388</v>
      </c>
      <c r="H222" s="59" t="str">
        <f>BOM!$C$4</f>
        <v>VGW-103</v>
      </c>
      <c r="I222" s="59" t="str">
        <f>IFERROR(VLOOKUP(Tabelle32[[#This Row],[Device ID]],BOM!$B$3:$BQ$35,12,FALSE),"")</f>
        <v>Videoserver</v>
      </c>
      <c r="J222" s="59" t="str">
        <f>IFERROR(VLOOKUP(Tabelle32[[#This Row],[Device ID]],BOM!$B$3:$BQ$35,13,FALSE),"")</f>
        <v>TC.U1.223 | MDC</v>
      </c>
      <c r="K222" s="59" t="str">
        <f>IFERROR(VLOOKUP(Tabelle32[[#This Row],[Device ID]],BOM!$B$3:$BQ$35,14,FALSE),"")</f>
        <v>Imagine Comunications</v>
      </c>
      <c r="L222" s="59" t="str">
        <f>IFERROR(VLOOKUP(Tabelle32[[#This Row],[Device ID]],BOM!$B$3:$BQ$35,16,FALSE),"")</f>
        <v>IngSRV-06</v>
      </c>
      <c r="M222" s="63" t="str">
        <f>IFERROR(VLOOKUP(Tabelle32[[#This Row],[Device ID]],BOM!$B$3:$BQ$35,17,FALSE),"")</f>
        <v>M3H</v>
      </c>
      <c r="N222" s="59" t="str">
        <f>IFERROR(VLOOKUP(Tabelle32[[#This Row],[Device ID]],BOM!$B$3:$BQ$35,18,FALSE),"")</f>
        <v>TC.03.225 | M3H</v>
      </c>
      <c r="O222" s="64"/>
      <c r="P222" s="64">
        <f>IFERROR(VLOOKUP(Tabelle32[[#This Row],[Device ID]],BOM!$B$3:$BO$50,20,FALSE),"")</f>
        <v>0</v>
      </c>
      <c r="Q222" s="64">
        <f>IFERROR(VLOOKUP(Tabelle32[[#This Row],[Device ID]],BOM!$B$3:$BO$50,21,FALSE),"")</f>
        <v>1</v>
      </c>
      <c r="R222" s="64">
        <f>IFERROR(VLOOKUP(Tabelle32[[#This Row],[Device ID]],BOM!$B$3:$BO$50,22,FALSE),"")</f>
        <v>0</v>
      </c>
      <c r="S222" s="64"/>
      <c r="T222" s="64"/>
      <c r="U222" s="59" t="str">
        <f>IFERROR(VLOOKUP(Tabelle32[[#This Row],[Device ID]],BOM!$B$3:$BQ$35,25,FALSE),"")</f>
        <v>Luis/Ivo</v>
      </c>
      <c r="V222" s="59" t="str">
        <f>IFERROR(VLOOKUP(Tabelle32[[#This Row],[Device ID]],BOM!$B$3:$BQ$35,26,FALSE),"")</f>
        <v>tpco-megw-vgw103.rta.st-net.media.int</v>
      </c>
      <c r="W222" s="59" t="str">
        <f>IFERROR(VLOOKUP(Tabelle32[[#This Row],[Device ID]],BOM!$B$3:$BQ$35,27,FALSE),"")</f>
        <v>10.120.236.50</v>
      </c>
      <c r="X222" s="59" t="str">
        <f>IFERROR(VLOOKUP(Tabelle32[[#This Row],[Device ID]],BOM!$B$3:$BQ$35,28,FALSE),"")</f>
        <v>AVCoreA</v>
      </c>
      <c r="Y222" s="59" t="str">
        <f>IFERROR(VLOOKUP(Tabelle32[[#This Row],[Device ID]],BOM!$B$3:$BQ$35,29,FALSE),"")</f>
        <v>5_36_1</v>
      </c>
      <c r="Z222" s="59" t="str">
        <f>IFERROR(VLOOKUP(Tabelle32[[#This Row],[Device ID]],BOM!$B$3:$BQ$35,30,FALSE),"")</f>
        <v>tpco-megw-vgw103.rtb.st-net.media.int</v>
      </c>
      <c r="AA222" s="59" t="str">
        <f>IFERROR(VLOOKUP(Tabelle32[[#This Row],[Device ID]],BOM!$B$3:$BQ$35,31,FALSE),"")</f>
        <v>10.120.236.54</v>
      </c>
      <c r="AB222" s="59" t="str">
        <f>IFERROR(VLOOKUP(Tabelle32[[#This Row],[Device ID]],BOM!$B$3:$BQ$35,32,FALSE),"")</f>
        <v>AVCoreB</v>
      </c>
      <c r="AC222" s="59" t="str">
        <f>IFERROR(VLOOKUP(Tabelle32[[#This Row],[Device ID]],BOM!$B$3:$BQ$35,33,FALSE),"")</f>
        <v>5_36_1</v>
      </c>
      <c r="AD222" s="59" t="str">
        <f>IFERROR(VLOOKUP(Tabelle32[[#This Row],[Device ID]],BOM!$B$3:$BQ$35,34,FALSE),"")</f>
        <v>tpco-megw-vgw103.st-net.media.int</v>
      </c>
      <c r="AE222" s="59" t="str">
        <f>IFERROR(VLOOKUP(Tabelle32[[#This Row],[Device ID]],BOM!$B$3:$BQ$35,35,FALSE),"")</f>
        <v>10.120.67.141</v>
      </c>
      <c r="AF222" s="59">
        <f>IFERROR(VLOOKUP(Tabelle32[[#This Row],[Device ID]],BOM!$B$3:$BQ$35,36,FALSE),"")</f>
        <v>0</v>
      </c>
      <c r="AG222" s="59">
        <f>IFERROR(VLOOKUP(Tabelle32[[#This Row],[Device ID]],BOM!$B$3:$BQ$35,37,FALSE),"")</f>
        <v>0</v>
      </c>
      <c r="AH222" s="59"/>
      <c r="AI222" s="59"/>
      <c r="AJ222" s="59"/>
      <c r="AK222" s="59"/>
      <c r="AL222" s="59" t="str">
        <f>IFERROR(VLOOKUP(Tabelle32[[#This Row],[Device ID]],BOM!$B$3:$BQ$35,42,FALSE),"")</f>
        <v>Imagine Communications SNP</v>
      </c>
      <c r="AM222" s="59" t="str">
        <f>IFERROR(VLOOKUP(Tabelle32[[#This Row],[Device ID]],BOM!$B$3:$BQ$35,43,FALSE),"")</f>
        <v>no</v>
      </c>
      <c r="AN222" s="59" t="str">
        <f>IFERROR(VLOOKUP(Tabelle32[[#This Row],[Device ID]],BOM!$B$3:$BQ$35,44,FALSE),"")</f>
        <v>yes</v>
      </c>
      <c r="AO222" s="59" t="str">
        <f>IFERROR(VLOOKUP(Tabelle32[[#This Row],[Device ID]],BOM!$B$3:$BQ$35,45,FALSE),"")</f>
        <v>no</v>
      </c>
      <c r="AP222" s="59" t="str">
        <f>IFERROR(CONCATENATE(Tabelle32[[#This Row],[Family
GFX-Unit]]," | ",Tabelle32[[#This Row],[Label 1
GFX-Unit]]," | ",Tabelle32[[#This Row],[Attached Device if Gateway]]),"")</f>
        <v>M3H InCh REM | Ingest Ch23-06 | IngSRV-06</v>
      </c>
      <c r="AQ222" s="59"/>
      <c r="AR222" s="90"/>
      <c r="AS222" s="90"/>
      <c r="AT222" s="90"/>
      <c r="AU222" s="90"/>
      <c r="AV222" s="90"/>
      <c r="AW222" s="90" t="s">
        <v>97</v>
      </c>
      <c r="AX222" s="90"/>
      <c r="AY222" s="90"/>
      <c r="AZ222" s="90" t="s">
        <v>97</v>
      </c>
      <c r="BA222" s="90"/>
      <c r="BB222" s="90" t="s">
        <v>97</v>
      </c>
      <c r="BC222" s="90" t="s">
        <v>97</v>
      </c>
      <c r="BD222" s="90"/>
      <c r="BE222" s="90"/>
      <c r="BF222" s="90"/>
      <c r="BG222" s="90"/>
      <c r="BH222" s="73" t="s">
        <v>199</v>
      </c>
      <c r="BI222" s="30" t="str">
        <f>IF(COUNTA(Tabelle32[[#This Row],[Type:Vid_1080i50]:[Type:Anc_Prot]])&gt;0,"x","")</f>
        <v>x</v>
      </c>
      <c r="BJ22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22" s="59"/>
      <c r="BL222" s="59"/>
      <c r="BM222" s="63"/>
      <c r="BN222" s="63"/>
      <c r="BO222" s="97" t="s">
        <v>458</v>
      </c>
      <c r="BP222" s="97" t="s">
        <v>542</v>
      </c>
      <c r="BQ222" s="75">
        <f>LEN(Tabelle32[[#This Row],[Label 1
GFX-Unit]])</f>
        <v>14</v>
      </c>
      <c r="BR222" s="63"/>
      <c r="BS222" s="63"/>
      <c r="BT222" s="59"/>
      <c r="BU222" s="59"/>
      <c r="BV222" s="59" t="s">
        <v>234</v>
      </c>
      <c r="BW222" s="59" t="s">
        <v>235</v>
      </c>
      <c r="BX222" s="59" t="s">
        <v>543</v>
      </c>
      <c r="BY222" s="59">
        <v>11</v>
      </c>
    </row>
    <row r="223" spans="1:77" x14ac:dyDescent="0.2">
      <c r="A223" s="58" t="str">
        <f>CONCATENATE(Tabelle32[[#This Row],[Device ID]],".",Tabelle32[[#This Row],[Streamcounter]])</f>
        <v>388.11207</v>
      </c>
      <c r="B22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VGW-103_SDI11_AUDrec_0007</v>
      </c>
      <c r="C223" s="60"/>
      <c r="D223" s="61"/>
      <c r="E223" s="62"/>
      <c r="F223" s="59" t="str">
        <f>IFERROR(VLOOKUP(Tabelle32[[#This Row],[Device ID]],BOM!$B$3:$BQ$35,16,FALSE),"")</f>
        <v>IngSRV-06</v>
      </c>
      <c r="G223" s="63">
        <f>VLOOKUP(Tabelle32[[#This Row],[SDI Interface]],BOM!$A$4:$B$35,2,FALSE)</f>
        <v>388</v>
      </c>
      <c r="H223" s="59" t="str">
        <f>BOM!$C$4</f>
        <v>VGW-103</v>
      </c>
      <c r="I223" s="59" t="str">
        <f>IFERROR(VLOOKUP(Tabelle32[[#This Row],[Device ID]],BOM!$B$3:$BQ$35,12,FALSE),"")</f>
        <v>Videoserver</v>
      </c>
      <c r="J223" s="59" t="str">
        <f>IFERROR(VLOOKUP(Tabelle32[[#This Row],[Device ID]],BOM!$B$3:$BQ$35,13,FALSE),"")</f>
        <v>TC.U1.223 | MDC</v>
      </c>
      <c r="K223" s="59" t="str">
        <f>IFERROR(VLOOKUP(Tabelle32[[#This Row],[Device ID]],BOM!$B$3:$BQ$35,14,FALSE),"")</f>
        <v>Imagine Comunications</v>
      </c>
      <c r="L223" s="59" t="str">
        <f>IFERROR(VLOOKUP(Tabelle32[[#This Row],[Device ID]],BOM!$B$3:$BQ$35,16,FALSE),"")</f>
        <v>IngSRV-06</v>
      </c>
      <c r="M223" s="63" t="str">
        <f>IFERROR(VLOOKUP(Tabelle32[[#This Row],[Device ID]],BOM!$B$3:$BQ$35,17,FALSE),"")</f>
        <v>M3H</v>
      </c>
      <c r="N223" s="59" t="str">
        <f>IFERROR(VLOOKUP(Tabelle32[[#This Row],[Device ID]],BOM!$B$3:$BQ$35,18,FALSE),"")</f>
        <v>TC.03.225 | M3H</v>
      </c>
      <c r="O223" s="64"/>
      <c r="P223" s="64">
        <f>IFERROR(VLOOKUP(Tabelle32[[#This Row],[Device ID]],BOM!$B$3:$BO$50,20,FALSE),"")</f>
        <v>0</v>
      </c>
      <c r="Q223" s="64">
        <f>IFERROR(VLOOKUP(Tabelle32[[#This Row],[Device ID]],BOM!$B$3:$BO$50,21,FALSE),"")</f>
        <v>1</v>
      </c>
      <c r="R223" s="64">
        <f>IFERROR(VLOOKUP(Tabelle32[[#This Row],[Device ID]],BOM!$B$3:$BO$50,22,FALSE),"")</f>
        <v>0</v>
      </c>
      <c r="S223" s="64"/>
      <c r="T223" s="64"/>
      <c r="U223" s="59" t="str">
        <f>IFERROR(VLOOKUP(Tabelle32[[#This Row],[Device ID]],BOM!$B$3:$BQ$35,25,FALSE),"")</f>
        <v>Luis/Ivo</v>
      </c>
      <c r="V223" s="59" t="str">
        <f>IFERROR(VLOOKUP(Tabelle32[[#This Row],[Device ID]],BOM!$B$3:$BQ$35,26,FALSE),"")</f>
        <v>tpco-megw-vgw103.rta.st-net.media.int</v>
      </c>
      <c r="W223" s="59" t="str">
        <f>IFERROR(VLOOKUP(Tabelle32[[#This Row],[Device ID]],BOM!$B$3:$BQ$35,27,FALSE),"")</f>
        <v>10.120.236.50</v>
      </c>
      <c r="X223" s="59" t="str">
        <f>IFERROR(VLOOKUP(Tabelle32[[#This Row],[Device ID]],BOM!$B$3:$BQ$35,28,FALSE),"")</f>
        <v>AVCoreA</v>
      </c>
      <c r="Y223" s="59" t="str">
        <f>IFERROR(VLOOKUP(Tabelle32[[#This Row],[Device ID]],BOM!$B$3:$BQ$35,29,FALSE),"")</f>
        <v>5_36_1</v>
      </c>
      <c r="Z223" s="59" t="str">
        <f>IFERROR(VLOOKUP(Tabelle32[[#This Row],[Device ID]],BOM!$B$3:$BQ$35,30,FALSE),"")</f>
        <v>tpco-megw-vgw103.rtb.st-net.media.int</v>
      </c>
      <c r="AA223" s="59" t="str">
        <f>IFERROR(VLOOKUP(Tabelle32[[#This Row],[Device ID]],BOM!$B$3:$BQ$35,31,FALSE),"")</f>
        <v>10.120.236.54</v>
      </c>
      <c r="AB223" s="59" t="str">
        <f>IFERROR(VLOOKUP(Tabelle32[[#This Row],[Device ID]],BOM!$B$3:$BQ$35,32,FALSE),"")</f>
        <v>AVCoreB</v>
      </c>
      <c r="AC223" s="59" t="str">
        <f>IFERROR(VLOOKUP(Tabelle32[[#This Row],[Device ID]],BOM!$B$3:$BQ$35,33,FALSE),"")</f>
        <v>5_36_1</v>
      </c>
      <c r="AD223" s="59" t="str">
        <f>IFERROR(VLOOKUP(Tabelle32[[#This Row],[Device ID]],BOM!$B$3:$BQ$35,34,FALSE),"")</f>
        <v>tpco-megw-vgw103.st-net.media.int</v>
      </c>
      <c r="AE223" s="59" t="str">
        <f>IFERROR(VLOOKUP(Tabelle32[[#This Row],[Device ID]],BOM!$B$3:$BQ$35,35,FALSE),"")</f>
        <v>10.120.67.141</v>
      </c>
      <c r="AF223" s="59">
        <f>IFERROR(VLOOKUP(Tabelle32[[#This Row],[Device ID]],BOM!$B$3:$BQ$35,36,FALSE),"")</f>
        <v>0</v>
      </c>
      <c r="AG223" s="59">
        <f>IFERROR(VLOOKUP(Tabelle32[[#This Row],[Device ID]],BOM!$B$3:$BQ$35,37,FALSE),"")</f>
        <v>0</v>
      </c>
      <c r="AH223" s="59"/>
      <c r="AI223" s="59"/>
      <c r="AJ223" s="59"/>
      <c r="AK223" s="59"/>
      <c r="AL223" s="59" t="str">
        <f>IFERROR(VLOOKUP(Tabelle32[[#This Row],[Device ID]],BOM!$B$3:$BQ$35,42,FALSE),"")</f>
        <v>Imagine Communications SNP</v>
      </c>
      <c r="AM223" s="59" t="str">
        <f>IFERROR(VLOOKUP(Tabelle32[[#This Row],[Device ID]],BOM!$B$3:$BQ$35,43,FALSE),"")</f>
        <v>no</v>
      </c>
      <c r="AN223" s="59" t="str">
        <f>IFERROR(VLOOKUP(Tabelle32[[#This Row],[Device ID]],BOM!$B$3:$BQ$35,44,FALSE),"")</f>
        <v>yes</v>
      </c>
      <c r="AO223" s="59" t="str">
        <f>IFERROR(VLOOKUP(Tabelle32[[#This Row],[Device ID]],BOM!$B$3:$BQ$35,45,FALSE),"")</f>
        <v>no</v>
      </c>
      <c r="AP223" s="59" t="str">
        <f>IFERROR(CONCATENATE(Tabelle32[[#This Row],[Family
GFX-Unit]]," | ",Tabelle32[[#This Row],[Label 1
GFX-Unit]]," | ",Tabelle32[[#This Row],[Attached Device if Gateway]]),"")</f>
        <v>M3H InCh REM | Ingest Ch23-07 | IngSRV-06</v>
      </c>
      <c r="AQ223" s="59"/>
      <c r="AR223" s="90"/>
      <c r="AS223" s="90"/>
      <c r="AT223" s="90"/>
      <c r="AU223" s="90"/>
      <c r="AV223" s="90"/>
      <c r="AW223" s="90" t="s">
        <v>97</v>
      </c>
      <c r="AX223" s="90"/>
      <c r="AY223" s="90"/>
      <c r="AZ223" s="90" t="s">
        <v>97</v>
      </c>
      <c r="BA223" s="90"/>
      <c r="BB223" s="90" t="s">
        <v>97</v>
      </c>
      <c r="BC223" s="90" t="s">
        <v>97</v>
      </c>
      <c r="BD223" s="90"/>
      <c r="BE223" s="90"/>
      <c r="BF223" s="90"/>
      <c r="BG223" s="90"/>
      <c r="BH223" s="73" t="s">
        <v>199</v>
      </c>
      <c r="BI223" s="30" t="str">
        <f>IF(COUNTA(Tabelle32[[#This Row],[Type:Vid_1080i50]:[Type:Anc_Prot]])&gt;0,"x","")</f>
        <v>x</v>
      </c>
      <c r="BJ22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23" s="59"/>
      <c r="BL223" s="59"/>
      <c r="BM223" s="63"/>
      <c r="BN223" s="63"/>
      <c r="BO223" s="97" t="s">
        <v>458</v>
      </c>
      <c r="BP223" s="97" t="s">
        <v>544</v>
      </c>
      <c r="BQ223" s="75">
        <f>LEN(Tabelle32[[#This Row],[Label 1
GFX-Unit]])</f>
        <v>14</v>
      </c>
      <c r="BR223" s="63"/>
      <c r="BS223" s="63"/>
      <c r="BT223" s="59"/>
      <c r="BU223" s="59"/>
      <c r="BV223" s="59" t="s">
        <v>238</v>
      </c>
      <c r="BW223" s="59" t="s">
        <v>239</v>
      </c>
      <c r="BX223" s="59" t="s">
        <v>545</v>
      </c>
      <c r="BY223" s="59">
        <v>11</v>
      </c>
    </row>
    <row r="224" spans="1:77" x14ac:dyDescent="0.2">
      <c r="A224" s="58" t="str">
        <f>CONCATENATE(Tabelle32[[#This Row],[Device ID]],".",Tabelle32[[#This Row],[Streamcounter]])</f>
        <v>388.11208</v>
      </c>
      <c r="B22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VGW-103_SDI11_AUDrec_0008</v>
      </c>
      <c r="C224" s="60"/>
      <c r="D224" s="61"/>
      <c r="E224" s="62"/>
      <c r="F224" s="59" t="str">
        <f>IFERROR(VLOOKUP(Tabelle32[[#This Row],[Device ID]],BOM!$B$3:$BQ$35,16,FALSE),"")</f>
        <v>IngSRV-06</v>
      </c>
      <c r="G224" s="63">
        <f>VLOOKUP(Tabelle32[[#This Row],[SDI Interface]],BOM!$A$4:$B$35,2,FALSE)</f>
        <v>388</v>
      </c>
      <c r="H224" s="59" t="str">
        <f>BOM!$C$4</f>
        <v>VGW-103</v>
      </c>
      <c r="I224" s="59" t="str">
        <f>IFERROR(VLOOKUP(Tabelle32[[#This Row],[Device ID]],BOM!$B$3:$BQ$35,12,FALSE),"")</f>
        <v>Videoserver</v>
      </c>
      <c r="J224" s="59" t="str">
        <f>IFERROR(VLOOKUP(Tabelle32[[#This Row],[Device ID]],BOM!$B$3:$BQ$35,13,FALSE),"")</f>
        <v>TC.U1.223 | MDC</v>
      </c>
      <c r="K224" s="59" t="str">
        <f>IFERROR(VLOOKUP(Tabelle32[[#This Row],[Device ID]],BOM!$B$3:$BQ$35,14,FALSE),"")</f>
        <v>Imagine Comunications</v>
      </c>
      <c r="L224" s="59" t="str">
        <f>IFERROR(VLOOKUP(Tabelle32[[#This Row],[Device ID]],BOM!$B$3:$BQ$35,16,FALSE),"")</f>
        <v>IngSRV-06</v>
      </c>
      <c r="M224" s="63" t="str">
        <f>IFERROR(VLOOKUP(Tabelle32[[#This Row],[Device ID]],BOM!$B$3:$BQ$35,17,FALSE),"")</f>
        <v>M3H</v>
      </c>
      <c r="N224" s="59" t="str">
        <f>IFERROR(VLOOKUP(Tabelle32[[#This Row],[Device ID]],BOM!$B$3:$BQ$35,18,FALSE),"")</f>
        <v>TC.03.225 | M3H</v>
      </c>
      <c r="O224" s="64"/>
      <c r="P224" s="64">
        <f>IFERROR(VLOOKUP(Tabelle32[[#This Row],[Device ID]],BOM!$B$3:$BO$50,20,FALSE),"")</f>
        <v>0</v>
      </c>
      <c r="Q224" s="64">
        <f>IFERROR(VLOOKUP(Tabelle32[[#This Row],[Device ID]],BOM!$B$3:$BO$50,21,FALSE),"")</f>
        <v>1</v>
      </c>
      <c r="R224" s="64">
        <f>IFERROR(VLOOKUP(Tabelle32[[#This Row],[Device ID]],BOM!$B$3:$BO$50,22,FALSE),"")</f>
        <v>0</v>
      </c>
      <c r="S224" s="64"/>
      <c r="T224" s="64"/>
      <c r="U224" s="59" t="str">
        <f>IFERROR(VLOOKUP(Tabelle32[[#This Row],[Device ID]],BOM!$B$3:$BQ$35,25,FALSE),"")</f>
        <v>Luis/Ivo</v>
      </c>
      <c r="V224" s="59" t="str">
        <f>IFERROR(VLOOKUP(Tabelle32[[#This Row],[Device ID]],BOM!$B$3:$BQ$35,26,FALSE),"")</f>
        <v>tpco-megw-vgw103.rta.st-net.media.int</v>
      </c>
      <c r="W224" s="59" t="str">
        <f>IFERROR(VLOOKUP(Tabelle32[[#This Row],[Device ID]],BOM!$B$3:$BQ$35,27,FALSE),"")</f>
        <v>10.120.236.50</v>
      </c>
      <c r="X224" s="59" t="str">
        <f>IFERROR(VLOOKUP(Tabelle32[[#This Row],[Device ID]],BOM!$B$3:$BQ$35,28,FALSE),"")</f>
        <v>AVCoreA</v>
      </c>
      <c r="Y224" s="59" t="str">
        <f>IFERROR(VLOOKUP(Tabelle32[[#This Row],[Device ID]],BOM!$B$3:$BQ$35,29,FALSE),"")</f>
        <v>5_36_1</v>
      </c>
      <c r="Z224" s="59" t="str">
        <f>IFERROR(VLOOKUP(Tabelle32[[#This Row],[Device ID]],BOM!$B$3:$BQ$35,30,FALSE),"")</f>
        <v>tpco-megw-vgw103.rtb.st-net.media.int</v>
      </c>
      <c r="AA224" s="59" t="str">
        <f>IFERROR(VLOOKUP(Tabelle32[[#This Row],[Device ID]],BOM!$B$3:$BQ$35,31,FALSE),"")</f>
        <v>10.120.236.54</v>
      </c>
      <c r="AB224" s="59" t="str">
        <f>IFERROR(VLOOKUP(Tabelle32[[#This Row],[Device ID]],BOM!$B$3:$BQ$35,32,FALSE),"")</f>
        <v>AVCoreB</v>
      </c>
      <c r="AC224" s="59" t="str">
        <f>IFERROR(VLOOKUP(Tabelle32[[#This Row],[Device ID]],BOM!$B$3:$BQ$35,33,FALSE),"")</f>
        <v>5_36_1</v>
      </c>
      <c r="AD224" s="59" t="str">
        <f>IFERROR(VLOOKUP(Tabelle32[[#This Row],[Device ID]],BOM!$B$3:$BQ$35,34,FALSE),"")</f>
        <v>tpco-megw-vgw103.st-net.media.int</v>
      </c>
      <c r="AE224" s="59" t="str">
        <f>IFERROR(VLOOKUP(Tabelle32[[#This Row],[Device ID]],BOM!$B$3:$BQ$35,35,FALSE),"")</f>
        <v>10.120.67.141</v>
      </c>
      <c r="AF224" s="59">
        <f>IFERROR(VLOOKUP(Tabelle32[[#This Row],[Device ID]],BOM!$B$3:$BQ$35,36,FALSE),"")</f>
        <v>0</v>
      </c>
      <c r="AG224" s="59">
        <f>IFERROR(VLOOKUP(Tabelle32[[#This Row],[Device ID]],BOM!$B$3:$BQ$35,37,FALSE),"")</f>
        <v>0</v>
      </c>
      <c r="AH224" s="59"/>
      <c r="AI224" s="59"/>
      <c r="AJ224" s="59"/>
      <c r="AK224" s="59"/>
      <c r="AL224" s="59" t="str">
        <f>IFERROR(VLOOKUP(Tabelle32[[#This Row],[Device ID]],BOM!$B$3:$BQ$35,42,FALSE),"")</f>
        <v>Imagine Communications SNP</v>
      </c>
      <c r="AM224" s="59" t="str">
        <f>IFERROR(VLOOKUP(Tabelle32[[#This Row],[Device ID]],BOM!$B$3:$BQ$35,43,FALSE),"")</f>
        <v>no</v>
      </c>
      <c r="AN224" s="59" t="str">
        <f>IFERROR(VLOOKUP(Tabelle32[[#This Row],[Device ID]],BOM!$B$3:$BQ$35,44,FALSE),"")</f>
        <v>yes</v>
      </c>
      <c r="AO224" s="59" t="str">
        <f>IFERROR(VLOOKUP(Tabelle32[[#This Row],[Device ID]],BOM!$B$3:$BQ$35,45,FALSE),"")</f>
        <v>no</v>
      </c>
      <c r="AP224" s="59" t="str">
        <f>IFERROR(CONCATENATE(Tabelle32[[#This Row],[Family
GFX-Unit]]," | ",Tabelle32[[#This Row],[Label 1
GFX-Unit]]," | ",Tabelle32[[#This Row],[Attached Device if Gateway]]),"")</f>
        <v>M3H InCh REM | Ingest Ch23-08 | IngSRV-06</v>
      </c>
      <c r="AQ224" s="59"/>
      <c r="AR224" s="90"/>
      <c r="AS224" s="90"/>
      <c r="AT224" s="90"/>
      <c r="AU224" s="90"/>
      <c r="AV224" s="90"/>
      <c r="AW224" s="90" t="s">
        <v>97</v>
      </c>
      <c r="AX224" s="90"/>
      <c r="AY224" s="90"/>
      <c r="AZ224" s="90" t="s">
        <v>97</v>
      </c>
      <c r="BA224" s="90"/>
      <c r="BB224" s="90" t="s">
        <v>97</v>
      </c>
      <c r="BC224" s="90" t="s">
        <v>97</v>
      </c>
      <c r="BD224" s="90"/>
      <c r="BE224" s="90"/>
      <c r="BF224" s="90"/>
      <c r="BG224" s="90"/>
      <c r="BH224" s="73" t="s">
        <v>199</v>
      </c>
      <c r="BI224" s="30" t="str">
        <f>IF(COUNTA(Tabelle32[[#This Row],[Type:Vid_1080i50]:[Type:Anc_Prot]])&gt;0,"x","")</f>
        <v>x</v>
      </c>
      <c r="BJ22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24" s="59"/>
      <c r="BL224" s="59"/>
      <c r="BM224" s="63"/>
      <c r="BN224" s="63"/>
      <c r="BO224" s="97" t="s">
        <v>458</v>
      </c>
      <c r="BP224" s="97" t="s">
        <v>546</v>
      </c>
      <c r="BQ224" s="75">
        <f>LEN(Tabelle32[[#This Row],[Label 1
GFX-Unit]])</f>
        <v>14</v>
      </c>
      <c r="BR224" s="63"/>
      <c r="BS224" s="63"/>
      <c r="BT224" s="59"/>
      <c r="BU224" s="59"/>
      <c r="BV224" s="59" t="s">
        <v>242</v>
      </c>
      <c r="BW224" s="59" t="s">
        <v>243</v>
      </c>
      <c r="BX224" s="59" t="s">
        <v>547</v>
      </c>
      <c r="BY224" s="59">
        <v>11</v>
      </c>
    </row>
    <row r="225" spans="1:77" x14ac:dyDescent="0.2">
      <c r="A225" s="58" t="str">
        <f>CONCATENATE(Tabelle32[[#This Row],[Device ID]],".",Tabelle32[[#This Row],[Streamcounter]])</f>
        <v>388.11209</v>
      </c>
      <c r="B22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VGW-103_SDI11_AUDrec_0009</v>
      </c>
      <c r="C225" s="60"/>
      <c r="D225" s="61"/>
      <c r="E225" s="62"/>
      <c r="F225" s="59" t="str">
        <f>IFERROR(VLOOKUP(Tabelle32[[#This Row],[Device ID]],BOM!$B$3:$BQ$35,16,FALSE),"")</f>
        <v>IngSRV-06</v>
      </c>
      <c r="G225" s="63">
        <f>VLOOKUP(Tabelle32[[#This Row],[SDI Interface]],BOM!$A$4:$B$35,2,FALSE)</f>
        <v>388</v>
      </c>
      <c r="H225" s="59" t="str">
        <f>BOM!$C$4</f>
        <v>VGW-103</v>
      </c>
      <c r="I225" s="59" t="str">
        <f>IFERROR(VLOOKUP(Tabelle32[[#This Row],[Device ID]],BOM!$B$3:$BQ$35,12,FALSE),"")</f>
        <v>Videoserver</v>
      </c>
      <c r="J225" s="59" t="str">
        <f>IFERROR(VLOOKUP(Tabelle32[[#This Row],[Device ID]],BOM!$B$3:$BQ$35,13,FALSE),"")</f>
        <v>TC.U1.223 | MDC</v>
      </c>
      <c r="K225" s="59" t="str">
        <f>IFERROR(VLOOKUP(Tabelle32[[#This Row],[Device ID]],BOM!$B$3:$BQ$35,14,FALSE),"")</f>
        <v>Imagine Comunications</v>
      </c>
      <c r="L225" s="59" t="str">
        <f>IFERROR(VLOOKUP(Tabelle32[[#This Row],[Device ID]],BOM!$B$3:$BQ$35,16,FALSE),"")</f>
        <v>IngSRV-06</v>
      </c>
      <c r="M225" s="63" t="str">
        <f>IFERROR(VLOOKUP(Tabelle32[[#This Row],[Device ID]],BOM!$B$3:$BQ$35,17,FALSE),"")</f>
        <v>M3H</v>
      </c>
      <c r="N225" s="59" t="str">
        <f>IFERROR(VLOOKUP(Tabelle32[[#This Row],[Device ID]],BOM!$B$3:$BQ$35,18,FALSE),"")</f>
        <v>TC.03.225 | M3H</v>
      </c>
      <c r="O225" s="64"/>
      <c r="P225" s="64">
        <f>IFERROR(VLOOKUP(Tabelle32[[#This Row],[Device ID]],BOM!$B$3:$BO$50,20,FALSE),"")</f>
        <v>0</v>
      </c>
      <c r="Q225" s="64">
        <f>IFERROR(VLOOKUP(Tabelle32[[#This Row],[Device ID]],BOM!$B$3:$BO$50,21,FALSE),"")</f>
        <v>1</v>
      </c>
      <c r="R225" s="64">
        <f>IFERROR(VLOOKUP(Tabelle32[[#This Row],[Device ID]],BOM!$B$3:$BO$50,22,FALSE),"")</f>
        <v>0</v>
      </c>
      <c r="S225" s="64"/>
      <c r="T225" s="64"/>
      <c r="U225" s="59" t="str">
        <f>IFERROR(VLOOKUP(Tabelle32[[#This Row],[Device ID]],BOM!$B$3:$BQ$35,25,FALSE),"")</f>
        <v>Luis/Ivo</v>
      </c>
      <c r="V225" s="59" t="str">
        <f>IFERROR(VLOOKUP(Tabelle32[[#This Row],[Device ID]],BOM!$B$3:$BQ$35,26,FALSE),"")</f>
        <v>tpco-megw-vgw103.rta.st-net.media.int</v>
      </c>
      <c r="W225" s="59" t="str">
        <f>IFERROR(VLOOKUP(Tabelle32[[#This Row],[Device ID]],BOM!$B$3:$BQ$35,27,FALSE),"")</f>
        <v>10.120.236.50</v>
      </c>
      <c r="X225" s="59" t="str">
        <f>IFERROR(VLOOKUP(Tabelle32[[#This Row],[Device ID]],BOM!$B$3:$BQ$35,28,FALSE),"")</f>
        <v>AVCoreA</v>
      </c>
      <c r="Y225" s="59" t="str">
        <f>IFERROR(VLOOKUP(Tabelle32[[#This Row],[Device ID]],BOM!$B$3:$BQ$35,29,FALSE),"")</f>
        <v>5_36_1</v>
      </c>
      <c r="Z225" s="59" t="str">
        <f>IFERROR(VLOOKUP(Tabelle32[[#This Row],[Device ID]],BOM!$B$3:$BQ$35,30,FALSE),"")</f>
        <v>tpco-megw-vgw103.rtb.st-net.media.int</v>
      </c>
      <c r="AA225" s="59" t="str">
        <f>IFERROR(VLOOKUP(Tabelle32[[#This Row],[Device ID]],BOM!$B$3:$BQ$35,31,FALSE),"")</f>
        <v>10.120.236.54</v>
      </c>
      <c r="AB225" s="59" t="str">
        <f>IFERROR(VLOOKUP(Tabelle32[[#This Row],[Device ID]],BOM!$B$3:$BQ$35,32,FALSE),"")</f>
        <v>AVCoreB</v>
      </c>
      <c r="AC225" s="59" t="str">
        <f>IFERROR(VLOOKUP(Tabelle32[[#This Row],[Device ID]],BOM!$B$3:$BQ$35,33,FALSE),"")</f>
        <v>5_36_1</v>
      </c>
      <c r="AD225" s="59" t="str">
        <f>IFERROR(VLOOKUP(Tabelle32[[#This Row],[Device ID]],BOM!$B$3:$BQ$35,34,FALSE),"")</f>
        <v>tpco-megw-vgw103.st-net.media.int</v>
      </c>
      <c r="AE225" s="59" t="str">
        <f>IFERROR(VLOOKUP(Tabelle32[[#This Row],[Device ID]],BOM!$B$3:$BQ$35,35,FALSE),"")</f>
        <v>10.120.67.141</v>
      </c>
      <c r="AF225" s="59">
        <f>IFERROR(VLOOKUP(Tabelle32[[#This Row],[Device ID]],BOM!$B$3:$BQ$35,36,FALSE),"")</f>
        <v>0</v>
      </c>
      <c r="AG225" s="59">
        <f>IFERROR(VLOOKUP(Tabelle32[[#This Row],[Device ID]],BOM!$B$3:$BQ$35,37,FALSE),"")</f>
        <v>0</v>
      </c>
      <c r="AH225" s="59"/>
      <c r="AI225" s="59"/>
      <c r="AJ225" s="59"/>
      <c r="AK225" s="59"/>
      <c r="AL225" s="59" t="str">
        <f>IFERROR(VLOOKUP(Tabelle32[[#This Row],[Device ID]],BOM!$B$3:$BQ$35,42,FALSE),"")</f>
        <v>Imagine Communications SNP</v>
      </c>
      <c r="AM225" s="59" t="str">
        <f>IFERROR(VLOOKUP(Tabelle32[[#This Row],[Device ID]],BOM!$B$3:$BQ$35,43,FALSE),"")</f>
        <v>no</v>
      </c>
      <c r="AN225" s="59" t="str">
        <f>IFERROR(VLOOKUP(Tabelle32[[#This Row],[Device ID]],BOM!$B$3:$BQ$35,44,FALSE),"")</f>
        <v>yes</v>
      </c>
      <c r="AO225" s="59" t="str">
        <f>IFERROR(VLOOKUP(Tabelle32[[#This Row],[Device ID]],BOM!$B$3:$BQ$35,45,FALSE),"")</f>
        <v>no</v>
      </c>
      <c r="AP225" s="59" t="str">
        <f>IFERROR(CONCATENATE(Tabelle32[[#This Row],[Family
GFX-Unit]]," | ",Tabelle32[[#This Row],[Label 1
GFX-Unit]]," | ",Tabelle32[[#This Row],[Attached Device if Gateway]]),"")</f>
        <v>M3H InCh REM | Ingest Ch23-09 | IngSRV-06</v>
      </c>
      <c r="AQ225" s="59"/>
      <c r="AR225" s="90"/>
      <c r="AS225" s="90"/>
      <c r="AT225" s="90"/>
      <c r="AU225" s="90"/>
      <c r="AV225" s="90"/>
      <c r="AW225" s="90" t="s">
        <v>97</v>
      </c>
      <c r="AX225" s="90"/>
      <c r="AY225" s="90"/>
      <c r="AZ225" s="90" t="s">
        <v>97</v>
      </c>
      <c r="BA225" s="90"/>
      <c r="BB225" s="90" t="s">
        <v>97</v>
      </c>
      <c r="BC225" s="90" t="s">
        <v>97</v>
      </c>
      <c r="BD225" s="90"/>
      <c r="BE225" s="90"/>
      <c r="BF225" s="90"/>
      <c r="BG225" s="90"/>
      <c r="BH225" s="73" t="s">
        <v>199</v>
      </c>
      <c r="BI225" s="30" t="str">
        <f>IF(COUNTA(Tabelle32[[#This Row],[Type:Vid_1080i50]:[Type:Anc_Prot]])&gt;0,"x","")</f>
        <v>x</v>
      </c>
      <c r="BJ22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25" s="59"/>
      <c r="BL225" s="59"/>
      <c r="BM225" s="63"/>
      <c r="BN225" s="63"/>
      <c r="BO225" s="97" t="s">
        <v>458</v>
      </c>
      <c r="BP225" s="97" t="s">
        <v>548</v>
      </c>
      <c r="BQ225" s="75">
        <f>LEN(Tabelle32[[#This Row],[Label 1
GFX-Unit]])</f>
        <v>14</v>
      </c>
      <c r="BR225" s="63"/>
      <c r="BS225" s="63"/>
      <c r="BT225" s="59"/>
      <c r="BU225" s="59"/>
      <c r="BV225" s="59" t="s">
        <v>245</v>
      </c>
      <c r="BW225" s="59" t="s">
        <v>246</v>
      </c>
      <c r="BX225" s="59" t="s">
        <v>549</v>
      </c>
      <c r="BY225" s="59">
        <v>11</v>
      </c>
    </row>
    <row r="226" spans="1:77" hidden="1" x14ac:dyDescent="0.2">
      <c r="A226" s="58" t="str">
        <f>CONCATENATE(Tabelle32[[#This Row],[Device ID]],".",Tabelle32[[#This Row],[Streamcounter]])</f>
        <v>388.11210</v>
      </c>
      <c r="B22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VGW-103_SDI11_AUDrec_0010</v>
      </c>
      <c r="C226" s="60"/>
      <c r="D226" s="61"/>
      <c r="E226" s="62"/>
      <c r="F226" s="59" t="str">
        <f>IFERROR(VLOOKUP(Tabelle32[[#This Row],[Device ID]],BOM!$B$3:$BQ$35,16,FALSE),"")</f>
        <v>IngSRV-06</v>
      </c>
      <c r="G226" s="63">
        <f>VLOOKUP(Tabelle32[[#This Row],[SDI Interface]],BOM!$A$4:$B$35,2,FALSE)</f>
        <v>388</v>
      </c>
      <c r="H226" s="59" t="str">
        <f>BOM!$C$4</f>
        <v>VGW-103</v>
      </c>
      <c r="I226" s="59" t="str">
        <f>IFERROR(VLOOKUP(Tabelle32[[#This Row],[Device ID]],BOM!$B$3:$BQ$35,12,FALSE),"")</f>
        <v>Videoserver</v>
      </c>
      <c r="J226" s="59" t="str">
        <f>IFERROR(VLOOKUP(Tabelle32[[#This Row],[Device ID]],BOM!$B$3:$BQ$35,13,FALSE),"")</f>
        <v>TC.U1.223 | MDC</v>
      </c>
      <c r="K226" s="59" t="str">
        <f>IFERROR(VLOOKUP(Tabelle32[[#This Row],[Device ID]],BOM!$B$3:$BQ$35,14,FALSE),"")</f>
        <v>Imagine Comunications</v>
      </c>
      <c r="L226" s="59" t="str">
        <f>IFERROR(VLOOKUP(Tabelle32[[#This Row],[Device ID]],BOM!$B$3:$BQ$35,16,FALSE),"")</f>
        <v>IngSRV-06</v>
      </c>
      <c r="M226" s="63" t="str">
        <f>IFERROR(VLOOKUP(Tabelle32[[#This Row],[Device ID]],BOM!$B$3:$BQ$35,17,FALSE),"")</f>
        <v>M3H</v>
      </c>
      <c r="N226" s="59" t="str">
        <f>IFERROR(VLOOKUP(Tabelle32[[#This Row],[Device ID]],BOM!$B$3:$BQ$35,18,FALSE),"")</f>
        <v>TC.03.225 | M3H</v>
      </c>
      <c r="O226" s="64"/>
      <c r="P226" s="64">
        <f>IFERROR(VLOOKUP(Tabelle32[[#This Row],[Device ID]],BOM!$B$3:$BO$50,20,FALSE),"")</f>
        <v>0</v>
      </c>
      <c r="Q226" s="64">
        <f>IFERROR(VLOOKUP(Tabelle32[[#This Row],[Device ID]],BOM!$B$3:$BO$50,21,FALSE),"")</f>
        <v>1</v>
      </c>
      <c r="R226" s="64">
        <f>IFERROR(VLOOKUP(Tabelle32[[#This Row],[Device ID]],BOM!$B$3:$BO$50,22,FALSE),"")</f>
        <v>0</v>
      </c>
      <c r="S226" s="64"/>
      <c r="T226" s="64"/>
      <c r="U226" s="59" t="str">
        <f>IFERROR(VLOOKUP(Tabelle32[[#This Row],[Device ID]],BOM!$B$3:$BQ$35,25,FALSE),"")</f>
        <v>Luis/Ivo</v>
      </c>
      <c r="V226" s="59" t="str">
        <f>IFERROR(VLOOKUP(Tabelle32[[#This Row],[Device ID]],BOM!$B$3:$BQ$35,26,FALSE),"")</f>
        <v>tpco-megw-vgw103.rta.st-net.media.int</v>
      </c>
      <c r="W226" s="59" t="str">
        <f>IFERROR(VLOOKUP(Tabelle32[[#This Row],[Device ID]],BOM!$B$3:$BQ$35,27,FALSE),"")</f>
        <v>10.120.236.50</v>
      </c>
      <c r="X226" s="59" t="str">
        <f>IFERROR(VLOOKUP(Tabelle32[[#This Row],[Device ID]],BOM!$B$3:$BQ$35,28,FALSE),"")</f>
        <v>AVCoreA</v>
      </c>
      <c r="Y226" s="59" t="str">
        <f>IFERROR(VLOOKUP(Tabelle32[[#This Row],[Device ID]],BOM!$B$3:$BQ$35,29,FALSE),"")</f>
        <v>5_36_1</v>
      </c>
      <c r="Z226" s="59" t="str">
        <f>IFERROR(VLOOKUP(Tabelle32[[#This Row],[Device ID]],BOM!$B$3:$BQ$35,30,FALSE),"")</f>
        <v>tpco-megw-vgw103.rtb.st-net.media.int</v>
      </c>
      <c r="AA226" s="59" t="str">
        <f>IFERROR(VLOOKUP(Tabelle32[[#This Row],[Device ID]],BOM!$B$3:$BQ$35,31,FALSE),"")</f>
        <v>10.120.236.54</v>
      </c>
      <c r="AB226" s="59" t="str">
        <f>IFERROR(VLOOKUP(Tabelle32[[#This Row],[Device ID]],BOM!$B$3:$BQ$35,32,FALSE),"")</f>
        <v>AVCoreB</v>
      </c>
      <c r="AC226" s="59" t="str">
        <f>IFERROR(VLOOKUP(Tabelle32[[#This Row],[Device ID]],BOM!$B$3:$BQ$35,33,FALSE),"")</f>
        <v>5_36_1</v>
      </c>
      <c r="AD226" s="59" t="str">
        <f>IFERROR(VLOOKUP(Tabelle32[[#This Row],[Device ID]],BOM!$B$3:$BQ$35,34,FALSE),"")</f>
        <v>tpco-megw-vgw103.st-net.media.int</v>
      </c>
      <c r="AE226" s="59" t="str">
        <f>IFERROR(VLOOKUP(Tabelle32[[#This Row],[Device ID]],BOM!$B$3:$BQ$35,35,FALSE),"")</f>
        <v>10.120.67.141</v>
      </c>
      <c r="AF226" s="59">
        <f>IFERROR(VLOOKUP(Tabelle32[[#This Row],[Device ID]],BOM!$B$3:$BQ$35,36,FALSE),"")</f>
        <v>0</v>
      </c>
      <c r="AG226" s="59">
        <f>IFERROR(VLOOKUP(Tabelle32[[#This Row],[Device ID]],BOM!$B$3:$BQ$35,37,FALSE),"")</f>
        <v>0</v>
      </c>
      <c r="AH226" s="59"/>
      <c r="AI226" s="59"/>
      <c r="AJ226" s="59"/>
      <c r="AK226" s="59"/>
      <c r="AL226" s="59" t="str">
        <f>IFERROR(VLOOKUP(Tabelle32[[#This Row],[Device ID]],BOM!$B$3:$BQ$35,42,FALSE),"")</f>
        <v>Imagine Communications SNP</v>
      </c>
      <c r="AM226" s="59" t="str">
        <f>IFERROR(VLOOKUP(Tabelle32[[#This Row],[Device ID]],BOM!$B$3:$BQ$35,43,FALSE),"")</f>
        <v>no</v>
      </c>
      <c r="AN226" s="59" t="str">
        <f>IFERROR(VLOOKUP(Tabelle32[[#This Row],[Device ID]],BOM!$B$3:$BQ$35,44,FALSE),"")</f>
        <v>yes</v>
      </c>
      <c r="AO226" s="59" t="str">
        <f>IFERROR(VLOOKUP(Tabelle32[[#This Row],[Device ID]],BOM!$B$3:$BQ$35,45,FALSE),"")</f>
        <v>no</v>
      </c>
      <c r="AP226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26" s="59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73" t="s">
        <v>199</v>
      </c>
      <c r="BI226" s="30" t="str">
        <f>IF(COUNTA(Tabelle32[[#This Row],[Type:Vid_1080i50]:[Type:Anc_Prot]])&gt;0,"x","")</f>
        <v/>
      </c>
      <c r="BJ22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26" s="59"/>
      <c r="BL226" s="59"/>
      <c r="BM226" s="63"/>
      <c r="BN226" s="63"/>
      <c r="BO226" s="96"/>
      <c r="BP226" s="96"/>
      <c r="BQ226" s="75">
        <f>LEN(Tabelle32[[#This Row],[Label 1
GFX-Unit]])</f>
        <v>0</v>
      </c>
      <c r="BR226" s="63"/>
      <c r="BS226" s="63"/>
      <c r="BT226" s="59"/>
      <c r="BU226" s="59"/>
      <c r="BV226" s="59" t="s">
        <v>248</v>
      </c>
      <c r="BW226" s="59" t="s">
        <v>249</v>
      </c>
      <c r="BX226" s="59" t="s">
        <v>550</v>
      </c>
      <c r="BY226" s="59">
        <v>11</v>
      </c>
    </row>
    <row r="227" spans="1:77" hidden="1" x14ac:dyDescent="0.2">
      <c r="A227" s="58" t="str">
        <f>CONCATENATE(Tabelle32[[#This Row],[Device ID]],".",Tabelle32[[#This Row],[Streamcounter]])</f>
        <v>388.11211</v>
      </c>
      <c r="B22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VGW-103_SDI11_AUDrec_0011</v>
      </c>
      <c r="C227" s="60"/>
      <c r="D227" s="61"/>
      <c r="E227" s="62"/>
      <c r="F227" s="59" t="str">
        <f>IFERROR(VLOOKUP(Tabelle32[[#This Row],[Device ID]],BOM!$B$3:$BQ$35,16,FALSE),"")</f>
        <v>IngSRV-06</v>
      </c>
      <c r="G227" s="63">
        <f>VLOOKUP(Tabelle32[[#This Row],[SDI Interface]],BOM!$A$4:$B$35,2,FALSE)</f>
        <v>388</v>
      </c>
      <c r="H227" s="59" t="str">
        <f>BOM!$C$4</f>
        <v>VGW-103</v>
      </c>
      <c r="I227" s="59" t="str">
        <f>IFERROR(VLOOKUP(Tabelle32[[#This Row],[Device ID]],BOM!$B$3:$BQ$35,12,FALSE),"")</f>
        <v>Videoserver</v>
      </c>
      <c r="J227" s="59" t="str">
        <f>IFERROR(VLOOKUP(Tabelle32[[#This Row],[Device ID]],BOM!$B$3:$BQ$35,13,FALSE),"")</f>
        <v>TC.U1.223 | MDC</v>
      </c>
      <c r="K227" s="59" t="str">
        <f>IFERROR(VLOOKUP(Tabelle32[[#This Row],[Device ID]],BOM!$B$3:$BQ$35,14,FALSE),"")</f>
        <v>Imagine Comunications</v>
      </c>
      <c r="L227" s="59" t="str">
        <f>IFERROR(VLOOKUP(Tabelle32[[#This Row],[Device ID]],BOM!$B$3:$BQ$35,16,FALSE),"")</f>
        <v>IngSRV-06</v>
      </c>
      <c r="M227" s="63" t="str">
        <f>IFERROR(VLOOKUP(Tabelle32[[#This Row],[Device ID]],BOM!$B$3:$BQ$35,17,FALSE),"")</f>
        <v>M3H</v>
      </c>
      <c r="N227" s="59" t="str">
        <f>IFERROR(VLOOKUP(Tabelle32[[#This Row],[Device ID]],BOM!$B$3:$BQ$35,18,FALSE),"")</f>
        <v>TC.03.225 | M3H</v>
      </c>
      <c r="O227" s="64"/>
      <c r="P227" s="64">
        <f>IFERROR(VLOOKUP(Tabelle32[[#This Row],[Device ID]],BOM!$B$3:$BO$50,20,FALSE),"")</f>
        <v>0</v>
      </c>
      <c r="Q227" s="64">
        <f>IFERROR(VLOOKUP(Tabelle32[[#This Row],[Device ID]],BOM!$B$3:$BO$50,21,FALSE),"")</f>
        <v>1</v>
      </c>
      <c r="R227" s="64">
        <f>IFERROR(VLOOKUP(Tabelle32[[#This Row],[Device ID]],BOM!$B$3:$BO$50,22,FALSE),"")</f>
        <v>0</v>
      </c>
      <c r="S227" s="64"/>
      <c r="T227" s="64"/>
      <c r="U227" s="59" t="str">
        <f>IFERROR(VLOOKUP(Tabelle32[[#This Row],[Device ID]],BOM!$B$3:$BQ$35,25,FALSE),"")</f>
        <v>Luis/Ivo</v>
      </c>
      <c r="V227" s="59" t="str">
        <f>IFERROR(VLOOKUP(Tabelle32[[#This Row],[Device ID]],BOM!$B$3:$BQ$35,26,FALSE),"")</f>
        <v>tpco-megw-vgw103.rta.st-net.media.int</v>
      </c>
      <c r="W227" s="59" t="str">
        <f>IFERROR(VLOOKUP(Tabelle32[[#This Row],[Device ID]],BOM!$B$3:$BQ$35,27,FALSE),"")</f>
        <v>10.120.236.50</v>
      </c>
      <c r="X227" s="59" t="str">
        <f>IFERROR(VLOOKUP(Tabelle32[[#This Row],[Device ID]],BOM!$B$3:$BQ$35,28,FALSE),"")</f>
        <v>AVCoreA</v>
      </c>
      <c r="Y227" s="59" t="str">
        <f>IFERROR(VLOOKUP(Tabelle32[[#This Row],[Device ID]],BOM!$B$3:$BQ$35,29,FALSE),"")</f>
        <v>5_36_1</v>
      </c>
      <c r="Z227" s="59" t="str">
        <f>IFERROR(VLOOKUP(Tabelle32[[#This Row],[Device ID]],BOM!$B$3:$BQ$35,30,FALSE),"")</f>
        <v>tpco-megw-vgw103.rtb.st-net.media.int</v>
      </c>
      <c r="AA227" s="59" t="str">
        <f>IFERROR(VLOOKUP(Tabelle32[[#This Row],[Device ID]],BOM!$B$3:$BQ$35,31,FALSE),"")</f>
        <v>10.120.236.54</v>
      </c>
      <c r="AB227" s="59" t="str">
        <f>IFERROR(VLOOKUP(Tabelle32[[#This Row],[Device ID]],BOM!$B$3:$BQ$35,32,FALSE),"")</f>
        <v>AVCoreB</v>
      </c>
      <c r="AC227" s="59" t="str">
        <f>IFERROR(VLOOKUP(Tabelle32[[#This Row],[Device ID]],BOM!$B$3:$BQ$35,33,FALSE),"")</f>
        <v>5_36_1</v>
      </c>
      <c r="AD227" s="59" t="str">
        <f>IFERROR(VLOOKUP(Tabelle32[[#This Row],[Device ID]],BOM!$B$3:$BQ$35,34,FALSE),"")</f>
        <v>tpco-megw-vgw103.st-net.media.int</v>
      </c>
      <c r="AE227" s="59" t="str">
        <f>IFERROR(VLOOKUP(Tabelle32[[#This Row],[Device ID]],BOM!$B$3:$BQ$35,35,FALSE),"")</f>
        <v>10.120.67.141</v>
      </c>
      <c r="AF227" s="59">
        <f>IFERROR(VLOOKUP(Tabelle32[[#This Row],[Device ID]],BOM!$B$3:$BQ$35,36,FALSE),"")</f>
        <v>0</v>
      </c>
      <c r="AG227" s="59">
        <f>IFERROR(VLOOKUP(Tabelle32[[#This Row],[Device ID]],BOM!$B$3:$BQ$35,37,FALSE),"")</f>
        <v>0</v>
      </c>
      <c r="AH227" s="59"/>
      <c r="AI227" s="59"/>
      <c r="AJ227" s="59"/>
      <c r="AK227" s="59"/>
      <c r="AL227" s="59" t="str">
        <f>IFERROR(VLOOKUP(Tabelle32[[#This Row],[Device ID]],BOM!$B$3:$BQ$35,42,FALSE),"")</f>
        <v>Imagine Communications SNP</v>
      </c>
      <c r="AM227" s="59" t="str">
        <f>IFERROR(VLOOKUP(Tabelle32[[#This Row],[Device ID]],BOM!$B$3:$BQ$35,43,FALSE),"")</f>
        <v>no</v>
      </c>
      <c r="AN227" s="59" t="str">
        <f>IFERROR(VLOOKUP(Tabelle32[[#This Row],[Device ID]],BOM!$B$3:$BQ$35,44,FALSE),"")</f>
        <v>yes</v>
      </c>
      <c r="AO227" s="59" t="str">
        <f>IFERROR(VLOOKUP(Tabelle32[[#This Row],[Device ID]],BOM!$B$3:$BQ$35,45,FALSE),"")</f>
        <v>no</v>
      </c>
      <c r="AP227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27" s="59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73" t="s">
        <v>199</v>
      </c>
      <c r="BI227" s="30" t="str">
        <f>IF(COUNTA(Tabelle32[[#This Row],[Type:Vid_1080i50]:[Type:Anc_Prot]])&gt;0,"x","")</f>
        <v/>
      </c>
      <c r="BJ22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27" s="59"/>
      <c r="BL227" s="59"/>
      <c r="BM227" s="63"/>
      <c r="BN227" s="63"/>
      <c r="BO227" s="96"/>
      <c r="BP227" s="96"/>
      <c r="BQ227" s="75">
        <f>LEN(Tabelle32[[#This Row],[Label 1
GFX-Unit]])</f>
        <v>0</v>
      </c>
      <c r="BR227" s="63"/>
      <c r="BS227" s="63"/>
      <c r="BT227" s="59"/>
      <c r="BU227" s="59"/>
      <c r="BV227" s="59" t="s">
        <v>251</v>
      </c>
      <c r="BW227" s="59" t="s">
        <v>252</v>
      </c>
      <c r="BX227" s="59" t="s">
        <v>551</v>
      </c>
      <c r="BY227" s="59">
        <v>11</v>
      </c>
    </row>
    <row r="228" spans="1:77" hidden="1" x14ac:dyDescent="0.2">
      <c r="A228" s="58" t="str">
        <f>CONCATENATE(Tabelle32[[#This Row],[Device ID]],".",Tabelle32[[#This Row],[Streamcounter]])</f>
        <v>388.11212</v>
      </c>
      <c r="B22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VGW-103_SDI11_AUDrec_0012</v>
      </c>
      <c r="C228" s="60"/>
      <c r="D228" s="61"/>
      <c r="E228" s="62"/>
      <c r="F228" s="59" t="str">
        <f>IFERROR(VLOOKUP(Tabelle32[[#This Row],[Device ID]],BOM!$B$3:$BQ$35,16,FALSE),"")</f>
        <v>IngSRV-06</v>
      </c>
      <c r="G228" s="63">
        <f>VLOOKUP(Tabelle32[[#This Row],[SDI Interface]],BOM!$A$4:$B$35,2,FALSE)</f>
        <v>388</v>
      </c>
      <c r="H228" s="59" t="str">
        <f>BOM!$C$4</f>
        <v>VGW-103</v>
      </c>
      <c r="I228" s="59" t="str">
        <f>IFERROR(VLOOKUP(Tabelle32[[#This Row],[Device ID]],BOM!$B$3:$BQ$35,12,FALSE),"")</f>
        <v>Videoserver</v>
      </c>
      <c r="J228" s="59" t="str">
        <f>IFERROR(VLOOKUP(Tabelle32[[#This Row],[Device ID]],BOM!$B$3:$BQ$35,13,FALSE),"")</f>
        <v>TC.U1.223 | MDC</v>
      </c>
      <c r="K228" s="59" t="str">
        <f>IFERROR(VLOOKUP(Tabelle32[[#This Row],[Device ID]],BOM!$B$3:$BQ$35,14,FALSE),"")</f>
        <v>Imagine Comunications</v>
      </c>
      <c r="L228" s="59" t="str">
        <f>IFERROR(VLOOKUP(Tabelle32[[#This Row],[Device ID]],BOM!$B$3:$BQ$35,16,FALSE),"")</f>
        <v>IngSRV-06</v>
      </c>
      <c r="M228" s="63" t="str">
        <f>IFERROR(VLOOKUP(Tabelle32[[#This Row],[Device ID]],BOM!$B$3:$BQ$35,17,FALSE),"")</f>
        <v>M3H</v>
      </c>
      <c r="N228" s="59" t="str">
        <f>IFERROR(VLOOKUP(Tabelle32[[#This Row],[Device ID]],BOM!$B$3:$BQ$35,18,FALSE),"")</f>
        <v>TC.03.225 | M3H</v>
      </c>
      <c r="O228" s="64"/>
      <c r="P228" s="64">
        <f>IFERROR(VLOOKUP(Tabelle32[[#This Row],[Device ID]],BOM!$B$3:$BO$50,20,FALSE),"")</f>
        <v>0</v>
      </c>
      <c r="Q228" s="64">
        <f>IFERROR(VLOOKUP(Tabelle32[[#This Row],[Device ID]],BOM!$B$3:$BO$50,21,FALSE),"")</f>
        <v>1</v>
      </c>
      <c r="R228" s="64">
        <f>IFERROR(VLOOKUP(Tabelle32[[#This Row],[Device ID]],BOM!$B$3:$BO$50,22,FALSE),"")</f>
        <v>0</v>
      </c>
      <c r="S228" s="64"/>
      <c r="T228" s="64"/>
      <c r="U228" s="59" t="str">
        <f>IFERROR(VLOOKUP(Tabelle32[[#This Row],[Device ID]],BOM!$B$3:$BQ$35,25,FALSE),"")</f>
        <v>Luis/Ivo</v>
      </c>
      <c r="V228" s="59" t="str">
        <f>IFERROR(VLOOKUP(Tabelle32[[#This Row],[Device ID]],BOM!$B$3:$BQ$35,26,FALSE),"")</f>
        <v>tpco-megw-vgw103.rta.st-net.media.int</v>
      </c>
      <c r="W228" s="59" t="str">
        <f>IFERROR(VLOOKUP(Tabelle32[[#This Row],[Device ID]],BOM!$B$3:$BQ$35,27,FALSE),"")</f>
        <v>10.120.236.50</v>
      </c>
      <c r="X228" s="59" t="str">
        <f>IFERROR(VLOOKUP(Tabelle32[[#This Row],[Device ID]],BOM!$B$3:$BQ$35,28,FALSE),"")</f>
        <v>AVCoreA</v>
      </c>
      <c r="Y228" s="59" t="str">
        <f>IFERROR(VLOOKUP(Tabelle32[[#This Row],[Device ID]],BOM!$B$3:$BQ$35,29,FALSE),"")</f>
        <v>5_36_1</v>
      </c>
      <c r="Z228" s="59" t="str">
        <f>IFERROR(VLOOKUP(Tabelle32[[#This Row],[Device ID]],BOM!$B$3:$BQ$35,30,FALSE),"")</f>
        <v>tpco-megw-vgw103.rtb.st-net.media.int</v>
      </c>
      <c r="AA228" s="59" t="str">
        <f>IFERROR(VLOOKUP(Tabelle32[[#This Row],[Device ID]],BOM!$B$3:$BQ$35,31,FALSE),"")</f>
        <v>10.120.236.54</v>
      </c>
      <c r="AB228" s="59" t="str">
        <f>IFERROR(VLOOKUP(Tabelle32[[#This Row],[Device ID]],BOM!$B$3:$BQ$35,32,FALSE),"")</f>
        <v>AVCoreB</v>
      </c>
      <c r="AC228" s="59" t="str">
        <f>IFERROR(VLOOKUP(Tabelle32[[#This Row],[Device ID]],BOM!$B$3:$BQ$35,33,FALSE),"")</f>
        <v>5_36_1</v>
      </c>
      <c r="AD228" s="59" t="str">
        <f>IFERROR(VLOOKUP(Tabelle32[[#This Row],[Device ID]],BOM!$B$3:$BQ$35,34,FALSE),"")</f>
        <v>tpco-megw-vgw103.st-net.media.int</v>
      </c>
      <c r="AE228" s="59" t="str">
        <f>IFERROR(VLOOKUP(Tabelle32[[#This Row],[Device ID]],BOM!$B$3:$BQ$35,35,FALSE),"")</f>
        <v>10.120.67.141</v>
      </c>
      <c r="AF228" s="59">
        <f>IFERROR(VLOOKUP(Tabelle32[[#This Row],[Device ID]],BOM!$B$3:$BQ$35,36,FALSE),"")</f>
        <v>0</v>
      </c>
      <c r="AG228" s="59">
        <f>IFERROR(VLOOKUP(Tabelle32[[#This Row],[Device ID]],BOM!$B$3:$BQ$35,37,FALSE),"")</f>
        <v>0</v>
      </c>
      <c r="AH228" s="59"/>
      <c r="AI228" s="59"/>
      <c r="AJ228" s="59"/>
      <c r="AK228" s="59"/>
      <c r="AL228" s="59" t="str">
        <f>IFERROR(VLOOKUP(Tabelle32[[#This Row],[Device ID]],BOM!$B$3:$BQ$35,42,FALSE),"")</f>
        <v>Imagine Communications SNP</v>
      </c>
      <c r="AM228" s="59" t="str">
        <f>IFERROR(VLOOKUP(Tabelle32[[#This Row],[Device ID]],BOM!$B$3:$BQ$35,43,FALSE),"")</f>
        <v>no</v>
      </c>
      <c r="AN228" s="59" t="str">
        <f>IFERROR(VLOOKUP(Tabelle32[[#This Row],[Device ID]],BOM!$B$3:$BQ$35,44,FALSE),"")</f>
        <v>yes</v>
      </c>
      <c r="AO228" s="59" t="str">
        <f>IFERROR(VLOOKUP(Tabelle32[[#This Row],[Device ID]],BOM!$B$3:$BQ$35,45,FALSE),"")</f>
        <v>no</v>
      </c>
      <c r="AP228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28" s="59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73" t="s">
        <v>199</v>
      </c>
      <c r="BI228" s="30" t="str">
        <f>IF(COUNTA(Tabelle32[[#This Row],[Type:Vid_1080i50]:[Type:Anc_Prot]])&gt;0,"x","")</f>
        <v/>
      </c>
      <c r="BJ22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28" s="59"/>
      <c r="BL228" s="59"/>
      <c r="BM228" s="63"/>
      <c r="BN228" s="63"/>
      <c r="BO228" s="96"/>
      <c r="BP228" s="96"/>
      <c r="BQ228" s="75">
        <f>LEN(Tabelle32[[#This Row],[Label 1
GFX-Unit]])</f>
        <v>0</v>
      </c>
      <c r="BR228" s="63"/>
      <c r="BS228" s="63"/>
      <c r="BT228" s="59"/>
      <c r="BU228" s="59"/>
      <c r="BV228" s="59" t="s">
        <v>254</v>
      </c>
      <c r="BW228" s="59" t="s">
        <v>255</v>
      </c>
      <c r="BX228" s="59" t="s">
        <v>552</v>
      </c>
      <c r="BY228" s="59">
        <v>11</v>
      </c>
    </row>
    <row r="229" spans="1:77" hidden="1" x14ac:dyDescent="0.2">
      <c r="A229" s="58" t="str">
        <f>CONCATENATE(Tabelle32[[#This Row],[Device ID]],".",Tabelle32[[#This Row],[Streamcounter]])</f>
        <v>388.11213</v>
      </c>
      <c r="B22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VGW-103_SDI11_AUDrec_0013</v>
      </c>
      <c r="C229" s="60"/>
      <c r="D229" s="61"/>
      <c r="E229" s="62"/>
      <c r="F229" s="59" t="str">
        <f>IFERROR(VLOOKUP(Tabelle32[[#This Row],[Device ID]],BOM!$B$3:$BQ$35,16,FALSE),"")</f>
        <v>IngSRV-06</v>
      </c>
      <c r="G229" s="63">
        <f>VLOOKUP(Tabelle32[[#This Row],[SDI Interface]],BOM!$A$4:$B$35,2,FALSE)</f>
        <v>388</v>
      </c>
      <c r="H229" s="59" t="str">
        <f>BOM!$C$4</f>
        <v>VGW-103</v>
      </c>
      <c r="I229" s="59" t="str">
        <f>IFERROR(VLOOKUP(Tabelle32[[#This Row],[Device ID]],BOM!$B$3:$BQ$35,12,FALSE),"")</f>
        <v>Videoserver</v>
      </c>
      <c r="J229" s="59" t="str">
        <f>IFERROR(VLOOKUP(Tabelle32[[#This Row],[Device ID]],BOM!$B$3:$BQ$35,13,FALSE),"")</f>
        <v>TC.U1.223 | MDC</v>
      </c>
      <c r="K229" s="59" t="str">
        <f>IFERROR(VLOOKUP(Tabelle32[[#This Row],[Device ID]],BOM!$B$3:$BQ$35,14,FALSE),"")</f>
        <v>Imagine Comunications</v>
      </c>
      <c r="L229" s="59" t="str">
        <f>IFERROR(VLOOKUP(Tabelle32[[#This Row],[Device ID]],BOM!$B$3:$BQ$35,16,FALSE),"")</f>
        <v>IngSRV-06</v>
      </c>
      <c r="M229" s="63" t="str">
        <f>IFERROR(VLOOKUP(Tabelle32[[#This Row],[Device ID]],BOM!$B$3:$BQ$35,17,FALSE),"")</f>
        <v>M3H</v>
      </c>
      <c r="N229" s="59" t="str">
        <f>IFERROR(VLOOKUP(Tabelle32[[#This Row],[Device ID]],BOM!$B$3:$BQ$35,18,FALSE),"")</f>
        <v>TC.03.225 | M3H</v>
      </c>
      <c r="O229" s="64"/>
      <c r="P229" s="64">
        <f>IFERROR(VLOOKUP(Tabelle32[[#This Row],[Device ID]],BOM!$B$3:$BO$50,20,FALSE),"")</f>
        <v>0</v>
      </c>
      <c r="Q229" s="64">
        <f>IFERROR(VLOOKUP(Tabelle32[[#This Row],[Device ID]],BOM!$B$3:$BO$50,21,FALSE),"")</f>
        <v>1</v>
      </c>
      <c r="R229" s="64">
        <f>IFERROR(VLOOKUP(Tabelle32[[#This Row],[Device ID]],BOM!$B$3:$BO$50,22,FALSE),"")</f>
        <v>0</v>
      </c>
      <c r="S229" s="64"/>
      <c r="T229" s="64"/>
      <c r="U229" s="59" t="str">
        <f>IFERROR(VLOOKUP(Tabelle32[[#This Row],[Device ID]],BOM!$B$3:$BQ$35,25,FALSE),"")</f>
        <v>Luis/Ivo</v>
      </c>
      <c r="V229" s="59" t="str">
        <f>IFERROR(VLOOKUP(Tabelle32[[#This Row],[Device ID]],BOM!$B$3:$BQ$35,26,FALSE),"")</f>
        <v>tpco-megw-vgw103.rta.st-net.media.int</v>
      </c>
      <c r="W229" s="59" t="str">
        <f>IFERROR(VLOOKUP(Tabelle32[[#This Row],[Device ID]],BOM!$B$3:$BQ$35,27,FALSE),"")</f>
        <v>10.120.236.50</v>
      </c>
      <c r="X229" s="59" t="str">
        <f>IFERROR(VLOOKUP(Tabelle32[[#This Row],[Device ID]],BOM!$B$3:$BQ$35,28,FALSE),"")</f>
        <v>AVCoreA</v>
      </c>
      <c r="Y229" s="59" t="str">
        <f>IFERROR(VLOOKUP(Tabelle32[[#This Row],[Device ID]],BOM!$B$3:$BQ$35,29,FALSE),"")</f>
        <v>5_36_1</v>
      </c>
      <c r="Z229" s="59" t="str">
        <f>IFERROR(VLOOKUP(Tabelle32[[#This Row],[Device ID]],BOM!$B$3:$BQ$35,30,FALSE),"")</f>
        <v>tpco-megw-vgw103.rtb.st-net.media.int</v>
      </c>
      <c r="AA229" s="59" t="str">
        <f>IFERROR(VLOOKUP(Tabelle32[[#This Row],[Device ID]],BOM!$B$3:$BQ$35,31,FALSE),"")</f>
        <v>10.120.236.54</v>
      </c>
      <c r="AB229" s="59" t="str">
        <f>IFERROR(VLOOKUP(Tabelle32[[#This Row],[Device ID]],BOM!$B$3:$BQ$35,32,FALSE),"")</f>
        <v>AVCoreB</v>
      </c>
      <c r="AC229" s="59" t="str">
        <f>IFERROR(VLOOKUP(Tabelle32[[#This Row],[Device ID]],BOM!$B$3:$BQ$35,33,FALSE),"")</f>
        <v>5_36_1</v>
      </c>
      <c r="AD229" s="59" t="str">
        <f>IFERROR(VLOOKUP(Tabelle32[[#This Row],[Device ID]],BOM!$B$3:$BQ$35,34,FALSE),"")</f>
        <v>tpco-megw-vgw103.st-net.media.int</v>
      </c>
      <c r="AE229" s="59" t="str">
        <f>IFERROR(VLOOKUP(Tabelle32[[#This Row],[Device ID]],BOM!$B$3:$BQ$35,35,FALSE),"")</f>
        <v>10.120.67.141</v>
      </c>
      <c r="AF229" s="59">
        <f>IFERROR(VLOOKUP(Tabelle32[[#This Row],[Device ID]],BOM!$B$3:$BQ$35,36,FALSE),"")</f>
        <v>0</v>
      </c>
      <c r="AG229" s="59">
        <f>IFERROR(VLOOKUP(Tabelle32[[#This Row],[Device ID]],BOM!$B$3:$BQ$35,37,FALSE),"")</f>
        <v>0</v>
      </c>
      <c r="AH229" s="59"/>
      <c r="AI229" s="59"/>
      <c r="AJ229" s="59"/>
      <c r="AK229" s="59"/>
      <c r="AL229" s="59" t="str">
        <f>IFERROR(VLOOKUP(Tabelle32[[#This Row],[Device ID]],BOM!$B$3:$BQ$35,42,FALSE),"")</f>
        <v>Imagine Communications SNP</v>
      </c>
      <c r="AM229" s="59" t="str">
        <f>IFERROR(VLOOKUP(Tabelle32[[#This Row],[Device ID]],BOM!$B$3:$BQ$35,43,FALSE),"")</f>
        <v>no</v>
      </c>
      <c r="AN229" s="59" t="str">
        <f>IFERROR(VLOOKUP(Tabelle32[[#This Row],[Device ID]],BOM!$B$3:$BQ$35,44,FALSE),"")</f>
        <v>yes</v>
      </c>
      <c r="AO229" s="59" t="str">
        <f>IFERROR(VLOOKUP(Tabelle32[[#This Row],[Device ID]],BOM!$B$3:$BQ$35,45,FALSE),"")</f>
        <v>no</v>
      </c>
      <c r="AP229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29" s="59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73" t="s">
        <v>199</v>
      </c>
      <c r="BI229" s="30" t="str">
        <f>IF(COUNTA(Tabelle32[[#This Row],[Type:Vid_1080i50]:[Type:Anc_Prot]])&gt;0,"x","")</f>
        <v/>
      </c>
      <c r="BJ22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29" s="59"/>
      <c r="BL229" s="59"/>
      <c r="BM229" s="63"/>
      <c r="BN229" s="63"/>
      <c r="BO229" s="96"/>
      <c r="BP229" s="96"/>
      <c r="BQ229" s="75">
        <f>LEN(Tabelle32[[#This Row],[Label 1
GFX-Unit]])</f>
        <v>0</v>
      </c>
      <c r="BR229" s="63"/>
      <c r="BS229" s="63"/>
      <c r="BT229" s="59"/>
      <c r="BU229" s="59"/>
      <c r="BV229" s="59" t="s">
        <v>257</v>
      </c>
      <c r="BW229" s="59" t="s">
        <v>258</v>
      </c>
      <c r="BX229" s="59" t="s">
        <v>553</v>
      </c>
      <c r="BY229" s="59">
        <v>11</v>
      </c>
    </row>
    <row r="230" spans="1:77" hidden="1" x14ac:dyDescent="0.2">
      <c r="A230" s="58" t="str">
        <f>CONCATENATE(Tabelle32[[#This Row],[Device ID]],".",Tabelle32[[#This Row],[Streamcounter]])</f>
        <v>388.11214</v>
      </c>
      <c r="B23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VGW-103_SDI11_AUDrec_0014</v>
      </c>
      <c r="C230" s="60"/>
      <c r="D230" s="61"/>
      <c r="E230" s="62"/>
      <c r="F230" s="59" t="str">
        <f>IFERROR(VLOOKUP(Tabelle32[[#This Row],[Device ID]],BOM!$B$3:$BQ$35,16,FALSE),"")</f>
        <v>IngSRV-06</v>
      </c>
      <c r="G230" s="63">
        <f>VLOOKUP(Tabelle32[[#This Row],[SDI Interface]],BOM!$A$4:$B$35,2,FALSE)</f>
        <v>388</v>
      </c>
      <c r="H230" s="59" t="str">
        <f>BOM!$C$4</f>
        <v>VGW-103</v>
      </c>
      <c r="I230" s="59" t="str">
        <f>IFERROR(VLOOKUP(Tabelle32[[#This Row],[Device ID]],BOM!$B$3:$BQ$35,12,FALSE),"")</f>
        <v>Videoserver</v>
      </c>
      <c r="J230" s="59" t="str">
        <f>IFERROR(VLOOKUP(Tabelle32[[#This Row],[Device ID]],BOM!$B$3:$BQ$35,13,FALSE),"")</f>
        <v>TC.U1.223 | MDC</v>
      </c>
      <c r="K230" s="59" t="str">
        <f>IFERROR(VLOOKUP(Tabelle32[[#This Row],[Device ID]],BOM!$B$3:$BQ$35,14,FALSE),"")</f>
        <v>Imagine Comunications</v>
      </c>
      <c r="L230" s="59" t="str">
        <f>IFERROR(VLOOKUP(Tabelle32[[#This Row],[Device ID]],BOM!$B$3:$BQ$35,16,FALSE),"")</f>
        <v>IngSRV-06</v>
      </c>
      <c r="M230" s="63" t="str">
        <f>IFERROR(VLOOKUP(Tabelle32[[#This Row],[Device ID]],BOM!$B$3:$BQ$35,17,FALSE),"")</f>
        <v>M3H</v>
      </c>
      <c r="N230" s="59" t="str">
        <f>IFERROR(VLOOKUP(Tabelle32[[#This Row],[Device ID]],BOM!$B$3:$BQ$35,18,FALSE),"")</f>
        <v>TC.03.225 | M3H</v>
      </c>
      <c r="O230" s="64"/>
      <c r="P230" s="64">
        <f>IFERROR(VLOOKUP(Tabelle32[[#This Row],[Device ID]],BOM!$B$3:$BO$50,20,FALSE),"")</f>
        <v>0</v>
      </c>
      <c r="Q230" s="64">
        <f>IFERROR(VLOOKUP(Tabelle32[[#This Row],[Device ID]],BOM!$B$3:$BO$50,21,FALSE),"")</f>
        <v>1</v>
      </c>
      <c r="R230" s="64">
        <f>IFERROR(VLOOKUP(Tabelle32[[#This Row],[Device ID]],BOM!$B$3:$BO$50,22,FALSE),"")</f>
        <v>0</v>
      </c>
      <c r="S230" s="64"/>
      <c r="T230" s="64"/>
      <c r="U230" s="59" t="str">
        <f>IFERROR(VLOOKUP(Tabelle32[[#This Row],[Device ID]],BOM!$B$3:$BQ$35,25,FALSE),"")</f>
        <v>Luis/Ivo</v>
      </c>
      <c r="V230" s="59" t="str">
        <f>IFERROR(VLOOKUP(Tabelle32[[#This Row],[Device ID]],BOM!$B$3:$BQ$35,26,FALSE),"")</f>
        <v>tpco-megw-vgw103.rta.st-net.media.int</v>
      </c>
      <c r="W230" s="59" t="str">
        <f>IFERROR(VLOOKUP(Tabelle32[[#This Row],[Device ID]],BOM!$B$3:$BQ$35,27,FALSE),"")</f>
        <v>10.120.236.50</v>
      </c>
      <c r="X230" s="59" t="str">
        <f>IFERROR(VLOOKUP(Tabelle32[[#This Row],[Device ID]],BOM!$B$3:$BQ$35,28,FALSE),"")</f>
        <v>AVCoreA</v>
      </c>
      <c r="Y230" s="59" t="str">
        <f>IFERROR(VLOOKUP(Tabelle32[[#This Row],[Device ID]],BOM!$B$3:$BQ$35,29,FALSE),"")</f>
        <v>5_36_1</v>
      </c>
      <c r="Z230" s="59" t="str">
        <f>IFERROR(VLOOKUP(Tabelle32[[#This Row],[Device ID]],BOM!$B$3:$BQ$35,30,FALSE),"")</f>
        <v>tpco-megw-vgw103.rtb.st-net.media.int</v>
      </c>
      <c r="AA230" s="59" t="str">
        <f>IFERROR(VLOOKUP(Tabelle32[[#This Row],[Device ID]],BOM!$B$3:$BQ$35,31,FALSE),"")</f>
        <v>10.120.236.54</v>
      </c>
      <c r="AB230" s="59" t="str">
        <f>IFERROR(VLOOKUP(Tabelle32[[#This Row],[Device ID]],BOM!$B$3:$BQ$35,32,FALSE),"")</f>
        <v>AVCoreB</v>
      </c>
      <c r="AC230" s="59" t="str">
        <f>IFERROR(VLOOKUP(Tabelle32[[#This Row],[Device ID]],BOM!$B$3:$BQ$35,33,FALSE),"")</f>
        <v>5_36_1</v>
      </c>
      <c r="AD230" s="59" t="str">
        <f>IFERROR(VLOOKUP(Tabelle32[[#This Row],[Device ID]],BOM!$B$3:$BQ$35,34,FALSE),"")</f>
        <v>tpco-megw-vgw103.st-net.media.int</v>
      </c>
      <c r="AE230" s="59" t="str">
        <f>IFERROR(VLOOKUP(Tabelle32[[#This Row],[Device ID]],BOM!$B$3:$BQ$35,35,FALSE),"")</f>
        <v>10.120.67.141</v>
      </c>
      <c r="AF230" s="59">
        <f>IFERROR(VLOOKUP(Tabelle32[[#This Row],[Device ID]],BOM!$B$3:$BQ$35,36,FALSE),"")</f>
        <v>0</v>
      </c>
      <c r="AG230" s="59">
        <f>IFERROR(VLOOKUP(Tabelle32[[#This Row],[Device ID]],BOM!$B$3:$BQ$35,37,FALSE),"")</f>
        <v>0</v>
      </c>
      <c r="AH230" s="59"/>
      <c r="AI230" s="59"/>
      <c r="AJ230" s="59"/>
      <c r="AK230" s="59"/>
      <c r="AL230" s="59" t="str">
        <f>IFERROR(VLOOKUP(Tabelle32[[#This Row],[Device ID]],BOM!$B$3:$BQ$35,42,FALSE),"")</f>
        <v>Imagine Communications SNP</v>
      </c>
      <c r="AM230" s="59" t="str">
        <f>IFERROR(VLOOKUP(Tabelle32[[#This Row],[Device ID]],BOM!$B$3:$BQ$35,43,FALSE),"")</f>
        <v>no</v>
      </c>
      <c r="AN230" s="59" t="str">
        <f>IFERROR(VLOOKUP(Tabelle32[[#This Row],[Device ID]],BOM!$B$3:$BQ$35,44,FALSE),"")</f>
        <v>yes</v>
      </c>
      <c r="AO230" s="59" t="str">
        <f>IFERROR(VLOOKUP(Tabelle32[[#This Row],[Device ID]],BOM!$B$3:$BQ$35,45,FALSE),"")</f>
        <v>no</v>
      </c>
      <c r="AP230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30" s="59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73" t="s">
        <v>199</v>
      </c>
      <c r="BI230" s="30" t="str">
        <f>IF(COUNTA(Tabelle32[[#This Row],[Type:Vid_1080i50]:[Type:Anc_Prot]])&gt;0,"x","")</f>
        <v/>
      </c>
      <c r="BJ23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30" s="59"/>
      <c r="BL230" s="59"/>
      <c r="BM230" s="63"/>
      <c r="BN230" s="63"/>
      <c r="BO230" s="96"/>
      <c r="BP230" s="96"/>
      <c r="BQ230" s="75">
        <f>LEN(Tabelle32[[#This Row],[Label 1
GFX-Unit]])</f>
        <v>0</v>
      </c>
      <c r="BR230" s="63"/>
      <c r="BS230" s="63"/>
      <c r="BT230" s="59"/>
      <c r="BU230" s="59"/>
      <c r="BV230" s="59" t="s">
        <v>260</v>
      </c>
      <c r="BW230" s="59" t="s">
        <v>261</v>
      </c>
      <c r="BX230" s="59" t="s">
        <v>554</v>
      </c>
      <c r="BY230" s="59">
        <v>11</v>
      </c>
    </row>
    <row r="231" spans="1:77" x14ac:dyDescent="0.2">
      <c r="A231" s="58" t="str">
        <f>CONCATENATE(Tabelle32[[#This Row],[Device ID]],".",Tabelle32[[#This Row],[Streamcounter]])</f>
        <v>388.11215</v>
      </c>
      <c r="B23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VGW-103_SDI11_AUDrec_0015</v>
      </c>
      <c r="C231" s="60"/>
      <c r="D231" s="61"/>
      <c r="E231" s="62"/>
      <c r="F231" s="59" t="str">
        <f>IFERROR(VLOOKUP(Tabelle32[[#This Row],[Device ID]],BOM!$B$3:$BQ$35,16,FALSE),"")</f>
        <v>IngSRV-06</v>
      </c>
      <c r="G231" s="63">
        <f>VLOOKUP(Tabelle32[[#This Row],[SDI Interface]],BOM!$A$4:$B$35,2,FALSE)</f>
        <v>388</v>
      </c>
      <c r="H231" s="59" t="str">
        <f>BOM!$C$4</f>
        <v>VGW-103</v>
      </c>
      <c r="I231" s="59" t="str">
        <f>IFERROR(VLOOKUP(Tabelle32[[#This Row],[Device ID]],BOM!$B$3:$BQ$35,12,FALSE),"")</f>
        <v>Videoserver</v>
      </c>
      <c r="J231" s="59" t="str">
        <f>IFERROR(VLOOKUP(Tabelle32[[#This Row],[Device ID]],BOM!$B$3:$BQ$35,13,FALSE),"")</f>
        <v>TC.U1.223 | MDC</v>
      </c>
      <c r="K231" s="59" t="str">
        <f>IFERROR(VLOOKUP(Tabelle32[[#This Row],[Device ID]],BOM!$B$3:$BQ$35,14,FALSE),"")</f>
        <v>Imagine Comunications</v>
      </c>
      <c r="L231" s="59" t="str">
        <f>IFERROR(VLOOKUP(Tabelle32[[#This Row],[Device ID]],BOM!$B$3:$BQ$35,16,FALSE),"")</f>
        <v>IngSRV-06</v>
      </c>
      <c r="M231" s="63" t="str">
        <f>IFERROR(VLOOKUP(Tabelle32[[#This Row],[Device ID]],BOM!$B$3:$BQ$35,17,FALSE),"")</f>
        <v>M3H</v>
      </c>
      <c r="N231" s="59" t="str">
        <f>IFERROR(VLOOKUP(Tabelle32[[#This Row],[Device ID]],BOM!$B$3:$BQ$35,18,FALSE),"")</f>
        <v>TC.03.225 | M3H</v>
      </c>
      <c r="O231" s="64"/>
      <c r="P231" s="64">
        <f>IFERROR(VLOOKUP(Tabelle32[[#This Row],[Device ID]],BOM!$B$3:$BO$50,20,FALSE),"")</f>
        <v>0</v>
      </c>
      <c r="Q231" s="64">
        <f>IFERROR(VLOOKUP(Tabelle32[[#This Row],[Device ID]],BOM!$B$3:$BO$50,21,FALSE),"")</f>
        <v>1</v>
      </c>
      <c r="R231" s="64">
        <f>IFERROR(VLOOKUP(Tabelle32[[#This Row],[Device ID]],BOM!$B$3:$BO$50,22,FALSE),"")</f>
        <v>0</v>
      </c>
      <c r="S231" s="64"/>
      <c r="T231" s="64"/>
      <c r="U231" s="59" t="str">
        <f>IFERROR(VLOOKUP(Tabelle32[[#This Row],[Device ID]],BOM!$B$3:$BQ$35,25,FALSE),"")</f>
        <v>Luis/Ivo</v>
      </c>
      <c r="V231" s="59" t="str">
        <f>IFERROR(VLOOKUP(Tabelle32[[#This Row],[Device ID]],BOM!$B$3:$BQ$35,26,FALSE),"")</f>
        <v>tpco-megw-vgw103.rta.st-net.media.int</v>
      </c>
      <c r="W231" s="59" t="str">
        <f>IFERROR(VLOOKUP(Tabelle32[[#This Row],[Device ID]],BOM!$B$3:$BQ$35,27,FALSE),"")</f>
        <v>10.120.236.50</v>
      </c>
      <c r="X231" s="59" t="str">
        <f>IFERROR(VLOOKUP(Tabelle32[[#This Row],[Device ID]],BOM!$B$3:$BQ$35,28,FALSE),"")</f>
        <v>AVCoreA</v>
      </c>
      <c r="Y231" s="59" t="str">
        <f>IFERROR(VLOOKUP(Tabelle32[[#This Row],[Device ID]],BOM!$B$3:$BQ$35,29,FALSE),"")</f>
        <v>5_36_1</v>
      </c>
      <c r="Z231" s="59" t="str">
        <f>IFERROR(VLOOKUP(Tabelle32[[#This Row],[Device ID]],BOM!$B$3:$BQ$35,30,FALSE),"")</f>
        <v>tpco-megw-vgw103.rtb.st-net.media.int</v>
      </c>
      <c r="AA231" s="59" t="str">
        <f>IFERROR(VLOOKUP(Tabelle32[[#This Row],[Device ID]],BOM!$B$3:$BQ$35,31,FALSE),"")</f>
        <v>10.120.236.54</v>
      </c>
      <c r="AB231" s="59" t="str">
        <f>IFERROR(VLOOKUP(Tabelle32[[#This Row],[Device ID]],BOM!$B$3:$BQ$35,32,FALSE),"")</f>
        <v>AVCoreB</v>
      </c>
      <c r="AC231" s="59" t="str">
        <f>IFERROR(VLOOKUP(Tabelle32[[#This Row],[Device ID]],BOM!$B$3:$BQ$35,33,FALSE),"")</f>
        <v>5_36_1</v>
      </c>
      <c r="AD231" s="59" t="str">
        <f>IFERROR(VLOOKUP(Tabelle32[[#This Row],[Device ID]],BOM!$B$3:$BQ$35,34,FALSE),"")</f>
        <v>tpco-megw-vgw103.st-net.media.int</v>
      </c>
      <c r="AE231" s="59" t="str">
        <f>IFERROR(VLOOKUP(Tabelle32[[#This Row],[Device ID]],BOM!$B$3:$BQ$35,35,FALSE),"")</f>
        <v>10.120.67.141</v>
      </c>
      <c r="AF231" s="59">
        <f>IFERROR(VLOOKUP(Tabelle32[[#This Row],[Device ID]],BOM!$B$3:$BQ$35,36,FALSE),"")</f>
        <v>0</v>
      </c>
      <c r="AG231" s="59">
        <f>IFERROR(VLOOKUP(Tabelle32[[#This Row],[Device ID]],BOM!$B$3:$BQ$35,37,FALSE),"")</f>
        <v>0</v>
      </c>
      <c r="AH231" s="59"/>
      <c r="AI231" s="59"/>
      <c r="AJ231" s="59"/>
      <c r="AK231" s="59"/>
      <c r="AL231" s="59" t="str">
        <f>IFERROR(VLOOKUP(Tabelle32[[#This Row],[Device ID]],BOM!$B$3:$BQ$35,42,FALSE),"")</f>
        <v>Imagine Communications SNP</v>
      </c>
      <c r="AM231" s="59" t="str">
        <f>IFERROR(VLOOKUP(Tabelle32[[#This Row],[Device ID]],BOM!$B$3:$BQ$35,43,FALSE),"")</f>
        <v>no</v>
      </c>
      <c r="AN231" s="59" t="str">
        <f>IFERROR(VLOOKUP(Tabelle32[[#This Row],[Device ID]],BOM!$B$3:$BQ$35,44,FALSE),"")</f>
        <v>yes</v>
      </c>
      <c r="AO231" s="59" t="str">
        <f>IFERROR(VLOOKUP(Tabelle32[[#This Row],[Device ID]],BOM!$B$3:$BQ$35,45,FALSE),"")</f>
        <v>no</v>
      </c>
      <c r="AP231" s="59" t="str">
        <f>IFERROR(CONCATENATE(Tabelle32[[#This Row],[Family
GFX-Unit]]," | ",Tabelle32[[#This Row],[Label 1
GFX-Unit]]," | ",Tabelle32[[#This Row],[Attached Device if Gateway]]),"")</f>
        <v>M3H InCh REM | Ingest Ch23-15 | IngSRV-06</v>
      </c>
      <c r="AQ231" s="59"/>
      <c r="AR231" s="90"/>
      <c r="AS231" s="90"/>
      <c r="AT231" s="90"/>
      <c r="AU231" s="90"/>
      <c r="AV231" s="90"/>
      <c r="AW231" s="90" t="s">
        <v>97</v>
      </c>
      <c r="AX231" s="90"/>
      <c r="AY231" s="90"/>
      <c r="AZ231" s="90" t="s">
        <v>97</v>
      </c>
      <c r="BA231" s="90"/>
      <c r="BB231" s="90" t="s">
        <v>97</v>
      </c>
      <c r="BC231" s="90" t="s">
        <v>97</v>
      </c>
      <c r="BD231" s="90" t="s">
        <v>97</v>
      </c>
      <c r="BE231" s="90"/>
      <c r="BF231" s="90"/>
      <c r="BG231" s="90"/>
      <c r="BH231" s="73" t="s">
        <v>199</v>
      </c>
      <c r="BI231" s="30" t="str">
        <f>IF(COUNTA(Tabelle32[[#This Row],[Type:Vid_1080i50]:[Type:Anc_Prot]])&gt;0,"x","")</f>
        <v>x</v>
      </c>
      <c r="BJ23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31" s="59"/>
      <c r="BL231" s="59"/>
      <c r="BM231" s="63"/>
      <c r="BN231" s="63"/>
      <c r="BO231" s="97" t="s">
        <v>458</v>
      </c>
      <c r="BP231" s="97" t="s">
        <v>555</v>
      </c>
      <c r="BQ231" s="75">
        <f>LEN(Tabelle32[[#This Row],[Label 1
GFX-Unit]])</f>
        <v>14</v>
      </c>
      <c r="BR231" s="63"/>
      <c r="BS231" s="63"/>
      <c r="BT231" s="59"/>
      <c r="BU231" s="59"/>
      <c r="BV231" s="59" t="s">
        <v>264</v>
      </c>
      <c r="BW231" s="59" t="s">
        <v>265</v>
      </c>
      <c r="BX231" s="59" t="s">
        <v>556</v>
      </c>
      <c r="BY231" s="59">
        <v>11</v>
      </c>
    </row>
    <row r="232" spans="1:77" x14ac:dyDescent="0.2">
      <c r="A232" s="58" t="str">
        <f>CONCATENATE(Tabelle32[[#This Row],[Device ID]],".",Tabelle32[[#This Row],[Streamcounter]])</f>
        <v>388.11216</v>
      </c>
      <c r="B23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VGW-103_SDI11_AUDrec_0016</v>
      </c>
      <c r="C232" s="60"/>
      <c r="D232" s="61"/>
      <c r="E232" s="62"/>
      <c r="F232" s="59" t="str">
        <f>IFERROR(VLOOKUP(Tabelle32[[#This Row],[Device ID]],BOM!$B$3:$BQ$35,16,FALSE),"")</f>
        <v>IngSRV-06</v>
      </c>
      <c r="G232" s="63">
        <f>VLOOKUP(Tabelle32[[#This Row],[SDI Interface]],BOM!$A$4:$B$35,2,FALSE)</f>
        <v>388</v>
      </c>
      <c r="H232" s="59" t="str">
        <f>BOM!$C$4</f>
        <v>VGW-103</v>
      </c>
      <c r="I232" s="59" t="str">
        <f>IFERROR(VLOOKUP(Tabelle32[[#This Row],[Device ID]],BOM!$B$3:$BQ$35,12,FALSE),"")</f>
        <v>Videoserver</v>
      </c>
      <c r="J232" s="59" t="str">
        <f>IFERROR(VLOOKUP(Tabelle32[[#This Row],[Device ID]],BOM!$B$3:$BQ$35,13,FALSE),"")</f>
        <v>TC.U1.223 | MDC</v>
      </c>
      <c r="K232" s="59" t="str">
        <f>IFERROR(VLOOKUP(Tabelle32[[#This Row],[Device ID]],BOM!$B$3:$BQ$35,14,FALSE),"")</f>
        <v>Imagine Comunications</v>
      </c>
      <c r="L232" s="59" t="str">
        <f>IFERROR(VLOOKUP(Tabelle32[[#This Row],[Device ID]],BOM!$B$3:$BQ$35,16,FALSE),"")</f>
        <v>IngSRV-06</v>
      </c>
      <c r="M232" s="63" t="str">
        <f>IFERROR(VLOOKUP(Tabelle32[[#This Row],[Device ID]],BOM!$B$3:$BQ$35,17,FALSE),"")</f>
        <v>M3H</v>
      </c>
      <c r="N232" s="59" t="str">
        <f>IFERROR(VLOOKUP(Tabelle32[[#This Row],[Device ID]],BOM!$B$3:$BQ$35,18,FALSE),"")</f>
        <v>TC.03.225 | M3H</v>
      </c>
      <c r="O232" s="64"/>
      <c r="P232" s="64">
        <f>IFERROR(VLOOKUP(Tabelle32[[#This Row],[Device ID]],BOM!$B$3:$BO$50,20,FALSE),"")</f>
        <v>0</v>
      </c>
      <c r="Q232" s="64">
        <f>IFERROR(VLOOKUP(Tabelle32[[#This Row],[Device ID]],BOM!$B$3:$BO$50,21,FALSE),"")</f>
        <v>1</v>
      </c>
      <c r="R232" s="64">
        <f>IFERROR(VLOOKUP(Tabelle32[[#This Row],[Device ID]],BOM!$B$3:$BO$50,22,FALSE),"")</f>
        <v>0</v>
      </c>
      <c r="S232" s="64"/>
      <c r="T232" s="64"/>
      <c r="U232" s="59" t="str">
        <f>IFERROR(VLOOKUP(Tabelle32[[#This Row],[Device ID]],BOM!$B$3:$BQ$35,25,FALSE),"")</f>
        <v>Luis/Ivo</v>
      </c>
      <c r="V232" s="59" t="str">
        <f>IFERROR(VLOOKUP(Tabelle32[[#This Row],[Device ID]],BOM!$B$3:$BQ$35,26,FALSE),"")</f>
        <v>tpco-megw-vgw103.rta.st-net.media.int</v>
      </c>
      <c r="W232" s="59" t="str">
        <f>IFERROR(VLOOKUP(Tabelle32[[#This Row],[Device ID]],BOM!$B$3:$BQ$35,27,FALSE),"")</f>
        <v>10.120.236.50</v>
      </c>
      <c r="X232" s="59" t="str">
        <f>IFERROR(VLOOKUP(Tabelle32[[#This Row],[Device ID]],BOM!$B$3:$BQ$35,28,FALSE),"")</f>
        <v>AVCoreA</v>
      </c>
      <c r="Y232" s="59" t="str">
        <f>IFERROR(VLOOKUP(Tabelle32[[#This Row],[Device ID]],BOM!$B$3:$BQ$35,29,FALSE),"")</f>
        <v>5_36_1</v>
      </c>
      <c r="Z232" s="59" t="str">
        <f>IFERROR(VLOOKUP(Tabelle32[[#This Row],[Device ID]],BOM!$B$3:$BQ$35,30,FALSE),"")</f>
        <v>tpco-megw-vgw103.rtb.st-net.media.int</v>
      </c>
      <c r="AA232" s="59" t="str">
        <f>IFERROR(VLOOKUP(Tabelle32[[#This Row],[Device ID]],BOM!$B$3:$BQ$35,31,FALSE),"")</f>
        <v>10.120.236.54</v>
      </c>
      <c r="AB232" s="59" t="str">
        <f>IFERROR(VLOOKUP(Tabelle32[[#This Row],[Device ID]],BOM!$B$3:$BQ$35,32,FALSE),"")</f>
        <v>AVCoreB</v>
      </c>
      <c r="AC232" s="59" t="str">
        <f>IFERROR(VLOOKUP(Tabelle32[[#This Row],[Device ID]],BOM!$B$3:$BQ$35,33,FALSE),"")</f>
        <v>5_36_1</v>
      </c>
      <c r="AD232" s="59" t="str">
        <f>IFERROR(VLOOKUP(Tabelle32[[#This Row],[Device ID]],BOM!$B$3:$BQ$35,34,FALSE),"")</f>
        <v>tpco-megw-vgw103.st-net.media.int</v>
      </c>
      <c r="AE232" s="59" t="str">
        <f>IFERROR(VLOOKUP(Tabelle32[[#This Row],[Device ID]],BOM!$B$3:$BQ$35,35,FALSE),"")</f>
        <v>10.120.67.141</v>
      </c>
      <c r="AF232" s="59">
        <f>IFERROR(VLOOKUP(Tabelle32[[#This Row],[Device ID]],BOM!$B$3:$BQ$35,36,FALSE),"")</f>
        <v>0</v>
      </c>
      <c r="AG232" s="59">
        <f>IFERROR(VLOOKUP(Tabelle32[[#This Row],[Device ID]],BOM!$B$3:$BQ$35,37,FALSE),"")</f>
        <v>0</v>
      </c>
      <c r="AH232" s="59"/>
      <c r="AI232" s="59"/>
      <c r="AJ232" s="59"/>
      <c r="AK232" s="59"/>
      <c r="AL232" s="59" t="str">
        <f>IFERROR(VLOOKUP(Tabelle32[[#This Row],[Device ID]],BOM!$B$3:$BQ$35,42,FALSE),"")</f>
        <v>Imagine Communications SNP</v>
      </c>
      <c r="AM232" s="59" t="str">
        <f>IFERROR(VLOOKUP(Tabelle32[[#This Row],[Device ID]],BOM!$B$3:$BQ$35,43,FALSE),"")</f>
        <v>no</v>
      </c>
      <c r="AN232" s="59" t="str">
        <f>IFERROR(VLOOKUP(Tabelle32[[#This Row],[Device ID]],BOM!$B$3:$BQ$35,44,FALSE),"")</f>
        <v>yes</v>
      </c>
      <c r="AO232" s="59" t="str">
        <f>IFERROR(VLOOKUP(Tabelle32[[#This Row],[Device ID]],BOM!$B$3:$BQ$35,45,FALSE),"")</f>
        <v>no</v>
      </c>
      <c r="AP232" s="59" t="str">
        <f>IFERROR(CONCATENATE(Tabelle32[[#This Row],[Family
GFX-Unit]]," | ",Tabelle32[[#This Row],[Label 1
GFX-Unit]]," | ",Tabelle32[[#This Row],[Attached Device if Gateway]]),"")</f>
        <v>M3H InCh REM | Ingest Ch23-16 | IngSRV-06</v>
      </c>
      <c r="AQ232" s="59"/>
      <c r="AR232" s="90"/>
      <c r="AS232" s="90"/>
      <c r="AT232" s="90"/>
      <c r="AU232" s="90"/>
      <c r="AV232" s="90"/>
      <c r="AW232" s="90" t="s">
        <v>97</v>
      </c>
      <c r="AX232" s="90"/>
      <c r="AY232" s="90"/>
      <c r="AZ232" s="90" t="s">
        <v>97</v>
      </c>
      <c r="BA232" s="90"/>
      <c r="BB232" s="90" t="s">
        <v>97</v>
      </c>
      <c r="BC232" s="90" t="s">
        <v>97</v>
      </c>
      <c r="BD232" s="90" t="s">
        <v>97</v>
      </c>
      <c r="BE232" s="90"/>
      <c r="BF232" s="90"/>
      <c r="BG232" s="90"/>
      <c r="BH232" s="73" t="s">
        <v>199</v>
      </c>
      <c r="BI232" s="30" t="str">
        <f>IF(COUNTA(Tabelle32[[#This Row],[Type:Vid_1080i50]:[Type:Anc_Prot]])&gt;0,"x","")</f>
        <v>x</v>
      </c>
      <c r="BJ23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32" s="59"/>
      <c r="BL232" s="59"/>
      <c r="BM232" s="63"/>
      <c r="BN232" s="63"/>
      <c r="BO232" s="97" t="s">
        <v>458</v>
      </c>
      <c r="BP232" s="97" t="s">
        <v>557</v>
      </c>
      <c r="BQ232" s="75">
        <f>LEN(Tabelle32[[#This Row],[Label 1
GFX-Unit]])</f>
        <v>14</v>
      </c>
      <c r="BR232" s="63"/>
      <c r="BS232" s="63"/>
      <c r="BT232" s="59"/>
      <c r="BU232" s="59"/>
      <c r="BV232" s="59" t="s">
        <v>268</v>
      </c>
      <c r="BW232" s="59" t="s">
        <v>269</v>
      </c>
      <c r="BX232" s="59" t="s">
        <v>558</v>
      </c>
      <c r="BY232" s="59">
        <v>11</v>
      </c>
    </row>
    <row r="233" spans="1:77" x14ac:dyDescent="0.2">
      <c r="A233" s="58" t="str">
        <f>CONCATENATE(Tabelle32[[#This Row],[Device ID]],".",Tabelle32[[#This Row],[Streamcounter]])</f>
        <v>388.11101</v>
      </c>
      <c r="B23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VGW-103_SDI11_VIDrec_0001</v>
      </c>
      <c r="C233" s="60"/>
      <c r="D233" s="61"/>
      <c r="E233" s="62"/>
      <c r="F233" s="59" t="str">
        <f>IFERROR(VLOOKUP(Tabelle32[[#This Row],[Device ID]],BOM!$B$3:$BQ$35,16,FALSE),"")</f>
        <v>IngSRV-06</v>
      </c>
      <c r="G233" s="63">
        <f>VLOOKUP(Tabelle32[[#This Row],[SDI Interface]],BOM!$A$4:$B$35,2,FALSE)</f>
        <v>388</v>
      </c>
      <c r="H233" s="59" t="str">
        <f>BOM!$C$4</f>
        <v>VGW-103</v>
      </c>
      <c r="I233" s="59" t="str">
        <f>IFERROR(VLOOKUP(Tabelle32[[#This Row],[Device ID]],BOM!$B$3:$BQ$35,12,FALSE),"")</f>
        <v>Videoserver</v>
      </c>
      <c r="J233" s="59" t="str">
        <f>IFERROR(VLOOKUP(Tabelle32[[#This Row],[Device ID]],BOM!$B$3:$BQ$35,13,FALSE),"")</f>
        <v>TC.U1.223 | MDC</v>
      </c>
      <c r="K233" s="59" t="str">
        <f>IFERROR(VLOOKUP(Tabelle32[[#This Row],[Device ID]],BOM!$B$3:$BQ$35,14,FALSE),"")</f>
        <v>Imagine Comunications</v>
      </c>
      <c r="L233" s="59" t="str">
        <f>IFERROR(VLOOKUP(Tabelle32[[#This Row],[Device ID]],BOM!$B$3:$BQ$35,16,FALSE),"")</f>
        <v>IngSRV-06</v>
      </c>
      <c r="M233" s="63" t="str">
        <f>IFERROR(VLOOKUP(Tabelle32[[#This Row],[Device ID]],BOM!$B$3:$BQ$35,17,FALSE),"")</f>
        <v>M3H</v>
      </c>
      <c r="N233" s="59" t="str">
        <f>IFERROR(VLOOKUP(Tabelle32[[#This Row],[Device ID]],BOM!$B$3:$BQ$35,18,FALSE),"")</f>
        <v>TC.03.225 | M3H</v>
      </c>
      <c r="O233" s="64"/>
      <c r="P233" s="64">
        <f>IFERROR(VLOOKUP(Tabelle32[[#This Row],[Device ID]],BOM!$B$3:$BO$50,20,FALSE),"")</f>
        <v>0</v>
      </c>
      <c r="Q233" s="64">
        <f>IFERROR(VLOOKUP(Tabelle32[[#This Row],[Device ID]],BOM!$B$3:$BO$50,21,FALSE),"")</f>
        <v>1</v>
      </c>
      <c r="R233" s="64">
        <f>IFERROR(VLOOKUP(Tabelle32[[#This Row],[Device ID]],BOM!$B$3:$BO$50,22,FALSE),"")</f>
        <v>0</v>
      </c>
      <c r="S233" s="64"/>
      <c r="T233" s="64"/>
      <c r="U233" s="59" t="str">
        <f>IFERROR(VLOOKUP(Tabelle32[[#This Row],[Device ID]],BOM!$B$3:$BQ$35,25,FALSE),"")</f>
        <v>Luis/Ivo</v>
      </c>
      <c r="V233" s="59" t="str">
        <f>IFERROR(VLOOKUP(Tabelle32[[#This Row],[Device ID]],BOM!$B$3:$BQ$35,26,FALSE),"")</f>
        <v>tpco-megw-vgw103.rta.st-net.media.int</v>
      </c>
      <c r="W233" s="59" t="str">
        <f>IFERROR(VLOOKUP(Tabelle32[[#This Row],[Device ID]],BOM!$B$3:$BQ$35,27,FALSE),"")</f>
        <v>10.120.236.50</v>
      </c>
      <c r="X233" s="59" t="str">
        <f>IFERROR(VLOOKUP(Tabelle32[[#This Row],[Device ID]],BOM!$B$3:$BQ$35,28,FALSE),"")</f>
        <v>AVCoreA</v>
      </c>
      <c r="Y233" s="59" t="str">
        <f>IFERROR(VLOOKUP(Tabelle32[[#This Row],[Device ID]],BOM!$B$3:$BQ$35,29,FALSE),"")</f>
        <v>5_36_1</v>
      </c>
      <c r="Z233" s="59" t="str">
        <f>IFERROR(VLOOKUP(Tabelle32[[#This Row],[Device ID]],BOM!$B$3:$BQ$35,30,FALSE),"")</f>
        <v>tpco-megw-vgw103.rtb.st-net.media.int</v>
      </c>
      <c r="AA233" s="59" t="str">
        <f>IFERROR(VLOOKUP(Tabelle32[[#This Row],[Device ID]],BOM!$B$3:$BQ$35,31,FALSE),"")</f>
        <v>10.120.236.54</v>
      </c>
      <c r="AB233" s="59" t="str">
        <f>IFERROR(VLOOKUP(Tabelle32[[#This Row],[Device ID]],BOM!$B$3:$BQ$35,32,FALSE),"")</f>
        <v>AVCoreB</v>
      </c>
      <c r="AC233" s="59" t="str">
        <f>IFERROR(VLOOKUP(Tabelle32[[#This Row],[Device ID]],BOM!$B$3:$BQ$35,33,FALSE),"")</f>
        <v>5_36_1</v>
      </c>
      <c r="AD233" s="59" t="str">
        <f>IFERROR(VLOOKUP(Tabelle32[[#This Row],[Device ID]],BOM!$B$3:$BQ$35,34,FALSE),"")</f>
        <v>tpco-megw-vgw103.st-net.media.int</v>
      </c>
      <c r="AE233" s="59" t="str">
        <f>IFERROR(VLOOKUP(Tabelle32[[#This Row],[Device ID]],BOM!$B$3:$BQ$35,35,FALSE),"")</f>
        <v>10.120.67.141</v>
      </c>
      <c r="AF233" s="59">
        <f>IFERROR(VLOOKUP(Tabelle32[[#This Row],[Device ID]],BOM!$B$3:$BQ$35,36,FALSE),"")</f>
        <v>0</v>
      </c>
      <c r="AG233" s="59">
        <f>IFERROR(VLOOKUP(Tabelle32[[#This Row],[Device ID]],BOM!$B$3:$BQ$35,37,FALSE),"")</f>
        <v>0</v>
      </c>
      <c r="AH233" s="59"/>
      <c r="AI233" s="59"/>
      <c r="AJ233" s="59"/>
      <c r="AK233" s="59"/>
      <c r="AL233" s="59" t="str">
        <f>IFERROR(VLOOKUP(Tabelle32[[#This Row],[Device ID]],BOM!$B$3:$BQ$35,42,FALSE),"")</f>
        <v>Imagine Communications SNP</v>
      </c>
      <c r="AM233" s="59" t="str">
        <f>IFERROR(VLOOKUP(Tabelle32[[#This Row],[Device ID]],BOM!$B$3:$BQ$35,43,FALSE),"")</f>
        <v>no</v>
      </c>
      <c r="AN233" s="59" t="str">
        <f>IFERROR(VLOOKUP(Tabelle32[[#This Row],[Device ID]],BOM!$B$3:$BQ$35,44,FALSE),"")</f>
        <v>yes</v>
      </c>
      <c r="AO233" s="59" t="str">
        <f>IFERROR(VLOOKUP(Tabelle32[[#This Row],[Device ID]],BOM!$B$3:$BQ$35,45,FALSE),"")</f>
        <v>no</v>
      </c>
      <c r="AP233" s="59" t="str">
        <f>IFERROR(CONCATENATE(Tabelle32[[#This Row],[Family
GFX-Unit]]," | ",Tabelle32[[#This Row],[Label 1
GFX-Unit]]," | ",Tabelle32[[#This Row],[Attached Device if Gateway]]),"")</f>
        <v>M3H InCh REM | Ingest Ch23 | IngSRV-06</v>
      </c>
      <c r="AQ233" s="59"/>
      <c r="AR233" s="90" t="s">
        <v>97</v>
      </c>
      <c r="AS233" s="90" t="s">
        <v>97</v>
      </c>
      <c r="AT233" s="90" t="s">
        <v>97</v>
      </c>
      <c r="AU233" s="90"/>
      <c r="AV233" s="90" t="s">
        <v>97</v>
      </c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73" t="s">
        <v>199</v>
      </c>
      <c r="BI233" s="30" t="str">
        <f>IF(COUNTA(Tabelle32[[#This Row],[Type:Vid_1080i50]:[Type:Anc_Prot]])&gt;0,"x","")</f>
        <v>x</v>
      </c>
      <c r="BJ23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233" s="59"/>
      <c r="BL233" s="59"/>
      <c r="BM233" s="63"/>
      <c r="BN233" s="63"/>
      <c r="BO233" s="97" t="s">
        <v>458</v>
      </c>
      <c r="BP233" s="97" t="s">
        <v>559</v>
      </c>
      <c r="BQ233" s="75">
        <f>LEN(Tabelle32[[#This Row],[Label 1
GFX-Unit]])</f>
        <v>11</v>
      </c>
      <c r="BR233" s="63"/>
      <c r="BS233" s="63"/>
      <c r="BT233" s="59"/>
      <c r="BU233" s="59"/>
      <c r="BV233" s="59" t="s">
        <v>272</v>
      </c>
      <c r="BW233" s="59" t="s">
        <v>273</v>
      </c>
      <c r="BX233" s="59" t="s">
        <v>560</v>
      </c>
      <c r="BY233" s="59">
        <v>11</v>
      </c>
    </row>
    <row r="234" spans="1:77" x14ac:dyDescent="0.2">
      <c r="A234" s="58" t="str">
        <f>CONCATENATE(Tabelle32[[#This Row],[Device ID]],".",Tabelle32[[#This Row],[Streamcounter]])</f>
        <v>389.12301</v>
      </c>
      <c r="B23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VGW-103_SDI12_ANCrec_0001</v>
      </c>
      <c r="C234" s="60"/>
      <c r="D234" s="61"/>
      <c r="E234" s="62"/>
      <c r="F234" s="59" t="str">
        <f>IFERROR(VLOOKUP(Tabelle32[[#This Row],[Device ID]],BOM!$B$3:$BQ$35,16,FALSE),"")</f>
        <v>IngSRV-06</v>
      </c>
      <c r="G234" s="63">
        <f>VLOOKUP(Tabelle32[[#This Row],[SDI Interface]],BOM!$A$4:$B$35,2,FALSE)</f>
        <v>389</v>
      </c>
      <c r="H234" s="59" t="str">
        <f>BOM!$C$4</f>
        <v>VGW-103</v>
      </c>
      <c r="I234" s="59" t="str">
        <f>IFERROR(VLOOKUP(Tabelle32[[#This Row],[Device ID]],BOM!$B$3:$BQ$35,12,FALSE),"")</f>
        <v>Videoserver</v>
      </c>
      <c r="J234" s="59" t="str">
        <f>IFERROR(VLOOKUP(Tabelle32[[#This Row],[Device ID]],BOM!$B$3:$BQ$35,13,FALSE),"")</f>
        <v>TC.U1.223 | MDC</v>
      </c>
      <c r="K234" s="59" t="str">
        <f>IFERROR(VLOOKUP(Tabelle32[[#This Row],[Device ID]],BOM!$B$3:$BQ$35,14,FALSE),"")</f>
        <v>Imagine Comunications</v>
      </c>
      <c r="L234" s="59" t="str">
        <f>IFERROR(VLOOKUP(Tabelle32[[#This Row],[Device ID]],BOM!$B$3:$BQ$35,16,FALSE),"")</f>
        <v>IngSRV-06</v>
      </c>
      <c r="M234" s="63" t="str">
        <f>IFERROR(VLOOKUP(Tabelle32[[#This Row],[Device ID]],BOM!$B$3:$BQ$35,17,FALSE),"")</f>
        <v>M3H</v>
      </c>
      <c r="N234" s="59" t="str">
        <f>IFERROR(VLOOKUP(Tabelle32[[#This Row],[Device ID]],BOM!$B$3:$BQ$35,18,FALSE),"")</f>
        <v>TC.03.225 | M3H</v>
      </c>
      <c r="O234" s="64"/>
      <c r="P234" s="64">
        <f>IFERROR(VLOOKUP(Tabelle32[[#This Row],[Device ID]],BOM!$B$3:$BO$50,20,FALSE),"")</f>
        <v>0</v>
      </c>
      <c r="Q234" s="64">
        <f>IFERROR(VLOOKUP(Tabelle32[[#This Row],[Device ID]],BOM!$B$3:$BO$50,21,FALSE),"")</f>
        <v>1</v>
      </c>
      <c r="R234" s="64">
        <f>IFERROR(VLOOKUP(Tabelle32[[#This Row],[Device ID]],BOM!$B$3:$BO$50,22,FALSE),"")</f>
        <v>0</v>
      </c>
      <c r="S234" s="64"/>
      <c r="T234" s="64"/>
      <c r="U234" s="59" t="str">
        <f>IFERROR(VLOOKUP(Tabelle32[[#This Row],[Device ID]],BOM!$B$3:$BQ$35,25,FALSE),"")</f>
        <v>Luis/Ivo</v>
      </c>
      <c r="V234" s="59" t="str">
        <f>IFERROR(VLOOKUP(Tabelle32[[#This Row],[Device ID]],BOM!$B$3:$BQ$35,26,FALSE),"")</f>
        <v>tpco-megw-vgw103.rta.st-net.media.int</v>
      </c>
      <c r="W234" s="59" t="str">
        <f>IFERROR(VLOOKUP(Tabelle32[[#This Row],[Device ID]],BOM!$B$3:$BQ$35,27,FALSE),"")</f>
        <v>10.120.236.50</v>
      </c>
      <c r="X234" s="59" t="str">
        <f>IFERROR(VLOOKUP(Tabelle32[[#This Row],[Device ID]],BOM!$B$3:$BQ$35,28,FALSE),"")</f>
        <v>AVCoreA</v>
      </c>
      <c r="Y234" s="59" t="str">
        <f>IFERROR(VLOOKUP(Tabelle32[[#This Row],[Device ID]],BOM!$B$3:$BQ$35,29,FALSE),"")</f>
        <v>5_36_1</v>
      </c>
      <c r="Z234" s="59" t="str">
        <f>IFERROR(VLOOKUP(Tabelle32[[#This Row],[Device ID]],BOM!$B$3:$BQ$35,30,FALSE),"")</f>
        <v>tpco-megw-vgw103.rtb.st-net.media.int</v>
      </c>
      <c r="AA234" s="59" t="str">
        <f>IFERROR(VLOOKUP(Tabelle32[[#This Row],[Device ID]],BOM!$B$3:$BQ$35,31,FALSE),"")</f>
        <v>10.120.236.54</v>
      </c>
      <c r="AB234" s="59" t="str">
        <f>IFERROR(VLOOKUP(Tabelle32[[#This Row],[Device ID]],BOM!$B$3:$BQ$35,32,FALSE),"")</f>
        <v>AVCoreB</v>
      </c>
      <c r="AC234" s="59" t="str">
        <f>IFERROR(VLOOKUP(Tabelle32[[#This Row],[Device ID]],BOM!$B$3:$BQ$35,33,FALSE),"")</f>
        <v>5_36_1</v>
      </c>
      <c r="AD234" s="59" t="str">
        <f>IFERROR(VLOOKUP(Tabelle32[[#This Row],[Device ID]],BOM!$B$3:$BQ$35,34,FALSE),"")</f>
        <v>tpco-megw-vgw103.st-net.media.int</v>
      </c>
      <c r="AE234" s="59" t="str">
        <f>IFERROR(VLOOKUP(Tabelle32[[#This Row],[Device ID]],BOM!$B$3:$BQ$35,35,FALSE),"")</f>
        <v>10.120.67.141</v>
      </c>
      <c r="AF234" s="59">
        <f>IFERROR(VLOOKUP(Tabelle32[[#This Row],[Device ID]],BOM!$B$3:$BQ$35,36,FALSE),"")</f>
        <v>0</v>
      </c>
      <c r="AG234" s="59">
        <f>IFERROR(VLOOKUP(Tabelle32[[#This Row],[Device ID]],BOM!$B$3:$BQ$35,37,FALSE),"")</f>
        <v>0</v>
      </c>
      <c r="AH234" s="59"/>
      <c r="AI234" s="59"/>
      <c r="AJ234" s="59"/>
      <c r="AK234" s="59"/>
      <c r="AL234" s="59" t="str">
        <f>IFERROR(VLOOKUP(Tabelle32[[#This Row],[Device ID]],BOM!$B$3:$BQ$35,42,FALSE),"")</f>
        <v>Imagine Communications SNP</v>
      </c>
      <c r="AM234" s="59" t="str">
        <f>IFERROR(VLOOKUP(Tabelle32[[#This Row],[Device ID]],BOM!$B$3:$BQ$35,43,FALSE),"")</f>
        <v>no</v>
      </c>
      <c r="AN234" s="59" t="str">
        <f>IFERROR(VLOOKUP(Tabelle32[[#This Row],[Device ID]],BOM!$B$3:$BQ$35,44,FALSE),"")</f>
        <v>yes</v>
      </c>
      <c r="AO234" s="59" t="str">
        <f>IFERROR(VLOOKUP(Tabelle32[[#This Row],[Device ID]],BOM!$B$3:$BQ$35,45,FALSE),"")</f>
        <v>no</v>
      </c>
      <c r="AP234" s="59" t="str">
        <f>IFERROR(CONCATENATE(Tabelle32[[#This Row],[Family
GFX-Unit]]," | ",Tabelle32[[#This Row],[Label 1
GFX-Unit]]," | ",Tabelle32[[#This Row],[Attached Device if Gateway]]),"")</f>
        <v>M3H InCh REM | Ingest Ch24-ANC1 | IngSRV-06</v>
      </c>
      <c r="AQ234" s="59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 t="s">
        <v>97</v>
      </c>
      <c r="BH234" s="73" t="s">
        <v>199</v>
      </c>
      <c r="BI234" s="30" t="str">
        <f>IF(COUNTA(Tabelle32[[#This Row],[Type:Vid_1080i50]:[Type:Anc_Prot]])&gt;0,"x","")</f>
        <v>x</v>
      </c>
      <c r="BJ23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234" s="59"/>
      <c r="BL234" s="59"/>
      <c r="BM234" s="63"/>
      <c r="BN234" s="63"/>
      <c r="BO234" s="97" t="s">
        <v>458</v>
      </c>
      <c r="BP234" s="97" t="s">
        <v>561</v>
      </c>
      <c r="BQ234" s="75">
        <f>LEN(Tabelle32[[#This Row],[Label 1
GFX-Unit]])</f>
        <v>16</v>
      </c>
      <c r="BR234" s="63"/>
      <c r="BS234" s="63"/>
      <c r="BT234" s="59"/>
      <c r="BU234" s="59"/>
      <c r="BV234" s="59" t="s">
        <v>202</v>
      </c>
      <c r="BW234" s="59" t="s">
        <v>203</v>
      </c>
      <c r="BX234" s="59" t="s">
        <v>562</v>
      </c>
      <c r="BY234" s="59">
        <v>12</v>
      </c>
    </row>
    <row r="235" spans="1:77" hidden="1" x14ac:dyDescent="0.2">
      <c r="A235" s="58" t="str">
        <f>CONCATENATE(Tabelle32[[#This Row],[Device ID]],".",Tabelle32[[#This Row],[Streamcounter]])</f>
        <v>389.12302</v>
      </c>
      <c r="B23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VGW-103_SDI12_ANCrec_0002</v>
      </c>
      <c r="C235" s="60"/>
      <c r="D235" s="61"/>
      <c r="E235" s="62"/>
      <c r="F235" s="59" t="str">
        <f>IFERROR(VLOOKUP(Tabelle32[[#This Row],[Device ID]],BOM!$B$3:$BQ$35,16,FALSE),"")</f>
        <v>IngSRV-06</v>
      </c>
      <c r="G235" s="63">
        <f>VLOOKUP(Tabelle32[[#This Row],[SDI Interface]],BOM!$A$4:$B$35,2,FALSE)</f>
        <v>389</v>
      </c>
      <c r="H235" s="59" t="str">
        <f>BOM!$C$4</f>
        <v>VGW-103</v>
      </c>
      <c r="I235" s="59" t="str">
        <f>IFERROR(VLOOKUP(Tabelle32[[#This Row],[Device ID]],BOM!$B$3:$BQ$35,12,FALSE),"")</f>
        <v>Videoserver</v>
      </c>
      <c r="J235" s="59" t="str">
        <f>IFERROR(VLOOKUP(Tabelle32[[#This Row],[Device ID]],BOM!$B$3:$BQ$35,13,FALSE),"")</f>
        <v>TC.U1.223 | MDC</v>
      </c>
      <c r="K235" s="59" t="str">
        <f>IFERROR(VLOOKUP(Tabelle32[[#This Row],[Device ID]],BOM!$B$3:$BQ$35,14,FALSE),"")</f>
        <v>Imagine Comunications</v>
      </c>
      <c r="L235" s="59" t="str">
        <f>IFERROR(VLOOKUP(Tabelle32[[#This Row],[Device ID]],BOM!$B$3:$BQ$35,16,FALSE),"")</f>
        <v>IngSRV-06</v>
      </c>
      <c r="M235" s="63" t="str">
        <f>IFERROR(VLOOKUP(Tabelle32[[#This Row],[Device ID]],BOM!$B$3:$BQ$35,17,FALSE),"")</f>
        <v>M3H</v>
      </c>
      <c r="N235" s="59" t="str">
        <f>IFERROR(VLOOKUP(Tabelle32[[#This Row],[Device ID]],BOM!$B$3:$BQ$35,18,FALSE),"")</f>
        <v>TC.03.225 | M3H</v>
      </c>
      <c r="O235" s="64"/>
      <c r="P235" s="64">
        <f>IFERROR(VLOOKUP(Tabelle32[[#This Row],[Device ID]],BOM!$B$3:$BO$50,20,FALSE),"")</f>
        <v>0</v>
      </c>
      <c r="Q235" s="64">
        <f>IFERROR(VLOOKUP(Tabelle32[[#This Row],[Device ID]],BOM!$B$3:$BO$50,21,FALSE),"")</f>
        <v>1</v>
      </c>
      <c r="R235" s="64">
        <f>IFERROR(VLOOKUP(Tabelle32[[#This Row],[Device ID]],BOM!$B$3:$BO$50,22,FALSE),"")</f>
        <v>0</v>
      </c>
      <c r="S235" s="64"/>
      <c r="T235" s="64"/>
      <c r="U235" s="59" t="str">
        <f>IFERROR(VLOOKUP(Tabelle32[[#This Row],[Device ID]],BOM!$B$3:$BQ$35,25,FALSE),"")</f>
        <v>Luis/Ivo</v>
      </c>
      <c r="V235" s="59" t="str">
        <f>IFERROR(VLOOKUP(Tabelle32[[#This Row],[Device ID]],BOM!$B$3:$BQ$35,26,FALSE),"")</f>
        <v>tpco-megw-vgw103.rta.st-net.media.int</v>
      </c>
      <c r="W235" s="59" t="str">
        <f>IFERROR(VLOOKUP(Tabelle32[[#This Row],[Device ID]],BOM!$B$3:$BQ$35,27,FALSE),"")</f>
        <v>10.120.236.50</v>
      </c>
      <c r="X235" s="59" t="str">
        <f>IFERROR(VLOOKUP(Tabelle32[[#This Row],[Device ID]],BOM!$B$3:$BQ$35,28,FALSE),"")</f>
        <v>AVCoreA</v>
      </c>
      <c r="Y235" s="59" t="str">
        <f>IFERROR(VLOOKUP(Tabelle32[[#This Row],[Device ID]],BOM!$B$3:$BQ$35,29,FALSE),"")</f>
        <v>5_36_1</v>
      </c>
      <c r="Z235" s="59" t="str">
        <f>IFERROR(VLOOKUP(Tabelle32[[#This Row],[Device ID]],BOM!$B$3:$BQ$35,30,FALSE),"")</f>
        <v>tpco-megw-vgw103.rtb.st-net.media.int</v>
      </c>
      <c r="AA235" s="59" t="str">
        <f>IFERROR(VLOOKUP(Tabelle32[[#This Row],[Device ID]],BOM!$B$3:$BQ$35,31,FALSE),"")</f>
        <v>10.120.236.54</v>
      </c>
      <c r="AB235" s="59" t="str">
        <f>IFERROR(VLOOKUP(Tabelle32[[#This Row],[Device ID]],BOM!$B$3:$BQ$35,32,FALSE),"")</f>
        <v>AVCoreB</v>
      </c>
      <c r="AC235" s="59" t="str">
        <f>IFERROR(VLOOKUP(Tabelle32[[#This Row],[Device ID]],BOM!$B$3:$BQ$35,33,FALSE),"")</f>
        <v>5_36_1</v>
      </c>
      <c r="AD235" s="59" t="str">
        <f>IFERROR(VLOOKUP(Tabelle32[[#This Row],[Device ID]],BOM!$B$3:$BQ$35,34,FALSE),"")</f>
        <v>tpco-megw-vgw103.st-net.media.int</v>
      </c>
      <c r="AE235" s="59" t="str">
        <f>IFERROR(VLOOKUP(Tabelle32[[#This Row],[Device ID]],BOM!$B$3:$BQ$35,35,FALSE),"")</f>
        <v>10.120.67.141</v>
      </c>
      <c r="AF235" s="59">
        <f>IFERROR(VLOOKUP(Tabelle32[[#This Row],[Device ID]],BOM!$B$3:$BQ$35,36,FALSE),"")</f>
        <v>0</v>
      </c>
      <c r="AG235" s="59">
        <f>IFERROR(VLOOKUP(Tabelle32[[#This Row],[Device ID]],BOM!$B$3:$BQ$35,37,FALSE),"")</f>
        <v>0</v>
      </c>
      <c r="AH235" s="59"/>
      <c r="AI235" s="59"/>
      <c r="AJ235" s="59"/>
      <c r="AK235" s="59"/>
      <c r="AL235" s="59" t="str">
        <f>IFERROR(VLOOKUP(Tabelle32[[#This Row],[Device ID]],BOM!$B$3:$BQ$35,42,FALSE),"")</f>
        <v>Imagine Communications SNP</v>
      </c>
      <c r="AM235" s="59" t="str">
        <f>IFERROR(VLOOKUP(Tabelle32[[#This Row],[Device ID]],BOM!$B$3:$BQ$35,43,FALSE),"")</f>
        <v>no</v>
      </c>
      <c r="AN235" s="59" t="str">
        <f>IFERROR(VLOOKUP(Tabelle32[[#This Row],[Device ID]],BOM!$B$3:$BQ$35,44,FALSE),"")</f>
        <v>yes</v>
      </c>
      <c r="AO235" s="59" t="str">
        <f>IFERROR(VLOOKUP(Tabelle32[[#This Row],[Device ID]],BOM!$B$3:$BQ$35,45,FALSE),"")</f>
        <v>no</v>
      </c>
      <c r="AP235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35" s="59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73" t="s">
        <v>199</v>
      </c>
      <c r="BI235" s="30" t="str">
        <f>IF(COUNTA(Tabelle32[[#This Row],[Type:Vid_1080i50]:[Type:Anc_Prot]])&gt;0,"x","")</f>
        <v/>
      </c>
      <c r="BJ23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35" s="59"/>
      <c r="BL235" s="59"/>
      <c r="BM235" s="63"/>
      <c r="BN235" s="63"/>
      <c r="BO235" s="96"/>
      <c r="BP235" s="96"/>
      <c r="BQ235" s="75">
        <f>LEN(Tabelle32[[#This Row],[Label 1
GFX-Unit]])</f>
        <v>0</v>
      </c>
      <c r="BR235" s="63"/>
      <c r="BS235" s="63"/>
      <c r="BT235" s="59"/>
      <c r="BU235" s="59"/>
      <c r="BV235" s="59" t="s">
        <v>205</v>
      </c>
      <c r="BW235" s="59" t="s">
        <v>206</v>
      </c>
      <c r="BX235" s="59" t="s">
        <v>563</v>
      </c>
      <c r="BY235" s="59">
        <v>12</v>
      </c>
    </row>
    <row r="236" spans="1:77" hidden="1" x14ac:dyDescent="0.2">
      <c r="A236" s="58" t="str">
        <f>CONCATENATE(Tabelle32[[#This Row],[Device ID]],".",Tabelle32[[#This Row],[Streamcounter]])</f>
        <v>389.12303</v>
      </c>
      <c r="B23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VGW-103_SDI12_ANCrec_0003</v>
      </c>
      <c r="C236" s="60"/>
      <c r="D236" s="61"/>
      <c r="E236" s="62"/>
      <c r="F236" s="59" t="str">
        <f>IFERROR(VLOOKUP(Tabelle32[[#This Row],[Device ID]],BOM!$B$3:$BQ$35,16,FALSE),"")</f>
        <v>IngSRV-06</v>
      </c>
      <c r="G236" s="63">
        <f>VLOOKUP(Tabelle32[[#This Row],[SDI Interface]],BOM!$A$4:$B$35,2,FALSE)</f>
        <v>389</v>
      </c>
      <c r="H236" s="59" t="str">
        <f>BOM!$C$4</f>
        <v>VGW-103</v>
      </c>
      <c r="I236" s="59" t="str">
        <f>IFERROR(VLOOKUP(Tabelle32[[#This Row],[Device ID]],BOM!$B$3:$BQ$35,12,FALSE),"")</f>
        <v>Videoserver</v>
      </c>
      <c r="J236" s="59" t="str">
        <f>IFERROR(VLOOKUP(Tabelle32[[#This Row],[Device ID]],BOM!$B$3:$BQ$35,13,FALSE),"")</f>
        <v>TC.U1.223 | MDC</v>
      </c>
      <c r="K236" s="59" t="str">
        <f>IFERROR(VLOOKUP(Tabelle32[[#This Row],[Device ID]],BOM!$B$3:$BQ$35,14,FALSE),"")</f>
        <v>Imagine Comunications</v>
      </c>
      <c r="L236" s="59" t="str">
        <f>IFERROR(VLOOKUP(Tabelle32[[#This Row],[Device ID]],BOM!$B$3:$BQ$35,16,FALSE),"")</f>
        <v>IngSRV-06</v>
      </c>
      <c r="M236" s="63" t="str">
        <f>IFERROR(VLOOKUP(Tabelle32[[#This Row],[Device ID]],BOM!$B$3:$BQ$35,17,FALSE),"")</f>
        <v>M3H</v>
      </c>
      <c r="N236" s="59" t="str">
        <f>IFERROR(VLOOKUP(Tabelle32[[#This Row],[Device ID]],BOM!$B$3:$BQ$35,18,FALSE),"")</f>
        <v>TC.03.225 | M3H</v>
      </c>
      <c r="O236" s="64"/>
      <c r="P236" s="64">
        <f>IFERROR(VLOOKUP(Tabelle32[[#This Row],[Device ID]],BOM!$B$3:$BO$50,20,FALSE),"")</f>
        <v>0</v>
      </c>
      <c r="Q236" s="64">
        <f>IFERROR(VLOOKUP(Tabelle32[[#This Row],[Device ID]],BOM!$B$3:$BO$50,21,FALSE),"")</f>
        <v>1</v>
      </c>
      <c r="R236" s="64">
        <f>IFERROR(VLOOKUP(Tabelle32[[#This Row],[Device ID]],BOM!$B$3:$BO$50,22,FALSE),"")</f>
        <v>0</v>
      </c>
      <c r="S236" s="64"/>
      <c r="T236" s="64"/>
      <c r="U236" s="59" t="str">
        <f>IFERROR(VLOOKUP(Tabelle32[[#This Row],[Device ID]],BOM!$B$3:$BQ$35,25,FALSE),"")</f>
        <v>Luis/Ivo</v>
      </c>
      <c r="V236" s="59" t="str">
        <f>IFERROR(VLOOKUP(Tabelle32[[#This Row],[Device ID]],BOM!$B$3:$BQ$35,26,FALSE),"")</f>
        <v>tpco-megw-vgw103.rta.st-net.media.int</v>
      </c>
      <c r="W236" s="59" t="str">
        <f>IFERROR(VLOOKUP(Tabelle32[[#This Row],[Device ID]],BOM!$B$3:$BQ$35,27,FALSE),"")</f>
        <v>10.120.236.50</v>
      </c>
      <c r="X236" s="59" t="str">
        <f>IFERROR(VLOOKUP(Tabelle32[[#This Row],[Device ID]],BOM!$B$3:$BQ$35,28,FALSE),"")</f>
        <v>AVCoreA</v>
      </c>
      <c r="Y236" s="59" t="str">
        <f>IFERROR(VLOOKUP(Tabelle32[[#This Row],[Device ID]],BOM!$B$3:$BQ$35,29,FALSE),"")</f>
        <v>5_36_1</v>
      </c>
      <c r="Z236" s="59" t="str">
        <f>IFERROR(VLOOKUP(Tabelle32[[#This Row],[Device ID]],BOM!$B$3:$BQ$35,30,FALSE),"")</f>
        <v>tpco-megw-vgw103.rtb.st-net.media.int</v>
      </c>
      <c r="AA236" s="59" t="str">
        <f>IFERROR(VLOOKUP(Tabelle32[[#This Row],[Device ID]],BOM!$B$3:$BQ$35,31,FALSE),"")</f>
        <v>10.120.236.54</v>
      </c>
      <c r="AB236" s="59" t="str">
        <f>IFERROR(VLOOKUP(Tabelle32[[#This Row],[Device ID]],BOM!$B$3:$BQ$35,32,FALSE),"")</f>
        <v>AVCoreB</v>
      </c>
      <c r="AC236" s="59" t="str">
        <f>IFERROR(VLOOKUP(Tabelle32[[#This Row],[Device ID]],BOM!$B$3:$BQ$35,33,FALSE),"")</f>
        <v>5_36_1</v>
      </c>
      <c r="AD236" s="59" t="str">
        <f>IFERROR(VLOOKUP(Tabelle32[[#This Row],[Device ID]],BOM!$B$3:$BQ$35,34,FALSE),"")</f>
        <v>tpco-megw-vgw103.st-net.media.int</v>
      </c>
      <c r="AE236" s="59" t="str">
        <f>IFERROR(VLOOKUP(Tabelle32[[#This Row],[Device ID]],BOM!$B$3:$BQ$35,35,FALSE),"")</f>
        <v>10.120.67.141</v>
      </c>
      <c r="AF236" s="59">
        <f>IFERROR(VLOOKUP(Tabelle32[[#This Row],[Device ID]],BOM!$B$3:$BQ$35,36,FALSE),"")</f>
        <v>0</v>
      </c>
      <c r="AG236" s="59">
        <f>IFERROR(VLOOKUP(Tabelle32[[#This Row],[Device ID]],BOM!$B$3:$BQ$35,37,FALSE),"")</f>
        <v>0</v>
      </c>
      <c r="AH236" s="59"/>
      <c r="AI236" s="59"/>
      <c r="AJ236" s="59"/>
      <c r="AK236" s="59"/>
      <c r="AL236" s="59" t="str">
        <f>IFERROR(VLOOKUP(Tabelle32[[#This Row],[Device ID]],BOM!$B$3:$BQ$35,42,FALSE),"")</f>
        <v>Imagine Communications SNP</v>
      </c>
      <c r="AM236" s="59" t="str">
        <f>IFERROR(VLOOKUP(Tabelle32[[#This Row],[Device ID]],BOM!$B$3:$BQ$35,43,FALSE),"")</f>
        <v>no</v>
      </c>
      <c r="AN236" s="59" t="str">
        <f>IFERROR(VLOOKUP(Tabelle32[[#This Row],[Device ID]],BOM!$B$3:$BQ$35,44,FALSE),"")</f>
        <v>yes</v>
      </c>
      <c r="AO236" s="59" t="str">
        <f>IFERROR(VLOOKUP(Tabelle32[[#This Row],[Device ID]],BOM!$B$3:$BQ$35,45,FALSE),"")</f>
        <v>no</v>
      </c>
      <c r="AP236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36" s="59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73" t="s">
        <v>199</v>
      </c>
      <c r="BI236" s="30" t="str">
        <f>IF(COUNTA(Tabelle32[[#This Row],[Type:Vid_1080i50]:[Type:Anc_Prot]])&gt;0,"x","")</f>
        <v/>
      </c>
      <c r="BJ23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36" s="59"/>
      <c r="BL236" s="59"/>
      <c r="BM236" s="63"/>
      <c r="BN236" s="63"/>
      <c r="BO236" s="96"/>
      <c r="BP236" s="96"/>
      <c r="BQ236" s="75">
        <f>LEN(Tabelle32[[#This Row],[Label 1
GFX-Unit]])</f>
        <v>0</v>
      </c>
      <c r="BR236" s="63"/>
      <c r="BS236" s="63"/>
      <c r="BT236" s="59"/>
      <c r="BU236" s="59"/>
      <c r="BV236" s="59" t="s">
        <v>208</v>
      </c>
      <c r="BW236" s="59" t="s">
        <v>209</v>
      </c>
      <c r="BX236" s="59" t="s">
        <v>564</v>
      </c>
      <c r="BY236" s="59">
        <v>12</v>
      </c>
    </row>
    <row r="237" spans="1:77" hidden="1" x14ac:dyDescent="0.2">
      <c r="A237" s="58" t="str">
        <f>CONCATENATE(Tabelle32[[#This Row],[Device ID]],".",Tabelle32[[#This Row],[Streamcounter]])</f>
        <v>389.12304</v>
      </c>
      <c r="B23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VGW-103_SDI12_ANCrec_0004</v>
      </c>
      <c r="C237" s="60"/>
      <c r="D237" s="61"/>
      <c r="E237" s="62"/>
      <c r="F237" s="59" t="str">
        <f>IFERROR(VLOOKUP(Tabelle32[[#This Row],[Device ID]],BOM!$B$3:$BQ$35,16,FALSE),"")</f>
        <v>IngSRV-06</v>
      </c>
      <c r="G237" s="63">
        <f>VLOOKUP(Tabelle32[[#This Row],[SDI Interface]],BOM!$A$4:$B$35,2,FALSE)</f>
        <v>389</v>
      </c>
      <c r="H237" s="59" t="str">
        <f>BOM!$C$4</f>
        <v>VGW-103</v>
      </c>
      <c r="I237" s="59" t="str">
        <f>IFERROR(VLOOKUP(Tabelle32[[#This Row],[Device ID]],BOM!$B$3:$BQ$35,12,FALSE),"")</f>
        <v>Videoserver</v>
      </c>
      <c r="J237" s="59" t="str">
        <f>IFERROR(VLOOKUP(Tabelle32[[#This Row],[Device ID]],BOM!$B$3:$BQ$35,13,FALSE),"")</f>
        <v>TC.U1.223 | MDC</v>
      </c>
      <c r="K237" s="59" t="str">
        <f>IFERROR(VLOOKUP(Tabelle32[[#This Row],[Device ID]],BOM!$B$3:$BQ$35,14,FALSE),"")</f>
        <v>Imagine Comunications</v>
      </c>
      <c r="L237" s="59" t="str">
        <f>IFERROR(VLOOKUP(Tabelle32[[#This Row],[Device ID]],BOM!$B$3:$BQ$35,16,FALSE),"")</f>
        <v>IngSRV-06</v>
      </c>
      <c r="M237" s="63" t="str">
        <f>IFERROR(VLOOKUP(Tabelle32[[#This Row],[Device ID]],BOM!$B$3:$BQ$35,17,FALSE),"")</f>
        <v>M3H</v>
      </c>
      <c r="N237" s="59" t="str">
        <f>IFERROR(VLOOKUP(Tabelle32[[#This Row],[Device ID]],BOM!$B$3:$BQ$35,18,FALSE),"")</f>
        <v>TC.03.225 | M3H</v>
      </c>
      <c r="O237" s="64"/>
      <c r="P237" s="64">
        <f>IFERROR(VLOOKUP(Tabelle32[[#This Row],[Device ID]],BOM!$B$3:$BO$50,20,FALSE),"")</f>
        <v>0</v>
      </c>
      <c r="Q237" s="64">
        <f>IFERROR(VLOOKUP(Tabelle32[[#This Row],[Device ID]],BOM!$B$3:$BO$50,21,FALSE),"")</f>
        <v>1</v>
      </c>
      <c r="R237" s="64">
        <f>IFERROR(VLOOKUP(Tabelle32[[#This Row],[Device ID]],BOM!$B$3:$BO$50,22,FALSE),"")</f>
        <v>0</v>
      </c>
      <c r="S237" s="64"/>
      <c r="T237" s="64"/>
      <c r="U237" s="59" t="str">
        <f>IFERROR(VLOOKUP(Tabelle32[[#This Row],[Device ID]],BOM!$B$3:$BQ$35,25,FALSE),"")</f>
        <v>Luis/Ivo</v>
      </c>
      <c r="V237" s="59" t="str">
        <f>IFERROR(VLOOKUP(Tabelle32[[#This Row],[Device ID]],BOM!$B$3:$BQ$35,26,FALSE),"")</f>
        <v>tpco-megw-vgw103.rta.st-net.media.int</v>
      </c>
      <c r="W237" s="59" t="str">
        <f>IFERROR(VLOOKUP(Tabelle32[[#This Row],[Device ID]],BOM!$B$3:$BQ$35,27,FALSE),"")</f>
        <v>10.120.236.50</v>
      </c>
      <c r="X237" s="59" t="str">
        <f>IFERROR(VLOOKUP(Tabelle32[[#This Row],[Device ID]],BOM!$B$3:$BQ$35,28,FALSE),"")</f>
        <v>AVCoreA</v>
      </c>
      <c r="Y237" s="59" t="str">
        <f>IFERROR(VLOOKUP(Tabelle32[[#This Row],[Device ID]],BOM!$B$3:$BQ$35,29,FALSE),"")</f>
        <v>5_36_1</v>
      </c>
      <c r="Z237" s="59" t="str">
        <f>IFERROR(VLOOKUP(Tabelle32[[#This Row],[Device ID]],BOM!$B$3:$BQ$35,30,FALSE),"")</f>
        <v>tpco-megw-vgw103.rtb.st-net.media.int</v>
      </c>
      <c r="AA237" s="59" t="str">
        <f>IFERROR(VLOOKUP(Tabelle32[[#This Row],[Device ID]],BOM!$B$3:$BQ$35,31,FALSE),"")</f>
        <v>10.120.236.54</v>
      </c>
      <c r="AB237" s="59" t="str">
        <f>IFERROR(VLOOKUP(Tabelle32[[#This Row],[Device ID]],BOM!$B$3:$BQ$35,32,FALSE),"")</f>
        <v>AVCoreB</v>
      </c>
      <c r="AC237" s="59" t="str">
        <f>IFERROR(VLOOKUP(Tabelle32[[#This Row],[Device ID]],BOM!$B$3:$BQ$35,33,FALSE),"")</f>
        <v>5_36_1</v>
      </c>
      <c r="AD237" s="59" t="str">
        <f>IFERROR(VLOOKUP(Tabelle32[[#This Row],[Device ID]],BOM!$B$3:$BQ$35,34,FALSE),"")</f>
        <v>tpco-megw-vgw103.st-net.media.int</v>
      </c>
      <c r="AE237" s="59" t="str">
        <f>IFERROR(VLOOKUP(Tabelle32[[#This Row],[Device ID]],BOM!$B$3:$BQ$35,35,FALSE),"")</f>
        <v>10.120.67.141</v>
      </c>
      <c r="AF237" s="59">
        <f>IFERROR(VLOOKUP(Tabelle32[[#This Row],[Device ID]],BOM!$B$3:$BQ$35,36,FALSE),"")</f>
        <v>0</v>
      </c>
      <c r="AG237" s="59">
        <f>IFERROR(VLOOKUP(Tabelle32[[#This Row],[Device ID]],BOM!$B$3:$BQ$35,37,FALSE),"")</f>
        <v>0</v>
      </c>
      <c r="AH237" s="59"/>
      <c r="AI237" s="59"/>
      <c r="AJ237" s="59"/>
      <c r="AK237" s="59"/>
      <c r="AL237" s="59" t="str">
        <f>IFERROR(VLOOKUP(Tabelle32[[#This Row],[Device ID]],BOM!$B$3:$BQ$35,42,FALSE),"")</f>
        <v>Imagine Communications SNP</v>
      </c>
      <c r="AM237" s="59" t="str">
        <f>IFERROR(VLOOKUP(Tabelle32[[#This Row],[Device ID]],BOM!$B$3:$BQ$35,43,FALSE),"")</f>
        <v>no</v>
      </c>
      <c r="AN237" s="59" t="str">
        <f>IFERROR(VLOOKUP(Tabelle32[[#This Row],[Device ID]],BOM!$B$3:$BQ$35,44,FALSE),"")</f>
        <v>yes</v>
      </c>
      <c r="AO237" s="59" t="str">
        <f>IFERROR(VLOOKUP(Tabelle32[[#This Row],[Device ID]],BOM!$B$3:$BQ$35,45,FALSE),"")</f>
        <v>no</v>
      </c>
      <c r="AP237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37" s="59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73" t="s">
        <v>199</v>
      </c>
      <c r="BI237" s="30" t="str">
        <f>IF(COUNTA(Tabelle32[[#This Row],[Type:Vid_1080i50]:[Type:Anc_Prot]])&gt;0,"x","")</f>
        <v/>
      </c>
      <c r="BJ23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37" s="59"/>
      <c r="BL237" s="59"/>
      <c r="BM237" s="63"/>
      <c r="BN237" s="63"/>
      <c r="BO237" s="96"/>
      <c r="BP237" s="96"/>
      <c r="BQ237" s="75">
        <f>LEN(Tabelle32[[#This Row],[Label 1
GFX-Unit]])</f>
        <v>0</v>
      </c>
      <c r="BR237" s="63"/>
      <c r="BS237" s="63"/>
      <c r="BT237" s="59"/>
      <c r="BU237" s="59"/>
      <c r="BV237" s="59" t="s">
        <v>211</v>
      </c>
      <c r="BW237" s="59" t="s">
        <v>212</v>
      </c>
      <c r="BX237" s="59" t="s">
        <v>565</v>
      </c>
      <c r="BY237" s="59">
        <v>12</v>
      </c>
    </row>
    <row r="238" spans="1:77" x14ac:dyDescent="0.2">
      <c r="A238" s="58" t="str">
        <f>CONCATENATE(Tabelle32[[#This Row],[Device ID]],".",Tabelle32[[#This Row],[Streamcounter]])</f>
        <v>389.12201</v>
      </c>
      <c r="B23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VGW-103_SDI12_AUDrec_0001</v>
      </c>
      <c r="C238" s="60"/>
      <c r="D238" s="61"/>
      <c r="E238" s="62"/>
      <c r="F238" s="59" t="str">
        <f>IFERROR(VLOOKUP(Tabelle32[[#This Row],[Device ID]],BOM!$B$3:$BQ$35,16,FALSE),"")</f>
        <v>IngSRV-06</v>
      </c>
      <c r="G238" s="63">
        <f>VLOOKUP(Tabelle32[[#This Row],[SDI Interface]],BOM!$A$4:$B$35,2,FALSE)</f>
        <v>389</v>
      </c>
      <c r="H238" s="59" t="str">
        <f>BOM!$C$4</f>
        <v>VGW-103</v>
      </c>
      <c r="I238" s="59" t="str">
        <f>IFERROR(VLOOKUP(Tabelle32[[#This Row],[Device ID]],BOM!$B$3:$BQ$35,12,FALSE),"")</f>
        <v>Videoserver</v>
      </c>
      <c r="J238" s="59" t="str">
        <f>IFERROR(VLOOKUP(Tabelle32[[#This Row],[Device ID]],BOM!$B$3:$BQ$35,13,FALSE),"")</f>
        <v>TC.U1.223 | MDC</v>
      </c>
      <c r="K238" s="59" t="str">
        <f>IFERROR(VLOOKUP(Tabelle32[[#This Row],[Device ID]],BOM!$B$3:$BQ$35,14,FALSE),"")</f>
        <v>Imagine Comunications</v>
      </c>
      <c r="L238" s="59" t="str">
        <f>IFERROR(VLOOKUP(Tabelle32[[#This Row],[Device ID]],BOM!$B$3:$BQ$35,16,FALSE),"")</f>
        <v>IngSRV-06</v>
      </c>
      <c r="M238" s="63" t="str">
        <f>IFERROR(VLOOKUP(Tabelle32[[#This Row],[Device ID]],BOM!$B$3:$BQ$35,17,FALSE),"")</f>
        <v>M3H</v>
      </c>
      <c r="N238" s="59" t="str">
        <f>IFERROR(VLOOKUP(Tabelle32[[#This Row],[Device ID]],BOM!$B$3:$BQ$35,18,FALSE),"")</f>
        <v>TC.03.225 | M3H</v>
      </c>
      <c r="O238" s="64"/>
      <c r="P238" s="64">
        <f>IFERROR(VLOOKUP(Tabelle32[[#This Row],[Device ID]],BOM!$B$3:$BO$50,20,FALSE),"")</f>
        <v>0</v>
      </c>
      <c r="Q238" s="64">
        <f>IFERROR(VLOOKUP(Tabelle32[[#This Row],[Device ID]],BOM!$B$3:$BO$50,21,FALSE),"")</f>
        <v>1</v>
      </c>
      <c r="R238" s="64">
        <f>IFERROR(VLOOKUP(Tabelle32[[#This Row],[Device ID]],BOM!$B$3:$BO$50,22,FALSE),"")</f>
        <v>0</v>
      </c>
      <c r="S238" s="64"/>
      <c r="T238" s="64"/>
      <c r="U238" s="59" t="str">
        <f>IFERROR(VLOOKUP(Tabelle32[[#This Row],[Device ID]],BOM!$B$3:$BQ$35,25,FALSE),"")</f>
        <v>Luis/Ivo</v>
      </c>
      <c r="V238" s="59" t="str">
        <f>IFERROR(VLOOKUP(Tabelle32[[#This Row],[Device ID]],BOM!$B$3:$BQ$35,26,FALSE),"")</f>
        <v>tpco-megw-vgw103.rta.st-net.media.int</v>
      </c>
      <c r="W238" s="59" t="str">
        <f>IFERROR(VLOOKUP(Tabelle32[[#This Row],[Device ID]],BOM!$B$3:$BQ$35,27,FALSE),"")</f>
        <v>10.120.236.50</v>
      </c>
      <c r="X238" s="59" t="str">
        <f>IFERROR(VLOOKUP(Tabelle32[[#This Row],[Device ID]],BOM!$B$3:$BQ$35,28,FALSE),"")</f>
        <v>AVCoreA</v>
      </c>
      <c r="Y238" s="59" t="str">
        <f>IFERROR(VLOOKUP(Tabelle32[[#This Row],[Device ID]],BOM!$B$3:$BQ$35,29,FALSE),"")</f>
        <v>5_36_1</v>
      </c>
      <c r="Z238" s="59" t="str">
        <f>IFERROR(VLOOKUP(Tabelle32[[#This Row],[Device ID]],BOM!$B$3:$BQ$35,30,FALSE),"")</f>
        <v>tpco-megw-vgw103.rtb.st-net.media.int</v>
      </c>
      <c r="AA238" s="59" t="str">
        <f>IFERROR(VLOOKUP(Tabelle32[[#This Row],[Device ID]],BOM!$B$3:$BQ$35,31,FALSE),"")</f>
        <v>10.120.236.54</v>
      </c>
      <c r="AB238" s="59" t="str">
        <f>IFERROR(VLOOKUP(Tabelle32[[#This Row],[Device ID]],BOM!$B$3:$BQ$35,32,FALSE),"")</f>
        <v>AVCoreB</v>
      </c>
      <c r="AC238" s="59" t="str">
        <f>IFERROR(VLOOKUP(Tabelle32[[#This Row],[Device ID]],BOM!$B$3:$BQ$35,33,FALSE),"")</f>
        <v>5_36_1</v>
      </c>
      <c r="AD238" s="59" t="str">
        <f>IFERROR(VLOOKUP(Tabelle32[[#This Row],[Device ID]],BOM!$B$3:$BQ$35,34,FALSE),"")</f>
        <v>tpco-megw-vgw103.st-net.media.int</v>
      </c>
      <c r="AE238" s="59" t="str">
        <f>IFERROR(VLOOKUP(Tabelle32[[#This Row],[Device ID]],BOM!$B$3:$BQ$35,35,FALSE),"")</f>
        <v>10.120.67.141</v>
      </c>
      <c r="AF238" s="59">
        <f>IFERROR(VLOOKUP(Tabelle32[[#This Row],[Device ID]],BOM!$B$3:$BQ$35,36,FALSE),"")</f>
        <v>0</v>
      </c>
      <c r="AG238" s="59">
        <f>IFERROR(VLOOKUP(Tabelle32[[#This Row],[Device ID]],BOM!$B$3:$BQ$35,37,FALSE),"")</f>
        <v>0</v>
      </c>
      <c r="AH238" s="59"/>
      <c r="AI238" s="59"/>
      <c r="AJ238" s="59"/>
      <c r="AK238" s="59"/>
      <c r="AL238" s="59" t="str">
        <f>IFERROR(VLOOKUP(Tabelle32[[#This Row],[Device ID]],BOM!$B$3:$BQ$35,42,FALSE),"")</f>
        <v>Imagine Communications SNP</v>
      </c>
      <c r="AM238" s="59" t="str">
        <f>IFERROR(VLOOKUP(Tabelle32[[#This Row],[Device ID]],BOM!$B$3:$BQ$35,43,FALSE),"")</f>
        <v>no</v>
      </c>
      <c r="AN238" s="59" t="str">
        <f>IFERROR(VLOOKUP(Tabelle32[[#This Row],[Device ID]],BOM!$B$3:$BQ$35,44,FALSE),"")</f>
        <v>yes</v>
      </c>
      <c r="AO238" s="59" t="str">
        <f>IFERROR(VLOOKUP(Tabelle32[[#This Row],[Device ID]],BOM!$B$3:$BQ$35,45,FALSE),"")</f>
        <v>no</v>
      </c>
      <c r="AP238" s="59" t="str">
        <f>IFERROR(CONCATENATE(Tabelle32[[#This Row],[Family
GFX-Unit]]," | ",Tabelle32[[#This Row],[Label 1
GFX-Unit]]," | ",Tabelle32[[#This Row],[Attached Device if Gateway]]),"")</f>
        <v>M3H InCh REM | Ingest Ch24-01 | IngSRV-06</v>
      </c>
      <c r="AQ238" s="59"/>
      <c r="AR238" s="90"/>
      <c r="AS238" s="90"/>
      <c r="AT238" s="90"/>
      <c r="AU238" s="90"/>
      <c r="AV238" s="90"/>
      <c r="AW238" s="90" t="s">
        <v>97</v>
      </c>
      <c r="AX238" s="90"/>
      <c r="AY238" s="90"/>
      <c r="AZ238" s="90" t="s">
        <v>97</v>
      </c>
      <c r="BA238" s="90"/>
      <c r="BB238" s="90" t="s">
        <v>97</v>
      </c>
      <c r="BC238" s="90" t="s">
        <v>97</v>
      </c>
      <c r="BD238" s="90"/>
      <c r="BE238" s="90"/>
      <c r="BF238" s="90"/>
      <c r="BG238" s="90"/>
      <c r="BH238" s="73" t="s">
        <v>199</v>
      </c>
      <c r="BI238" s="30" t="str">
        <f>IF(COUNTA(Tabelle32[[#This Row],[Type:Vid_1080i50]:[Type:Anc_Prot]])&gt;0,"x","")</f>
        <v>x</v>
      </c>
      <c r="BJ23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38" s="59"/>
      <c r="BL238" s="59"/>
      <c r="BM238" s="63"/>
      <c r="BN238" s="63"/>
      <c r="BO238" s="97" t="s">
        <v>458</v>
      </c>
      <c r="BP238" s="97" t="s">
        <v>566</v>
      </c>
      <c r="BQ238" s="75">
        <f>LEN(Tabelle32[[#This Row],[Label 1
GFX-Unit]])</f>
        <v>14</v>
      </c>
      <c r="BR238" s="63"/>
      <c r="BS238" s="63"/>
      <c r="BT238" s="59"/>
      <c r="BU238" s="59"/>
      <c r="BV238" s="59" t="s">
        <v>214</v>
      </c>
      <c r="BW238" s="59" t="s">
        <v>215</v>
      </c>
      <c r="BX238" s="59" t="s">
        <v>567</v>
      </c>
      <c r="BY238" s="59">
        <v>12</v>
      </c>
    </row>
    <row r="239" spans="1:77" x14ac:dyDescent="0.2">
      <c r="A239" s="58" t="str">
        <f>CONCATENATE(Tabelle32[[#This Row],[Device ID]],".",Tabelle32[[#This Row],[Streamcounter]])</f>
        <v>389.12202</v>
      </c>
      <c r="B23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VGW-103_SDI12_AUDrec_0002</v>
      </c>
      <c r="C239" s="67"/>
      <c r="D239" s="61"/>
      <c r="E239" s="67"/>
      <c r="F239" s="59" t="str">
        <f>IFERROR(VLOOKUP(Tabelle32[[#This Row],[Device ID]],BOM!$B$3:$BQ$35,16,FALSE),"")</f>
        <v>IngSRV-06</v>
      </c>
      <c r="G239" s="63">
        <f>VLOOKUP(Tabelle32[[#This Row],[SDI Interface]],BOM!$A$4:$B$35,2,FALSE)</f>
        <v>389</v>
      </c>
      <c r="H239" s="59" t="str">
        <f>BOM!$C$4</f>
        <v>VGW-103</v>
      </c>
      <c r="I239" s="59" t="str">
        <f>IFERROR(VLOOKUP(Tabelle32[[#This Row],[Device ID]],BOM!$B$3:$BQ$35,12,FALSE),"")</f>
        <v>Videoserver</v>
      </c>
      <c r="J239" s="59" t="str">
        <f>IFERROR(VLOOKUP(Tabelle32[[#This Row],[Device ID]],BOM!$B$3:$BQ$35,13,FALSE),"")</f>
        <v>TC.U1.223 | MDC</v>
      </c>
      <c r="K239" s="59" t="str">
        <f>IFERROR(VLOOKUP(Tabelle32[[#This Row],[Device ID]],BOM!$B$3:$BQ$35,14,FALSE),"")</f>
        <v>Imagine Comunications</v>
      </c>
      <c r="L239" s="59" t="str">
        <f>IFERROR(VLOOKUP(Tabelle32[[#This Row],[Device ID]],BOM!$B$3:$BQ$35,16,FALSE),"")</f>
        <v>IngSRV-06</v>
      </c>
      <c r="M239" s="63" t="str">
        <f>IFERROR(VLOOKUP(Tabelle32[[#This Row],[Device ID]],BOM!$B$3:$BQ$35,17,FALSE),"")</f>
        <v>M3H</v>
      </c>
      <c r="N239" s="59" t="str">
        <f>IFERROR(VLOOKUP(Tabelle32[[#This Row],[Device ID]],BOM!$B$3:$BQ$35,18,FALSE),"")</f>
        <v>TC.03.225 | M3H</v>
      </c>
      <c r="O239" s="64"/>
      <c r="P239" s="64">
        <f>IFERROR(VLOOKUP(Tabelle32[[#This Row],[Device ID]],BOM!$B$3:$BO$50,20,FALSE),"")</f>
        <v>0</v>
      </c>
      <c r="Q239" s="64">
        <f>IFERROR(VLOOKUP(Tabelle32[[#This Row],[Device ID]],BOM!$B$3:$BO$50,21,FALSE),"")</f>
        <v>1</v>
      </c>
      <c r="R239" s="64">
        <f>IFERROR(VLOOKUP(Tabelle32[[#This Row],[Device ID]],BOM!$B$3:$BO$50,22,FALSE),"")</f>
        <v>0</v>
      </c>
      <c r="S239" s="64"/>
      <c r="T239" s="64"/>
      <c r="U239" s="59" t="str">
        <f>IFERROR(VLOOKUP(Tabelle32[[#This Row],[Device ID]],BOM!$B$3:$BQ$35,25,FALSE),"")</f>
        <v>Luis/Ivo</v>
      </c>
      <c r="V239" s="59" t="str">
        <f>IFERROR(VLOOKUP(Tabelle32[[#This Row],[Device ID]],BOM!$B$3:$BQ$35,26,FALSE),"")</f>
        <v>tpco-megw-vgw103.rta.st-net.media.int</v>
      </c>
      <c r="W239" s="59" t="str">
        <f>IFERROR(VLOOKUP(Tabelle32[[#This Row],[Device ID]],BOM!$B$3:$BQ$35,27,FALSE),"")</f>
        <v>10.120.236.50</v>
      </c>
      <c r="X239" s="59" t="str">
        <f>IFERROR(VLOOKUP(Tabelle32[[#This Row],[Device ID]],BOM!$B$3:$BQ$35,28,FALSE),"")</f>
        <v>AVCoreA</v>
      </c>
      <c r="Y239" s="59" t="str">
        <f>IFERROR(VLOOKUP(Tabelle32[[#This Row],[Device ID]],BOM!$B$3:$BQ$35,29,FALSE),"")</f>
        <v>5_36_1</v>
      </c>
      <c r="Z239" s="59" t="str">
        <f>IFERROR(VLOOKUP(Tabelle32[[#This Row],[Device ID]],BOM!$B$3:$BQ$35,30,FALSE),"")</f>
        <v>tpco-megw-vgw103.rtb.st-net.media.int</v>
      </c>
      <c r="AA239" s="59" t="str">
        <f>IFERROR(VLOOKUP(Tabelle32[[#This Row],[Device ID]],BOM!$B$3:$BQ$35,31,FALSE),"")</f>
        <v>10.120.236.54</v>
      </c>
      <c r="AB239" s="59" t="str">
        <f>IFERROR(VLOOKUP(Tabelle32[[#This Row],[Device ID]],BOM!$B$3:$BQ$35,32,FALSE),"")</f>
        <v>AVCoreB</v>
      </c>
      <c r="AC239" s="59" t="str">
        <f>IFERROR(VLOOKUP(Tabelle32[[#This Row],[Device ID]],BOM!$B$3:$BQ$35,33,FALSE),"")</f>
        <v>5_36_1</v>
      </c>
      <c r="AD239" s="59" t="str">
        <f>IFERROR(VLOOKUP(Tabelle32[[#This Row],[Device ID]],BOM!$B$3:$BQ$35,34,FALSE),"")</f>
        <v>tpco-megw-vgw103.st-net.media.int</v>
      </c>
      <c r="AE239" s="59" t="str">
        <f>IFERROR(VLOOKUP(Tabelle32[[#This Row],[Device ID]],BOM!$B$3:$BQ$35,35,FALSE),"")</f>
        <v>10.120.67.141</v>
      </c>
      <c r="AF239" s="59">
        <f>IFERROR(VLOOKUP(Tabelle32[[#This Row],[Device ID]],BOM!$B$3:$BQ$35,36,FALSE),"")</f>
        <v>0</v>
      </c>
      <c r="AG239" s="59">
        <f>IFERROR(VLOOKUP(Tabelle32[[#This Row],[Device ID]],BOM!$B$3:$BQ$35,37,FALSE),"")</f>
        <v>0</v>
      </c>
      <c r="AH239" s="59"/>
      <c r="AI239" s="59"/>
      <c r="AJ239" s="59"/>
      <c r="AK239" s="59"/>
      <c r="AL239" s="59" t="str">
        <f>IFERROR(VLOOKUP(Tabelle32[[#This Row],[Device ID]],BOM!$B$3:$BQ$35,42,FALSE),"")</f>
        <v>Imagine Communications SNP</v>
      </c>
      <c r="AM239" s="59" t="str">
        <f>IFERROR(VLOOKUP(Tabelle32[[#This Row],[Device ID]],BOM!$B$3:$BQ$35,43,FALSE),"")</f>
        <v>no</v>
      </c>
      <c r="AN239" s="59" t="str">
        <f>IFERROR(VLOOKUP(Tabelle32[[#This Row],[Device ID]],BOM!$B$3:$BQ$35,44,FALSE),"")</f>
        <v>yes</v>
      </c>
      <c r="AO239" s="59" t="str">
        <f>IFERROR(VLOOKUP(Tabelle32[[#This Row],[Device ID]],BOM!$B$3:$BQ$35,45,FALSE),"")</f>
        <v>no</v>
      </c>
      <c r="AP239" s="59" t="str">
        <f>IFERROR(CONCATENATE(Tabelle32[[#This Row],[Family
GFX-Unit]]," | ",Tabelle32[[#This Row],[Label 1
GFX-Unit]]," | ",Tabelle32[[#This Row],[Attached Device if Gateway]]),"")</f>
        <v>M3H InCh REM | Ingest Ch24-02 | IngSRV-06</v>
      </c>
      <c r="AQ239" s="59"/>
      <c r="AR239" s="90"/>
      <c r="AS239" s="90"/>
      <c r="AT239" s="90"/>
      <c r="AU239" s="90"/>
      <c r="AV239" s="90"/>
      <c r="AW239" s="90" t="s">
        <v>97</v>
      </c>
      <c r="AX239" s="90"/>
      <c r="AY239" s="90"/>
      <c r="AZ239" s="90" t="s">
        <v>97</v>
      </c>
      <c r="BA239" s="90"/>
      <c r="BB239" s="90" t="s">
        <v>97</v>
      </c>
      <c r="BC239" s="90" t="s">
        <v>97</v>
      </c>
      <c r="BD239" s="90"/>
      <c r="BE239" s="90"/>
      <c r="BF239" s="90"/>
      <c r="BG239" s="90"/>
      <c r="BH239" s="73" t="s">
        <v>199</v>
      </c>
      <c r="BI239" s="30" t="str">
        <f>IF(COUNTA(Tabelle32[[#This Row],[Type:Vid_1080i50]:[Type:Anc_Prot]])&gt;0,"x","")</f>
        <v>x</v>
      </c>
      <c r="BJ23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39" s="59"/>
      <c r="BL239" s="59"/>
      <c r="BM239" s="63"/>
      <c r="BN239" s="63"/>
      <c r="BO239" s="97" t="s">
        <v>458</v>
      </c>
      <c r="BP239" s="97" t="s">
        <v>568</v>
      </c>
      <c r="BQ239" s="75">
        <f>LEN(Tabelle32[[#This Row],[Label 1
GFX-Unit]])</f>
        <v>14</v>
      </c>
      <c r="BR239" s="63"/>
      <c r="BS239" s="63"/>
      <c r="BT239" s="59"/>
      <c r="BU239" s="59"/>
      <c r="BV239" s="59" t="s">
        <v>218</v>
      </c>
      <c r="BW239" s="59" t="s">
        <v>219</v>
      </c>
      <c r="BX239" s="59" t="s">
        <v>569</v>
      </c>
      <c r="BY239" s="59">
        <v>12</v>
      </c>
    </row>
    <row r="240" spans="1:77" x14ac:dyDescent="0.2">
      <c r="A240" s="58" t="str">
        <f>CONCATENATE(Tabelle32[[#This Row],[Device ID]],".",Tabelle32[[#This Row],[Streamcounter]])</f>
        <v>389.12203</v>
      </c>
      <c r="B24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VGW-103_SDI12_AUDrec_0003</v>
      </c>
      <c r="C240" s="67"/>
      <c r="D240" s="61"/>
      <c r="E240" s="67"/>
      <c r="F240" s="59" t="str">
        <f>IFERROR(VLOOKUP(Tabelle32[[#This Row],[Device ID]],BOM!$B$3:$BQ$35,16,FALSE),"")</f>
        <v>IngSRV-06</v>
      </c>
      <c r="G240" s="63">
        <f>VLOOKUP(Tabelle32[[#This Row],[SDI Interface]],BOM!$A$4:$B$35,2,FALSE)</f>
        <v>389</v>
      </c>
      <c r="H240" s="59" t="str">
        <f>BOM!$C$4</f>
        <v>VGW-103</v>
      </c>
      <c r="I240" s="59" t="str">
        <f>IFERROR(VLOOKUP(Tabelle32[[#This Row],[Device ID]],BOM!$B$3:$BQ$35,12,FALSE),"")</f>
        <v>Videoserver</v>
      </c>
      <c r="J240" s="59" t="str">
        <f>IFERROR(VLOOKUP(Tabelle32[[#This Row],[Device ID]],BOM!$B$3:$BQ$35,13,FALSE),"")</f>
        <v>TC.U1.223 | MDC</v>
      </c>
      <c r="K240" s="59" t="str">
        <f>IFERROR(VLOOKUP(Tabelle32[[#This Row],[Device ID]],BOM!$B$3:$BQ$35,14,FALSE),"")</f>
        <v>Imagine Comunications</v>
      </c>
      <c r="L240" s="59" t="str">
        <f>IFERROR(VLOOKUP(Tabelle32[[#This Row],[Device ID]],BOM!$B$3:$BQ$35,16,FALSE),"")</f>
        <v>IngSRV-06</v>
      </c>
      <c r="M240" s="63" t="str">
        <f>IFERROR(VLOOKUP(Tabelle32[[#This Row],[Device ID]],BOM!$B$3:$BQ$35,17,FALSE),"")</f>
        <v>M3H</v>
      </c>
      <c r="N240" s="59" t="str">
        <f>IFERROR(VLOOKUP(Tabelle32[[#This Row],[Device ID]],BOM!$B$3:$BQ$35,18,FALSE),"")</f>
        <v>TC.03.225 | M3H</v>
      </c>
      <c r="O240" s="64"/>
      <c r="P240" s="64">
        <f>IFERROR(VLOOKUP(Tabelle32[[#This Row],[Device ID]],BOM!$B$3:$BO$50,20,FALSE),"")</f>
        <v>0</v>
      </c>
      <c r="Q240" s="64">
        <f>IFERROR(VLOOKUP(Tabelle32[[#This Row],[Device ID]],BOM!$B$3:$BO$50,21,FALSE),"")</f>
        <v>1</v>
      </c>
      <c r="R240" s="64">
        <f>IFERROR(VLOOKUP(Tabelle32[[#This Row],[Device ID]],BOM!$B$3:$BO$50,22,FALSE),"")</f>
        <v>0</v>
      </c>
      <c r="S240" s="64"/>
      <c r="T240" s="64"/>
      <c r="U240" s="59" t="str">
        <f>IFERROR(VLOOKUP(Tabelle32[[#This Row],[Device ID]],BOM!$B$3:$BQ$35,25,FALSE),"")</f>
        <v>Luis/Ivo</v>
      </c>
      <c r="V240" s="59" t="str">
        <f>IFERROR(VLOOKUP(Tabelle32[[#This Row],[Device ID]],BOM!$B$3:$BQ$35,26,FALSE),"")</f>
        <v>tpco-megw-vgw103.rta.st-net.media.int</v>
      </c>
      <c r="W240" s="59" t="str">
        <f>IFERROR(VLOOKUP(Tabelle32[[#This Row],[Device ID]],BOM!$B$3:$BQ$35,27,FALSE),"")</f>
        <v>10.120.236.50</v>
      </c>
      <c r="X240" s="59" t="str">
        <f>IFERROR(VLOOKUP(Tabelle32[[#This Row],[Device ID]],BOM!$B$3:$BQ$35,28,FALSE),"")</f>
        <v>AVCoreA</v>
      </c>
      <c r="Y240" s="59" t="str">
        <f>IFERROR(VLOOKUP(Tabelle32[[#This Row],[Device ID]],BOM!$B$3:$BQ$35,29,FALSE),"")</f>
        <v>5_36_1</v>
      </c>
      <c r="Z240" s="59" t="str">
        <f>IFERROR(VLOOKUP(Tabelle32[[#This Row],[Device ID]],BOM!$B$3:$BQ$35,30,FALSE),"")</f>
        <v>tpco-megw-vgw103.rtb.st-net.media.int</v>
      </c>
      <c r="AA240" s="59" t="str">
        <f>IFERROR(VLOOKUP(Tabelle32[[#This Row],[Device ID]],BOM!$B$3:$BQ$35,31,FALSE),"")</f>
        <v>10.120.236.54</v>
      </c>
      <c r="AB240" s="59" t="str">
        <f>IFERROR(VLOOKUP(Tabelle32[[#This Row],[Device ID]],BOM!$B$3:$BQ$35,32,FALSE),"")</f>
        <v>AVCoreB</v>
      </c>
      <c r="AC240" s="59" t="str">
        <f>IFERROR(VLOOKUP(Tabelle32[[#This Row],[Device ID]],BOM!$B$3:$BQ$35,33,FALSE),"")</f>
        <v>5_36_1</v>
      </c>
      <c r="AD240" s="59" t="str">
        <f>IFERROR(VLOOKUP(Tabelle32[[#This Row],[Device ID]],BOM!$B$3:$BQ$35,34,FALSE),"")</f>
        <v>tpco-megw-vgw103.st-net.media.int</v>
      </c>
      <c r="AE240" s="59" t="str">
        <f>IFERROR(VLOOKUP(Tabelle32[[#This Row],[Device ID]],BOM!$B$3:$BQ$35,35,FALSE),"")</f>
        <v>10.120.67.141</v>
      </c>
      <c r="AF240" s="59">
        <f>IFERROR(VLOOKUP(Tabelle32[[#This Row],[Device ID]],BOM!$B$3:$BQ$35,36,FALSE),"")</f>
        <v>0</v>
      </c>
      <c r="AG240" s="59">
        <f>IFERROR(VLOOKUP(Tabelle32[[#This Row],[Device ID]],BOM!$B$3:$BQ$35,37,FALSE),"")</f>
        <v>0</v>
      </c>
      <c r="AH240" s="59"/>
      <c r="AI240" s="59"/>
      <c r="AJ240" s="59"/>
      <c r="AK240" s="59"/>
      <c r="AL240" s="59" t="str">
        <f>IFERROR(VLOOKUP(Tabelle32[[#This Row],[Device ID]],BOM!$B$3:$BQ$35,42,FALSE),"")</f>
        <v>Imagine Communications SNP</v>
      </c>
      <c r="AM240" s="59" t="str">
        <f>IFERROR(VLOOKUP(Tabelle32[[#This Row],[Device ID]],BOM!$B$3:$BQ$35,43,FALSE),"")</f>
        <v>no</v>
      </c>
      <c r="AN240" s="59" t="str">
        <f>IFERROR(VLOOKUP(Tabelle32[[#This Row],[Device ID]],BOM!$B$3:$BQ$35,44,FALSE),"")</f>
        <v>yes</v>
      </c>
      <c r="AO240" s="59" t="str">
        <f>IFERROR(VLOOKUP(Tabelle32[[#This Row],[Device ID]],BOM!$B$3:$BQ$35,45,FALSE),"")</f>
        <v>no</v>
      </c>
      <c r="AP240" s="59" t="str">
        <f>IFERROR(CONCATENATE(Tabelle32[[#This Row],[Family
GFX-Unit]]," | ",Tabelle32[[#This Row],[Label 1
GFX-Unit]]," | ",Tabelle32[[#This Row],[Attached Device if Gateway]]),"")</f>
        <v>M3H InCh REM | Ingest Ch24-03 | IngSRV-06</v>
      </c>
      <c r="AQ240" s="59"/>
      <c r="AR240" s="90"/>
      <c r="AS240" s="90"/>
      <c r="AT240" s="90"/>
      <c r="AU240" s="90"/>
      <c r="AV240" s="90"/>
      <c r="AW240" s="90" t="s">
        <v>97</v>
      </c>
      <c r="AX240" s="90"/>
      <c r="AY240" s="90"/>
      <c r="AZ240" s="90" t="s">
        <v>97</v>
      </c>
      <c r="BA240" s="90"/>
      <c r="BB240" s="90" t="s">
        <v>97</v>
      </c>
      <c r="BC240" s="90" t="s">
        <v>97</v>
      </c>
      <c r="BD240" s="90"/>
      <c r="BE240" s="90"/>
      <c r="BF240" s="90"/>
      <c r="BG240" s="90"/>
      <c r="BH240" s="73" t="s">
        <v>199</v>
      </c>
      <c r="BI240" s="30" t="str">
        <f>IF(COUNTA(Tabelle32[[#This Row],[Type:Vid_1080i50]:[Type:Anc_Prot]])&gt;0,"x","")</f>
        <v>x</v>
      </c>
      <c r="BJ24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40" s="59"/>
      <c r="BL240" s="59"/>
      <c r="BM240" s="63"/>
      <c r="BN240" s="63"/>
      <c r="BO240" s="97" t="s">
        <v>458</v>
      </c>
      <c r="BP240" s="97" t="s">
        <v>570</v>
      </c>
      <c r="BQ240" s="75">
        <f>LEN(Tabelle32[[#This Row],[Label 1
GFX-Unit]])</f>
        <v>14</v>
      </c>
      <c r="BR240" s="63"/>
      <c r="BS240" s="63"/>
      <c r="BT240" s="59"/>
      <c r="BU240" s="59"/>
      <c r="BV240" s="59" t="s">
        <v>222</v>
      </c>
      <c r="BW240" s="59" t="s">
        <v>223</v>
      </c>
      <c r="BX240" s="59" t="s">
        <v>571</v>
      </c>
      <c r="BY240" s="59">
        <v>12</v>
      </c>
    </row>
    <row r="241" spans="1:77" x14ac:dyDescent="0.2">
      <c r="A241" s="58" t="str">
        <f>CONCATENATE(Tabelle32[[#This Row],[Device ID]],".",Tabelle32[[#This Row],[Streamcounter]])</f>
        <v>389.12204</v>
      </c>
      <c r="B24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VGW-103_SDI12_AUDrec_0004</v>
      </c>
      <c r="C241" s="60"/>
      <c r="D241" s="61"/>
      <c r="E241" s="62"/>
      <c r="F241" s="59" t="str">
        <f>IFERROR(VLOOKUP(Tabelle32[[#This Row],[Device ID]],BOM!$B$3:$BQ$35,16,FALSE),"")</f>
        <v>IngSRV-06</v>
      </c>
      <c r="G241" s="63">
        <f>VLOOKUP(Tabelle32[[#This Row],[SDI Interface]],BOM!$A$4:$B$35,2,FALSE)</f>
        <v>389</v>
      </c>
      <c r="H241" s="59" t="str">
        <f>BOM!$C$4</f>
        <v>VGW-103</v>
      </c>
      <c r="I241" s="59" t="str">
        <f>IFERROR(VLOOKUP(Tabelle32[[#This Row],[Device ID]],BOM!$B$3:$BQ$35,12,FALSE),"")</f>
        <v>Videoserver</v>
      </c>
      <c r="J241" s="59" t="str">
        <f>IFERROR(VLOOKUP(Tabelle32[[#This Row],[Device ID]],BOM!$B$3:$BQ$35,13,FALSE),"")</f>
        <v>TC.U1.223 | MDC</v>
      </c>
      <c r="K241" s="59" t="str">
        <f>IFERROR(VLOOKUP(Tabelle32[[#This Row],[Device ID]],BOM!$B$3:$BQ$35,14,FALSE),"")</f>
        <v>Imagine Comunications</v>
      </c>
      <c r="L241" s="59" t="str">
        <f>IFERROR(VLOOKUP(Tabelle32[[#This Row],[Device ID]],BOM!$B$3:$BQ$35,16,FALSE),"")</f>
        <v>IngSRV-06</v>
      </c>
      <c r="M241" s="63" t="str">
        <f>IFERROR(VLOOKUP(Tabelle32[[#This Row],[Device ID]],BOM!$B$3:$BQ$35,17,FALSE),"")</f>
        <v>M3H</v>
      </c>
      <c r="N241" s="59" t="str">
        <f>IFERROR(VLOOKUP(Tabelle32[[#This Row],[Device ID]],BOM!$B$3:$BQ$35,18,FALSE),"")</f>
        <v>TC.03.225 | M3H</v>
      </c>
      <c r="O241" s="64"/>
      <c r="P241" s="64">
        <f>IFERROR(VLOOKUP(Tabelle32[[#This Row],[Device ID]],BOM!$B$3:$BO$50,20,FALSE),"")</f>
        <v>0</v>
      </c>
      <c r="Q241" s="64">
        <f>IFERROR(VLOOKUP(Tabelle32[[#This Row],[Device ID]],BOM!$B$3:$BO$50,21,FALSE),"")</f>
        <v>1</v>
      </c>
      <c r="R241" s="64">
        <f>IFERROR(VLOOKUP(Tabelle32[[#This Row],[Device ID]],BOM!$B$3:$BO$50,22,FALSE),"")</f>
        <v>0</v>
      </c>
      <c r="S241" s="64"/>
      <c r="T241" s="64"/>
      <c r="U241" s="59" t="str">
        <f>IFERROR(VLOOKUP(Tabelle32[[#This Row],[Device ID]],BOM!$B$3:$BQ$35,25,FALSE),"")</f>
        <v>Luis/Ivo</v>
      </c>
      <c r="V241" s="59" t="str">
        <f>IFERROR(VLOOKUP(Tabelle32[[#This Row],[Device ID]],BOM!$B$3:$BQ$35,26,FALSE),"")</f>
        <v>tpco-megw-vgw103.rta.st-net.media.int</v>
      </c>
      <c r="W241" s="59" t="str">
        <f>IFERROR(VLOOKUP(Tabelle32[[#This Row],[Device ID]],BOM!$B$3:$BQ$35,27,FALSE),"")</f>
        <v>10.120.236.50</v>
      </c>
      <c r="X241" s="59" t="str">
        <f>IFERROR(VLOOKUP(Tabelle32[[#This Row],[Device ID]],BOM!$B$3:$BQ$35,28,FALSE),"")</f>
        <v>AVCoreA</v>
      </c>
      <c r="Y241" s="59" t="str">
        <f>IFERROR(VLOOKUP(Tabelle32[[#This Row],[Device ID]],BOM!$B$3:$BQ$35,29,FALSE),"")</f>
        <v>5_36_1</v>
      </c>
      <c r="Z241" s="59" t="str">
        <f>IFERROR(VLOOKUP(Tabelle32[[#This Row],[Device ID]],BOM!$B$3:$BQ$35,30,FALSE),"")</f>
        <v>tpco-megw-vgw103.rtb.st-net.media.int</v>
      </c>
      <c r="AA241" s="59" t="str">
        <f>IFERROR(VLOOKUP(Tabelle32[[#This Row],[Device ID]],BOM!$B$3:$BQ$35,31,FALSE),"")</f>
        <v>10.120.236.54</v>
      </c>
      <c r="AB241" s="59" t="str">
        <f>IFERROR(VLOOKUP(Tabelle32[[#This Row],[Device ID]],BOM!$B$3:$BQ$35,32,FALSE),"")</f>
        <v>AVCoreB</v>
      </c>
      <c r="AC241" s="59" t="str">
        <f>IFERROR(VLOOKUP(Tabelle32[[#This Row],[Device ID]],BOM!$B$3:$BQ$35,33,FALSE),"")</f>
        <v>5_36_1</v>
      </c>
      <c r="AD241" s="59" t="str">
        <f>IFERROR(VLOOKUP(Tabelle32[[#This Row],[Device ID]],BOM!$B$3:$BQ$35,34,FALSE),"")</f>
        <v>tpco-megw-vgw103.st-net.media.int</v>
      </c>
      <c r="AE241" s="59" t="str">
        <f>IFERROR(VLOOKUP(Tabelle32[[#This Row],[Device ID]],BOM!$B$3:$BQ$35,35,FALSE),"")</f>
        <v>10.120.67.141</v>
      </c>
      <c r="AF241" s="59">
        <f>IFERROR(VLOOKUP(Tabelle32[[#This Row],[Device ID]],BOM!$B$3:$BQ$35,36,FALSE),"")</f>
        <v>0</v>
      </c>
      <c r="AG241" s="59">
        <f>IFERROR(VLOOKUP(Tabelle32[[#This Row],[Device ID]],BOM!$B$3:$BQ$35,37,FALSE),"")</f>
        <v>0</v>
      </c>
      <c r="AH241" s="59"/>
      <c r="AI241" s="59"/>
      <c r="AJ241" s="59"/>
      <c r="AK241" s="59"/>
      <c r="AL241" s="59" t="str">
        <f>IFERROR(VLOOKUP(Tabelle32[[#This Row],[Device ID]],BOM!$B$3:$BQ$35,42,FALSE),"")</f>
        <v>Imagine Communications SNP</v>
      </c>
      <c r="AM241" s="59" t="str">
        <f>IFERROR(VLOOKUP(Tabelle32[[#This Row],[Device ID]],BOM!$B$3:$BQ$35,43,FALSE),"")</f>
        <v>no</v>
      </c>
      <c r="AN241" s="59" t="str">
        <f>IFERROR(VLOOKUP(Tabelle32[[#This Row],[Device ID]],BOM!$B$3:$BQ$35,44,FALSE),"")</f>
        <v>yes</v>
      </c>
      <c r="AO241" s="59" t="str">
        <f>IFERROR(VLOOKUP(Tabelle32[[#This Row],[Device ID]],BOM!$B$3:$BQ$35,45,FALSE),"")</f>
        <v>no</v>
      </c>
      <c r="AP241" s="59" t="str">
        <f>IFERROR(CONCATENATE(Tabelle32[[#This Row],[Family
GFX-Unit]]," | ",Tabelle32[[#This Row],[Label 1
GFX-Unit]]," | ",Tabelle32[[#This Row],[Attached Device if Gateway]]),"")</f>
        <v>M3H InCh REM | Ingest Ch24-04 | IngSRV-06</v>
      </c>
      <c r="AQ241" s="59"/>
      <c r="AR241" s="90"/>
      <c r="AS241" s="90"/>
      <c r="AT241" s="90"/>
      <c r="AU241" s="90"/>
      <c r="AV241" s="90"/>
      <c r="AW241" s="90" t="s">
        <v>97</v>
      </c>
      <c r="AX241" s="90"/>
      <c r="AY241" s="90"/>
      <c r="AZ241" s="90" t="s">
        <v>97</v>
      </c>
      <c r="BA241" s="90"/>
      <c r="BB241" s="90" t="s">
        <v>97</v>
      </c>
      <c r="BC241" s="90" t="s">
        <v>97</v>
      </c>
      <c r="BD241" s="90"/>
      <c r="BE241" s="90"/>
      <c r="BF241" s="90"/>
      <c r="BG241" s="90"/>
      <c r="BH241" s="73" t="s">
        <v>199</v>
      </c>
      <c r="BI241" s="30" t="str">
        <f>IF(COUNTA(Tabelle32[[#This Row],[Type:Vid_1080i50]:[Type:Anc_Prot]])&gt;0,"x","")</f>
        <v>x</v>
      </c>
      <c r="BJ24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41" s="59"/>
      <c r="BL241" s="59"/>
      <c r="BM241" s="63"/>
      <c r="BN241" s="63"/>
      <c r="BO241" s="97" t="s">
        <v>458</v>
      </c>
      <c r="BP241" s="97" t="s">
        <v>572</v>
      </c>
      <c r="BQ241" s="75">
        <f>LEN(Tabelle32[[#This Row],[Label 1
GFX-Unit]])</f>
        <v>14</v>
      </c>
      <c r="BR241" s="63"/>
      <c r="BS241" s="63"/>
      <c r="BT241" s="59"/>
      <c r="BU241" s="59"/>
      <c r="BV241" s="59" t="s">
        <v>226</v>
      </c>
      <c r="BW241" s="59" t="s">
        <v>227</v>
      </c>
      <c r="BX241" s="59" t="s">
        <v>573</v>
      </c>
      <c r="BY241" s="59">
        <v>12</v>
      </c>
    </row>
    <row r="242" spans="1:77" x14ac:dyDescent="0.2">
      <c r="A242" s="58" t="str">
        <f>CONCATENATE(Tabelle32[[#This Row],[Device ID]],".",Tabelle32[[#This Row],[Streamcounter]])</f>
        <v>389.12205</v>
      </c>
      <c r="B24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VGW-103_SDI12_AUDrec_0005</v>
      </c>
      <c r="C242" s="60"/>
      <c r="D242" s="61"/>
      <c r="E242" s="62"/>
      <c r="F242" s="59" t="str">
        <f>IFERROR(VLOOKUP(Tabelle32[[#This Row],[Device ID]],BOM!$B$3:$BQ$35,16,FALSE),"")</f>
        <v>IngSRV-06</v>
      </c>
      <c r="G242" s="63">
        <f>VLOOKUP(Tabelle32[[#This Row],[SDI Interface]],BOM!$A$4:$B$35,2,FALSE)</f>
        <v>389</v>
      </c>
      <c r="H242" s="59" t="str">
        <f>BOM!$C$4</f>
        <v>VGW-103</v>
      </c>
      <c r="I242" s="59" t="str">
        <f>IFERROR(VLOOKUP(Tabelle32[[#This Row],[Device ID]],BOM!$B$3:$BQ$35,12,FALSE),"")</f>
        <v>Videoserver</v>
      </c>
      <c r="J242" s="59" t="str">
        <f>IFERROR(VLOOKUP(Tabelle32[[#This Row],[Device ID]],BOM!$B$3:$BQ$35,13,FALSE),"")</f>
        <v>TC.U1.223 | MDC</v>
      </c>
      <c r="K242" s="59" t="str">
        <f>IFERROR(VLOOKUP(Tabelle32[[#This Row],[Device ID]],BOM!$B$3:$BQ$35,14,FALSE),"")</f>
        <v>Imagine Comunications</v>
      </c>
      <c r="L242" s="59" t="str">
        <f>IFERROR(VLOOKUP(Tabelle32[[#This Row],[Device ID]],BOM!$B$3:$BQ$35,16,FALSE),"")</f>
        <v>IngSRV-06</v>
      </c>
      <c r="M242" s="63" t="str">
        <f>IFERROR(VLOOKUP(Tabelle32[[#This Row],[Device ID]],BOM!$B$3:$BQ$35,17,FALSE),"")</f>
        <v>M3H</v>
      </c>
      <c r="N242" s="59" t="str">
        <f>IFERROR(VLOOKUP(Tabelle32[[#This Row],[Device ID]],BOM!$B$3:$BQ$35,18,FALSE),"")</f>
        <v>TC.03.225 | M3H</v>
      </c>
      <c r="O242" s="64"/>
      <c r="P242" s="64">
        <f>IFERROR(VLOOKUP(Tabelle32[[#This Row],[Device ID]],BOM!$B$3:$BO$50,20,FALSE),"")</f>
        <v>0</v>
      </c>
      <c r="Q242" s="64">
        <f>IFERROR(VLOOKUP(Tabelle32[[#This Row],[Device ID]],BOM!$B$3:$BO$50,21,FALSE),"")</f>
        <v>1</v>
      </c>
      <c r="R242" s="64">
        <f>IFERROR(VLOOKUP(Tabelle32[[#This Row],[Device ID]],BOM!$B$3:$BO$50,22,FALSE),"")</f>
        <v>0</v>
      </c>
      <c r="S242" s="64"/>
      <c r="T242" s="64"/>
      <c r="U242" s="59" t="str">
        <f>IFERROR(VLOOKUP(Tabelle32[[#This Row],[Device ID]],BOM!$B$3:$BQ$35,25,FALSE),"")</f>
        <v>Luis/Ivo</v>
      </c>
      <c r="V242" s="59" t="str">
        <f>IFERROR(VLOOKUP(Tabelle32[[#This Row],[Device ID]],BOM!$B$3:$BQ$35,26,FALSE),"")</f>
        <v>tpco-megw-vgw103.rta.st-net.media.int</v>
      </c>
      <c r="W242" s="59" t="str">
        <f>IFERROR(VLOOKUP(Tabelle32[[#This Row],[Device ID]],BOM!$B$3:$BQ$35,27,FALSE),"")</f>
        <v>10.120.236.50</v>
      </c>
      <c r="X242" s="59" t="str">
        <f>IFERROR(VLOOKUP(Tabelle32[[#This Row],[Device ID]],BOM!$B$3:$BQ$35,28,FALSE),"")</f>
        <v>AVCoreA</v>
      </c>
      <c r="Y242" s="59" t="str">
        <f>IFERROR(VLOOKUP(Tabelle32[[#This Row],[Device ID]],BOM!$B$3:$BQ$35,29,FALSE),"")</f>
        <v>5_36_1</v>
      </c>
      <c r="Z242" s="59" t="str">
        <f>IFERROR(VLOOKUP(Tabelle32[[#This Row],[Device ID]],BOM!$B$3:$BQ$35,30,FALSE),"")</f>
        <v>tpco-megw-vgw103.rtb.st-net.media.int</v>
      </c>
      <c r="AA242" s="59" t="str">
        <f>IFERROR(VLOOKUP(Tabelle32[[#This Row],[Device ID]],BOM!$B$3:$BQ$35,31,FALSE),"")</f>
        <v>10.120.236.54</v>
      </c>
      <c r="AB242" s="59" t="str">
        <f>IFERROR(VLOOKUP(Tabelle32[[#This Row],[Device ID]],BOM!$B$3:$BQ$35,32,FALSE),"")</f>
        <v>AVCoreB</v>
      </c>
      <c r="AC242" s="59" t="str">
        <f>IFERROR(VLOOKUP(Tabelle32[[#This Row],[Device ID]],BOM!$B$3:$BQ$35,33,FALSE),"")</f>
        <v>5_36_1</v>
      </c>
      <c r="AD242" s="59" t="str">
        <f>IFERROR(VLOOKUP(Tabelle32[[#This Row],[Device ID]],BOM!$B$3:$BQ$35,34,FALSE),"")</f>
        <v>tpco-megw-vgw103.st-net.media.int</v>
      </c>
      <c r="AE242" s="59" t="str">
        <f>IFERROR(VLOOKUP(Tabelle32[[#This Row],[Device ID]],BOM!$B$3:$BQ$35,35,FALSE),"")</f>
        <v>10.120.67.141</v>
      </c>
      <c r="AF242" s="59">
        <f>IFERROR(VLOOKUP(Tabelle32[[#This Row],[Device ID]],BOM!$B$3:$BQ$35,36,FALSE),"")</f>
        <v>0</v>
      </c>
      <c r="AG242" s="59">
        <f>IFERROR(VLOOKUP(Tabelle32[[#This Row],[Device ID]],BOM!$B$3:$BQ$35,37,FALSE),"")</f>
        <v>0</v>
      </c>
      <c r="AH242" s="59"/>
      <c r="AI242" s="59"/>
      <c r="AJ242" s="59"/>
      <c r="AK242" s="59"/>
      <c r="AL242" s="59" t="str">
        <f>IFERROR(VLOOKUP(Tabelle32[[#This Row],[Device ID]],BOM!$B$3:$BQ$35,42,FALSE),"")</f>
        <v>Imagine Communications SNP</v>
      </c>
      <c r="AM242" s="59" t="str">
        <f>IFERROR(VLOOKUP(Tabelle32[[#This Row],[Device ID]],BOM!$B$3:$BQ$35,43,FALSE),"")</f>
        <v>no</v>
      </c>
      <c r="AN242" s="59" t="str">
        <f>IFERROR(VLOOKUP(Tabelle32[[#This Row],[Device ID]],BOM!$B$3:$BQ$35,44,FALSE),"")</f>
        <v>yes</v>
      </c>
      <c r="AO242" s="59" t="str">
        <f>IFERROR(VLOOKUP(Tabelle32[[#This Row],[Device ID]],BOM!$B$3:$BQ$35,45,FALSE),"")</f>
        <v>no</v>
      </c>
      <c r="AP242" s="59" t="str">
        <f>IFERROR(CONCATENATE(Tabelle32[[#This Row],[Family
GFX-Unit]]," | ",Tabelle32[[#This Row],[Label 1
GFX-Unit]]," | ",Tabelle32[[#This Row],[Attached Device if Gateway]]),"")</f>
        <v>M3H InCh REM | Ingest Ch24-05 | IngSRV-06</v>
      </c>
      <c r="AQ242" s="59"/>
      <c r="AR242" s="90"/>
      <c r="AS242" s="90"/>
      <c r="AT242" s="90"/>
      <c r="AU242" s="90"/>
      <c r="AV242" s="90"/>
      <c r="AW242" s="90" t="s">
        <v>97</v>
      </c>
      <c r="AX242" s="90"/>
      <c r="AY242" s="90"/>
      <c r="AZ242" s="90" t="s">
        <v>97</v>
      </c>
      <c r="BA242" s="90"/>
      <c r="BB242" s="90" t="s">
        <v>97</v>
      </c>
      <c r="BC242" s="90" t="s">
        <v>97</v>
      </c>
      <c r="BD242" s="90"/>
      <c r="BE242" s="90"/>
      <c r="BF242" s="90"/>
      <c r="BG242" s="90"/>
      <c r="BH242" s="73" t="s">
        <v>199</v>
      </c>
      <c r="BI242" s="30" t="str">
        <f>IF(COUNTA(Tabelle32[[#This Row],[Type:Vid_1080i50]:[Type:Anc_Prot]])&gt;0,"x","")</f>
        <v>x</v>
      </c>
      <c r="BJ24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42" s="59"/>
      <c r="BL242" s="59"/>
      <c r="BM242" s="63"/>
      <c r="BN242" s="63"/>
      <c r="BO242" s="97" t="s">
        <v>458</v>
      </c>
      <c r="BP242" s="97" t="s">
        <v>574</v>
      </c>
      <c r="BQ242" s="75">
        <f>LEN(Tabelle32[[#This Row],[Label 1
GFX-Unit]])</f>
        <v>14</v>
      </c>
      <c r="BR242" s="63"/>
      <c r="BS242" s="63"/>
      <c r="BT242" s="59"/>
      <c r="BU242" s="59"/>
      <c r="BV242" s="59" t="s">
        <v>230</v>
      </c>
      <c r="BW242" s="59" t="s">
        <v>231</v>
      </c>
      <c r="BX242" s="59" t="s">
        <v>575</v>
      </c>
      <c r="BY242" s="59">
        <v>12</v>
      </c>
    </row>
    <row r="243" spans="1:77" x14ac:dyDescent="0.2">
      <c r="A243" s="58" t="str">
        <f>CONCATENATE(Tabelle32[[#This Row],[Device ID]],".",Tabelle32[[#This Row],[Streamcounter]])</f>
        <v>389.12206</v>
      </c>
      <c r="B24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VGW-103_SDI12_AUDrec_0006</v>
      </c>
      <c r="C243" s="60"/>
      <c r="D243" s="61"/>
      <c r="E243" s="62"/>
      <c r="F243" s="59" t="str">
        <f>IFERROR(VLOOKUP(Tabelle32[[#This Row],[Device ID]],BOM!$B$3:$BQ$35,16,FALSE),"")</f>
        <v>IngSRV-06</v>
      </c>
      <c r="G243" s="63">
        <f>VLOOKUP(Tabelle32[[#This Row],[SDI Interface]],BOM!$A$4:$B$35,2,FALSE)</f>
        <v>389</v>
      </c>
      <c r="H243" s="59" t="str">
        <f>BOM!$C$4</f>
        <v>VGW-103</v>
      </c>
      <c r="I243" s="59" t="str">
        <f>IFERROR(VLOOKUP(Tabelle32[[#This Row],[Device ID]],BOM!$B$3:$BQ$35,12,FALSE),"")</f>
        <v>Videoserver</v>
      </c>
      <c r="J243" s="59" t="str">
        <f>IFERROR(VLOOKUP(Tabelle32[[#This Row],[Device ID]],BOM!$B$3:$BQ$35,13,FALSE),"")</f>
        <v>TC.U1.223 | MDC</v>
      </c>
      <c r="K243" s="59" t="str">
        <f>IFERROR(VLOOKUP(Tabelle32[[#This Row],[Device ID]],BOM!$B$3:$BQ$35,14,FALSE),"")</f>
        <v>Imagine Comunications</v>
      </c>
      <c r="L243" s="59" t="str">
        <f>IFERROR(VLOOKUP(Tabelle32[[#This Row],[Device ID]],BOM!$B$3:$BQ$35,16,FALSE),"")</f>
        <v>IngSRV-06</v>
      </c>
      <c r="M243" s="63" t="str">
        <f>IFERROR(VLOOKUP(Tabelle32[[#This Row],[Device ID]],BOM!$B$3:$BQ$35,17,FALSE),"")</f>
        <v>M3H</v>
      </c>
      <c r="N243" s="59" t="str">
        <f>IFERROR(VLOOKUP(Tabelle32[[#This Row],[Device ID]],BOM!$B$3:$BQ$35,18,FALSE),"")</f>
        <v>TC.03.225 | M3H</v>
      </c>
      <c r="O243" s="64"/>
      <c r="P243" s="64">
        <f>IFERROR(VLOOKUP(Tabelle32[[#This Row],[Device ID]],BOM!$B$3:$BO$50,20,FALSE),"")</f>
        <v>0</v>
      </c>
      <c r="Q243" s="64">
        <f>IFERROR(VLOOKUP(Tabelle32[[#This Row],[Device ID]],BOM!$B$3:$BO$50,21,FALSE),"")</f>
        <v>1</v>
      </c>
      <c r="R243" s="64">
        <f>IFERROR(VLOOKUP(Tabelle32[[#This Row],[Device ID]],BOM!$B$3:$BO$50,22,FALSE),"")</f>
        <v>0</v>
      </c>
      <c r="S243" s="64"/>
      <c r="T243" s="64"/>
      <c r="U243" s="59" t="str">
        <f>IFERROR(VLOOKUP(Tabelle32[[#This Row],[Device ID]],BOM!$B$3:$BQ$35,25,FALSE),"")</f>
        <v>Luis/Ivo</v>
      </c>
      <c r="V243" s="59" t="str">
        <f>IFERROR(VLOOKUP(Tabelle32[[#This Row],[Device ID]],BOM!$B$3:$BQ$35,26,FALSE),"")</f>
        <v>tpco-megw-vgw103.rta.st-net.media.int</v>
      </c>
      <c r="W243" s="59" t="str">
        <f>IFERROR(VLOOKUP(Tabelle32[[#This Row],[Device ID]],BOM!$B$3:$BQ$35,27,FALSE),"")</f>
        <v>10.120.236.50</v>
      </c>
      <c r="X243" s="59" t="str">
        <f>IFERROR(VLOOKUP(Tabelle32[[#This Row],[Device ID]],BOM!$B$3:$BQ$35,28,FALSE),"")</f>
        <v>AVCoreA</v>
      </c>
      <c r="Y243" s="59" t="str">
        <f>IFERROR(VLOOKUP(Tabelle32[[#This Row],[Device ID]],BOM!$B$3:$BQ$35,29,FALSE),"")</f>
        <v>5_36_1</v>
      </c>
      <c r="Z243" s="59" t="str">
        <f>IFERROR(VLOOKUP(Tabelle32[[#This Row],[Device ID]],BOM!$B$3:$BQ$35,30,FALSE),"")</f>
        <v>tpco-megw-vgw103.rtb.st-net.media.int</v>
      </c>
      <c r="AA243" s="59" t="str">
        <f>IFERROR(VLOOKUP(Tabelle32[[#This Row],[Device ID]],BOM!$B$3:$BQ$35,31,FALSE),"")</f>
        <v>10.120.236.54</v>
      </c>
      <c r="AB243" s="59" t="str">
        <f>IFERROR(VLOOKUP(Tabelle32[[#This Row],[Device ID]],BOM!$B$3:$BQ$35,32,FALSE),"")</f>
        <v>AVCoreB</v>
      </c>
      <c r="AC243" s="59" t="str">
        <f>IFERROR(VLOOKUP(Tabelle32[[#This Row],[Device ID]],BOM!$B$3:$BQ$35,33,FALSE),"")</f>
        <v>5_36_1</v>
      </c>
      <c r="AD243" s="59" t="str">
        <f>IFERROR(VLOOKUP(Tabelle32[[#This Row],[Device ID]],BOM!$B$3:$BQ$35,34,FALSE),"")</f>
        <v>tpco-megw-vgw103.st-net.media.int</v>
      </c>
      <c r="AE243" s="59" t="str">
        <f>IFERROR(VLOOKUP(Tabelle32[[#This Row],[Device ID]],BOM!$B$3:$BQ$35,35,FALSE),"")</f>
        <v>10.120.67.141</v>
      </c>
      <c r="AF243" s="59">
        <f>IFERROR(VLOOKUP(Tabelle32[[#This Row],[Device ID]],BOM!$B$3:$BQ$35,36,FALSE),"")</f>
        <v>0</v>
      </c>
      <c r="AG243" s="59">
        <f>IFERROR(VLOOKUP(Tabelle32[[#This Row],[Device ID]],BOM!$B$3:$BQ$35,37,FALSE),"")</f>
        <v>0</v>
      </c>
      <c r="AH243" s="59"/>
      <c r="AI243" s="59"/>
      <c r="AJ243" s="59"/>
      <c r="AK243" s="59"/>
      <c r="AL243" s="59" t="str">
        <f>IFERROR(VLOOKUP(Tabelle32[[#This Row],[Device ID]],BOM!$B$3:$BQ$35,42,FALSE),"")</f>
        <v>Imagine Communications SNP</v>
      </c>
      <c r="AM243" s="59" t="str">
        <f>IFERROR(VLOOKUP(Tabelle32[[#This Row],[Device ID]],BOM!$B$3:$BQ$35,43,FALSE),"")</f>
        <v>no</v>
      </c>
      <c r="AN243" s="59" t="str">
        <f>IFERROR(VLOOKUP(Tabelle32[[#This Row],[Device ID]],BOM!$B$3:$BQ$35,44,FALSE),"")</f>
        <v>yes</v>
      </c>
      <c r="AO243" s="59" t="str">
        <f>IFERROR(VLOOKUP(Tabelle32[[#This Row],[Device ID]],BOM!$B$3:$BQ$35,45,FALSE),"")</f>
        <v>no</v>
      </c>
      <c r="AP243" s="59" t="str">
        <f>IFERROR(CONCATENATE(Tabelle32[[#This Row],[Family
GFX-Unit]]," | ",Tabelle32[[#This Row],[Label 1
GFX-Unit]]," | ",Tabelle32[[#This Row],[Attached Device if Gateway]]),"")</f>
        <v>M3H InCh REM | Ingest Ch24-06 | IngSRV-06</v>
      </c>
      <c r="AQ243" s="59"/>
      <c r="AR243" s="90"/>
      <c r="AS243" s="90"/>
      <c r="AT243" s="90"/>
      <c r="AU243" s="90"/>
      <c r="AV243" s="90"/>
      <c r="AW243" s="90" t="s">
        <v>97</v>
      </c>
      <c r="AX243" s="90"/>
      <c r="AY243" s="90"/>
      <c r="AZ243" s="90" t="s">
        <v>97</v>
      </c>
      <c r="BA243" s="90"/>
      <c r="BB243" s="90" t="s">
        <v>97</v>
      </c>
      <c r="BC243" s="90" t="s">
        <v>97</v>
      </c>
      <c r="BD243" s="90"/>
      <c r="BE243" s="90"/>
      <c r="BF243" s="90"/>
      <c r="BG243" s="90"/>
      <c r="BH243" s="73" t="s">
        <v>199</v>
      </c>
      <c r="BI243" s="30" t="str">
        <f>IF(COUNTA(Tabelle32[[#This Row],[Type:Vid_1080i50]:[Type:Anc_Prot]])&gt;0,"x","")</f>
        <v>x</v>
      </c>
      <c r="BJ24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43" s="59"/>
      <c r="BL243" s="59"/>
      <c r="BM243" s="63"/>
      <c r="BN243" s="63"/>
      <c r="BO243" s="97" t="s">
        <v>458</v>
      </c>
      <c r="BP243" s="97" t="s">
        <v>576</v>
      </c>
      <c r="BQ243" s="75">
        <f>LEN(Tabelle32[[#This Row],[Label 1
GFX-Unit]])</f>
        <v>14</v>
      </c>
      <c r="BR243" s="63"/>
      <c r="BS243" s="63"/>
      <c r="BT243" s="59"/>
      <c r="BU243" s="59"/>
      <c r="BV243" s="59" t="s">
        <v>234</v>
      </c>
      <c r="BW243" s="59" t="s">
        <v>235</v>
      </c>
      <c r="BX243" s="59" t="s">
        <v>577</v>
      </c>
      <c r="BY243" s="59">
        <v>12</v>
      </c>
    </row>
    <row r="244" spans="1:77" x14ac:dyDescent="0.2">
      <c r="A244" s="58" t="str">
        <f>CONCATENATE(Tabelle32[[#This Row],[Device ID]],".",Tabelle32[[#This Row],[Streamcounter]])</f>
        <v>389.12207</v>
      </c>
      <c r="B24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VGW-103_SDI12_AUDrec_0007</v>
      </c>
      <c r="C244" s="60"/>
      <c r="D244" s="61"/>
      <c r="E244" s="62"/>
      <c r="F244" s="59" t="str">
        <f>IFERROR(VLOOKUP(Tabelle32[[#This Row],[Device ID]],BOM!$B$3:$BQ$35,16,FALSE),"")</f>
        <v>IngSRV-06</v>
      </c>
      <c r="G244" s="63">
        <f>VLOOKUP(Tabelle32[[#This Row],[SDI Interface]],BOM!$A$4:$B$35,2,FALSE)</f>
        <v>389</v>
      </c>
      <c r="H244" s="59" t="str">
        <f>BOM!$C$4</f>
        <v>VGW-103</v>
      </c>
      <c r="I244" s="59" t="str">
        <f>IFERROR(VLOOKUP(Tabelle32[[#This Row],[Device ID]],BOM!$B$3:$BQ$35,12,FALSE),"")</f>
        <v>Videoserver</v>
      </c>
      <c r="J244" s="59" t="str">
        <f>IFERROR(VLOOKUP(Tabelle32[[#This Row],[Device ID]],BOM!$B$3:$BQ$35,13,FALSE),"")</f>
        <v>TC.U1.223 | MDC</v>
      </c>
      <c r="K244" s="59" t="str">
        <f>IFERROR(VLOOKUP(Tabelle32[[#This Row],[Device ID]],BOM!$B$3:$BQ$35,14,FALSE),"")</f>
        <v>Imagine Comunications</v>
      </c>
      <c r="L244" s="59" t="str">
        <f>IFERROR(VLOOKUP(Tabelle32[[#This Row],[Device ID]],BOM!$B$3:$BQ$35,16,FALSE),"")</f>
        <v>IngSRV-06</v>
      </c>
      <c r="M244" s="63" t="str">
        <f>IFERROR(VLOOKUP(Tabelle32[[#This Row],[Device ID]],BOM!$B$3:$BQ$35,17,FALSE),"")</f>
        <v>M3H</v>
      </c>
      <c r="N244" s="59" t="str">
        <f>IFERROR(VLOOKUP(Tabelle32[[#This Row],[Device ID]],BOM!$B$3:$BQ$35,18,FALSE),"")</f>
        <v>TC.03.225 | M3H</v>
      </c>
      <c r="O244" s="64"/>
      <c r="P244" s="64">
        <f>IFERROR(VLOOKUP(Tabelle32[[#This Row],[Device ID]],BOM!$B$3:$BO$50,20,FALSE),"")</f>
        <v>0</v>
      </c>
      <c r="Q244" s="64">
        <f>IFERROR(VLOOKUP(Tabelle32[[#This Row],[Device ID]],BOM!$B$3:$BO$50,21,FALSE),"")</f>
        <v>1</v>
      </c>
      <c r="R244" s="64">
        <f>IFERROR(VLOOKUP(Tabelle32[[#This Row],[Device ID]],BOM!$B$3:$BO$50,22,FALSE),"")</f>
        <v>0</v>
      </c>
      <c r="S244" s="64"/>
      <c r="T244" s="64"/>
      <c r="U244" s="59" t="str">
        <f>IFERROR(VLOOKUP(Tabelle32[[#This Row],[Device ID]],BOM!$B$3:$BQ$35,25,FALSE),"")</f>
        <v>Luis/Ivo</v>
      </c>
      <c r="V244" s="59" t="str">
        <f>IFERROR(VLOOKUP(Tabelle32[[#This Row],[Device ID]],BOM!$B$3:$BQ$35,26,FALSE),"")</f>
        <v>tpco-megw-vgw103.rta.st-net.media.int</v>
      </c>
      <c r="W244" s="59" t="str">
        <f>IFERROR(VLOOKUP(Tabelle32[[#This Row],[Device ID]],BOM!$B$3:$BQ$35,27,FALSE),"")</f>
        <v>10.120.236.50</v>
      </c>
      <c r="X244" s="59" t="str">
        <f>IFERROR(VLOOKUP(Tabelle32[[#This Row],[Device ID]],BOM!$B$3:$BQ$35,28,FALSE),"")</f>
        <v>AVCoreA</v>
      </c>
      <c r="Y244" s="59" t="str">
        <f>IFERROR(VLOOKUP(Tabelle32[[#This Row],[Device ID]],BOM!$B$3:$BQ$35,29,FALSE),"")</f>
        <v>5_36_1</v>
      </c>
      <c r="Z244" s="59" t="str">
        <f>IFERROR(VLOOKUP(Tabelle32[[#This Row],[Device ID]],BOM!$B$3:$BQ$35,30,FALSE),"")</f>
        <v>tpco-megw-vgw103.rtb.st-net.media.int</v>
      </c>
      <c r="AA244" s="59" t="str">
        <f>IFERROR(VLOOKUP(Tabelle32[[#This Row],[Device ID]],BOM!$B$3:$BQ$35,31,FALSE),"")</f>
        <v>10.120.236.54</v>
      </c>
      <c r="AB244" s="59" t="str">
        <f>IFERROR(VLOOKUP(Tabelle32[[#This Row],[Device ID]],BOM!$B$3:$BQ$35,32,FALSE),"")</f>
        <v>AVCoreB</v>
      </c>
      <c r="AC244" s="59" t="str">
        <f>IFERROR(VLOOKUP(Tabelle32[[#This Row],[Device ID]],BOM!$B$3:$BQ$35,33,FALSE),"")</f>
        <v>5_36_1</v>
      </c>
      <c r="AD244" s="59" t="str">
        <f>IFERROR(VLOOKUP(Tabelle32[[#This Row],[Device ID]],BOM!$B$3:$BQ$35,34,FALSE),"")</f>
        <v>tpco-megw-vgw103.st-net.media.int</v>
      </c>
      <c r="AE244" s="59" t="str">
        <f>IFERROR(VLOOKUP(Tabelle32[[#This Row],[Device ID]],BOM!$B$3:$BQ$35,35,FALSE),"")</f>
        <v>10.120.67.141</v>
      </c>
      <c r="AF244" s="59">
        <f>IFERROR(VLOOKUP(Tabelle32[[#This Row],[Device ID]],BOM!$B$3:$BQ$35,36,FALSE),"")</f>
        <v>0</v>
      </c>
      <c r="AG244" s="59">
        <f>IFERROR(VLOOKUP(Tabelle32[[#This Row],[Device ID]],BOM!$B$3:$BQ$35,37,FALSE),"")</f>
        <v>0</v>
      </c>
      <c r="AH244" s="59"/>
      <c r="AI244" s="59"/>
      <c r="AJ244" s="59"/>
      <c r="AK244" s="59"/>
      <c r="AL244" s="59" t="str">
        <f>IFERROR(VLOOKUP(Tabelle32[[#This Row],[Device ID]],BOM!$B$3:$BQ$35,42,FALSE),"")</f>
        <v>Imagine Communications SNP</v>
      </c>
      <c r="AM244" s="59" t="str">
        <f>IFERROR(VLOOKUP(Tabelle32[[#This Row],[Device ID]],BOM!$B$3:$BQ$35,43,FALSE),"")</f>
        <v>no</v>
      </c>
      <c r="AN244" s="59" t="str">
        <f>IFERROR(VLOOKUP(Tabelle32[[#This Row],[Device ID]],BOM!$B$3:$BQ$35,44,FALSE),"")</f>
        <v>yes</v>
      </c>
      <c r="AO244" s="59" t="str">
        <f>IFERROR(VLOOKUP(Tabelle32[[#This Row],[Device ID]],BOM!$B$3:$BQ$35,45,FALSE),"")</f>
        <v>no</v>
      </c>
      <c r="AP244" s="59" t="str">
        <f>IFERROR(CONCATENATE(Tabelle32[[#This Row],[Family
GFX-Unit]]," | ",Tabelle32[[#This Row],[Label 1
GFX-Unit]]," | ",Tabelle32[[#This Row],[Attached Device if Gateway]]),"")</f>
        <v>M3H InCh REM | Ingest Ch24-07 | IngSRV-06</v>
      </c>
      <c r="AQ244" s="59"/>
      <c r="AR244" s="90"/>
      <c r="AS244" s="90"/>
      <c r="AT244" s="90"/>
      <c r="AU244" s="90"/>
      <c r="AV244" s="90"/>
      <c r="AW244" s="90" t="s">
        <v>97</v>
      </c>
      <c r="AX244" s="90"/>
      <c r="AY244" s="90"/>
      <c r="AZ244" s="90" t="s">
        <v>97</v>
      </c>
      <c r="BA244" s="90"/>
      <c r="BB244" s="90" t="s">
        <v>97</v>
      </c>
      <c r="BC244" s="90" t="s">
        <v>97</v>
      </c>
      <c r="BD244" s="90"/>
      <c r="BE244" s="90"/>
      <c r="BF244" s="90"/>
      <c r="BG244" s="90"/>
      <c r="BH244" s="73" t="s">
        <v>199</v>
      </c>
      <c r="BI244" s="30" t="str">
        <f>IF(COUNTA(Tabelle32[[#This Row],[Type:Vid_1080i50]:[Type:Anc_Prot]])&gt;0,"x","")</f>
        <v>x</v>
      </c>
      <c r="BJ24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44" s="59"/>
      <c r="BL244" s="59"/>
      <c r="BM244" s="63"/>
      <c r="BN244" s="63"/>
      <c r="BO244" s="97" t="s">
        <v>458</v>
      </c>
      <c r="BP244" s="97" t="s">
        <v>578</v>
      </c>
      <c r="BQ244" s="75">
        <f>LEN(Tabelle32[[#This Row],[Label 1
GFX-Unit]])</f>
        <v>14</v>
      </c>
      <c r="BR244" s="63"/>
      <c r="BS244" s="63"/>
      <c r="BT244" s="59"/>
      <c r="BU244" s="59"/>
      <c r="BV244" s="59" t="s">
        <v>238</v>
      </c>
      <c r="BW244" s="59" t="s">
        <v>239</v>
      </c>
      <c r="BX244" s="59" t="s">
        <v>579</v>
      </c>
      <c r="BY244" s="59">
        <v>12</v>
      </c>
    </row>
    <row r="245" spans="1:77" x14ac:dyDescent="0.2">
      <c r="A245" s="58" t="str">
        <f>CONCATENATE(Tabelle32[[#This Row],[Device ID]],".",Tabelle32[[#This Row],[Streamcounter]])</f>
        <v>389.12208</v>
      </c>
      <c r="B24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VGW-103_SDI12_AUDrec_0008</v>
      </c>
      <c r="C245" s="60"/>
      <c r="D245" s="61"/>
      <c r="E245" s="62"/>
      <c r="F245" s="59" t="str">
        <f>IFERROR(VLOOKUP(Tabelle32[[#This Row],[Device ID]],BOM!$B$3:$BQ$35,16,FALSE),"")</f>
        <v>IngSRV-06</v>
      </c>
      <c r="G245" s="63">
        <f>VLOOKUP(Tabelle32[[#This Row],[SDI Interface]],BOM!$A$4:$B$35,2,FALSE)</f>
        <v>389</v>
      </c>
      <c r="H245" s="59" t="str">
        <f>BOM!$C$4</f>
        <v>VGW-103</v>
      </c>
      <c r="I245" s="59" t="str">
        <f>IFERROR(VLOOKUP(Tabelle32[[#This Row],[Device ID]],BOM!$B$3:$BQ$35,12,FALSE),"")</f>
        <v>Videoserver</v>
      </c>
      <c r="J245" s="59" t="str">
        <f>IFERROR(VLOOKUP(Tabelle32[[#This Row],[Device ID]],BOM!$B$3:$BQ$35,13,FALSE),"")</f>
        <v>TC.U1.223 | MDC</v>
      </c>
      <c r="K245" s="59" t="str">
        <f>IFERROR(VLOOKUP(Tabelle32[[#This Row],[Device ID]],BOM!$B$3:$BQ$35,14,FALSE),"")</f>
        <v>Imagine Comunications</v>
      </c>
      <c r="L245" s="59" t="str">
        <f>IFERROR(VLOOKUP(Tabelle32[[#This Row],[Device ID]],BOM!$B$3:$BQ$35,16,FALSE),"")</f>
        <v>IngSRV-06</v>
      </c>
      <c r="M245" s="63" t="str">
        <f>IFERROR(VLOOKUP(Tabelle32[[#This Row],[Device ID]],BOM!$B$3:$BQ$35,17,FALSE),"")</f>
        <v>M3H</v>
      </c>
      <c r="N245" s="59" t="str">
        <f>IFERROR(VLOOKUP(Tabelle32[[#This Row],[Device ID]],BOM!$B$3:$BQ$35,18,FALSE),"")</f>
        <v>TC.03.225 | M3H</v>
      </c>
      <c r="O245" s="64"/>
      <c r="P245" s="64">
        <f>IFERROR(VLOOKUP(Tabelle32[[#This Row],[Device ID]],BOM!$B$3:$BO$50,20,FALSE),"")</f>
        <v>0</v>
      </c>
      <c r="Q245" s="64">
        <f>IFERROR(VLOOKUP(Tabelle32[[#This Row],[Device ID]],BOM!$B$3:$BO$50,21,FALSE),"")</f>
        <v>1</v>
      </c>
      <c r="R245" s="64">
        <f>IFERROR(VLOOKUP(Tabelle32[[#This Row],[Device ID]],BOM!$B$3:$BO$50,22,FALSE),"")</f>
        <v>0</v>
      </c>
      <c r="S245" s="64"/>
      <c r="T245" s="64"/>
      <c r="U245" s="59" t="str">
        <f>IFERROR(VLOOKUP(Tabelle32[[#This Row],[Device ID]],BOM!$B$3:$BQ$35,25,FALSE),"")</f>
        <v>Luis/Ivo</v>
      </c>
      <c r="V245" s="59" t="str">
        <f>IFERROR(VLOOKUP(Tabelle32[[#This Row],[Device ID]],BOM!$B$3:$BQ$35,26,FALSE),"")</f>
        <v>tpco-megw-vgw103.rta.st-net.media.int</v>
      </c>
      <c r="W245" s="59" t="str">
        <f>IFERROR(VLOOKUP(Tabelle32[[#This Row],[Device ID]],BOM!$B$3:$BQ$35,27,FALSE),"")</f>
        <v>10.120.236.50</v>
      </c>
      <c r="X245" s="59" t="str">
        <f>IFERROR(VLOOKUP(Tabelle32[[#This Row],[Device ID]],BOM!$B$3:$BQ$35,28,FALSE),"")</f>
        <v>AVCoreA</v>
      </c>
      <c r="Y245" s="59" t="str">
        <f>IFERROR(VLOOKUP(Tabelle32[[#This Row],[Device ID]],BOM!$B$3:$BQ$35,29,FALSE),"")</f>
        <v>5_36_1</v>
      </c>
      <c r="Z245" s="59" t="str">
        <f>IFERROR(VLOOKUP(Tabelle32[[#This Row],[Device ID]],BOM!$B$3:$BQ$35,30,FALSE),"")</f>
        <v>tpco-megw-vgw103.rtb.st-net.media.int</v>
      </c>
      <c r="AA245" s="59" t="str">
        <f>IFERROR(VLOOKUP(Tabelle32[[#This Row],[Device ID]],BOM!$B$3:$BQ$35,31,FALSE),"")</f>
        <v>10.120.236.54</v>
      </c>
      <c r="AB245" s="59" t="str">
        <f>IFERROR(VLOOKUP(Tabelle32[[#This Row],[Device ID]],BOM!$B$3:$BQ$35,32,FALSE),"")</f>
        <v>AVCoreB</v>
      </c>
      <c r="AC245" s="59" t="str">
        <f>IFERROR(VLOOKUP(Tabelle32[[#This Row],[Device ID]],BOM!$B$3:$BQ$35,33,FALSE),"")</f>
        <v>5_36_1</v>
      </c>
      <c r="AD245" s="59" t="str">
        <f>IFERROR(VLOOKUP(Tabelle32[[#This Row],[Device ID]],BOM!$B$3:$BQ$35,34,FALSE),"")</f>
        <v>tpco-megw-vgw103.st-net.media.int</v>
      </c>
      <c r="AE245" s="59" t="str">
        <f>IFERROR(VLOOKUP(Tabelle32[[#This Row],[Device ID]],BOM!$B$3:$BQ$35,35,FALSE),"")</f>
        <v>10.120.67.141</v>
      </c>
      <c r="AF245" s="59">
        <f>IFERROR(VLOOKUP(Tabelle32[[#This Row],[Device ID]],BOM!$B$3:$BQ$35,36,FALSE),"")</f>
        <v>0</v>
      </c>
      <c r="AG245" s="59">
        <f>IFERROR(VLOOKUP(Tabelle32[[#This Row],[Device ID]],BOM!$B$3:$BQ$35,37,FALSE),"")</f>
        <v>0</v>
      </c>
      <c r="AH245" s="59"/>
      <c r="AI245" s="59"/>
      <c r="AJ245" s="59"/>
      <c r="AK245" s="59"/>
      <c r="AL245" s="59" t="str">
        <f>IFERROR(VLOOKUP(Tabelle32[[#This Row],[Device ID]],BOM!$B$3:$BQ$35,42,FALSE),"")</f>
        <v>Imagine Communications SNP</v>
      </c>
      <c r="AM245" s="59" t="str">
        <f>IFERROR(VLOOKUP(Tabelle32[[#This Row],[Device ID]],BOM!$B$3:$BQ$35,43,FALSE),"")</f>
        <v>no</v>
      </c>
      <c r="AN245" s="59" t="str">
        <f>IFERROR(VLOOKUP(Tabelle32[[#This Row],[Device ID]],BOM!$B$3:$BQ$35,44,FALSE),"")</f>
        <v>yes</v>
      </c>
      <c r="AO245" s="59" t="str">
        <f>IFERROR(VLOOKUP(Tabelle32[[#This Row],[Device ID]],BOM!$B$3:$BQ$35,45,FALSE),"")</f>
        <v>no</v>
      </c>
      <c r="AP245" s="59" t="str">
        <f>IFERROR(CONCATENATE(Tabelle32[[#This Row],[Family
GFX-Unit]]," | ",Tabelle32[[#This Row],[Label 1
GFX-Unit]]," | ",Tabelle32[[#This Row],[Attached Device if Gateway]]),"")</f>
        <v>M3H InCh REM | Ingest Ch24-08 | IngSRV-06</v>
      </c>
      <c r="AQ245" s="59"/>
      <c r="AR245" s="90"/>
      <c r="AS245" s="90"/>
      <c r="AT245" s="90"/>
      <c r="AU245" s="90"/>
      <c r="AV245" s="90"/>
      <c r="AW245" s="90" t="s">
        <v>97</v>
      </c>
      <c r="AX245" s="90"/>
      <c r="AY245" s="90"/>
      <c r="AZ245" s="90" t="s">
        <v>97</v>
      </c>
      <c r="BA245" s="90"/>
      <c r="BB245" s="90" t="s">
        <v>97</v>
      </c>
      <c r="BC245" s="90" t="s">
        <v>97</v>
      </c>
      <c r="BD245" s="90"/>
      <c r="BE245" s="90"/>
      <c r="BF245" s="90"/>
      <c r="BG245" s="90"/>
      <c r="BH245" s="73" t="s">
        <v>199</v>
      </c>
      <c r="BI245" s="30" t="str">
        <f>IF(COUNTA(Tabelle32[[#This Row],[Type:Vid_1080i50]:[Type:Anc_Prot]])&gt;0,"x","")</f>
        <v>x</v>
      </c>
      <c r="BJ24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45" s="59"/>
      <c r="BL245" s="59"/>
      <c r="BM245" s="63"/>
      <c r="BN245" s="63"/>
      <c r="BO245" s="97" t="s">
        <v>458</v>
      </c>
      <c r="BP245" s="97" t="s">
        <v>580</v>
      </c>
      <c r="BQ245" s="75">
        <f>LEN(Tabelle32[[#This Row],[Label 1
GFX-Unit]])</f>
        <v>14</v>
      </c>
      <c r="BR245" s="63"/>
      <c r="BS245" s="63"/>
      <c r="BT245" s="59"/>
      <c r="BU245" s="59"/>
      <c r="BV245" s="59" t="s">
        <v>242</v>
      </c>
      <c r="BW245" s="59" t="s">
        <v>243</v>
      </c>
      <c r="BX245" s="59" t="s">
        <v>581</v>
      </c>
      <c r="BY245" s="59">
        <v>12</v>
      </c>
    </row>
    <row r="246" spans="1:77" x14ac:dyDescent="0.2">
      <c r="A246" s="58" t="str">
        <f>CONCATENATE(Tabelle32[[#This Row],[Device ID]],".",Tabelle32[[#This Row],[Streamcounter]])</f>
        <v>389.12209</v>
      </c>
      <c r="B24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VGW-103_SDI12_AUDrec_0009</v>
      </c>
      <c r="C246" s="60"/>
      <c r="D246" s="61"/>
      <c r="E246" s="62"/>
      <c r="F246" s="59" t="str">
        <f>IFERROR(VLOOKUP(Tabelle32[[#This Row],[Device ID]],BOM!$B$3:$BQ$35,16,FALSE),"")</f>
        <v>IngSRV-06</v>
      </c>
      <c r="G246" s="63">
        <f>VLOOKUP(Tabelle32[[#This Row],[SDI Interface]],BOM!$A$4:$B$35,2,FALSE)</f>
        <v>389</v>
      </c>
      <c r="H246" s="59" t="str">
        <f>BOM!$C$4</f>
        <v>VGW-103</v>
      </c>
      <c r="I246" s="59" t="str">
        <f>IFERROR(VLOOKUP(Tabelle32[[#This Row],[Device ID]],BOM!$B$3:$BQ$35,12,FALSE),"")</f>
        <v>Videoserver</v>
      </c>
      <c r="J246" s="59" t="str">
        <f>IFERROR(VLOOKUP(Tabelle32[[#This Row],[Device ID]],BOM!$B$3:$BQ$35,13,FALSE),"")</f>
        <v>TC.U1.223 | MDC</v>
      </c>
      <c r="K246" s="59" t="str">
        <f>IFERROR(VLOOKUP(Tabelle32[[#This Row],[Device ID]],BOM!$B$3:$BQ$35,14,FALSE),"")</f>
        <v>Imagine Comunications</v>
      </c>
      <c r="L246" s="59" t="str">
        <f>IFERROR(VLOOKUP(Tabelle32[[#This Row],[Device ID]],BOM!$B$3:$BQ$35,16,FALSE),"")</f>
        <v>IngSRV-06</v>
      </c>
      <c r="M246" s="63" t="str">
        <f>IFERROR(VLOOKUP(Tabelle32[[#This Row],[Device ID]],BOM!$B$3:$BQ$35,17,FALSE),"")</f>
        <v>M3H</v>
      </c>
      <c r="N246" s="59" t="str">
        <f>IFERROR(VLOOKUP(Tabelle32[[#This Row],[Device ID]],BOM!$B$3:$BQ$35,18,FALSE),"")</f>
        <v>TC.03.225 | M3H</v>
      </c>
      <c r="O246" s="64"/>
      <c r="P246" s="64">
        <f>IFERROR(VLOOKUP(Tabelle32[[#This Row],[Device ID]],BOM!$B$3:$BO$50,20,FALSE),"")</f>
        <v>0</v>
      </c>
      <c r="Q246" s="64">
        <f>IFERROR(VLOOKUP(Tabelle32[[#This Row],[Device ID]],BOM!$B$3:$BO$50,21,FALSE),"")</f>
        <v>1</v>
      </c>
      <c r="R246" s="64">
        <f>IFERROR(VLOOKUP(Tabelle32[[#This Row],[Device ID]],BOM!$B$3:$BO$50,22,FALSE),"")</f>
        <v>0</v>
      </c>
      <c r="S246" s="64"/>
      <c r="T246" s="64"/>
      <c r="U246" s="59" t="str">
        <f>IFERROR(VLOOKUP(Tabelle32[[#This Row],[Device ID]],BOM!$B$3:$BQ$35,25,FALSE),"")</f>
        <v>Luis/Ivo</v>
      </c>
      <c r="V246" s="59" t="str">
        <f>IFERROR(VLOOKUP(Tabelle32[[#This Row],[Device ID]],BOM!$B$3:$BQ$35,26,FALSE),"")</f>
        <v>tpco-megw-vgw103.rta.st-net.media.int</v>
      </c>
      <c r="W246" s="59" t="str">
        <f>IFERROR(VLOOKUP(Tabelle32[[#This Row],[Device ID]],BOM!$B$3:$BQ$35,27,FALSE),"")</f>
        <v>10.120.236.50</v>
      </c>
      <c r="X246" s="59" t="str">
        <f>IFERROR(VLOOKUP(Tabelle32[[#This Row],[Device ID]],BOM!$B$3:$BQ$35,28,FALSE),"")</f>
        <v>AVCoreA</v>
      </c>
      <c r="Y246" s="59" t="str">
        <f>IFERROR(VLOOKUP(Tabelle32[[#This Row],[Device ID]],BOM!$B$3:$BQ$35,29,FALSE),"")</f>
        <v>5_36_1</v>
      </c>
      <c r="Z246" s="59" t="str">
        <f>IFERROR(VLOOKUP(Tabelle32[[#This Row],[Device ID]],BOM!$B$3:$BQ$35,30,FALSE),"")</f>
        <v>tpco-megw-vgw103.rtb.st-net.media.int</v>
      </c>
      <c r="AA246" s="59" t="str">
        <f>IFERROR(VLOOKUP(Tabelle32[[#This Row],[Device ID]],BOM!$B$3:$BQ$35,31,FALSE),"")</f>
        <v>10.120.236.54</v>
      </c>
      <c r="AB246" s="59" t="str">
        <f>IFERROR(VLOOKUP(Tabelle32[[#This Row],[Device ID]],BOM!$B$3:$BQ$35,32,FALSE),"")</f>
        <v>AVCoreB</v>
      </c>
      <c r="AC246" s="59" t="str">
        <f>IFERROR(VLOOKUP(Tabelle32[[#This Row],[Device ID]],BOM!$B$3:$BQ$35,33,FALSE),"")</f>
        <v>5_36_1</v>
      </c>
      <c r="AD246" s="59" t="str">
        <f>IFERROR(VLOOKUP(Tabelle32[[#This Row],[Device ID]],BOM!$B$3:$BQ$35,34,FALSE),"")</f>
        <v>tpco-megw-vgw103.st-net.media.int</v>
      </c>
      <c r="AE246" s="59" t="str">
        <f>IFERROR(VLOOKUP(Tabelle32[[#This Row],[Device ID]],BOM!$B$3:$BQ$35,35,FALSE),"")</f>
        <v>10.120.67.141</v>
      </c>
      <c r="AF246" s="59">
        <f>IFERROR(VLOOKUP(Tabelle32[[#This Row],[Device ID]],BOM!$B$3:$BQ$35,36,FALSE),"")</f>
        <v>0</v>
      </c>
      <c r="AG246" s="59">
        <f>IFERROR(VLOOKUP(Tabelle32[[#This Row],[Device ID]],BOM!$B$3:$BQ$35,37,FALSE),"")</f>
        <v>0</v>
      </c>
      <c r="AH246" s="59"/>
      <c r="AI246" s="59"/>
      <c r="AJ246" s="59"/>
      <c r="AK246" s="59"/>
      <c r="AL246" s="59" t="str">
        <f>IFERROR(VLOOKUP(Tabelle32[[#This Row],[Device ID]],BOM!$B$3:$BQ$35,42,FALSE),"")</f>
        <v>Imagine Communications SNP</v>
      </c>
      <c r="AM246" s="59" t="str">
        <f>IFERROR(VLOOKUP(Tabelle32[[#This Row],[Device ID]],BOM!$B$3:$BQ$35,43,FALSE),"")</f>
        <v>no</v>
      </c>
      <c r="AN246" s="59" t="str">
        <f>IFERROR(VLOOKUP(Tabelle32[[#This Row],[Device ID]],BOM!$B$3:$BQ$35,44,FALSE),"")</f>
        <v>yes</v>
      </c>
      <c r="AO246" s="59" t="str">
        <f>IFERROR(VLOOKUP(Tabelle32[[#This Row],[Device ID]],BOM!$B$3:$BQ$35,45,FALSE),"")</f>
        <v>no</v>
      </c>
      <c r="AP246" s="59" t="str">
        <f>IFERROR(CONCATENATE(Tabelle32[[#This Row],[Family
GFX-Unit]]," | ",Tabelle32[[#This Row],[Label 1
GFX-Unit]]," | ",Tabelle32[[#This Row],[Attached Device if Gateway]]),"")</f>
        <v>M3H InCh REM | Ingest Ch24-09 | IngSRV-06</v>
      </c>
      <c r="AQ246" s="59"/>
      <c r="AR246" s="90"/>
      <c r="AS246" s="90"/>
      <c r="AT246" s="90"/>
      <c r="AU246" s="90"/>
      <c r="AV246" s="90"/>
      <c r="AW246" s="90" t="s">
        <v>97</v>
      </c>
      <c r="AX246" s="90"/>
      <c r="AY246" s="90"/>
      <c r="AZ246" s="90" t="s">
        <v>97</v>
      </c>
      <c r="BA246" s="90"/>
      <c r="BB246" s="90" t="s">
        <v>97</v>
      </c>
      <c r="BC246" s="90" t="s">
        <v>97</v>
      </c>
      <c r="BD246" s="90"/>
      <c r="BE246" s="90"/>
      <c r="BF246" s="90"/>
      <c r="BG246" s="90"/>
      <c r="BH246" s="73" t="s">
        <v>199</v>
      </c>
      <c r="BI246" s="30" t="str">
        <f>IF(COUNTA(Tabelle32[[#This Row],[Type:Vid_1080i50]:[Type:Anc_Prot]])&gt;0,"x","")</f>
        <v>x</v>
      </c>
      <c r="BJ24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46" s="59"/>
      <c r="BL246" s="59"/>
      <c r="BM246" s="63"/>
      <c r="BN246" s="63"/>
      <c r="BO246" s="97" t="s">
        <v>458</v>
      </c>
      <c r="BP246" s="97" t="s">
        <v>582</v>
      </c>
      <c r="BQ246" s="75">
        <f>LEN(Tabelle32[[#This Row],[Label 1
GFX-Unit]])</f>
        <v>14</v>
      </c>
      <c r="BR246" s="63"/>
      <c r="BS246" s="63"/>
      <c r="BT246" s="59"/>
      <c r="BU246" s="59"/>
      <c r="BV246" s="59" t="s">
        <v>245</v>
      </c>
      <c r="BW246" s="59" t="s">
        <v>246</v>
      </c>
      <c r="BX246" s="59" t="s">
        <v>583</v>
      </c>
      <c r="BY246" s="59">
        <v>12</v>
      </c>
    </row>
    <row r="247" spans="1:77" hidden="1" x14ac:dyDescent="0.2">
      <c r="A247" s="58" t="str">
        <f>CONCATENATE(Tabelle32[[#This Row],[Device ID]],".",Tabelle32[[#This Row],[Streamcounter]])</f>
        <v>389.12210</v>
      </c>
      <c r="B24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VGW-103_SDI12_AUDrec_0010</v>
      </c>
      <c r="C247" s="60"/>
      <c r="D247" s="61"/>
      <c r="E247" s="62"/>
      <c r="F247" s="59" t="str">
        <f>IFERROR(VLOOKUP(Tabelle32[[#This Row],[Device ID]],BOM!$B$3:$BQ$35,16,FALSE),"")</f>
        <v>IngSRV-06</v>
      </c>
      <c r="G247" s="63">
        <f>VLOOKUP(Tabelle32[[#This Row],[SDI Interface]],BOM!$A$4:$B$35,2,FALSE)</f>
        <v>389</v>
      </c>
      <c r="H247" s="59" t="str">
        <f>BOM!$C$4</f>
        <v>VGW-103</v>
      </c>
      <c r="I247" s="59" t="str">
        <f>IFERROR(VLOOKUP(Tabelle32[[#This Row],[Device ID]],BOM!$B$3:$BQ$35,12,FALSE),"")</f>
        <v>Videoserver</v>
      </c>
      <c r="J247" s="59" t="str">
        <f>IFERROR(VLOOKUP(Tabelle32[[#This Row],[Device ID]],BOM!$B$3:$BQ$35,13,FALSE),"")</f>
        <v>TC.U1.223 | MDC</v>
      </c>
      <c r="K247" s="59" t="str">
        <f>IFERROR(VLOOKUP(Tabelle32[[#This Row],[Device ID]],BOM!$B$3:$BQ$35,14,FALSE),"")</f>
        <v>Imagine Comunications</v>
      </c>
      <c r="L247" s="59" t="str">
        <f>IFERROR(VLOOKUP(Tabelle32[[#This Row],[Device ID]],BOM!$B$3:$BQ$35,16,FALSE),"")</f>
        <v>IngSRV-06</v>
      </c>
      <c r="M247" s="63" t="str">
        <f>IFERROR(VLOOKUP(Tabelle32[[#This Row],[Device ID]],BOM!$B$3:$BQ$35,17,FALSE),"")</f>
        <v>M3H</v>
      </c>
      <c r="N247" s="59" t="str">
        <f>IFERROR(VLOOKUP(Tabelle32[[#This Row],[Device ID]],BOM!$B$3:$BQ$35,18,FALSE),"")</f>
        <v>TC.03.225 | M3H</v>
      </c>
      <c r="O247" s="64"/>
      <c r="P247" s="64">
        <f>IFERROR(VLOOKUP(Tabelle32[[#This Row],[Device ID]],BOM!$B$3:$BO$50,20,FALSE),"")</f>
        <v>0</v>
      </c>
      <c r="Q247" s="64">
        <f>IFERROR(VLOOKUP(Tabelle32[[#This Row],[Device ID]],BOM!$B$3:$BO$50,21,FALSE),"")</f>
        <v>1</v>
      </c>
      <c r="R247" s="64">
        <f>IFERROR(VLOOKUP(Tabelle32[[#This Row],[Device ID]],BOM!$B$3:$BO$50,22,FALSE),"")</f>
        <v>0</v>
      </c>
      <c r="S247" s="64"/>
      <c r="T247" s="64"/>
      <c r="U247" s="59" t="str">
        <f>IFERROR(VLOOKUP(Tabelle32[[#This Row],[Device ID]],BOM!$B$3:$BQ$35,25,FALSE),"")</f>
        <v>Luis/Ivo</v>
      </c>
      <c r="V247" s="59" t="str">
        <f>IFERROR(VLOOKUP(Tabelle32[[#This Row],[Device ID]],BOM!$B$3:$BQ$35,26,FALSE),"")</f>
        <v>tpco-megw-vgw103.rta.st-net.media.int</v>
      </c>
      <c r="W247" s="59" t="str">
        <f>IFERROR(VLOOKUP(Tabelle32[[#This Row],[Device ID]],BOM!$B$3:$BQ$35,27,FALSE),"")</f>
        <v>10.120.236.50</v>
      </c>
      <c r="X247" s="59" t="str">
        <f>IFERROR(VLOOKUP(Tabelle32[[#This Row],[Device ID]],BOM!$B$3:$BQ$35,28,FALSE),"")</f>
        <v>AVCoreA</v>
      </c>
      <c r="Y247" s="59" t="str">
        <f>IFERROR(VLOOKUP(Tabelle32[[#This Row],[Device ID]],BOM!$B$3:$BQ$35,29,FALSE),"")</f>
        <v>5_36_1</v>
      </c>
      <c r="Z247" s="59" t="str">
        <f>IFERROR(VLOOKUP(Tabelle32[[#This Row],[Device ID]],BOM!$B$3:$BQ$35,30,FALSE),"")</f>
        <v>tpco-megw-vgw103.rtb.st-net.media.int</v>
      </c>
      <c r="AA247" s="59" t="str">
        <f>IFERROR(VLOOKUP(Tabelle32[[#This Row],[Device ID]],BOM!$B$3:$BQ$35,31,FALSE),"")</f>
        <v>10.120.236.54</v>
      </c>
      <c r="AB247" s="59" t="str">
        <f>IFERROR(VLOOKUP(Tabelle32[[#This Row],[Device ID]],BOM!$B$3:$BQ$35,32,FALSE),"")</f>
        <v>AVCoreB</v>
      </c>
      <c r="AC247" s="59" t="str">
        <f>IFERROR(VLOOKUP(Tabelle32[[#This Row],[Device ID]],BOM!$B$3:$BQ$35,33,FALSE),"")</f>
        <v>5_36_1</v>
      </c>
      <c r="AD247" s="59" t="str">
        <f>IFERROR(VLOOKUP(Tabelle32[[#This Row],[Device ID]],BOM!$B$3:$BQ$35,34,FALSE),"")</f>
        <v>tpco-megw-vgw103.st-net.media.int</v>
      </c>
      <c r="AE247" s="59" t="str">
        <f>IFERROR(VLOOKUP(Tabelle32[[#This Row],[Device ID]],BOM!$B$3:$BQ$35,35,FALSE),"")</f>
        <v>10.120.67.141</v>
      </c>
      <c r="AF247" s="59">
        <f>IFERROR(VLOOKUP(Tabelle32[[#This Row],[Device ID]],BOM!$B$3:$BQ$35,36,FALSE),"")</f>
        <v>0</v>
      </c>
      <c r="AG247" s="59">
        <f>IFERROR(VLOOKUP(Tabelle32[[#This Row],[Device ID]],BOM!$B$3:$BQ$35,37,FALSE),"")</f>
        <v>0</v>
      </c>
      <c r="AH247" s="59"/>
      <c r="AI247" s="59"/>
      <c r="AJ247" s="59"/>
      <c r="AK247" s="59"/>
      <c r="AL247" s="59" t="str">
        <f>IFERROR(VLOOKUP(Tabelle32[[#This Row],[Device ID]],BOM!$B$3:$BQ$35,42,FALSE),"")</f>
        <v>Imagine Communications SNP</v>
      </c>
      <c r="AM247" s="59" t="str">
        <f>IFERROR(VLOOKUP(Tabelle32[[#This Row],[Device ID]],BOM!$B$3:$BQ$35,43,FALSE),"")</f>
        <v>no</v>
      </c>
      <c r="AN247" s="59" t="str">
        <f>IFERROR(VLOOKUP(Tabelle32[[#This Row],[Device ID]],BOM!$B$3:$BQ$35,44,FALSE),"")</f>
        <v>yes</v>
      </c>
      <c r="AO247" s="59" t="str">
        <f>IFERROR(VLOOKUP(Tabelle32[[#This Row],[Device ID]],BOM!$B$3:$BQ$35,45,FALSE),"")</f>
        <v>no</v>
      </c>
      <c r="AP247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47" s="59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73" t="s">
        <v>199</v>
      </c>
      <c r="BI247" s="30" t="str">
        <f>IF(COUNTA(Tabelle32[[#This Row],[Type:Vid_1080i50]:[Type:Anc_Prot]])&gt;0,"x","")</f>
        <v/>
      </c>
      <c r="BJ24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47" s="59"/>
      <c r="BL247" s="59"/>
      <c r="BM247" s="63"/>
      <c r="BN247" s="63"/>
      <c r="BO247" s="96"/>
      <c r="BP247" s="96"/>
      <c r="BQ247" s="75">
        <f>LEN(Tabelle32[[#This Row],[Label 1
GFX-Unit]])</f>
        <v>0</v>
      </c>
      <c r="BR247" s="63"/>
      <c r="BS247" s="63"/>
      <c r="BT247" s="59"/>
      <c r="BU247" s="59"/>
      <c r="BV247" s="59" t="s">
        <v>248</v>
      </c>
      <c r="BW247" s="59" t="s">
        <v>249</v>
      </c>
      <c r="BX247" s="59" t="s">
        <v>584</v>
      </c>
      <c r="BY247" s="59">
        <v>12</v>
      </c>
    </row>
    <row r="248" spans="1:77" hidden="1" x14ac:dyDescent="0.2">
      <c r="A248" s="58" t="str">
        <f>CONCATENATE(Tabelle32[[#This Row],[Device ID]],".",Tabelle32[[#This Row],[Streamcounter]])</f>
        <v>389.12211</v>
      </c>
      <c r="B24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VGW-103_SDI12_AUDrec_0011</v>
      </c>
      <c r="C248" s="60"/>
      <c r="D248" s="61"/>
      <c r="E248" s="62"/>
      <c r="F248" s="59" t="str">
        <f>IFERROR(VLOOKUP(Tabelle32[[#This Row],[Device ID]],BOM!$B$3:$BQ$35,16,FALSE),"")</f>
        <v>IngSRV-06</v>
      </c>
      <c r="G248" s="63">
        <f>VLOOKUP(Tabelle32[[#This Row],[SDI Interface]],BOM!$A$4:$B$35,2,FALSE)</f>
        <v>389</v>
      </c>
      <c r="H248" s="59" t="str">
        <f>BOM!$C$4</f>
        <v>VGW-103</v>
      </c>
      <c r="I248" s="59" t="str">
        <f>IFERROR(VLOOKUP(Tabelle32[[#This Row],[Device ID]],BOM!$B$3:$BQ$35,12,FALSE),"")</f>
        <v>Videoserver</v>
      </c>
      <c r="J248" s="59" t="str">
        <f>IFERROR(VLOOKUP(Tabelle32[[#This Row],[Device ID]],BOM!$B$3:$BQ$35,13,FALSE),"")</f>
        <v>TC.U1.223 | MDC</v>
      </c>
      <c r="K248" s="59" t="str">
        <f>IFERROR(VLOOKUP(Tabelle32[[#This Row],[Device ID]],BOM!$B$3:$BQ$35,14,FALSE),"")</f>
        <v>Imagine Comunications</v>
      </c>
      <c r="L248" s="59" t="str">
        <f>IFERROR(VLOOKUP(Tabelle32[[#This Row],[Device ID]],BOM!$B$3:$BQ$35,16,FALSE),"")</f>
        <v>IngSRV-06</v>
      </c>
      <c r="M248" s="63" t="str">
        <f>IFERROR(VLOOKUP(Tabelle32[[#This Row],[Device ID]],BOM!$B$3:$BQ$35,17,FALSE),"")</f>
        <v>M3H</v>
      </c>
      <c r="N248" s="59" t="str">
        <f>IFERROR(VLOOKUP(Tabelle32[[#This Row],[Device ID]],BOM!$B$3:$BQ$35,18,FALSE),"")</f>
        <v>TC.03.225 | M3H</v>
      </c>
      <c r="O248" s="64"/>
      <c r="P248" s="64">
        <f>IFERROR(VLOOKUP(Tabelle32[[#This Row],[Device ID]],BOM!$B$3:$BO$50,20,FALSE),"")</f>
        <v>0</v>
      </c>
      <c r="Q248" s="64">
        <f>IFERROR(VLOOKUP(Tabelle32[[#This Row],[Device ID]],BOM!$B$3:$BO$50,21,FALSE),"")</f>
        <v>1</v>
      </c>
      <c r="R248" s="64">
        <f>IFERROR(VLOOKUP(Tabelle32[[#This Row],[Device ID]],BOM!$B$3:$BO$50,22,FALSE),"")</f>
        <v>0</v>
      </c>
      <c r="S248" s="64"/>
      <c r="T248" s="64"/>
      <c r="U248" s="59" t="str">
        <f>IFERROR(VLOOKUP(Tabelle32[[#This Row],[Device ID]],BOM!$B$3:$BQ$35,25,FALSE),"")</f>
        <v>Luis/Ivo</v>
      </c>
      <c r="V248" s="59" t="str">
        <f>IFERROR(VLOOKUP(Tabelle32[[#This Row],[Device ID]],BOM!$B$3:$BQ$35,26,FALSE),"")</f>
        <v>tpco-megw-vgw103.rta.st-net.media.int</v>
      </c>
      <c r="W248" s="59" t="str">
        <f>IFERROR(VLOOKUP(Tabelle32[[#This Row],[Device ID]],BOM!$B$3:$BQ$35,27,FALSE),"")</f>
        <v>10.120.236.50</v>
      </c>
      <c r="X248" s="59" t="str">
        <f>IFERROR(VLOOKUP(Tabelle32[[#This Row],[Device ID]],BOM!$B$3:$BQ$35,28,FALSE),"")</f>
        <v>AVCoreA</v>
      </c>
      <c r="Y248" s="59" t="str">
        <f>IFERROR(VLOOKUP(Tabelle32[[#This Row],[Device ID]],BOM!$B$3:$BQ$35,29,FALSE),"")</f>
        <v>5_36_1</v>
      </c>
      <c r="Z248" s="59" t="str">
        <f>IFERROR(VLOOKUP(Tabelle32[[#This Row],[Device ID]],BOM!$B$3:$BQ$35,30,FALSE),"")</f>
        <v>tpco-megw-vgw103.rtb.st-net.media.int</v>
      </c>
      <c r="AA248" s="59" t="str">
        <f>IFERROR(VLOOKUP(Tabelle32[[#This Row],[Device ID]],BOM!$B$3:$BQ$35,31,FALSE),"")</f>
        <v>10.120.236.54</v>
      </c>
      <c r="AB248" s="59" t="str">
        <f>IFERROR(VLOOKUP(Tabelle32[[#This Row],[Device ID]],BOM!$B$3:$BQ$35,32,FALSE),"")</f>
        <v>AVCoreB</v>
      </c>
      <c r="AC248" s="59" t="str">
        <f>IFERROR(VLOOKUP(Tabelle32[[#This Row],[Device ID]],BOM!$B$3:$BQ$35,33,FALSE),"")</f>
        <v>5_36_1</v>
      </c>
      <c r="AD248" s="59" t="str">
        <f>IFERROR(VLOOKUP(Tabelle32[[#This Row],[Device ID]],BOM!$B$3:$BQ$35,34,FALSE),"")</f>
        <v>tpco-megw-vgw103.st-net.media.int</v>
      </c>
      <c r="AE248" s="59" t="str">
        <f>IFERROR(VLOOKUP(Tabelle32[[#This Row],[Device ID]],BOM!$B$3:$BQ$35,35,FALSE),"")</f>
        <v>10.120.67.141</v>
      </c>
      <c r="AF248" s="59">
        <f>IFERROR(VLOOKUP(Tabelle32[[#This Row],[Device ID]],BOM!$B$3:$BQ$35,36,FALSE),"")</f>
        <v>0</v>
      </c>
      <c r="AG248" s="59">
        <f>IFERROR(VLOOKUP(Tabelle32[[#This Row],[Device ID]],BOM!$B$3:$BQ$35,37,FALSE),"")</f>
        <v>0</v>
      </c>
      <c r="AH248" s="59"/>
      <c r="AI248" s="59"/>
      <c r="AJ248" s="59"/>
      <c r="AK248" s="59"/>
      <c r="AL248" s="59" t="str">
        <f>IFERROR(VLOOKUP(Tabelle32[[#This Row],[Device ID]],BOM!$B$3:$BQ$35,42,FALSE),"")</f>
        <v>Imagine Communications SNP</v>
      </c>
      <c r="AM248" s="59" t="str">
        <f>IFERROR(VLOOKUP(Tabelle32[[#This Row],[Device ID]],BOM!$B$3:$BQ$35,43,FALSE),"")</f>
        <v>no</v>
      </c>
      <c r="AN248" s="59" t="str">
        <f>IFERROR(VLOOKUP(Tabelle32[[#This Row],[Device ID]],BOM!$B$3:$BQ$35,44,FALSE),"")</f>
        <v>yes</v>
      </c>
      <c r="AO248" s="59" t="str">
        <f>IFERROR(VLOOKUP(Tabelle32[[#This Row],[Device ID]],BOM!$B$3:$BQ$35,45,FALSE),"")</f>
        <v>no</v>
      </c>
      <c r="AP248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48" s="59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73" t="s">
        <v>199</v>
      </c>
      <c r="BI248" s="30" t="str">
        <f>IF(COUNTA(Tabelle32[[#This Row],[Type:Vid_1080i50]:[Type:Anc_Prot]])&gt;0,"x","")</f>
        <v/>
      </c>
      <c r="BJ24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48" s="59"/>
      <c r="BL248" s="59"/>
      <c r="BM248" s="63"/>
      <c r="BN248" s="63"/>
      <c r="BO248" s="96"/>
      <c r="BP248" s="96"/>
      <c r="BQ248" s="75">
        <f>LEN(Tabelle32[[#This Row],[Label 1
GFX-Unit]])</f>
        <v>0</v>
      </c>
      <c r="BR248" s="63"/>
      <c r="BS248" s="63"/>
      <c r="BT248" s="59"/>
      <c r="BU248" s="59"/>
      <c r="BV248" s="59" t="s">
        <v>251</v>
      </c>
      <c r="BW248" s="59" t="s">
        <v>252</v>
      </c>
      <c r="BX248" s="59" t="s">
        <v>585</v>
      </c>
      <c r="BY248" s="59">
        <v>12</v>
      </c>
    </row>
    <row r="249" spans="1:77" hidden="1" x14ac:dyDescent="0.2">
      <c r="A249" s="58" t="str">
        <f>CONCATENATE(Tabelle32[[#This Row],[Device ID]],".",Tabelle32[[#This Row],[Streamcounter]])</f>
        <v>389.12212</v>
      </c>
      <c r="B24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VGW-103_SDI12_AUDrec_0012</v>
      </c>
      <c r="C249" s="60"/>
      <c r="D249" s="61"/>
      <c r="E249" s="62"/>
      <c r="F249" s="59" t="str">
        <f>IFERROR(VLOOKUP(Tabelle32[[#This Row],[Device ID]],BOM!$B$3:$BQ$35,16,FALSE),"")</f>
        <v>IngSRV-06</v>
      </c>
      <c r="G249" s="63">
        <f>VLOOKUP(Tabelle32[[#This Row],[SDI Interface]],BOM!$A$4:$B$35,2,FALSE)</f>
        <v>389</v>
      </c>
      <c r="H249" s="59" t="str">
        <f>BOM!$C$4</f>
        <v>VGW-103</v>
      </c>
      <c r="I249" s="59" t="str">
        <f>IFERROR(VLOOKUP(Tabelle32[[#This Row],[Device ID]],BOM!$B$3:$BQ$35,12,FALSE),"")</f>
        <v>Videoserver</v>
      </c>
      <c r="J249" s="59" t="str">
        <f>IFERROR(VLOOKUP(Tabelle32[[#This Row],[Device ID]],BOM!$B$3:$BQ$35,13,FALSE),"")</f>
        <v>TC.U1.223 | MDC</v>
      </c>
      <c r="K249" s="59" t="str">
        <f>IFERROR(VLOOKUP(Tabelle32[[#This Row],[Device ID]],BOM!$B$3:$BQ$35,14,FALSE),"")</f>
        <v>Imagine Comunications</v>
      </c>
      <c r="L249" s="59" t="str">
        <f>IFERROR(VLOOKUP(Tabelle32[[#This Row],[Device ID]],BOM!$B$3:$BQ$35,16,FALSE),"")</f>
        <v>IngSRV-06</v>
      </c>
      <c r="M249" s="63" t="str">
        <f>IFERROR(VLOOKUP(Tabelle32[[#This Row],[Device ID]],BOM!$B$3:$BQ$35,17,FALSE),"")</f>
        <v>M3H</v>
      </c>
      <c r="N249" s="59" t="str">
        <f>IFERROR(VLOOKUP(Tabelle32[[#This Row],[Device ID]],BOM!$B$3:$BQ$35,18,FALSE),"")</f>
        <v>TC.03.225 | M3H</v>
      </c>
      <c r="O249" s="64"/>
      <c r="P249" s="64">
        <f>IFERROR(VLOOKUP(Tabelle32[[#This Row],[Device ID]],BOM!$B$3:$BO$50,20,FALSE),"")</f>
        <v>0</v>
      </c>
      <c r="Q249" s="64">
        <f>IFERROR(VLOOKUP(Tabelle32[[#This Row],[Device ID]],BOM!$B$3:$BO$50,21,FALSE),"")</f>
        <v>1</v>
      </c>
      <c r="R249" s="64">
        <f>IFERROR(VLOOKUP(Tabelle32[[#This Row],[Device ID]],BOM!$B$3:$BO$50,22,FALSE),"")</f>
        <v>0</v>
      </c>
      <c r="S249" s="64"/>
      <c r="T249" s="64"/>
      <c r="U249" s="59" t="str">
        <f>IFERROR(VLOOKUP(Tabelle32[[#This Row],[Device ID]],BOM!$B$3:$BQ$35,25,FALSE),"")</f>
        <v>Luis/Ivo</v>
      </c>
      <c r="V249" s="59" t="str">
        <f>IFERROR(VLOOKUP(Tabelle32[[#This Row],[Device ID]],BOM!$B$3:$BQ$35,26,FALSE),"")</f>
        <v>tpco-megw-vgw103.rta.st-net.media.int</v>
      </c>
      <c r="W249" s="59" t="str">
        <f>IFERROR(VLOOKUP(Tabelle32[[#This Row],[Device ID]],BOM!$B$3:$BQ$35,27,FALSE),"")</f>
        <v>10.120.236.50</v>
      </c>
      <c r="X249" s="59" t="str">
        <f>IFERROR(VLOOKUP(Tabelle32[[#This Row],[Device ID]],BOM!$B$3:$BQ$35,28,FALSE),"")</f>
        <v>AVCoreA</v>
      </c>
      <c r="Y249" s="59" t="str">
        <f>IFERROR(VLOOKUP(Tabelle32[[#This Row],[Device ID]],BOM!$B$3:$BQ$35,29,FALSE),"")</f>
        <v>5_36_1</v>
      </c>
      <c r="Z249" s="59" t="str">
        <f>IFERROR(VLOOKUP(Tabelle32[[#This Row],[Device ID]],BOM!$B$3:$BQ$35,30,FALSE),"")</f>
        <v>tpco-megw-vgw103.rtb.st-net.media.int</v>
      </c>
      <c r="AA249" s="59" t="str">
        <f>IFERROR(VLOOKUP(Tabelle32[[#This Row],[Device ID]],BOM!$B$3:$BQ$35,31,FALSE),"")</f>
        <v>10.120.236.54</v>
      </c>
      <c r="AB249" s="59" t="str">
        <f>IFERROR(VLOOKUP(Tabelle32[[#This Row],[Device ID]],BOM!$B$3:$BQ$35,32,FALSE),"")</f>
        <v>AVCoreB</v>
      </c>
      <c r="AC249" s="59" t="str">
        <f>IFERROR(VLOOKUP(Tabelle32[[#This Row],[Device ID]],BOM!$B$3:$BQ$35,33,FALSE),"")</f>
        <v>5_36_1</v>
      </c>
      <c r="AD249" s="59" t="str">
        <f>IFERROR(VLOOKUP(Tabelle32[[#This Row],[Device ID]],BOM!$B$3:$BQ$35,34,FALSE),"")</f>
        <v>tpco-megw-vgw103.st-net.media.int</v>
      </c>
      <c r="AE249" s="59" t="str">
        <f>IFERROR(VLOOKUP(Tabelle32[[#This Row],[Device ID]],BOM!$B$3:$BQ$35,35,FALSE),"")</f>
        <v>10.120.67.141</v>
      </c>
      <c r="AF249" s="59">
        <f>IFERROR(VLOOKUP(Tabelle32[[#This Row],[Device ID]],BOM!$B$3:$BQ$35,36,FALSE),"")</f>
        <v>0</v>
      </c>
      <c r="AG249" s="59">
        <f>IFERROR(VLOOKUP(Tabelle32[[#This Row],[Device ID]],BOM!$B$3:$BQ$35,37,FALSE),"")</f>
        <v>0</v>
      </c>
      <c r="AH249" s="59"/>
      <c r="AI249" s="59"/>
      <c r="AJ249" s="59"/>
      <c r="AK249" s="59"/>
      <c r="AL249" s="59" t="str">
        <f>IFERROR(VLOOKUP(Tabelle32[[#This Row],[Device ID]],BOM!$B$3:$BQ$35,42,FALSE),"")</f>
        <v>Imagine Communications SNP</v>
      </c>
      <c r="AM249" s="59" t="str">
        <f>IFERROR(VLOOKUP(Tabelle32[[#This Row],[Device ID]],BOM!$B$3:$BQ$35,43,FALSE),"")</f>
        <v>no</v>
      </c>
      <c r="AN249" s="59" t="str">
        <f>IFERROR(VLOOKUP(Tabelle32[[#This Row],[Device ID]],BOM!$B$3:$BQ$35,44,FALSE),"")</f>
        <v>yes</v>
      </c>
      <c r="AO249" s="59" t="str">
        <f>IFERROR(VLOOKUP(Tabelle32[[#This Row],[Device ID]],BOM!$B$3:$BQ$35,45,FALSE),"")</f>
        <v>no</v>
      </c>
      <c r="AP249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49" s="59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73" t="s">
        <v>199</v>
      </c>
      <c r="BI249" s="30" t="str">
        <f>IF(COUNTA(Tabelle32[[#This Row],[Type:Vid_1080i50]:[Type:Anc_Prot]])&gt;0,"x","")</f>
        <v/>
      </c>
      <c r="BJ24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49" s="59"/>
      <c r="BL249" s="59"/>
      <c r="BM249" s="63"/>
      <c r="BN249" s="63"/>
      <c r="BO249" s="96"/>
      <c r="BP249" s="96"/>
      <c r="BQ249" s="75">
        <f>LEN(Tabelle32[[#This Row],[Label 1
GFX-Unit]])</f>
        <v>0</v>
      </c>
      <c r="BR249" s="63"/>
      <c r="BS249" s="63"/>
      <c r="BT249" s="59"/>
      <c r="BU249" s="59"/>
      <c r="BV249" s="59" t="s">
        <v>254</v>
      </c>
      <c r="BW249" s="59" t="s">
        <v>255</v>
      </c>
      <c r="BX249" s="59" t="s">
        <v>586</v>
      </c>
      <c r="BY249" s="59">
        <v>12</v>
      </c>
    </row>
    <row r="250" spans="1:77" hidden="1" x14ac:dyDescent="0.2">
      <c r="A250" s="58" t="str">
        <f>CONCATENATE(Tabelle32[[#This Row],[Device ID]],".",Tabelle32[[#This Row],[Streamcounter]])</f>
        <v>389.12213</v>
      </c>
      <c r="B25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VGW-103_SDI12_AUDrec_0013</v>
      </c>
      <c r="C250" s="60"/>
      <c r="D250" s="61"/>
      <c r="E250" s="62"/>
      <c r="F250" s="59" t="str">
        <f>IFERROR(VLOOKUP(Tabelle32[[#This Row],[Device ID]],BOM!$B$3:$BQ$35,16,FALSE),"")</f>
        <v>IngSRV-06</v>
      </c>
      <c r="G250" s="63">
        <f>VLOOKUP(Tabelle32[[#This Row],[SDI Interface]],BOM!$A$4:$B$35,2,FALSE)</f>
        <v>389</v>
      </c>
      <c r="H250" s="59" t="str">
        <f>BOM!$C$4</f>
        <v>VGW-103</v>
      </c>
      <c r="I250" s="59" t="str">
        <f>IFERROR(VLOOKUP(Tabelle32[[#This Row],[Device ID]],BOM!$B$3:$BQ$35,12,FALSE),"")</f>
        <v>Videoserver</v>
      </c>
      <c r="J250" s="59" t="str">
        <f>IFERROR(VLOOKUP(Tabelle32[[#This Row],[Device ID]],BOM!$B$3:$BQ$35,13,FALSE),"")</f>
        <v>TC.U1.223 | MDC</v>
      </c>
      <c r="K250" s="59" t="str">
        <f>IFERROR(VLOOKUP(Tabelle32[[#This Row],[Device ID]],BOM!$B$3:$BQ$35,14,FALSE),"")</f>
        <v>Imagine Comunications</v>
      </c>
      <c r="L250" s="59" t="str">
        <f>IFERROR(VLOOKUP(Tabelle32[[#This Row],[Device ID]],BOM!$B$3:$BQ$35,16,FALSE),"")</f>
        <v>IngSRV-06</v>
      </c>
      <c r="M250" s="63" t="str">
        <f>IFERROR(VLOOKUP(Tabelle32[[#This Row],[Device ID]],BOM!$B$3:$BQ$35,17,FALSE),"")</f>
        <v>M3H</v>
      </c>
      <c r="N250" s="59" t="str">
        <f>IFERROR(VLOOKUP(Tabelle32[[#This Row],[Device ID]],BOM!$B$3:$BQ$35,18,FALSE),"")</f>
        <v>TC.03.225 | M3H</v>
      </c>
      <c r="O250" s="64"/>
      <c r="P250" s="64">
        <f>IFERROR(VLOOKUP(Tabelle32[[#This Row],[Device ID]],BOM!$B$3:$BO$50,20,FALSE),"")</f>
        <v>0</v>
      </c>
      <c r="Q250" s="64">
        <f>IFERROR(VLOOKUP(Tabelle32[[#This Row],[Device ID]],BOM!$B$3:$BO$50,21,FALSE),"")</f>
        <v>1</v>
      </c>
      <c r="R250" s="64">
        <f>IFERROR(VLOOKUP(Tabelle32[[#This Row],[Device ID]],BOM!$B$3:$BO$50,22,FALSE),"")</f>
        <v>0</v>
      </c>
      <c r="S250" s="64"/>
      <c r="T250" s="64"/>
      <c r="U250" s="59" t="str">
        <f>IFERROR(VLOOKUP(Tabelle32[[#This Row],[Device ID]],BOM!$B$3:$BQ$35,25,FALSE),"")</f>
        <v>Luis/Ivo</v>
      </c>
      <c r="V250" s="59" t="str">
        <f>IFERROR(VLOOKUP(Tabelle32[[#This Row],[Device ID]],BOM!$B$3:$BQ$35,26,FALSE),"")</f>
        <v>tpco-megw-vgw103.rta.st-net.media.int</v>
      </c>
      <c r="W250" s="59" t="str">
        <f>IFERROR(VLOOKUP(Tabelle32[[#This Row],[Device ID]],BOM!$B$3:$BQ$35,27,FALSE),"")</f>
        <v>10.120.236.50</v>
      </c>
      <c r="X250" s="59" t="str">
        <f>IFERROR(VLOOKUP(Tabelle32[[#This Row],[Device ID]],BOM!$B$3:$BQ$35,28,FALSE),"")</f>
        <v>AVCoreA</v>
      </c>
      <c r="Y250" s="59" t="str">
        <f>IFERROR(VLOOKUP(Tabelle32[[#This Row],[Device ID]],BOM!$B$3:$BQ$35,29,FALSE),"")</f>
        <v>5_36_1</v>
      </c>
      <c r="Z250" s="59" t="str">
        <f>IFERROR(VLOOKUP(Tabelle32[[#This Row],[Device ID]],BOM!$B$3:$BQ$35,30,FALSE),"")</f>
        <v>tpco-megw-vgw103.rtb.st-net.media.int</v>
      </c>
      <c r="AA250" s="59" t="str">
        <f>IFERROR(VLOOKUP(Tabelle32[[#This Row],[Device ID]],BOM!$B$3:$BQ$35,31,FALSE),"")</f>
        <v>10.120.236.54</v>
      </c>
      <c r="AB250" s="59" t="str">
        <f>IFERROR(VLOOKUP(Tabelle32[[#This Row],[Device ID]],BOM!$B$3:$BQ$35,32,FALSE),"")</f>
        <v>AVCoreB</v>
      </c>
      <c r="AC250" s="59" t="str">
        <f>IFERROR(VLOOKUP(Tabelle32[[#This Row],[Device ID]],BOM!$B$3:$BQ$35,33,FALSE),"")</f>
        <v>5_36_1</v>
      </c>
      <c r="AD250" s="59" t="str">
        <f>IFERROR(VLOOKUP(Tabelle32[[#This Row],[Device ID]],BOM!$B$3:$BQ$35,34,FALSE),"")</f>
        <v>tpco-megw-vgw103.st-net.media.int</v>
      </c>
      <c r="AE250" s="59" t="str">
        <f>IFERROR(VLOOKUP(Tabelle32[[#This Row],[Device ID]],BOM!$B$3:$BQ$35,35,FALSE),"")</f>
        <v>10.120.67.141</v>
      </c>
      <c r="AF250" s="59">
        <f>IFERROR(VLOOKUP(Tabelle32[[#This Row],[Device ID]],BOM!$B$3:$BQ$35,36,FALSE),"")</f>
        <v>0</v>
      </c>
      <c r="AG250" s="59">
        <f>IFERROR(VLOOKUP(Tabelle32[[#This Row],[Device ID]],BOM!$B$3:$BQ$35,37,FALSE),"")</f>
        <v>0</v>
      </c>
      <c r="AH250" s="59"/>
      <c r="AI250" s="59"/>
      <c r="AJ250" s="59"/>
      <c r="AK250" s="59"/>
      <c r="AL250" s="59" t="str">
        <f>IFERROR(VLOOKUP(Tabelle32[[#This Row],[Device ID]],BOM!$B$3:$BQ$35,42,FALSE),"")</f>
        <v>Imagine Communications SNP</v>
      </c>
      <c r="AM250" s="59" t="str">
        <f>IFERROR(VLOOKUP(Tabelle32[[#This Row],[Device ID]],BOM!$B$3:$BQ$35,43,FALSE),"")</f>
        <v>no</v>
      </c>
      <c r="AN250" s="59" t="str">
        <f>IFERROR(VLOOKUP(Tabelle32[[#This Row],[Device ID]],BOM!$B$3:$BQ$35,44,FALSE),"")</f>
        <v>yes</v>
      </c>
      <c r="AO250" s="59" t="str">
        <f>IFERROR(VLOOKUP(Tabelle32[[#This Row],[Device ID]],BOM!$B$3:$BQ$35,45,FALSE),"")</f>
        <v>no</v>
      </c>
      <c r="AP250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50" s="59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73" t="s">
        <v>199</v>
      </c>
      <c r="BI250" s="30" t="str">
        <f>IF(COUNTA(Tabelle32[[#This Row],[Type:Vid_1080i50]:[Type:Anc_Prot]])&gt;0,"x","")</f>
        <v/>
      </c>
      <c r="BJ25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50" s="59"/>
      <c r="BL250" s="59"/>
      <c r="BM250" s="63"/>
      <c r="BN250" s="63"/>
      <c r="BO250" s="96"/>
      <c r="BP250" s="96"/>
      <c r="BQ250" s="75">
        <f>LEN(Tabelle32[[#This Row],[Label 1
GFX-Unit]])</f>
        <v>0</v>
      </c>
      <c r="BR250" s="63"/>
      <c r="BS250" s="63"/>
      <c r="BT250" s="59"/>
      <c r="BU250" s="59"/>
      <c r="BV250" s="59" t="s">
        <v>257</v>
      </c>
      <c r="BW250" s="59" t="s">
        <v>258</v>
      </c>
      <c r="BX250" s="59" t="s">
        <v>587</v>
      </c>
      <c r="BY250" s="59">
        <v>12</v>
      </c>
    </row>
    <row r="251" spans="1:77" hidden="1" x14ac:dyDescent="0.2">
      <c r="A251" s="58" t="str">
        <f>CONCATENATE(Tabelle32[[#This Row],[Device ID]],".",Tabelle32[[#This Row],[Streamcounter]])</f>
        <v>389.12214</v>
      </c>
      <c r="B25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VGW-103_SDI12_AUDrec_0014</v>
      </c>
      <c r="C251" s="60"/>
      <c r="D251" s="61"/>
      <c r="E251" s="62"/>
      <c r="F251" s="59" t="str">
        <f>IFERROR(VLOOKUP(Tabelle32[[#This Row],[Device ID]],BOM!$B$3:$BQ$35,16,FALSE),"")</f>
        <v>IngSRV-06</v>
      </c>
      <c r="G251" s="63">
        <f>VLOOKUP(Tabelle32[[#This Row],[SDI Interface]],BOM!$A$4:$B$35,2,FALSE)</f>
        <v>389</v>
      </c>
      <c r="H251" s="59" t="str">
        <f>BOM!$C$4</f>
        <v>VGW-103</v>
      </c>
      <c r="I251" s="59" t="str">
        <f>IFERROR(VLOOKUP(Tabelle32[[#This Row],[Device ID]],BOM!$B$3:$BQ$35,12,FALSE),"")</f>
        <v>Videoserver</v>
      </c>
      <c r="J251" s="59" t="str">
        <f>IFERROR(VLOOKUP(Tabelle32[[#This Row],[Device ID]],BOM!$B$3:$BQ$35,13,FALSE),"")</f>
        <v>TC.U1.223 | MDC</v>
      </c>
      <c r="K251" s="59" t="str">
        <f>IFERROR(VLOOKUP(Tabelle32[[#This Row],[Device ID]],BOM!$B$3:$BQ$35,14,FALSE),"")</f>
        <v>Imagine Comunications</v>
      </c>
      <c r="L251" s="59" t="str">
        <f>IFERROR(VLOOKUP(Tabelle32[[#This Row],[Device ID]],BOM!$B$3:$BQ$35,16,FALSE),"")</f>
        <v>IngSRV-06</v>
      </c>
      <c r="M251" s="63" t="str">
        <f>IFERROR(VLOOKUP(Tabelle32[[#This Row],[Device ID]],BOM!$B$3:$BQ$35,17,FALSE),"")</f>
        <v>M3H</v>
      </c>
      <c r="N251" s="59" t="str">
        <f>IFERROR(VLOOKUP(Tabelle32[[#This Row],[Device ID]],BOM!$B$3:$BQ$35,18,FALSE),"")</f>
        <v>TC.03.225 | M3H</v>
      </c>
      <c r="O251" s="64"/>
      <c r="P251" s="64">
        <f>IFERROR(VLOOKUP(Tabelle32[[#This Row],[Device ID]],BOM!$B$3:$BO$50,20,FALSE),"")</f>
        <v>0</v>
      </c>
      <c r="Q251" s="64">
        <f>IFERROR(VLOOKUP(Tabelle32[[#This Row],[Device ID]],BOM!$B$3:$BO$50,21,FALSE),"")</f>
        <v>1</v>
      </c>
      <c r="R251" s="64">
        <f>IFERROR(VLOOKUP(Tabelle32[[#This Row],[Device ID]],BOM!$B$3:$BO$50,22,FALSE),"")</f>
        <v>0</v>
      </c>
      <c r="S251" s="64"/>
      <c r="T251" s="64"/>
      <c r="U251" s="59" t="str">
        <f>IFERROR(VLOOKUP(Tabelle32[[#This Row],[Device ID]],BOM!$B$3:$BQ$35,25,FALSE),"")</f>
        <v>Luis/Ivo</v>
      </c>
      <c r="V251" s="59" t="str">
        <f>IFERROR(VLOOKUP(Tabelle32[[#This Row],[Device ID]],BOM!$B$3:$BQ$35,26,FALSE),"")</f>
        <v>tpco-megw-vgw103.rta.st-net.media.int</v>
      </c>
      <c r="W251" s="59" t="str">
        <f>IFERROR(VLOOKUP(Tabelle32[[#This Row],[Device ID]],BOM!$B$3:$BQ$35,27,FALSE),"")</f>
        <v>10.120.236.50</v>
      </c>
      <c r="X251" s="59" t="str">
        <f>IFERROR(VLOOKUP(Tabelle32[[#This Row],[Device ID]],BOM!$B$3:$BQ$35,28,FALSE),"")</f>
        <v>AVCoreA</v>
      </c>
      <c r="Y251" s="59" t="str">
        <f>IFERROR(VLOOKUP(Tabelle32[[#This Row],[Device ID]],BOM!$B$3:$BQ$35,29,FALSE),"")</f>
        <v>5_36_1</v>
      </c>
      <c r="Z251" s="59" t="str">
        <f>IFERROR(VLOOKUP(Tabelle32[[#This Row],[Device ID]],BOM!$B$3:$BQ$35,30,FALSE),"")</f>
        <v>tpco-megw-vgw103.rtb.st-net.media.int</v>
      </c>
      <c r="AA251" s="59" t="str">
        <f>IFERROR(VLOOKUP(Tabelle32[[#This Row],[Device ID]],BOM!$B$3:$BQ$35,31,FALSE),"")</f>
        <v>10.120.236.54</v>
      </c>
      <c r="AB251" s="59" t="str">
        <f>IFERROR(VLOOKUP(Tabelle32[[#This Row],[Device ID]],BOM!$B$3:$BQ$35,32,FALSE),"")</f>
        <v>AVCoreB</v>
      </c>
      <c r="AC251" s="59" t="str">
        <f>IFERROR(VLOOKUP(Tabelle32[[#This Row],[Device ID]],BOM!$B$3:$BQ$35,33,FALSE),"")</f>
        <v>5_36_1</v>
      </c>
      <c r="AD251" s="59" t="str">
        <f>IFERROR(VLOOKUP(Tabelle32[[#This Row],[Device ID]],BOM!$B$3:$BQ$35,34,FALSE),"")</f>
        <v>tpco-megw-vgw103.st-net.media.int</v>
      </c>
      <c r="AE251" s="59" t="str">
        <f>IFERROR(VLOOKUP(Tabelle32[[#This Row],[Device ID]],BOM!$B$3:$BQ$35,35,FALSE),"")</f>
        <v>10.120.67.141</v>
      </c>
      <c r="AF251" s="59">
        <f>IFERROR(VLOOKUP(Tabelle32[[#This Row],[Device ID]],BOM!$B$3:$BQ$35,36,FALSE),"")</f>
        <v>0</v>
      </c>
      <c r="AG251" s="59">
        <f>IFERROR(VLOOKUP(Tabelle32[[#This Row],[Device ID]],BOM!$B$3:$BQ$35,37,FALSE),"")</f>
        <v>0</v>
      </c>
      <c r="AH251" s="59"/>
      <c r="AI251" s="59"/>
      <c r="AJ251" s="59"/>
      <c r="AK251" s="59"/>
      <c r="AL251" s="59" t="str">
        <f>IFERROR(VLOOKUP(Tabelle32[[#This Row],[Device ID]],BOM!$B$3:$BQ$35,42,FALSE),"")</f>
        <v>Imagine Communications SNP</v>
      </c>
      <c r="AM251" s="59" t="str">
        <f>IFERROR(VLOOKUP(Tabelle32[[#This Row],[Device ID]],BOM!$B$3:$BQ$35,43,FALSE),"")</f>
        <v>no</v>
      </c>
      <c r="AN251" s="59" t="str">
        <f>IFERROR(VLOOKUP(Tabelle32[[#This Row],[Device ID]],BOM!$B$3:$BQ$35,44,FALSE),"")</f>
        <v>yes</v>
      </c>
      <c r="AO251" s="59" t="str">
        <f>IFERROR(VLOOKUP(Tabelle32[[#This Row],[Device ID]],BOM!$B$3:$BQ$35,45,FALSE),"")</f>
        <v>no</v>
      </c>
      <c r="AP251" s="59" t="str">
        <f>IFERROR(CONCATENATE(Tabelle32[[#This Row],[Family
GFX-Unit]]," | ",Tabelle32[[#This Row],[Label 1
GFX-Unit]]," | ",Tabelle32[[#This Row],[Attached Device if Gateway]]),"")</f>
        <v xml:space="preserve"> |  | IngSRV-06</v>
      </c>
      <c r="AQ251" s="59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73" t="s">
        <v>199</v>
      </c>
      <c r="BI251" s="30" t="str">
        <f>IF(COUNTA(Tabelle32[[#This Row],[Type:Vid_1080i50]:[Type:Anc_Prot]])&gt;0,"x","")</f>
        <v/>
      </c>
      <c r="BJ25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51" s="59"/>
      <c r="BL251" s="59"/>
      <c r="BM251" s="63"/>
      <c r="BN251" s="63"/>
      <c r="BO251" s="96"/>
      <c r="BP251" s="96"/>
      <c r="BQ251" s="75">
        <f>LEN(Tabelle32[[#This Row],[Label 1
GFX-Unit]])</f>
        <v>0</v>
      </c>
      <c r="BR251" s="63"/>
      <c r="BS251" s="63"/>
      <c r="BT251" s="59"/>
      <c r="BU251" s="59"/>
      <c r="BV251" s="59" t="s">
        <v>260</v>
      </c>
      <c r="BW251" s="59" t="s">
        <v>261</v>
      </c>
      <c r="BX251" s="59" t="s">
        <v>588</v>
      </c>
      <c r="BY251" s="59">
        <v>12</v>
      </c>
    </row>
    <row r="252" spans="1:77" x14ac:dyDescent="0.2">
      <c r="A252" s="58" t="str">
        <f>CONCATENATE(Tabelle32[[#This Row],[Device ID]],".",Tabelle32[[#This Row],[Streamcounter]])</f>
        <v>389.12215</v>
      </c>
      <c r="B25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VGW-103_SDI12_AUDrec_0015</v>
      </c>
      <c r="C252" s="60"/>
      <c r="D252" s="61"/>
      <c r="E252" s="62"/>
      <c r="F252" s="59" t="str">
        <f>IFERROR(VLOOKUP(Tabelle32[[#This Row],[Device ID]],BOM!$B$3:$BQ$35,16,FALSE),"")</f>
        <v>IngSRV-06</v>
      </c>
      <c r="G252" s="63">
        <f>VLOOKUP(Tabelle32[[#This Row],[SDI Interface]],BOM!$A$4:$B$35,2,FALSE)</f>
        <v>389</v>
      </c>
      <c r="H252" s="59" t="str">
        <f>BOM!$C$4</f>
        <v>VGW-103</v>
      </c>
      <c r="I252" s="59" t="str">
        <f>IFERROR(VLOOKUP(Tabelle32[[#This Row],[Device ID]],BOM!$B$3:$BQ$35,12,FALSE),"")</f>
        <v>Videoserver</v>
      </c>
      <c r="J252" s="59" t="str">
        <f>IFERROR(VLOOKUP(Tabelle32[[#This Row],[Device ID]],BOM!$B$3:$BQ$35,13,FALSE),"")</f>
        <v>TC.U1.223 | MDC</v>
      </c>
      <c r="K252" s="59" t="str">
        <f>IFERROR(VLOOKUP(Tabelle32[[#This Row],[Device ID]],BOM!$B$3:$BQ$35,14,FALSE),"")</f>
        <v>Imagine Comunications</v>
      </c>
      <c r="L252" s="59" t="str">
        <f>IFERROR(VLOOKUP(Tabelle32[[#This Row],[Device ID]],BOM!$B$3:$BQ$35,16,FALSE),"")</f>
        <v>IngSRV-06</v>
      </c>
      <c r="M252" s="63" t="str">
        <f>IFERROR(VLOOKUP(Tabelle32[[#This Row],[Device ID]],BOM!$B$3:$BQ$35,17,FALSE),"")</f>
        <v>M3H</v>
      </c>
      <c r="N252" s="59" t="str">
        <f>IFERROR(VLOOKUP(Tabelle32[[#This Row],[Device ID]],BOM!$B$3:$BQ$35,18,FALSE),"")</f>
        <v>TC.03.225 | M3H</v>
      </c>
      <c r="O252" s="64"/>
      <c r="P252" s="64">
        <f>IFERROR(VLOOKUP(Tabelle32[[#This Row],[Device ID]],BOM!$B$3:$BO$50,20,FALSE),"")</f>
        <v>0</v>
      </c>
      <c r="Q252" s="64">
        <f>IFERROR(VLOOKUP(Tabelle32[[#This Row],[Device ID]],BOM!$B$3:$BO$50,21,FALSE),"")</f>
        <v>1</v>
      </c>
      <c r="R252" s="64">
        <f>IFERROR(VLOOKUP(Tabelle32[[#This Row],[Device ID]],BOM!$B$3:$BO$50,22,FALSE),"")</f>
        <v>0</v>
      </c>
      <c r="S252" s="64"/>
      <c r="T252" s="64"/>
      <c r="U252" s="59" t="str">
        <f>IFERROR(VLOOKUP(Tabelle32[[#This Row],[Device ID]],BOM!$B$3:$BQ$35,25,FALSE),"")</f>
        <v>Luis/Ivo</v>
      </c>
      <c r="V252" s="59" t="str">
        <f>IFERROR(VLOOKUP(Tabelle32[[#This Row],[Device ID]],BOM!$B$3:$BQ$35,26,FALSE),"")</f>
        <v>tpco-megw-vgw103.rta.st-net.media.int</v>
      </c>
      <c r="W252" s="59" t="str">
        <f>IFERROR(VLOOKUP(Tabelle32[[#This Row],[Device ID]],BOM!$B$3:$BQ$35,27,FALSE),"")</f>
        <v>10.120.236.50</v>
      </c>
      <c r="X252" s="59" t="str">
        <f>IFERROR(VLOOKUP(Tabelle32[[#This Row],[Device ID]],BOM!$B$3:$BQ$35,28,FALSE),"")</f>
        <v>AVCoreA</v>
      </c>
      <c r="Y252" s="59" t="str">
        <f>IFERROR(VLOOKUP(Tabelle32[[#This Row],[Device ID]],BOM!$B$3:$BQ$35,29,FALSE),"")</f>
        <v>5_36_1</v>
      </c>
      <c r="Z252" s="59" t="str">
        <f>IFERROR(VLOOKUP(Tabelle32[[#This Row],[Device ID]],BOM!$B$3:$BQ$35,30,FALSE),"")</f>
        <v>tpco-megw-vgw103.rtb.st-net.media.int</v>
      </c>
      <c r="AA252" s="59" t="str">
        <f>IFERROR(VLOOKUP(Tabelle32[[#This Row],[Device ID]],BOM!$B$3:$BQ$35,31,FALSE),"")</f>
        <v>10.120.236.54</v>
      </c>
      <c r="AB252" s="59" t="str">
        <f>IFERROR(VLOOKUP(Tabelle32[[#This Row],[Device ID]],BOM!$B$3:$BQ$35,32,FALSE),"")</f>
        <v>AVCoreB</v>
      </c>
      <c r="AC252" s="59" t="str">
        <f>IFERROR(VLOOKUP(Tabelle32[[#This Row],[Device ID]],BOM!$B$3:$BQ$35,33,FALSE),"")</f>
        <v>5_36_1</v>
      </c>
      <c r="AD252" s="59" t="str">
        <f>IFERROR(VLOOKUP(Tabelle32[[#This Row],[Device ID]],BOM!$B$3:$BQ$35,34,FALSE),"")</f>
        <v>tpco-megw-vgw103.st-net.media.int</v>
      </c>
      <c r="AE252" s="59" t="str">
        <f>IFERROR(VLOOKUP(Tabelle32[[#This Row],[Device ID]],BOM!$B$3:$BQ$35,35,FALSE),"")</f>
        <v>10.120.67.141</v>
      </c>
      <c r="AF252" s="59">
        <f>IFERROR(VLOOKUP(Tabelle32[[#This Row],[Device ID]],BOM!$B$3:$BQ$35,36,FALSE),"")</f>
        <v>0</v>
      </c>
      <c r="AG252" s="59">
        <f>IFERROR(VLOOKUP(Tabelle32[[#This Row],[Device ID]],BOM!$B$3:$BQ$35,37,FALSE),"")</f>
        <v>0</v>
      </c>
      <c r="AH252" s="59"/>
      <c r="AI252" s="59"/>
      <c r="AJ252" s="59"/>
      <c r="AK252" s="59"/>
      <c r="AL252" s="59" t="str">
        <f>IFERROR(VLOOKUP(Tabelle32[[#This Row],[Device ID]],BOM!$B$3:$BQ$35,42,FALSE),"")</f>
        <v>Imagine Communications SNP</v>
      </c>
      <c r="AM252" s="59" t="str">
        <f>IFERROR(VLOOKUP(Tabelle32[[#This Row],[Device ID]],BOM!$B$3:$BQ$35,43,FALSE),"")</f>
        <v>no</v>
      </c>
      <c r="AN252" s="59" t="str">
        <f>IFERROR(VLOOKUP(Tabelle32[[#This Row],[Device ID]],BOM!$B$3:$BQ$35,44,FALSE),"")</f>
        <v>yes</v>
      </c>
      <c r="AO252" s="59" t="str">
        <f>IFERROR(VLOOKUP(Tabelle32[[#This Row],[Device ID]],BOM!$B$3:$BQ$35,45,FALSE),"")</f>
        <v>no</v>
      </c>
      <c r="AP252" s="59" t="str">
        <f>IFERROR(CONCATENATE(Tabelle32[[#This Row],[Family
GFX-Unit]]," | ",Tabelle32[[#This Row],[Label 1
GFX-Unit]]," | ",Tabelle32[[#This Row],[Attached Device if Gateway]]),"")</f>
        <v>M3H InCh REM | Ingest Ch24-15 | IngSRV-06</v>
      </c>
      <c r="AQ252" s="59"/>
      <c r="AR252" s="90"/>
      <c r="AS252" s="90"/>
      <c r="AT252" s="90"/>
      <c r="AU252" s="90"/>
      <c r="AV252" s="90"/>
      <c r="AW252" s="90" t="s">
        <v>97</v>
      </c>
      <c r="AX252" s="90"/>
      <c r="AY252" s="90"/>
      <c r="AZ252" s="90" t="s">
        <v>97</v>
      </c>
      <c r="BA252" s="90"/>
      <c r="BB252" s="90" t="s">
        <v>97</v>
      </c>
      <c r="BC252" s="90" t="s">
        <v>97</v>
      </c>
      <c r="BD252" s="90" t="s">
        <v>97</v>
      </c>
      <c r="BE252" s="90"/>
      <c r="BF252" s="90"/>
      <c r="BG252" s="90"/>
      <c r="BH252" s="73" t="s">
        <v>199</v>
      </c>
      <c r="BI252" s="30" t="str">
        <f>IF(COUNTA(Tabelle32[[#This Row],[Type:Vid_1080i50]:[Type:Anc_Prot]])&gt;0,"x","")</f>
        <v>x</v>
      </c>
      <c r="BJ25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52" s="59"/>
      <c r="BL252" s="59"/>
      <c r="BM252" s="63"/>
      <c r="BN252" s="63"/>
      <c r="BO252" s="97" t="s">
        <v>458</v>
      </c>
      <c r="BP252" s="97" t="s">
        <v>589</v>
      </c>
      <c r="BQ252" s="75">
        <f>LEN(Tabelle32[[#This Row],[Label 1
GFX-Unit]])</f>
        <v>14</v>
      </c>
      <c r="BR252" s="63"/>
      <c r="BS252" s="63"/>
      <c r="BT252" s="59"/>
      <c r="BU252" s="59"/>
      <c r="BV252" s="59" t="s">
        <v>264</v>
      </c>
      <c r="BW252" s="59" t="s">
        <v>265</v>
      </c>
      <c r="BX252" s="59" t="s">
        <v>590</v>
      </c>
      <c r="BY252" s="59">
        <v>12</v>
      </c>
    </row>
    <row r="253" spans="1:77" x14ac:dyDescent="0.2">
      <c r="A253" s="58" t="str">
        <f>CONCATENATE(Tabelle32[[#This Row],[Device ID]],".",Tabelle32[[#This Row],[Streamcounter]])</f>
        <v>389.12216</v>
      </c>
      <c r="B25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VGW-103_SDI12_AUDrec_0016</v>
      </c>
      <c r="C253" s="60"/>
      <c r="D253" s="61"/>
      <c r="E253" s="62"/>
      <c r="F253" s="59" t="str">
        <f>IFERROR(VLOOKUP(Tabelle32[[#This Row],[Device ID]],BOM!$B$3:$BQ$35,16,FALSE),"")</f>
        <v>IngSRV-06</v>
      </c>
      <c r="G253" s="63">
        <f>VLOOKUP(Tabelle32[[#This Row],[SDI Interface]],BOM!$A$4:$B$35,2,FALSE)</f>
        <v>389</v>
      </c>
      <c r="H253" s="59" t="str">
        <f>BOM!$C$4</f>
        <v>VGW-103</v>
      </c>
      <c r="I253" s="59" t="str">
        <f>IFERROR(VLOOKUP(Tabelle32[[#This Row],[Device ID]],BOM!$B$3:$BQ$35,12,FALSE),"")</f>
        <v>Videoserver</v>
      </c>
      <c r="J253" s="59" t="str">
        <f>IFERROR(VLOOKUP(Tabelle32[[#This Row],[Device ID]],BOM!$B$3:$BQ$35,13,FALSE),"")</f>
        <v>TC.U1.223 | MDC</v>
      </c>
      <c r="K253" s="59" t="str">
        <f>IFERROR(VLOOKUP(Tabelle32[[#This Row],[Device ID]],BOM!$B$3:$BQ$35,14,FALSE),"")</f>
        <v>Imagine Comunications</v>
      </c>
      <c r="L253" s="59" t="str">
        <f>IFERROR(VLOOKUP(Tabelle32[[#This Row],[Device ID]],BOM!$B$3:$BQ$35,16,FALSE),"")</f>
        <v>IngSRV-06</v>
      </c>
      <c r="M253" s="63" t="str">
        <f>IFERROR(VLOOKUP(Tabelle32[[#This Row],[Device ID]],BOM!$B$3:$BQ$35,17,FALSE),"")</f>
        <v>M3H</v>
      </c>
      <c r="N253" s="59" t="str">
        <f>IFERROR(VLOOKUP(Tabelle32[[#This Row],[Device ID]],BOM!$B$3:$BQ$35,18,FALSE),"")</f>
        <v>TC.03.225 | M3H</v>
      </c>
      <c r="O253" s="64"/>
      <c r="P253" s="64">
        <f>IFERROR(VLOOKUP(Tabelle32[[#This Row],[Device ID]],BOM!$B$3:$BO$50,20,FALSE),"")</f>
        <v>0</v>
      </c>
      <c r="Q253" s="64">
        <f>IFERROR(VLOOKUP(Tabelle32[[#This Row],[Device ID]],BOM!$B$3:$BO$50,21,FALSE),"")</f>
        <v>1</v>
      </c>
      <c r="R253" s="64">
        <f>IFERROR(VLOOKUP(Tabelle32[[#This Row],[Device ID]],BOM!$B$3:$BO$50,22,FALSE),"")</f>
        <v>0</v>
      </c>
      <c r="S253" s="64"/>
      <c r="T253" s="64"/>
      <c r="U253" s="59" t="str">
        <f>IFERROR(VLOOKUP(Tabelle32[[#This Row],[Device ID]],BOM!$B$3:$BQ$35,25,FALSE),"")</f>
        <v>Luis/Ivo</v>
      </c>
      <c r="V253" s="59" t="str">
        <f>IFERROR(VLOOKUP(Tabelle32[[#This Row],[Device ID]],BOM!$B$3:$BQ$35,26,FALSE),"")</f>
        <v>tpco-megw-vgw103.rta.st-net.media.int</v>
      </c>
      <c r="W253" s="59" t="str">
        <f>IFERROR(VLOOKUP(Tabelle32[[#This Row],[Device ID]],BOM!$B$3:$BQ$35,27,FALSE),"")</f>
        <v>10.120.236.50</v>
      </c>
      <c r="X253" s="59" t="str">
        <f>IFERROR(VLOOKUP(Tabelle32[[#This Row],[Device ID]],BOM!$B$3:$BQ$35,28,FALSE),"")</f>
        <v>AVCoreA</v>
      </c>
      <c r="Y253" s="59" t="str">
        <f>IFERROR(VLOOKUP(Tabelle32[[#This Row],[Device ID]],BOM!$B$3:$BQ$35,29,FALSE),"")</f>
        <v>5_36_1</v>
      </c>
      <c r="Z253" s="59" t="str">
        <f>IFERROR(VLOOKUP(Tabelle32[[#This Row],[Device ID]],BOM!$B$3:$BQ$35,30,FALSE),"")</f>
        <v>tpco-megw-vgw103.rtb.st-net.media.int</v>
      </c>
      <c r="AA253" s="59" t="str">
        <f>IFERROR(VLOOKUP(Tabelle32[[#This Row],[Device ID]],BOM!$B$3:$BQ$35,31,FALSE),"")</f>
        <v>10.120.236.54</v>
      </c>
      <c r="AB253" s="59" t="str">
        <f>IFERROR(VLOOKUP(Tabelle32[[#This Row],[Device ID]],BOM!$B$3:$BQ$35,32,FALSE),"")</f>
        <v>AVCoreB</v>
      </c>
      <c r="AC253" s="59" t="str">
        <f>IFERROR(VLOOKUP(Tabelle32[[#This Row],[Device ID]],BOM!$B$3:$BQ$35,33,FALSE),"")</f>
        <v>5_36_1</v>
      </c>
      <c r="AD253" s="59" t="str">
        <f>IFERROR(VLOOKUP(Tabelle32[[#This Row],[Device ID]],BOM!$B$3:$BQ$35,34,FALSE),"")</f>
        <v>tpco-megw-vgw103.st-net.media.int</v>
      </c>
      <c r="AE253" s="59" t="str">
        <f>IFERROR(VLOOKUP(Tabelle32[[#This Row],[Device ID]],BOM!$B$3:$BQ$35,35,FALSE),"")</f>
        <v>10.120.67.141</v>
      </c>
      <c r="AF253" s="59">
        <f>IFERROR(VLOOKUP(Tabelle32[[#This Row],[Device ID]],BOM!$B$3:$BQ$35,36,FALSE),"")</f>
        <v>0</v>
      </c>
      <c r="AG253" s="59">
        <f>IFERROR(VLOOKUP(Tabelle32[[#This Row],[Device ID]],BOM!$B$3:$BQ$35,37,FALSE),"")</f>
        <v>0</v>
      </c>
      <c r="AH253" s="59"/>
      <c r="AI253" s="59"/>
      <c r="AJ253" s="59"/>
      <c r="AK253" s="59"/>
      <c r="AL253" s="59" t="str">
        <f>IFERROR(VLOOKUP(Tabelle32[[#This Row],[Device ID]],BOM!$B$3:$BQ$35,42,FALSE),"")</f>
        <v>Imagine Communications SNP</v>
      </c>
      <c r="AM253" s="59" t="str">
        <f>IFERROR(VLOOKUP(Tabelle32[[#This Row],[Device ID]],BOM!$B$3:$BQ$35,43,FALSE),"")</f>
        <v>no</v>
      </c>
      <c r="AN253" s="59" t="str">
        <f>IFERROR(VLOOKUP(Tabelle32[[#This Row],[Device ID]],BOM!$B$3:$BQ$35,44,FALSE),"")</f>
        <v>yes</v>
      </c>
      <c r="AO253" s="59" t="str">
        <f>IFERROR(VLOOKUP(Tabelle32[[#This Row],[Device ID]],BOM!$B$3:$BQ$35,45,FALSE),"")</f>
        <v>no</v>
      </c>
      <c r="AP253" s="59" t="str">
        <f>IFERROR(CONCATENATE(Tabelle32[[#This Row],[Family
GFX-Unit]]," | ",Tabelle32[[#This Row],[Label 1
GFX-Unit]]," | ",Tabelle32[[#This Row],[Attached Device if Gateway]]),"")</f>
        <v>M3H InCh REM | Ingest Ch24-16 | IngSRV-06</v>
      </c>
      <c r="AQ253" s="59"/>
      <c r="AR253" s="90"/>
      <c r="AS253" s="90"/>
      <c r="AT253" s="90"/>
      <c r="AU253" s="90"/>
      <c r="AV253" s="90"/>
      <c r="AW253" s="90" t="s">
        <v>97</v>
      </c>
      <c r="AX253" s="90"/>
      <c r="AY253" s="90"/>
      <c r="AZ253" s="90" t="s">
        <v>97</v>
      </c>
      <c r="BA253" s="90"/>
      <c r="BB253" s="90" t="s">
        <v>97</v>
      </c>
      <c r="BC253" s="90" t="s">
        <v>97</v>
      </c>
      <c r="BD253" s="90" t="s">
        <v>97</v>
      </c>
      <c r="BE253" s="90"/>
      <c r="BF253" s="90"/>
      <c r="BG253" s="90"/>
      <c r="BH253" s="73" t="s">
        <v>199</v>
      </c>
      <c r="BI253" s="30" t="str">
        <f>IF(COUNTA(Tabelle32[[#This Row],[Type:Vid_1080i50]:[Type:Anc_Prot]])&gt;0,"x","")</f>
        <v>x</v>
      </c>
      <c r="BJ25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53" s="59"/>
      <c r="BL253" s="59"/>
      <c r="BM253" s="63"/>
      <c r="BN253" s="63"/>
      <c r="BO253" s="97" t="s">
        <v>458</v>
      </c>
      <c r="BP253" s="97" t="s">
        <v>591</v>
      </c>
      <c r="BQ253" s="75">
        <f>LEN(Tabelle32[[#This Row],[Label 1
GFX-Unit]])</f>
        <v>14</v>
      </c>
      <c r="BR253" s="63"/>
      <c r="BS253" s="63"/>
      <c r="BT253" s="59"/>
      <c r="BU253" s="59"/>
      <c r="BV253" s="59" t="s">
        <v>268</v>
      </c>
      <c r="BW253" s="59" t="s">
        <v>269</v>
      </c>
      <c r="BX253" s="59" t="s">
        <v>592</v>
      </c>
      <c r="BY253" s="59">
        <v>12</v>
      </c>
    </row>
    <row r="254" spans="1:77" x14ac:dyDescent="0.2">
      <c r="A254" s="58" t="str">
        <f>CONCATENATE(Tabelle32[[#This Row],[Device ID]],".",Tabelle32[[#This Row],[Streamcounter]])</f>
        <v>389.12101</v>
      </c>
      <c r="B25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VGW-103_SDI12_VIDrec_0001</v>
      </c>
      <c r="C254" s="60"/>
      <c r="D254" s="61"/>
      <c r="E254" s="62"/>
      <c r="F254" s="59" t="str">
        <f>IFERROR(VLOOKUP(Tabelle32[[#This Row],[Device ID]],BOM!$B$3:$BQ$35,16,FALSE),"")</f>
        <v>IngSRV-06</v>
      </c>
      <c r="G254" s="63">
        <f>VLOOKUP(Tabelle32[[#This Row],[SDI Interface]],BOM!$A$4:$B$35,2,FALSE)</f>
        <v>389</v>
      </c>
      <c r="H254" s="59" t="str">
        <f>BOM!$C$4</f>
        <v>VGW-103</v>
      </c>
      <c r="I254" s="59" t="str">
        <f>IFERROR(VLOOKUP(Tabelle32[[#This Row],[Device ID]],BOM!$B$3:$BQ$35,12,FALSE),"")</f>
        <v>Videoserver</v>
      </c>
      <c r="J254" s="59" t="str">
        <f>IFERROR(VLOOKUP(Tabelle32[[#This Row],[Device ID]],BOM!$B$3:$BQ$35,13,FALSE),"")</f>
        <v>TC.U1.223 | MDC</v>
      </c>
      <c r="K254" s="59" t="str">
        <f>IFERROR(VLOOKUP(Tabelle32[[#This Row],[Device ID]],BOM!$B$3:$BQ$35,14,FALSE),"")</f>
        <v>Imagine Comunications</v>
      </c>
      <c r="L254" s="59" t="str">
        <f>IFERROR(VLOOKUP(Tabelle32[[#This Row],[Device ID]],BOM!$B$3:$BQ$35,16,FALSE),"")</f>
        <v>IngSRV-06</v>
      </c>
      <c r="M254" s="63" t="str">
        <f>IFERROR(VLOOKUP(Tabelle32[[#This Row],[Device ID]],BOM!$B$3:$BQ$35,17,FALSE),"")</f>
        <v>M3H</v>
      </c>
      <c r="N254" s="59" t="str">
        <f>IFERROR(VLOOKUP(Tabelle32[[#This Row],[Device ID]],BOM!$B$3:$BQ$35,18,FALSE),"")</f>
        <v>TC.03.225 | M3H</v>
      </c>
      <c r="O254" s="64"/>
      <c r="P254" s="64">
        <f>IFERROR(VLOOKUP(Tabelle32[[#This Row],[Device ID]],BOM!$B$3:$BO$50,20,FALSE),"")</f>
        <v>0</v>
      </c>
      <c r="Q254" s="64">
        <f>IFERROR(VLOOKUP(Tabelle32[[#This Row],[Device ID]],BOM!$B$3:$BO$50,21,FALSE),"")</f>
        <v>1</v>
      </c>
      <c r="R254" s="64">
        <f>IFERROR(VLOOKUP(Tabelle32[[#This Row],[Device ID]],BOM!$B$3:$BO$50,22,FALSE),"")</f>
        <v>0</v>
      </c>
      <c r="S254" s="64"/>
      <c r="T254" s="64"/>
      <c r="U254" s="59" t="str">
        <f>IFERROR(VLOOKUP(Tabelle32[[#This Row],[Device ID]],BOM!$B$3:$BQ$35,25,FALSE),"")</f>
        <v>Luis/Ivo</v>
      </c>
      <c r="V254" s="59" t="str">
        <f>IFERROR(VLOOKUP(Tabelle32[[#This Row],[Device ID]],BOM!$B$3:$BQ$35,26,FALSE),"")</f>
        <v>tpco-megw-vgw103.rta.st-net.media.int</v>
      </c>
      <c r="W254" s="59" t="str">
        <f>IFERROR(VLOOKUP(Tabelle32[[#This Row],[Device ID]],BOM!$B$3:$BQ$35,27,FALSE),"")</f>
        <v>10.120.236.50</v>
      </c>
      <c r="X254" s="59" t="str">
        <f>IFERROR(VLOOKUP(Tabelle32[[#This Row],[Device ID]],BOM!$B$3:$BQ$35,28,FALSE),"")</f>
        <v>AVCoreA</v>
      </c>
      <c r="Y254" s="59" t="str">
        <f>IFERROR(VLOOKUP(Tabelle32[[#This Row],[Device ID]],BOM!$B$3:$BQ$35,29,FALSE),"")</f>
        <v>5_36_1</v>
      </c>
      <c r="Z254" s="59" t="str">
        <f>IFERROR(VLOOKUP(Tabelle32[[#This Row],[Device ID]],BOM!$B$3:$BQ$35,30,FALSE),"")</f>
        <v>tpco-megw-vgw103.rtb.st-net.media.int</v>
      </c>
      <c r="AA254" s="59" t="str">
        <f>IFERROR(VLOOKUP(Tabelle32[[#This Row],[Device ID]],BOM!$B$3:$BQ$35,31,FALSE),"")</f>
        <v>10.120.236.54</v>
      </c>
      <c r="AB254" s="59" t="str">
        <f>IFERROR(VLOOKUP(Tabelle32[[#This Row],[Device ID]],BOM!$B$3:$BQ$35,32,FALSE),"")</f>
        <v>AVCoreB</v>
      </c>
      <c r="AC254" s="59" t="str">
        <f>IFERROR(VLOOKUP(Tabelle32[[#This Row],[Device ID]],BOM!$B$3:$BQ$35,33,FALSE),"")</f>
        <v>5_36_1</v>
      </c>
      <c r="AD254" s="59" t="str">
        <f>IFERROR(VLOOKUP(Tabelle32[[#This Row],[Device ID]],BOM!$B$3:$BQ$35,34,FALSE),"")</f>
        <v>tpco-megw-vgw103.st-net.media.int</v>
      </c>
      <c r="AE254" s="59" t="str">
        <f>IFERROR(VLOOKUP(Tabelle32[[#This Row],[Device ID]],BOM!$B$3:$BQ$35,35,FALSE),"")</f>
        <v>10.120.67.141</v>
      </c>
      <c r="AF254" s="59">
        <f>IFERROR(VLOOKUP(Tabelle32[[#This Row],[Device ID]],BOM!$B$3:$BQ$35,36,FALSE),"")</f>
        <v>0</v>
      </c>
      <c r="AG254" s="59">
        <f>IFERROR(VLOOKUP(Tabelle32[[#This Row],[Device ID]],BOM!$B$3:$BQ$35,37,FALSE),"")</f>
        <v>0</v>
      </c>
      <c r="AH254" s="59"/>
      <c r="AI254" s="59"/>
      <c r="AJ254" s="59"/>
      <c r="AK254" s="59"/>
      <c r="AL254" s="59" t="str">
        <f>IFERROR(VLOOKUP(Tabelle32[[#This Row],[Device ID]],BOM!$B$3:$BQ$35,42,FALSE),"")</f>
        <v>Imagine Communications SNP</v>
      </c>
      <c r="AM254" s="59" t="str">
        <f>IFERROR(VLOOKUP(Tabelle32[[#This Row],[Device ID]],BOM!$B$3:$BQ$35,43,FALSE),"")</f>
        <v>no</v>
      </c>
      <c r="AN254" s="59" t="str">
        <f>IFERROR(VLOOKUP(Tabelle32[[#This Row],[Device ID]],BOM!$B$3:$BQ$35,44,FALSE),"")</f>
        <v>yes</v>
      </c>
      <c r="AO254" s="59" t="str">
        <f>IFERROR(VLOOKUP(Tabelle32[[#This Row],[Device ID]],BOM!$B$3:$BQ$35,45,FALSE),"")</f>
        <v>no</v>
      </c>
      <c r="AP254" s="59" t="str">
        <f>IFERROR(CONCATENATE(Tabelle32[[#This Row],[Family
GFX-Unit]]," | ",Tabelle32[[#This Row],[Label 1
GFX-Unit]]," | ",Tabelle32[[#This Row],[Attached Device if Gateway]]),"")</f>
        <v>M3H InCh REM | Ingest Ch24 | IngSRV-06</v>
      </c>
      <c r="AQ254" s="59"/>
      <c r="AR254" s="90" t="s">
        <v>97</v>
      </c>
      <c r="AS254" s="90" t="s">
        <v>97</v>
      </c>
      <c r="AT254" s="90" t="s">
        <v>97</v>
      </c>
      <c r="AU254" s="90"/>
      <c r="AV254" s="90" t="s">
        <v>97</v>
      </c>
      <c r="AW254" s="90"/>
      <c r="AX254" s="90"/>
      <c r="AY254" s="90"/>
      <c r="AZ254" s="90"/>
      <c r="BA254" s="90"/>
      <c r="BB254" s="90"/>
      <c r="BC254" s="90"/>
      <c r="BD254" s="90"/>
      <c r="BE254" s="90"/>
      <c r="BF254" s="90"/>
      <c r="BG254" s="90"/>
      <c r="BH254" s="73" t="s">
        <v>199</v>
      </c>
      <c r="BI254" s="30" t="str">
        <f>IF(COUNTA(Tabelle32[[#This Row],[Type:Vid_1080i50]:[Type:Anc_Prot]])&gt;0,"x","")</f>
        <v>x</v>
      </c>
      <c r="BJ25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254" s="59"/>
      <c r="BL254" s="59"/>
      <c r="BM254" s="63"/>
      <c r="BN254" s="63"/>
      <c r="BO254" s="97" t="s">
        <v>458</v>
      </c>
      <c r="BP254" s="97" t="s">
        <v>593</v>
      </c>
      <c r="BQ254" s="75">
        <f>LEN(Tabelle32[[#This Row],[Label 1
GFX-Unit]])</f>
        <v>11</v>
      </c>
      <c r="BR254" s="63"/>
      <c r="BS254" s="63"/>
      <c r="BT254" s="59"/>
      <c r="BU254" s="59"/>
      <c r="BV254" s="59" t="s">
        <v>272</v>
      </c>
      <c r="BW254" s="59" t="s">
        <v>273</v>
      </c>
      <c r="BX254" s="59" t="s">
        <v>594</v>
      </c>
      <c r="BY254" s="59">
        <v>12</v>
      </c>
    </row>
    <row r="255" spans="1:77" x14ac:dyDescent="0.2">
      <c r="A255" s="58" t="str">
        <f>CONCATENATE(Tabelle32[[#This Row],[Device ID]],".",Tabelle32[[#This Row],[Streamcounter]])</f>
        <v>390.13301</v>
      </c>
      <c r="B25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VGW-103_SDI13_ANCrec_0001</v>
      </c>
      <c r="C255" s="60"/>
      <c r="D255" s="61"/>
      <c r="E255" s="62"/>
      <c r="F255" s="59" t="str">
        <f>IFERROR(VLOOKUP(Tabelle32[[#This Row],[Device ID]],BOM!$B$3:$BQ$35,16,FALSE),"")</f>
        <v>IngSRV-07</v>
      </c>
      <c r="G255" s="63">
        <f>VLOOKUP(Tabelle32[[#This Row],[SDI Interface]],BOM!$A$4:$B$35,2,FALSE)</f>
        <v>390</v>
      </c>
      <c r="H255" s="59" t="str">
        <f>BOM!$C$4</f>
        <v>VGW-103</v>
      </c>
      <c r="I255" s="59" t="str">
        <f>IFERROR(VLOOKUP(Tabelle32[[#This Row],[Device ID]],BOM!$B$3:$BQ$35,12,FALSE),"")</f>
        <v>Videoserver</v>
      </c>
      <c r="J255" s="59" t="str">
        <f>IFERROR(VLOOKUP(Tabelle32[[#This Row],[Device ID]],BOM!$B$3:$BQ$35,13,FALSE),"")</f>
        <v>TC.U1.223 | MDC</v>
      </c>
      <c r="K255" s="59" t="str">
        <f>IFERROR(VLOOKUP(Tabelle32[[#This Row],[Device ID]],BOM!$B$3:$BQ$35,14,FALSE),"")</f>
        <v>Imagine Comunications</v>
      </c>
      <c r="L255" s="59" t="str">
        <f>IFERROR(VLOOKUP(Tabelle32[[#This Row],[Device ID]],BOM!$B$3:$BQ$35,16,FALSE),"")</f>
        <v>IngSRV-07</v>
      </c>
      <c r="M255" s="63" t="str">
        <f>IFERROR(VLOOKUP(Tabelle32[[#This Row],[Device ID]],BOM!$B$3:$BQ$35,17,FALSE),"")</f>
        <v>M3H</v>
      </c>
      <c r="N255" s="59" t="str">
        <f>IFERROR(VLOOKUP(Tabelle32[[#This Row],[Device ID]],BOM!$B$3:$BQ$35,18,FALSE),"")</f>
        <v>TC.03.225 | M3H</v>
      </c>
      <c r="O255" s="64"/>
      <c r="P255" s="64">
        <f>IFERROR(VLOOKUP(Tabelle32[[#This Row],[Device ID]],BOM!$B$3:$BO$50,20,FALSE),"")</f>
        <v>0</v>
      </c>
      <c r="Q255" s="64">
        <f>IFERROR(VLOOKUP(Tabelle32[[#This Row],[Device ID]],BOM!$B$3:$BO$50,21,FALSE),"")</f>
        <v>1</v>
      </c>
      <c r="R255" s="64">
        <f>IFERROR(VLOOKUP(Tabelle32[[#This Row],[Device ID]],BOM!$B$3:$BO$50,22,FALSE),"")</f>
        <v>0</v>
      </c>
      <c r="S255" s="64"/>
      <c r="T255" s="64"/>
      <c r="U255" s="59" t="str">
        <f>IFERROR(VLOOKUP(Tabelle32[[#This Row],[Device ID]],BOM!$B$3:$BQ$35,25,FALSE),"")</f>
        <v>Luis/Ivo</v>
      </c>
      <c r="V255" s="59" t="str">
        <f>IFERROR(VLOOKUP(Tabelle32[[#This Row],[Device ID]],BOM!$B$3:$BQ$35,26,FALSE),"")</f>
        <v>tpco-megw-vgw103.rta.st-net.media.int</v>
      </c>
      <c r="W255" s="59" t="str">
        <f>IFERROR(VLOOKUP(Tabelle32[[#This Row],[Device ID]],BOM!$B$3:$BQ$35,27,FALSE),"")</f>
        <v>10.120.236.50</v>
      </c>
      <c r="X255" s="59" t="str">
        <f>IFERROR(VLOOKUP(Tabelle32[[#This Row],[Device ID]],BOM!$B$3:$BQ$35,28,FALSE),"")</f>
        <v>AVCoreA</v>
      </c>
      <c r="Y255" s="59" t="str">
        <f>IFERROR(VLOOKUP(Tabelle32[[#This Row],[Device ID]],BOM!$B$3:$BQ$35,29,FALSE),"")</f>
        <v>5_36_1</v>
      </c>
      <c r="Z255" s="59" t="str">
        <f>IFERROR(VLOOKUP(Tabelle32[[#This Row],[Device ID]],BOM!$B$3:$BQ$35,30,FALSE),"")</f>
        <v>tpco-megw-vgw103.rtb.st-net.media.int</v>
      </c>
      <c r="AA255" s="59" t="str">
        <f>IFERROR(VLOOKUP(Tabelle32[[#This Row],[Device ID]],BOM!$B$3:$BQ$35,31,FALSE),"")</f>
        <v>10.120.236.54</v>
      </c>
      <c r="AB255" s="59" t="str">
        <f>IFERROR(VLOOKUP(Tabelle32[[#This Row],[Device ID]],BOM!$B$3:$BQ$35,32,FALSE),"")</f>
        <v>AVCoreB</v>
      </c>
      <c r="AC255" s="59" t="str">
        <f>IFERROR(VLOOKUP(Tabelle32[[#This Row],[Device ID]],BOM!$B$3:$BQ$35,33,FALSE),"")</f>
        <v>5_36_1</v>
      </c>
      <c r="AD255" s="59" t="str">
        <f>IFERROR(VLOOKUP(Tabelle32[[#This Row],[Device ID]],BOM!$B$3:$BQ$35,34,FALSE),"")</f>
        <v>tpco-megw-vgw103.st-net.media.int</v>
      </c>
      <c r="AE255" s="59" t="str">
        <f>IFERROR(VLOOKUP(Tabelle32[[#This Row],[Device ID]],BOM!$B$3:$BQ$35,35,FALSE),"")</f>
        <v>10.120.67.141</v>
      </c>
      <c r="AF255" s="59">
        <f>IFERROR(VLOOKUP(Tabelle32[[#This Row],[Device ID]],BOM!$B$3:$BQ$35,36,FALSE),"")</f>
        <v>0</v>
      </c>
      <c r="AG255" s="59">
        <f>IFERROR(VLOOKUP(Tabelle32[[#This Row],[Device ID]],BOM!$B$3:$BQ$35,37,FALSE),"")</f>
        <v>0</v>
      </c>
      <c r="AH255" s="59"/>
      <c r="AI255" s="59"/>
      <c r="AJ255" s="59"/>
      <c r="AK255" s="59"/>
      <c r="AL255" s="59" t="str">
        <f>IFERROR(VLOOKUP(Tabelle32[[#This Row],[Device ID]],BOM!$B$3:$BQ$35,42,FALSE),"")</f>
        <v>Imagine Communications SNP</v>
      </c>
      <c r="AM255" s="59" t="str">
        <f>IFERROR(VLOOKUP(Tabelle32[[#This Row],[Device ID]],BOM!$B$3:$BQ$35,43,FALSE),"")</f>
        <v>no</v>
      </c>
      <c r="AN255" s="59" t="str">
        <f>IFERROR(VLOOKUP(Tabelle32[[#This Row],[Device ID]],BOM!$B$3:$BQ$35,44,FALSE),"")</f>
        <v>yes</v>
      </c>
      <c r="AO255" s="59" t="str">
        <f>IFERROR(VLOOKUP(Tabelle32[[#This Row],[Device ID]],BOM!$B$3:$BQ$35,45,FALSE),"")</f>
        <v>no</v>
      </c>
      <c r="AP255" s="59" t="str">
        <f>IFERROR(CONCATENATE(Tabelle32[[#This Row],[Family
GFX-Unit]]," | ",Tabelle32[[#This Row],[Label 1
GFX-Unit]]," | ",Tabelle32[[#This Row],[Attached Device if Gateway]]),"")</f>
        <v>M3H InCh 1zu1 | Ingest Ch25-ANC1 | IngSRV-07</v>
      </c>
      <c r="AQ255" s="59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90"/>
      <c r="BC255" s="90"/>
      <c r="BD255" s="90"/>
      <c r="BE255" s="90"/>
      <c r="BF255" s="90"/>
      <c r="BG255" s="90" t="s">
        <v>97</v>
      </c>
      <c r="BH255" s="73" t="s">
        <v>199</v>
      </c>
      <c r="BI255" s="30" t="str">
        <f>IF(COUNTA(Tabelle32[[#This Row],[Type:Vid_1080i50]:[Type:Anc_Prot]])&gt;0,"x","")</f>
        <v>x</v>
      </c>
      <c r="BJ25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255" s="59"/>
      <c r="BL255" s="59"/>
      <c r="BM255" s="63"/>
      <c r="BN255" s="63"/>
      <c r="BO255" s="97" t="s">
        <v>663</v>
      </c>
      <c r="BP255" s="97" t="s">
        <v>595</v>
      </c>
      <c r="BQ255" s="75">
        <f>LEN(Tabelle32[[#This Row],[Label 1
GFX-Unit]])</f>
        <v>16</v>
      </c>
      <c r="BR255" s="63"/>
      <c r="BS255" s="63"/>
      <c r="BT255" s="59"/>
      <c r="BU255" s="59"/>
      <c r="BV255" s="59" t="s">
        <v>202</v>
      </c>
      <c r="BW255" s="59" t="s">
        <v>203</v>
      </c>
      <c r="BX255" s="59" t="s">
        <v>596</v>
      </c>
      <c r="BY255" s="59">
        <v>13</v>
      </c>
    </row>
    <row r="256" spans="1:77" hidden="1" x14ac:dyDescent="0.2">
      <c r="A256" s="58" t="str">
        <f>CONCATENATE(Tabelle32[[#This Row],[Device ID]],".",Tabelle32[[#This Row],[Streamcounter]])</f>
        <v>390.13302</v>
      </c>
      <c r="B25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VGW-103_SDI13_ANCrec_0002</v>
      </c>
      <c r="C256" s="60"/>
      <c r="D256" s="61"/>
      <c r="E256" s="62"/>
      <c r="F256" s="59" t="str">
        <f>IFERROR(VLOOKUP(Tabelle32[[#This Row],[Device ID]],BOM!$B$3:$BQ$35,16,FALSE),"")</f>
        <v>IngSRV-07</v>
      </c>
      <c r="G256" s="63">
        <f>VLOOKUP(Tabelle32[[#This Row],[SDI Interface]],BOM!$A$4:$B$35,2,FALSE)</f>
        <v>390</v>
      </c>
      <c r="H256" s="59" t="str">
        <f>BOM!$C$4</f>
        <v>VGW-103</v>
      </c>
      <c r="I256" s="59" t="str">
        <f>IFERROR(VLOOKUP(Tabelle32[[#This Row],[Device ID]],BOM!$B$3:$BQ$35,12,FALSE),"")</f>
        <v>Videoserver</v>
      </c>
      <c r="J256" s="59" t="str">
        <f>IFERROR(VLOOKUP(Tabelle32[[#This Row],[Device ID]],BOM!$B$3:$BQ$35,13,FALSE),"")</f>
        <v>TC.U1.223 | MDC</v>
      </c>
      <c r="K256" s="59" t="str">
        <f>IFERROR(VLOOKUP(Tabelle32[[#This Row],[Device ID]],BOM!$B$3:$BQ$35,14,FALSE),"")</f>
        <v>Imagine Comunications</v>
      </c>
      <c r="L256" s="59" t="str">
        <f>IFERROR(VLOOKUP(Tabelle32[[#This Row],[Device ID]],BOM!$B$3:$BQ$35,16,FALSE),"")</f>
        <v>IngSRV-07</v>
      </c>
      <c r="M256" s="63" t="str">
        <f>IFERROR(VLOOKUP(Tabelle32[[#This Row],[Device ID]],BOM!$B$3:$BQ$35,17,FALSE),"")</f>
        <v>M3H</v>
      </c>
      <c r="N256" s="59" t="str">
        <f>IFERROR(VLOOKUP(Tabelle32[[#This Row],[Device ID]],BOM!$B$3:$BQ$35,18,FALSE),"")</f>
        <v>TC.03.225 | M3H</v>
      </c>
      <c r="O256" s="64"/>
      <c r="P256" s="64">
        <f>IFERROR(VLOOKUP(Tabelle32[[#This Row],[Device ID]],BOM!$B$3:$BO$50,20,FALSE),"")</f>
        <v>0</v>
      </c>
      <c r="Q256" s="64">
        <f>IFERROR(VLOOKUP(Tabelle32[[#This Row],[Device ID]],BOM!$B$3:$BO$50,21,FALSE),"")</f>
        <v>1</v>
      </c>
      <c r="R256" s="64">
        <f>IFERROR(VLOOKUP(Tabelle32[[#This Row],[Device ID]],BOM!$B$3:$BO$50,22,FALSE),"")</f>
        <v>0</v>
      </c>
      <c r="S256" s="64"/>
      <c r="T256" s="64"/>
      <c r="U256" s="59" t="str">
        <f>IFERROR(VLOOKUP(Tabelle32[[#This Row],[Device ID]],BOM!$B$3:$BQ$35,25,FALSE),"")</f>
        <v>Luis/Ivo</v>
      </c>
      <c r="V256" s="59" t="str">
        <f>IFERROR(VLOOKUP(Tabelle32[[#This Row],[Device ID]],BOM!$B$3:$BQ$35,26,FALSE),"")</f>
        <v>tpco-megw-vgw103.rta.st-net.media.int</v>
      </c>
      <c r="W256" s="59" t="str">
        <f>IFERROR(VLOOKUP(Tabelle32[[#This Row],[Device ID]],BOM!$B$3:$BQ$35,27,FALSE),"")</f>
        <v>10.120.236.50</v>
      </c>
      <c r="X256" s="59" t="str">
        <f>IFERROR(VLOOKUP(Tabelle32[[#This Row],[Device ID]],BOM!$B$3:$BQ$35,28,FALSE),"")</f>
        <v>AVCoreA</v>
      </c>
      <c r="Y256" s="59" t="str">
        <f>IFERROR(VLOOKUP(Tabelle32[[#This Row],[Device ID]],BOM!$B$3:$BQ$35,29,FALSE),"")</f>
        <v>5_36_1</v>
      </c>
      <c r="Z256" s="59" t="str">
        <f>IFERROR(VLOOKUP(Tabelle32[[#This Row],[Device ID]],BOM!$B$3:$BQ$35,30,FALSE),"")</f>
        <v>tpco-megw-vgw103.rtb.st-net.media.int</v>
      </c>
      <c r="AA256" s="59" t="str">
        <f>IFERROR(VLOOKUP(Tabelle32[[#This Row],[Device ID]],BOM!$B$3:$BQ$35,31,FALSE),"")</f>
        <v>10.120.236.54</v>
      </c>
      <c r="AB256" s="59" t="str">
        <f>IFERROR(VLOOKUP(Tabelle32[[#This Row],[Device ID]],BOM!$B$3:$BQ$35,32,FALSE),"")</f>
        <v>AVCoreB</v>
      </c>
      <c r="AC256" s="59" t="str">
        <f>IFERROR(VLOOKUP(Tabelle32[[#This Row],[Device ID]],BOM!$B$3:$BQ$35,33,FALSE),"")</f>
        <v>5_36_1</v>
      </c>
      <c r="AD256" s="59" t="str">
        <f>IFERROR(VLOOKUP(Tabelle32[[#This Row],[Device ID]],BOM!$B$3:$BQ$35,34,FALSE),"")</f>
        <v>tpco-megw-vgw103.st-net.media.int</v>
      </c>
      <c r="AE256" s="59" t="str">
        <f>IFERROR(VLOOKUP(Tabelle32[[#This Row],[Device ID]],BOM!$B$3:$BQ$35,35,FALSE),"")</f>
        <v>10.120.67.141</v>
      </c>
      <c r="AF256" s="59">
        <f>IFERROR(VLOOKUP(Tabelle32[[#This Row],[Device ID]],BOM!$B$3:$BQ$35,36,FALSE),"")</f>
        <v>0</v>
      </c>
      <c r="AG256" s="59">
        <f>IFERROR(VLOOKUP(Tabelle32[[#This Row],[Device ID]],BOM!$B$3:$BQ$35,37,FALSE),"")</f>
        <v>0</v>
      </c>
      <c r="AH256" s="59"/>
      <c r="AI256" s="59"/>
      <c r="AJ256" s="59"/>
      <c r="AK256" s="59"/>
      <c r="AL256" s="59" t="str">
        <f>IFERROR(VLOOKUP(Tabelle32[[#This Row],[Device ID]],BOM!$B$3:$BQ$35,42,FALSE),"")</f>
        <v>Imagine Communications SNP</v>
      </c>
      <c r="AM256" s="59" t="str">
        <f>IFERROR(VLOOKUP(Tabelle32[[#This Row],[Device ID]],BOM!$B$3:$BQ$35,43,FALSE),"")</f>
        <v>no</v>
      </c>
      <c r="AN256" s="59" t="str">
        <f>IFERROR(VLOOKUP(Tabelle32[[#This Row],[Device ID]],BOM!$B$3:$BQ$35,44,FALSE),"")</f>
        <v>yes</v>
      </c>
      <c r="AO256" s="59" t="str">
        <f>IFERROR(VLOOKUP(Tabelle32[[#This Row],[Device ID]],BOM!$B$3:$BQ$35,45,FALSE),"")</f>
        <v>no</v>
      </c>
      <c r="AP256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56" s="59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90"/>
      <c r="BC256" s="90"/>
      <c r="BD256" s="90"/>
      <c r="BE256" s="90"/>
      <c r="BF256" s="90"/>
      <c r="BG256" s="90"/>
      <c r="BH256" s="73" t="s">
        <v>199</v>
      </c>
      <c r="BI256" s="30" t="str">
        <f>IF(COUNTA(Tabelle32[[#This Row],[Type:Vid_1080i50]:[Type:Anc_Prot]])&gt;0,"x","")</f>
        <v/>
      </c>
      <c r="BJ25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56" s="59"/>
      <c r="BL256" s="59"/>
      <c r="BM256" s="63"/>
      <c r="BN256" s="63"/>
      <c r="BO256" s="96"/>
      <c r="BP256" s="96"/>
      <c r="BQ256" s="75">
        <f>LEN(Tabelle32[[#This Row],[Label 1
GFX-Unit]])</f>
        <v>0</v>
      </c>
      <c r="BR256" s="63"/>
      <c r="BS256" s="63"/>
      <c r="BT256" s="59"/>
      <c r="BU256" s="59"/>
      <c r="BV256" s="59" t="s">
        <v>205</v>
      </c>
      <c r="BW256" s="59" t="s">
        <v>206</v>
      </c>
      <c r="BX256" s="59" t="s">
        <v>597</v>
      </c>
      <c r="BY256" s="59">
        <v>13</v>
      </c>
    </row>
    <row r="257" spans="1:77" hidden="1" x14ac:dyDescent="0.2">
      <c r="A257" s="58" t="str">
        <f>CONCATENATE(Tabelle32[[#This Row],[Device ID]],".",Tabelle32[[#This Row],[Streamcounter]])</f>
        <v>390.13303</v>
      </c>
      <c r="B25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VGW-103_SDI13_ANCrec_0003</v>
      </c>
      <c r="C257" s="60"/>
      <c r="D257" s="61"/>
      <c r="E257" s="62"/>
      <c r="F257" s="59" t="str">
        <f>IFERROR(VLOOKUP(Tabelle32[[#This Row],[Device ID]],BOM!$B$3:$BQ$35,16,FALSE),"")</f>
        <v>IngSRV-07</v>
      </c>
      <c r="G257" s="63">
        <f>VLOOKUP(Tabelle32[[#This Row],[SDI Interface]],BOM!$A$4:$B$35,2,FALSE)</f>
        <v>390</v>
      </c>
      <c r="H257" s="59" t="str">
        <f>BOM!$C$4</f>
        <v>VGW-103</v>
      </c>
      <c r="I257" s="59" t="str">
        <f>IFERROR(VLOOKUP(Tabelle32[[#This Row],[Device ID]],BOM!$B$3:$BQ$35,12,FALSE),"")</f>
        <v>Videoserver</v>
      </c>
      <c r="J257" s="59" t="str">
        <f>IFERROR(VLOOKUP(Tabelle32[[#This Row],[Device ID]],BOM!$B$3:$BQ$35,13,FALSE),"")</f>
        <v>TC.U1.223 | MDC</v>
      </c>
      <c r="K257" s="59" t="str">
        <f>IFERROR(VLOOKUP(Tabelle32[[#This Row],[Device ID]],BOM!$B$3:$BQ$35,14,FALSE),"")</f>
        <v>Imagine Comunications</v>
      </c>
      <c r="L257" s="59" t="str">
        <f>IFERROR(VLOOKUP(Tabelle32[[#This Row],[Device ID]],BOM!$B$3:$BQ$35,16,FALSE),"")</f>
        <v>IngSRV-07</v>
      </c>
      <c r="M257" s="63" t="str">
        <f>IFERROR(VLOOKUP(Tabelle32[[#This Row],[Device ID]],BOM!$B$3:$BQ$35,17,FALSE),"")</f>
        <v>M3H</v>
      </c>
      <c r="N257" s="59" t="str">
        <f>IFERROR(VLOOKUP(Tabelle32[[#This Row],[Device ID]],BOM!$B$3:$BQ$35,18,FALSE),"")</f>
        <v>TC.03.225 | M3H</v>
      </c>
      <c r="O257" s="64"/>
      <c r="P257" s="64">
        <f>IFERROR(VLOOKUP(Tabelle32[[#This Row],[Device ID]],BOM!$B$3:$BO$50,20,FALSE),"")</f>
        <v>0</v>
      </c>
      <c r="Q257" s="64">
        <f>IFERROR(VLOOKUP(Tabelle32[[#This Row],[Device ID]],BOM!$B$3:$BO$50,21,FALSE),"")</f>
        <v>1</v>
      </c>
      <c r="R257" s="64">
        <f>IFERROR(VLOOKUP(Tabelle32[[#This Row],[Device ID]],BOM!$B$3:$BO$50,22,FALSE),"")</f>
        <v>0</v>
      </c>
      <c r="S257" s="64"/>
      <c r="T257" s="64"/>
      <c r="U257" s="59" t="str">
        <f>IFERROR(VLOOKUP(Tabelle32[[#This Row],[Device ID]],BOM!$B$3:$BQ$35,25,FALSE),"")</f>
        <v>Luis/Ivo</v>
      </c>
      <c r="V257" s="59" t="str">
        <f>IFERROR(VLOOKUP(Tabelle32[[#This Row],[Device ID]],BOM!$B$3:$BQ$35,26,FALSE),"")</f>
        <v>tpco-megw-vgw103.rta.st-net.media.int</v>
      </c>
      <c r="W257" s="59" t="str">
        <f>IFERROR(VLOOKUP(Tabelle32[[#This Row],[Device ID]],BOM!$B$3:$BQ$35,27,FALSE),"")</f>
        <v>10.120.236.50</v>
      </c>
      <c r="X257" s="59" t="str">
        <f>IFERROR(VLOOKUP(Tabelle32[[#This Row],[Device ID]],BOM!$B$3:$BQ$35,28,FALSE),"")</f>
        <v>AVCoreA</v>
      </c>
      <c r="Y257" s="59" t="str">
        <f>IFERROR(VLOOKUP(Tabelle32[[#This Row],[Device ID]],BOM!$B$3:$BQ$35,29,FALSE),"")</f>
        <v>5_36_1</v>
      </c>
      <c r="Z257" s="59" t="str">
        <f>IFERROR(VLOOKUP(Tabelle32[[#This Row],[Device ID]],BOM!$B$3:$BQ$35,30,FALSE),"")</f>
        <v>tpco-megw-vgw103.rtb.st-net.media.int</v>
      </c>
      <c r="AA257" s="59" t="str">
        <f>IFERROR(VLOOKUP(Tabelle32[[#This Row],[Device ID]],BOM!$B$3:$BQ$35,31,FALSE),"")</f>
        <v>10.120.236.54</v>
      </c>
      <c r="AB257" s="59" t="str">
        <f>IFERROR(VLOOKUP(Tabelle32[[#This Row],[Device ID]],BOM!$B$3:$BQ$35,32,FALSE),"")</f>
        <v>AVCoreB</v>
      </c>
      <c r="AC257" s="59" t="str">
        <f>IFERROR(VLOOKUP(Tabelle32[[#This Row],[Device ID]],BOM!$B$3:$BQ$35,33,FALSE),"")</f>
        <v>5_36_1</v>
      </c>
      <c r="AD257" s="59" t="str">
        <f>IFERROR(VLOOKUP(Tabelle32[[#This Row],[Device ID]],BOM!$B$3:$BQ$35,34,FALSE),"")</f>
        <v>tpco-megw-vgw103.st-net.media.int</v>
      </c>
      <c r="AE257" s="59" t="str">
        <f>IFERROR(VLOOKUP(Tabelle32[[#This Row],[Device ID]],BOM!$B$3:$BQ$35,35,FALSE),"")</f>
        <v>10.120.67.141</v>
      </c>
      <c r="AF257" s="59">
        <f>IFERROR(VLOOKUP(Tabelle32[[#This Row],[Device ID]],BOM!$B$3:$BQ$35,36,FALSE),"")</f>
        <v>0</v>
      </c>
      <c r="AG257" s="59">
        <f>IFERROR(VLOOKUP(Tabelle32[[#This Row],[Device ID]],BOM!$B$3:$BQ$35,37,FALSE),"")</f>
        <v>0</v>
      </c>
      <c r="AH257" s="59"/>
      <c r="AI257" s="59"/>
      <c r="AJ257" s="59"/>
      <c r="AK257" s="59"/>
      <c r="AL257" s="59" t="str">
        <f>IFERROR(VLOOKUP(Tabelle32[[#This Row],[Device ID]],BOM!$B$3:$BQ$35,42,FALSE),"")</f>
        <v>Imagine Communications SNP</v>
      </c>
      <c r="AM257" s="59" t="str">
        <f>IFERROR(VLOOKUP(Tabelle32[[#This Row],[Device ID]],BOM!$B$3:$BQ$35,43,FALSE),"")</f>
        <v>no</v>
      </c>
      <c r="AN257" s="59" t="str">
        <f>IFERROR(VLOOKUP(Tabelle32[[#This Row],[Device ID]],BOM!$B$3:$BQ$35,44,FALSE),"")</f>
        <v>yes</v>
      </c>
      <c r="AO257" s="59" t="str">
        <f>IFERROR(VLOOKUP(Tabelle32[[#This Row],[Device ID]],BOM!$B$3:$BQ$35,45,FALSE),"")</f>
        <v>no</v>
      </c>
      <c r="AP257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57" s="59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90"/>
      <c r="BC257" s="90"/>
      <c r="BD257" s="90"/>
      <c r="BE257" s="90"/>
      <c r="BF257" s="90"/>
      <c r="BG257" s="90"/>
      <c r="BH257" s="73" t="s">
        <v>199</v>
      </c>
      <c r="BI257" s="30" t="str">
        <f>IF(COUNTA(Tabelle32[[#This Row],[Type:Vid_1080i50]:[Type:Anc_Prot]])&gt;0,"x","")</f>
        <v/>
      </c>
      <c r="BJ25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57" s="59"/>
      <c r="BL257" s="59"/>
      <c r="BM257" s="63"/>
      <c r="BN257" s="63"/>
      <c r="BO257" s="96"/>
      <c r="BP257" s="96"/>
      <c r="BQ257" s="75">
        <f>LEN(Tabelle32[[#This Row],[Label 1
GFX-Unit]])</f>
        <v>0</v>
      </c>
      <c r="BR257" s="63"/>
      <c r="BS257" s="63"/>
      <c r="BT257" s="59"/>
      <c r="BU257" s="59"/>
      <c r="BV257" s="59" t="s">
        <v>208</v>
      </c>
      <c r="BW257" s="59" t="s">
        <v>209</v>
      </c>
      <c r="BX257" s="59" t="s">
        <v>598</v>
      </c>
      <c r="BY257" s="59">
        <v>13</v>
      </c>
    </row>
    <row r="258" spans="1:77" hidden="1" x14ac:dyDescent="0.2">
      <c r="A258" s="58" t="str">
        <f>CONCATENATE(Tabelle32[[#This Row],[Device ID]],".",Tabelle32[[#This Row],[Streamcounter]])</f>
        <v>390.13304</v>
      </c>
      <c r="B25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VGW-103_SDI13_ANCrec_0004</v>
      </c>
      <c r="C258" s="60"/>
      <c r="D258" s="61"/>
      <c r="E258" s="62"/>
      <c r="F258" s="59" t="str">
        <f>IFERROR(VLOOKUP(Tabelle32[[#This Row],[Device ID]],BOM!$B$3:$BQ$35,16,FALSE),"")</f>
        <v>IngSRV-07</v>
      </c>
      <c r="G258" s="63">
        <f>VLOOKUP(Tabelle32[[#This Row],[SDI Interface]],BOM!$A$4:$B$35,2,FALSE)</f>
        <v>390</v>
      </c>
      <c r="H258" s="59" t="str">
        <f>BOM!$C$4</f>
        <v>VGW-103</v>
      </c>
      <c r="I258" s="59" t="str">
        <f>IFERROR(VLOOKUP(Tabelle32[[#This Row],[Device ID]],BOM!$B$3:$BQ$35,12,FALSE),"")</f>
        <v>Videoserver</v>
      </c>
      <c r="J258" s="59" t="str">
        <f>IFERROR(VLOOKUP(Tabelle32[[#This Row],[Device ID]],BOM!$B$3:$BQ$35,13,FALSE),"")</f>
        <v>TC.U1.223 | MDC</v>
      </c>
      <c r="K258" s="59" t="str">
        <f>IFERROR(VLOOKUP(Tabelle32[[#This Row],[Device ID]],BOM!$B$3:$BQ$35,14,FALSE),"")</f>
        <v>Imagine Comunications</v>
      </c>
      <c r="L258" s="59" t="str">
        <f>IFERROR(VLOOKUP(Tabelle32[[#This Row],[Device ID]],BOM!$B$3:$BQ$35,16,FALSE),"")</f>
        <v>IngSRV-07</v>
      </c>
      <c r="M258" s="63" t="str">
        <f>IFERROR(VLOOKUP(Tabelle32[[#This Row],[Device ID]],BOM!$B$3:$BQ$35,17,FALSE),"")</f>
        <v>M3H</v>
      </c>
      <c r="N258" s="59" t="str">
        <f>IFERROR(VLOOKUP(Tabelle32[[#This Row],[Device ID]],BOM!$B$3:$BQ$35,18,FALSE),"")</f>
        <v>TC.03.225 | M3H</v>
      </c>
      <c r="O258" s="64"/>
      <c r="P258" s="64">
        <f>IFERROR(VLOOKUP(Tabelle32[[#This Row],[Device ID]],BOM!$B$3:$BO$50,20,FALSE),"")</f>
        <v>0</v>
      </c>
      <c r="Q258" s="64">
        <f>IFERROR(VLOOKUP(Tabelle32[[#This Row],[Device ID]],BOM!$B$3:$BO$50,21,FALSE),"")</f>
        <v>1</v>
      </c>
      <c r="R258" s="64">
        <f>IFERROR(VLOOKUP(Tabelle32[[#This Row],[Device ID]],BOM!$B$3:$BO$50,22,FALSE),"")</f>
        <v>0</v>
      </c>
      <c r="S258" s="64"/>
      <c r="T258" s="64"/>
      <c r="U258" s="59" t="str">
        <f>IFERROR(VLOOKUP(Tabelle32[[#This Row],[Device ID]],BOM!$B$3:$BQ$35,25,FALSE),"")</f>
        <v>Luis/Ivo</v>
      </c>
      <c r="V258" s="59" t="str">
        <f>IFERROR(VLOOKUP(Tabelle32[[#This Row],[Device ID]],BOM!$B$3:$BQ$35,26,FALSE),"")</f>
        <v>tpco-megw-vgw103.rta.st-net.media.int</v>
      </c>
      <c r="W258" s="59" t="str">
        <f>IFERROR(VLOOKUP(Tabelle32[[#This Row],[Device ID]],BOM!$B$3:$BQ$35,27,FALSE),"")</f>
        <v>10.120.236.50</v>
      </c>
      <c r="X258" s="59" t="str">
        <f>IFERROR(VLOOKUP(Tabelle32[[#This Row],[Device ID]],BOM!$B$3:$BQ$35,28,FALSE),"")</f>
        <v>AVCoreA</v>
      </c>
      <c r="Y258" s="59" t="str">
        <f>IFERROR(VLOOKUP(Tabelle32[[#This Row],[Device ID]],BOM!$B$3:$BQ$35,29,FALSE),"")</f>
        <v>5_36_1</v>
      </c>
      <c r="Z258" s="59" t="str">
        <f>IFERROR(VLOOKUP(Tabelle32[[#This Row],[Device ID]],BOM!$B$3:$BQ$35,30,FALSE),"")</f>
        <v>tpco-megw-vgw103.rtb.st-net.media.int</v>
      </c>
      <c r="AA258" s="59" t="str">
        <f>IFERROR(VLOOKUP(Tabelle32[[#This Row],[Device ID]],BOM!$B$3:$BQ$35,31,FALSE),"")</f>
        <v>10.120.236.54</v>
      </c>
      <c r="AB258" s="59" t="str">
        <f>IFERROR(VLOOKUP(Tabelle32[[#This Row],[Device ID]],BOM!$B$3:$BQ$35,32,FALSE),"")</f>
        <v>AVCoreB</v>
      </c>
      <c r="AC258" s="59" t="str">
        <f>IFERROR(VLOOKUP(Tabelle32[[#This Row],[Device ID]],BOM!$B$3:$BQ$35,33,FALSE),"")</f>
        <v>5_36_1</v>
      </c>
      <c r="AD258" s="59" t="str">
        <f>IFERROR(VLOOKUP(Tabelle32[[#This Row],[Device ID]],BOM!$B$3:$BQ$35,34,FALSE),"")</f>
        <v>tpco-megw-vgw103.st-net.media.int</v>
      </c>
      <c r="AE258" s="59" t="str">
        <f>IFERROR(VLOOKUP(Tabelle32[[#This Row],[Device ID]],BOM!$B$3:$BQ$35,35,FALSE),"")</f>
        <v>10.120.67.141</v>
      </c>
      <c r="AF258" s="59">
        <f>IFERROR(VLOOKUP(Tabelle32[[#This Row],[Device ID]],BOM!$B$3:$BQ$35,36,FALSE),"")</f>
        <v>0</v>
      </c>
      <c r="AG258" s="59">
        <f>IFERROR(VLOOKUP(Tabelle32[[#This Row],[Device ID]],BOM!$B$3:$BQ$35,37,FALSE),"")</f>
        <v>0</v>
      </c>
      <c r="AH258" s="59"/>
      <c r="AI258" s="59"/>
      <c r="AJ258" s="59"/>
      <c r="AK258" s="59"/>
      <c r="AL258" s="59" t="str">
        <f>IFERROR(VLOOKUP(Tabelle32[[#This Row],[Device ID]],BOM!$B$3:$BQ$35,42,FALSE),"")</f>
        <v>Imagine Communications SNP</v>
      </c>
      <c r="AM258" s="59" t="str">
        <f>IFERROR(VLOOKUP(Tabelle32[[#This Row],[Device ID]],BOM!$B$3:$BQ$35,43,FALSE),"")</f>
        <v>no</v>
      </c>
      <c r="AN258" s="59" t="str">
        <f>IFERROR(VLOOKUP(Tabelle32[[#This Row],[Device ID]],BOM!$B$3:$BQ$35,44,FALSE),"")</f>
        <v>yes</v>
      </c>
      <c r="AO258" s="59" t="str">
        <f>IFERROR(VLOOKUP(Tabelle32[[#This Row],[Device ID]],BOM!$B$3:$BQ$35,45,FALSE),"")</f>
        <v>no</v>
      </c>
      <c r="AP258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58" s="59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90"/>
      <c r="BC258" s="90"/>
      <c r="BD258" s="90"/>
      <c r="BE258" s="90"/>
      <c r="BF258" s="90"/>
      <c r="BG258" s="90"/>
      <c r="BH258" s="73" t="s">
        <v>199</v>
      </c>
      <c r="BI258" s="30" t="str">
        <f>IF(COUNTA(Tabelle32[[#This Row],[Type:Vid_1080i50]:[Type:Anc_Prot]])&gt;0,"x","")</f>
        <v/>
      </c>
      <c r="BJ25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58" s="59"/>
      <c r="BL258" s="59"/>
      <c r="BM258" s="63"/>
      <c r="BN258" s="63"/>
      <c r="BO258" s="96"/>
      <c r="BP258" s="96"/>
      <c r="BQ258" s="75">
        <f>LEN(Tabelle32[[#This Row],[Label 1
GFX-Unit]])</f>
        <v>0</v>
      </c>
      <c r="BR258" s="63"/>
      <c r="BS258" s="63"/>
      <c r="BT258" s="59"/>
      <c r="BU258" s="59"/>
      <c r="BV258" s="59" t="s">
        <v>211</v>
      </c>
      <c r="BW258" s="59" t="s">
        <v>212</v>
      </c>
      <c r="BX258" s="59" t="s">
        <v>599</v>
      </c>
      <c r="BY258" s="59">
        <v>13</v>
      </c>
    </row>
    <row r="259" spans="1:77" x14ac:dyDescent="0.2">
      <c r="A259" s="58" t="str">
        <f>CONCATENATE(Tabelle32[[#This Row],[Device ID]],".",Tabelle32[[#This Row],[Streamcounter]])</f>
        <v>390.13201</v>
      </c>
      <c r="B25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VGW-103_SDI13_AUDrec_0001</v>
      </c>
      <c r="C259" s="60"/>
      <c r="D259" s="61"/>
      <c r="E259" s="62"/>
      <c r="F259" s="59" t="str">
        <f>IFERROR(VLOOKUP(Tabelle32[[#This Row],[Device ID]],BOM!$B$3:$BQ$35,16,FALSE),"")</f>
        <v>IngSRV-07</v>
      </c>
      <c r="G259" s="63">
        <f>VLOOKUP(Tabelle32[[#This Row],[SDI Interface]],BOM!$A$4:$B$35,2,FALSE)</f>
        <v>390</v>
      </c>
      <c r="H259" s="59" t="str">
        <f>BOM!$C$4</f>
        <v>VGW-103</v>
      </c>
      <c r="I259" s="59" t="str">
        <f>IFERROR(VLOOKUP(Tabelle32[[#This Row],[Device ID]],BOM!$B$3:$BQ$35,12,FALSE),"")</f>
        <v>Videoserver</v>
      </c>
      <c r="J259" s="59" t="str">
        <f>IFERROR(VLOOKUP(Tabelle32[[#This Row],[Device ID]],BOM!$B$3:$BQ$35,13,FALSE),"")</f>
        <v>TC.U1.223 | MDC</v>
      </c>
      <c r="K259" s="59" t="str">
        <f>IFERROR(VLOOKUP(Tabelle32[[#This Row],[Device ID]],BOM!$B$3:$BQ$35,14,FALSE),"")</f>
        <v>Imagine Comunications</v>
      </c>
      <c r="L259" s="59" t="str">
        <f>IFERROR(VLOOKUP(Tabelle32[[#This Row],[Device ID]],BOM!$B$3:$BQ$35,16,FALSE),"")</f>
        <v>IngSRV-07</v>
      </c>
      <c r="M259" s="63" t="str">
        <f>IFERROR(VLOOKUP(Tabelle32[[#This Row],[Device ID]],BOM!$B$3:$BQ$35,17,FALSE),"")</f>
        <v>M3H</v>
      </c>
      <c r="N259" s="59" t="str">
        <f>IFERROR(VLOOKUP(Tabelle32[[#This Row],[Device ID]],BOM!$B$3:$BQ$35,18,FALSE),"")</f>
        <v>TC.03.225 | M3H</v>
      </c>
      <c r="O259" s="64"/>
      <c r="P259" s="64">
        <f>IFERROR(VLOOKUP(Tabelle32[[#This Row],[Device ID]],BOM!$B$3:$BO$50,20,FALSE),"")</f>
        <v>0</v>
      </c>
      <c r="Q259" s="64">
        <f>IFERROR(VLOOKUP(Tabelle32[[#This Row],[Device ID]],BOM!$B$3:$BO$50,21,FALSE),"")</f>
        <v>1</v>
      </c>
      <c r="R259" s="64">
        <f>IFERROR(VLOOKUP(Tabelle32[[#This Row],[Device ID]],BOM!$B$3:$BO$50,22,FALSE),"")</f>
        <v>0</v>
      </c>
      <c r="S259" s="64"/>
      <c r="T259" s="64"/>
      <c r="U259" s="59" t="str">
        <f>IFERROR(VLOOKUP(Tabelle32[[#This Row],[Device ID]],BOM!$B$3:$BQ$35,25,FALSE),"")</f>
        <v>Luis/Ivo</v>
      </c>
      <c r="V259" s="59" t="str">
        <f>IFERROR(VLOOKUP(Tabelle32[[#This Row],[Device ID]],BOM!$B$3:$BQ$35,26,FALSE),"")</f>
        <v>tpco-megw-vgw103.rta.st-net.media.int</v>
      </c>
      <c r="W259" s="59" t="str">
        <f>IFERROR(VLOOKUP(Tabelle32[[#This Row],[Device ID]],BOM!$B$3:$BQ$35,27,FALSE),"")</f>
        <v>10.120.236.50</v>
      </c>
      <c r="X259" s="59" t="str">
        <f>IFERROR(VLOOKUP(Tabelle32[[#This Row],[Device ID]],BOM!$B$3:$BQ$35,28,FALSE),"")</f>
        <v>AVCoreA</v>
      </c>
      <c r="Y259" s="59" t="str">
        <f>IFERROR(VLOOKUP(Tabelle32[[#This Row],[Device ID]],BOM!$B$3:$BQ$35,29,FALSE),"")</f>
        <v>5_36_1</v>
      </c>
      <c r="Z259" s="59" t="str">
        <f>IFERROR(VLOOKUP(Tabelle32[[#This Row],[Device ID]],BOM!$B$3:$BQ$35,30,FALSE),"")</f>
        <v>tpco-megw-vgw103.rtb.st-net.media.int</v>
      </c>
      <c r="AA259" s="59" t="str">
        <f>IFERROR(VLOOKUP(Tabelle32[[#This Row],[Device ID]],BOM!$B$3:$BQ$35,31,FALSE),"")</f>
        <v>10.120.236.54</v>
      </c>
      <c r="AB259" s="59" t="str">
        <f>IFERROR(VLOOKUP(Tabelle32[[#This Row],[Device ID]],BOM!$B$3:$BQ$35,32,FALSE),"")</f>
        <v>AVCoreB</v>
      </c>
      <c r="AC259" s="59" t="str">
        <f>IFERROR(VLOOKUP(Tabelle32[[#This Row],[Device ID]],BOM!$B$3:$BQ$35,33,FALSE),"")</f>
        <v>5_36_1</v>
      </c>
      <c r="AD259" s="59" t="str">
        <f>IFERROR(VLOOKUP(Tabelle32[[#This Row],[Device ID]],BOM!$B$3:$BQ$35,34,FALSE),"")</f>
        <v>tpco-megw-vgw103.st-net.media.int</v>
      </c>
      <c r="AE259" s="59" t="str">
        <f>IFERROR(VLOOKUP(Tabelle32[[#This Row],[Device ID]],BOM!$B$3:$BQ$35,35,FALSE),"")</f>
        <v>10.120.67.141</v>
      </c>
      <c r="AF259" s="59">
        <f>IFERROR(VLOOKUP(Tabelle32[[#This Row],[Device ID]],BOM!$B$3:$BQ$35,36,FALSE),"")</f>
        <v>0</v>
      </c>
      <c r="AG259" s="59">
        <f>IFERROR(VLOOKUP(Tabelle32[[#This Row],[Device ID]],BOM!$B$3:$BQ$35,37,FALSE),"")</f>
        <v>0</v>
      </c>
      <c r="AH259" s="59"/>
      <c r="AI259" s="59"/>
      <c r="AJ259" s="59"/>
      <c r="AK259" s="59"/>
      <c r="AL259" s="59" t="str">
        <f>IFERROR(VLOOKUP(Tabelle32[[#This Row],[Device ID]],BOM!$B$3:$BQ$35,42,FALSE),"")</f>
        <v>Imagine Communications SNP</v>
      </c>
      <c r="AM259" s="59" t="str">
        <f>IFERROR(VLOOKUP(Tabelle32[[#This Row],[Device ID]],BOM!$B$3:$BQ$35,43,FALSE),"")</f>
        <v>no</v>
      </c>
      <c r="AN259" s="59" t="str">
        <f>IFERROR(VLOOKUP(Tabelle32[[#This Row],[Device ID]],BOM!$B$3:$BQ$35,44,FALSE),"")</f>
        <v>yes</v>
      </c>
      <c r="AO259" s="59" t="str">
        <f>IFERROR(VLOOKUP(Tabelle32[[#This Row],[Device ID]],BOM!$B$3:$BQ$35,45,FALSE),"")</f>
        <v>no</v>
      </c>
      <c r="AP259" s="59" t="str">
        <f>IFERROR(CONCATENATE(Tabelle32[[#This Row],[Family
GFX-Unit]]," | ",Tabelle32[[#This Row],[Label 1
GFX-Unit]]," | ",Tabelle32[[#This Row],[Attached Device if Gateway]]),"")</f>
        <v>M3H InCh 1zu1 | Ingest Ch25-01 | IngSRV-07</v>
      </c>
      <c r="AQ259" s="59"/>
      <c r="AR259" s="90"/>
      <c r="AS259" s="90"/>
      <c r="AT259" s="90"/>
      <c r="AU259" s="90"/>
      <c r="AV259" s="90"/>
      <c r="AW259" s="90" t="s">
        <v>97</v>
      </c>
      <c r="AX259" s="90"/>
      <c r="AY259" s="90"/>
      <c r="AZ259" s="90" t="s">
        <v>97</v>
      </c>
      <c r="BA259" s="90"/>
      <c r="BB259" s="90" t="s">
        <v>97</v>
      </c>
      <c r="BC259" s="90" t="s">
        <v>97</v>
      </c>
      <c r="BD259" s="90"/>
      <c r="BE259" s="90"/>
      <c r="BF259" s="90"/>
      <c r="BG259" s="90"/>
      <c r="BH259" s="73" t="s">
        <v>199</v>
      </c>
      <c r="BI259" s="30" t="str">
        <f>IF(COUNTA(Tabelle32[[#This Row],[Type:Vid_1080i50]:[Type:Anc_Prot]])&gt;0,"x","")</f>
        <v>x</v>
      </c>
      <c r="BJ25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59" s="59"/>
      <c r="BL259" s="59"/>
      <c r="BM259" s="63"/>
      <c r="BN259" s="63"/>
      <c r="BO259" s="97" t="s">
        <v>663</v>
      </c>
      <c r="BP259" s="97" t="s">
        <v>600</v>
      </c>
      <c r="BQ259" s="75">
        <f>LEN(Tabelle32[[#This Row],[Label 1
GFX-Unit]])</f>
        <v>14</v>
      </c>
      <c r="BR259" s="63"/>
      <c r="BS259" s="63"/>
      <c r="BT259" s="59"/>
      <c r="BU259" s="59"/>
      <c r="BV259" s="59" t="s">
        <v>214</v>
      </c>
      <c r="BW259" s="59" t="s">
        <v>215</v>
      </c>
      <c r="BX259" s="59" t="s">
        <v>601</v>
      </c>
      <c r="BY259" s="59">
        <v>13</v>
      </c>
    </row>
    <row r="260" spans="1:77" x14ac:dyDescent="0.2">
      <c r="A260" s="58" t="str">
        <f>CONCATENATE(Tabelle32[[#This Row],[Device ID]],".",Tabelle32[[#This Row],[Streamcounter]])</f>
        <v>390.13202</v>
      </c>
      <c r="B26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VGW-103_SDI13_AUDrec_0002</v>
      </c>
      <c r="C260" s="67"/>
      <c r="D260" s="61"/>
      <c r="E260" s="67"/>
      <c r="F260" s="59" t="str">
        <f>IFERROR(VLOOKUP(Tabelle32[[#This Row],[Device ID]],BOM!$B$3:$BQ$35,16,FALSE),"")</f>
        <v>IngSRV-07</v>
      </c>
      <c r="G260" s="63">
        <f>VLOOKUP(Tabelle32[[#This Row],[SDI Interface]],BOM!$A$4:$B$35,2,FALSE)</f>
        <v>390</v>
      </c>
      <c r="H260" s="59" t="str">
        <f>BOM!$C$4</f>
        <v>VGW-103</v>
      </c>
      <c r="I260" s="59" t="str">
        <f>IFERROR(VLOOKUP(Tabelle32[[#This Row],[Device ID]],BOM!$B$3:$BQ$35,12,FALSE),"")</f>
        <v>Videoserver</v>
      </c>
      <c r="J260" s="59" t="str">
        <f>IFERROR(VLOOKUP(Tabelle32[[#This Row],[Device ID]],BOM!$B$3:$BQ$35,13,FALSE),"")</f>
        <v>TC.U1.223 | MDC</v>
      </c>
      <c r="K260" s="59" t="str">
        <f>IFERROR(VLOOKUP(Tabelle32[[#This Row],[Device ID]],BOM!$B$3:$BQ$35,14,FALSE),"")</f>
        <v>Imagine Comunications</v>
      </c>
      <c r="L260" s="59" t="str">
        <f>IFERROR(VLOOKUP(Tabelle32[[#This Row],[Device ID]],BOM!$B$3:$BQ$35,16,FALSE),"")</f>
        <v>IngSRV-07</v>
      </c>
      <c r="M260" s="63" t="str">
        <f>IFERROR(VLOOKUP(Tabelle32[[#This Row],[Device ID]],BOM!$B$3:$BQ$35,17,FALSE),"")</f>
        <v>M3H</v>
      </c>
      <c r="N260" s="59" t="str">
        <f>IFERROR(VLOOKUP(Tabelle32[[#This Row],[Device ID]],BOM!$B$3:$BQ$35,18,FALSE),"")</f>
        <v>TC.03.225 | M3H</v>
      </c>
      <c r="O260" s="64"/>
      <c r="P260" s="64">
        <f>IFERROR(VLOOKUP(Tabelle32[[#This Row],[Device ID]],BOM!$B$3:$BO$50,20,FALSE),"")</f>
        <v>0</v>
      </c>
      <c r="Q260" s="64">
        <f>IFERROR(VLOOKUP(Tabelle32[[#This Row],[Device ID]],BOM!$B$3:$BO$50,21,FALSE),"")</f>
        <v>1</v>
      </c>
      <c r="R260" s="64">
        <f>IFERROR(VLOOKUP(Tabelle32[[#This Row],[Device ID]],BOM!$B$3:$BO$50,22,FALSE),"")</f>
        <v>0</v>
      </c>
      <c r="S260" s="64"/>
      <c r="T260" s="64"/>
      <c r="U260" s="59" t="str">
        <f>IFERROR(VLOOKUP(Tabelle32[[#This Row],[Device ID]],BOM!$B$3:$BQ$35,25,FALSE),"")</f>
        <v>Luis/Ivo</v>
      </c>
      <c r="V260" s="59" t="str">
        <f>IFERROR(VLOOKUP(Tabelle32[[#This Row],[Device ID]],BOM!$B$3:$BQ$35,26,FALSE),"")</f>
        <v>tpco-megw-vgw103.rta.st-net.media.int</v>
      </c>
      <c r="W260" s="59" t="str">
        <f>IFERROR(VLOOKUP(Tabelle32[[#This Row],[Device ID]],BOM!$B$3:$BQ$35,27,FALSE),"")</f>
        <v>10.120.236.50</v>
      </c>
      <c r="X260" s="59" t="str">
        <f>IFERROR(VLOOKUP(Tabelle32[[#This Row],[Device ID]],BOM!$B$3:$BQ$35,28,FALSE),"")</f>
        <v>AVCoreA</v>
      </c>
      <c r="Y260" s="59" t="str">
        <f>IFERROR(VLOOKUP(Tabelle32[[#This Row],[Device ID]],BOM!$B$3:$BQ$35,29,FALSE),"")</f>
        <v>5_36_1</v>
      </c>
      <c r="Z260" s="59" t="str">
        <f>IFERROR(VLOOKUP(Tabelle32[[#This Row],[Device ID]],BOM!$B$3:$BQ$35,30,FALSE),"")</f>
        <v>tpco-megw-vgw103.rtb.st-net.media.int</v>
      </c>
      <c r="AA260" s="59" t="str">
        <f>IFERROR(VLOOKUP(Tabelle32[[#This Row],[Device ID]],BOM!$B$3:$BQ$35,31,FALSE),"")</f>
        <v>10.120.236.54</v>
      </c>
      <c r="AB260" s="59" t="str">
        <f>IFERROR(VLOOKUP(Tabelle32[[#This Row],[Device ID]],BOM!$B$3:$BQ$35,32,FALSE),"")</f>
        <v>AVCoreB</v>
      </c>
      <c r="AC260" s="59" t="str">
        <f>IFERROR(VLOOKUP(Tabelle32[[#This Row],[Device ID]],BOM!$B$3:$BQ$35,33,FALSE),"")</f>
        <v>5_36_1</v>
      </c>
      <c r="AD260" s="59" t="str">
        <f>IFERROR(VLOOKUP(Tabelle32[[#This Row],[Device ID]],BOM!$B$3:$BQ$35,34,FALSE),"")</f>
        <v>tpco-megw-vgw103.st-net.media.int</v>
      </c>
      <c r="AE260" s="59" t="str">
        <f>IFERROR(VLOOKUP(Tabelle32[[#This Row],[Device ID]],BOM!$B$3:$BQ$35,35,FALSE),"")</f>
        <v>10.120.67.141</v>
      </c>
      <c r="AF260" s="59">
        <f>IFERROR(VLOOKUP(Tabelle32[[#This Row],[Device ID]],BOM!$B$3:$BQ$35,36,FALSE),"")</f>
        <v>0</v>
      </c>
      <c r="AG260" s="59">
        <f>IFERROR(VLOOKUP(Tabelle32[[#This Row],[Device ID]],BOM!$B$3:$BQ$35,37,FALSE),"")</f>
        <v>0</v>
      </c>
      <c r="AH260" s="59"/>
      <c r="AI260" s="59"/>
      <c r="AJ260" s="59"/>
      <c r="AK260" s="59"/>
      <c r="AL260" s="59" t="str">
        <f>IFERROR(VLOOKUP(Tabelle32[[#This Row],[Device ID]],BOM!$B$3:$BQ$35,42,FALSE),"")</f>
        <v>Imagine Communications SNP</v>
      </c>
      <c r="AM260" s="59" t="str">
        <f>IFERROR(VLOOKUP(Tabelle32[[#This Row],[Device ID]],BOM!$B$3:$BQ$35,43,FALSE),"")</f>
        <v>no</v>
      </c>
      <c r="AN260" s="59" t="str">
        <f>IFERROR(VLOOKUP(Tabelle32[[#This Row],[Device ID]],BOM!$B$3:$BQ$35,44,FALSE),"")</f>
        <v>yes</v>
      </c>
      <c r="AO260" s="59" t="str">
        <f>IFERROR(VLOOKUP(Tabelle32[[#This Row],[Device ID]],BOM!$B$3:$BQ$35,45,FALSE),"")</f>
        <v>no</v>
      </c>
      <c r="AP260" s="59" t="str">
        <f>IFERROR(CONCATENATE(Tabelle32[[#This Row],[Family
GFX-Unit]]," | ",Tabelle32[[#This Row],[Label 1
GFX-Unit]]," | ",Tabelle32[[#This Row],[Attached Device if Gateway]]),"")</f>
        <v>M3H InCh 1zu1 | Ingest Ch25-02 | IngSRV-07</v>
      </c>
      <c r="AQ260" s="59"/>
      <c r="AR260" s="90"/>
      <c r="AS260" s="90"/>
      <c r="AT260" s="90"/>
      <c r="AU260" s="90"/>
      <c r="AV260" s="90"/>
      <c r="AW260" s="90" t="s">
        <v>97</v>
      </c>
      <c r="AX260" s="90"/>
      <c r="AY260" s="90"/>
      <c r="AZ260" s="90" t="s">
        <v>97</v>
      </c>
      <c r="BA260" s="90"/>
      <c r="BB260" s="90" t="s">
        <v>97</v>
      </c>
      <c r="BC260" s="90" t="s">
        <v>97</v>
      </c>
      <c r="BD260" s="90"/>
      <c r="BE260" s="90"/>
      <c r="BF260" s="90"/>
      <c r="BG260" s="90"/>
      <c r="BH260" s="73" t="s">
        <v>199</v>
      </c>
      <c r="BI260" s="30" t="str">
        <f>IF(COUNTA(Tabelle32[[#This Row],[Type:Vid_1080i50]:[Type:Anc_Prot]])&gt;0,"x","")</f>
        <v>x</v>
      </c>
      <c r="BJ26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60" s="59"/>
      <c r="BL260" s="59"/>
      <c r="BM260" s="63"/>
      <c r="BN260" s="63"/>
      <c r="BO260" s="97" t="s">
        <v>663</v>
      </c>
      <c r="BP260" s="97" t="s">
        <v>602</v>
      </c>
      <c r="BQ260" s="75">
        <f>LEN(Tabelle32[[#This Row],[Label 1
GFX-Unit]])</f>
        <v>14</v>
      </c>
      <c r="BR260" s="63"/>
      <c r="BS260" s="63"/>
      <c r="BT260" s="59"/>
      <c r="BU260" s="59"/>
      <c r="BV260" s="59" t="s">
        <v>218</v>
      </c>
      <c r="BW260" s="59" t="s">
        <v>219</v>
      </c>
      <c r="BX260" s="59" t="s">
        <v>603</v>
      </c>
      <c r="BY260" s="59">
        <v>13</v>
      </c>
    </row>
    <row r="261" spans="1:77" x14ac:dyDescent="0.2">
      <c r="A261" s="58" t="str">
        <f>CONCATENATE(Tabelle32[[#This Row],[Device ID]],".",Tabelle32[[#This Row],[Streamcounter]])</f>
        <v>390.13203</v>
      </c>
      <c r="B26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VGW-103_SDI13_AUDrec_0003</v>
      </c>
      <c r="C261" s="67"/>
      <c r="D261" s="61"/>
      <c r="E261" s="67"/>
      <c r="F261" s="59" t="str">
        <f>IFERROR(VLOOKUP(Tabelle32[[#This Row],[Device ID]],BOM!$B$3:$BQ$35,16,FALSE),"")</f>
        <v>IngSRV-07</v>
      </c>
      <c r="G261" s="63">
        <f>VLOOKUP(Tabelle32[[#This Row],[SDI Interface]],BOM!$A$4:$B$35,2,FALSE)</f>
        <v>390</v>
      </c>
      <c r="H261" s="59" t="str">
        <f>BOM!$C$4</f>
        <v>VGW-103</v>
      </c>
      <c r="I261" s="59" t="str">
        <f>IFERROR(VLOOKUP(Tabelle32[[#This Row],[Device ID]],BOM!$B$3:$BQ$35,12,FALSE),"")</f>
        <v>Videoserver</v>
      </c>
      <c r="J261" s="59" t="str">
        <f>IFERROR(VLOOKUP(Tabelle32[[#This Row],[Device ID]],BOM!$B$3:$BQ$35,13,FALSE),"")</f>
        <v>TC.U1.223 | MDC</v>
      </c>
      <c r="K261" s="59" t="str">
        <f>IFERROR(VLOOKUP(Tabelle32[[#This Row],[Device ID]],BOM!$B$3:$BQ$35,14,FALSE),"")</f>
        <v>Imagine Comunications</v>
      </c>
      <c r="L261" s="59" t="str">
        <f>IFERROR(VLOOKUP(Tabelle32[[#This Row],[Device ID]],BOM!$B$3:$BQ$35,16,FALSE),"")</f>
        <v>IngSRV-07</v>
      </c>
      <c r="M261" s="63" t="str">
        <f>IFERROR(VLOOKUP(Tabelle32[[#This Row],[Device ID]],BOM!$B$3:$BQ$35,17,FALSE),"")</f>
        <v>M3H</v>
      </c>
      <c r="N261" s="59" t="str">
        <f>IFERROR(VLOOKUP(Tabelle32[[#This Row],[Device ID]],BOM!$B$3:$BQ$35,18,FALSE),"")</f>
        <v>TC.03.225 | M3H</v>
      </c>
      <c r="O261" s="64"/>
      <c r="P261" s="64">
        <f>IFERROR(VLOOKUP(Tabelle32[[#This Row],[Device ID]],BOM!$B$3:$BO$50,20,FALSE),"")</f>
        <v>0</v>
      </c>
      <c r="Q261" s="64">
        <f>IFERROR(VLOOKUP(Tabelle32[[#This Row],[Device ID]],BOM!$B$3:$BO$50,21,FALSE),"")</f>
        <v>1</v>
      </c>
      <c r="R261" s="64">
        <f>IFERROR(VLOOKUP(Tabelle32[[#This Row],[Device ID]],BOM!$B$3:$BO$50,22,FALSE),"")</f>
        <v>0</v>
      </c>
      <c r="S261" s="64"/>
      <c r="T261" s="64"/>
      <c r="U261" s="59" t="str">
        <f>IFERROR(VLOOKUP(Tabelle32[[#This Row],[Device ID]],BOM!$B$3:$BQ$35,25,FALSE),"")</f>
        <v>Luis/Ivo</v>
      </c>
      <c r="V261" s="59" t="str">
        <f>IFERROR(VLOOKUP(Tabelle32[[#This Row],[Device ID]],BOM!$B$3:$BQ$35,26,FALSE),"")</f>
        <v>tpco-megw-vgw103.rta.st-net.media.int</v>
      </c>
      <c r="W261" s="59" t="str">
        <f>IFERROR(VLOOKUP(Tabelle32[[#This Row],[Device ID]],BOM!$B$3:$BQ$35,27,FALSE),"")</f>
        <v>10.120.236.50</v>
      </c>
      <c r="X261" s="59" t="str">
        <f>IFERROR(VLOOKUP(Tabelle32[[#This Row],[Device ID]],BOM!$B$3:$BQ$35,28,FALSE),"")</f>
        <v>AVCoreA</v>
      </c>
      <c r="Y261" s="59" t="str">
        <f>IFERROR(VLOOKUP(Tabelle32[[#This Row],[Device ID]],BOM!$B$3:$BQ$35,29,FALSE),"")</f>
        <v>5_36_1</v>
      </c>
      <c r="Z261" s="59" t="str">
        <f>IFERROR(VLOOKUP(Tabelle32[[#This Row],[Device ID]],BOM!$B$3:$BQ$35,30,FALSE),"")</f>
        <v>tpco-megw-vgw103.rtb.st-net.media.int</v>
      </c>
      <c r="AA261" s="59" t="str">
        <f>IFERROR(VLOOKUP(Tabelle32[[#This Row],[Device ID]],BOM!$B$3:$BQ$35,31,FALSE),"")</f>
        <v>10.120.236.54</v>
      </c>
      <c r="AB261" s="59" t="str">
        <f>IFERROR(VLOOKUP(Tabelle32[[#This Row],[Device ID]],BOM!$B$3:$BQ$35,32,FALSE),"")</f>
        <v>AVCoreB</v>
      </c>
      <c r="AC261" s="59" t="str">
        <f>IFERROR(VLOOKUP(Tabelle32[[#This Row],[Device ID]],BOM!$B$3:$BQ$35,33,FALSE),"")</f>
        <v>5_36_1</v>
      </c>
      <c r="AD261" s="59" t="str">
        <f>IFERROR(VLOOKUP(Tabelle32[[#This Row],[Device ID]],BOM!$B$3:$BQ$35,34,FALSE),"")</f>
        <v>tpco-megw-vgw103.st-net.media.int</v>
      </c>
      <c r="AE261" s="59" t="str">
        <f>IFERROR(VLOOKUP(Tabelle32[[#This Row],[Device ID]],BOM!$B$3:$BQ$35,35,FALSE),"")</f>
        <v>10.120.67.141</v>
      </c>
      <c r="AF261" s="59">
        <f>IFERROR(VLOOKUP(Tabelle32[[#This Row],[Device ID]],BOM!$B$3:$BQ$35,36,FALSE),"")</f>
        <v>0</v>
      </c>
      <c r="AG261" s="59">
        <f>IFERROR(VLOOKUP(Tabelle32[[#This Row],[Device ID]],BOM!$B$3:$BQ$35,37,FALSE),"")</f>
        <v>0</v>
      </c>
      <c r="AH261" s="59"/>
      <c r="AI261" s="59"/>
      <c r="AJ261" s="59"/>
      <c r="AK261" s="59"/>
      <c r="AL261" s="59" t="str">
        <f>IFERROR(VLOOKUP(Tabelle32[[#This Row],[Device ID]],BOM!$B$3:$BQ$35,42,FALSE),"")</f>
        <v>Imagine Communications SNP</v>
      </c>
      <c r="AM261" s="59" t="str">
        <f>IFERROR(VLOOKUP(Tabelle32[[#This Row],[Device ID]],BOM!$B$3:$BQ$35,43,FALSE),"")</f>
        <v>no</v>
      </c>
      <c r="AN261" s="59" t="str">
        <f>IFERROR(VLOOKUP(Tabelle32[[#This Row],[Device ID]],BOM!$B$3:$BQ$35,44,FALSE),"")</f>
        <v>yes</v>
      </c>
      <c r="AO261" s="59" t="str">
        <f>IFERROR(VLOOKUP(Tabelle32[[#This Row],[Device ID]],BOM!$B$3:$BQ$35,45,FALSE),"")</f>
        <v>no</v>
      </c>
      <c r="AP261" s="59" t="str">
        <f>IFERROR(CONCATENATE(Tabelle32[[#This Row],[Family
GFX-Unit]]," | ",Tabelle32[[#This Row],[Label 1
GFX-Unit]]," | ",Tabelle32[[#This Row],[Attached Device if Gateway]]),"")</f>
        <v>M3H InCh 1zu1 | Ingest Ch25-03 | IngSRV-07</v>
      </c>
      <c r="AQ261" s="59"/>
      <c r="AR261" s="90"/>
      <c r="AS261" s="90"/>
      <c r="AT261" s="90"/>
      <c r="AU261" s="90"/>
      <c r="AV261" s="90"/>
      <c r="AW261" s="90" t="s">
        <v>97</v>
      </c>
      <c r="AX261" s="90"/>
      <c r="AY261" s="90"/>
      <c r="AZ261" s="90" t="s">
        <v>97</v>
      </c>
      <c r="BA261" s="90"/>
      <c r="BB261" s="90" t="s">
        <v>97</v>
      </c>
      <c r="BC261" s="90" t="s">
        <v>97</v>
      </c>
      <c r="BD261" s="90"/>
      <c r="BE261" s="90"/>
      <c r="BF261" s="90"/>
      <c r="BG261" s="90"/>
      <c r="BH261" s="73" t="s">
        <v>199</v>
      </c>
      <c r="BI261" s="30" t="str">
        <f>IF(COUNTA(Tabelle32[[#This Row],[Type:Vid_1080i50]:[Type:Anc_Prot]])&gt;0,"x","")</f>
        <v>x</v>
      </c>
      <c r="BJ26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61" s="59"/>
      <c r="BL261" s="59"/>
      <c r="BM261" s="63"/>
      <c r="BN261" s="63"/>
      <c r="BO261" s="97" t="s">
        <v>663</v>
      </c>
      <c r="BP261" s="97" t="s">
        <v>604</v>
      </c>
      <c r="BQ261" s="75">
        <f>LEN(Tabelle32[[#This Row],[Label 1
GFX-Unit]])</f>
        <v>14</v>
      </c>
      <c r="BR261" s="63"/>
      <c r="BS261" s="63"/>
      <c r="BT261" s="59"/>
      <c r="BU261" s="59"/>
      <c r="BV261" s="59" t="s">
        <v>222</v>
      </c>
      <c r="BW261" s="59" t="s">
        <v>223</v>
      </c>
      <c r="BX261" s="59" t="s">
        <v>605</v>
      </c>
      <c r="BY261" s="59">
        <v>13</v>
      </c>
    </row>
    <row r="262" spans="1:77" x14ac:dyDescent="0.2">
      <c r="A262" s="58" t="str">
        <f>CONCATENATE(Tabelle32[[#This Row],[Device ID]],".",Tabelle32[[#This Row],[Streamcounter]])</f>
        <v>390.13204</v>
      </c>
      <c r="B26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VGW-103_SDI13_AUDrec_0004</v>
      </c>
      <c r="C262" s="60"/>
      <c r="D262" s="61"/>
      <c r="E262" s="62"/>
      <c r="F262" s="59" t="str">
        <f>IFERROR(VLOOKUP(Tabelle32[[#This Row],[Device ID]],BOM!$B$3:$BQ$35,16,FALSE),"")</f>
        <v>IngSRV-07</v>
      </c>
      <c r="G262" s="63">
        <f>VLOOKUP(Tabelle32[[#This Row],[SDI Interface]],BOM!$A$4:$B$35,2,FALSE)</f>
        <v>390</v>
      </c>
      <c r="H262" s="59" t="str">
        <f>BOM!$C$4</f>
        <v>VGW-103</v>
      </c>
      <c r="I262" s="59" t="str">
        <f>IFERROR(VLOOKUP(Tabelle32[[#This Row],[Device ID]],BOM!$B$3:$BQ$35,12,FALSE),"")</f>
        <v>Videoserver</v>
      </c>
      <c r="J262" s="59" t="str">
        <f>IFERROR(VLOOKUP(Tabelle32[[#This Row],[Device ID]],BOM!$B$3:$BQ$35,13,FALSE),"")</f>
        <v>TC.U1.223 | MDC</v>
      </c>
      <c r="K262" s="59" t="str">
        <f>IFERROR(VLOOKUP(Tabelle32[[#This Row],[Device ID]],BOM!$B$3:$BQ$35,14,FALSE),"")</f>
        <v>Imagine Comunications</v>
      </c>
      <c r="L262" s="59" t="str">
        <f>IFERROR(VLOOKUP(Tabelle32[[#This Row],[Device ID]],BOM!$B$3:$BQ$35,16,FALSE),"")</f>
        <v>IngSRV-07</v>
      </c>
      <c r="M262" s="63" t="str">
        <f>IFERROR(VLOOKUP(Tabelle32[[#This Row],[Device ID]],BOM!$B$3:$BQ$35,17,FALSE),"")</f>
        <v>M3H</v>
      </c>
      <c r="N262" s="59" t="str">
        <f>IFERROR(VLOOKUP(Tabelle32[[#This Row],[Device ID]],BOM!$B$3:$BQ$35,18,FALSE),"")</f>
        <v>TC.03.225 | M3H</v>
      </c>
      <c r="O262" s="64"/>
      <c r="P262" s="64">
        <f>IFERROR(VLOOKUP(Tabelle32[[#This Row],[Device ID]],BOM!$B$3:$BO$50,20,FALSE),"")</f>
        <v>0</v>
      </c>
      <c r="Q262" s="64">
        <f>IFERROR(VLOOKUP(Tabelle32[[#This Row],[Device ID]],BOM!$B$3:$BO$50,21,FALSE),"")</f>
        <v>1</v>
      </c>
      <c r="R262" s="64">
        <f>IFERROR(VLOOKUP(Tabelle32[[#This Row],[Device ID]],BOM!$B$3:$BO$50,22,FALSE),"")</f>
        <v>0</v>
      </c>
      <c r="S262" s="64"/>
      <c r="T262" s="64"/>
      <c r="U262" s="59" t="str">
        <f>IFERROR(VLOOKUP(Tabelle32[[#This Row],[Device ID]],BOM!$B$3:$BQ$35,25,FALSE),"")</f>
        <v>Luis/Ivo</v>
      </c>
      <c r="V262" s="59" t="str">
        <f>IFERROR(VLOOKUP(Tabelle32[[#This Row],[Device ID]],BOM!$B$3:$BQ$35,26,FALSE),"")</f>
        <v>tpco-megw-vgw103.rta.st-net.media.int</v>
      </c>
      <c r="W262" s="59" t="str">
        <f>IFERROR(VLOOKUP(Tabelle32[[#This Row],[Device ID]],BOM!$B$3:$BQ$35,27,FALSE),"")</f>
        <v>10.120.236.50</v>
      </c>
      <c r="X262" s="59" t="str">
        <f>IFERROR(VLOOKUP(Tabelle32[[#This Row],[Device ID]],BOM!$B$3:$BQ$35,28,FALSE),"")</f>
        <v>AVCoreA</v>
      </c>
      <c r="Y262" s="59" t="str">
        <f>IFERROR(VLOOKUP(Tabelle32[[#This Row],[Device ID]],BOM!$B$3:$BQ$35,29,FALSE),"")</f>
        <v>5_36_1</v>
      </c>
      <c r="Z262" s="59" t="str">
        <f>IFERROR(VLOOKUP(Tabelle32[[#This Row],[Device ID]],BOM!$B$3:$BQ$35,30,FALSE),"")</f>
        <v>tpco-megw-vgw103.rtb.st-net.media.int</v>
      </c>
      <c r="AA262" s="59" t="str">
        <f>IFERROR(VLOOKUP(Tabelle32[[#This Row],[Device ID]],BOM!$B$3:$BQ$35,31,FALSE),"")</f>
        <v>10.120.236.54</v>
      </c>
      <c r="AB262" s="59" t="str">
        <f>IFERROR(VLOOKUP(Tabelle32[[#This Row],[Device ID]],BOM!$B$3:$BQ$35,32,FALSE),"")</f>
        <v>AVCoreB</v>
      </c>
      <c r="AC262" s="59" t="str">
        <f>IFERROR(VLOOKUP(Tabelle32[[#This Row],[Device ID]],BOM!$B$3:$BQ$35,33,FALSE),"")</f>
        <v>5_36_1</v>
      </c>
      <c r="AD262" s="59" t="str">
        <f>IFERROR(VLOOKUP(Tabelle32[[#This Row],[Device ID]],BOM!$B$3:$BQ$35,34,FALSE),"")</f>
        <v>tpco-megw-vgw103.st-net.media.int</v>
      </c>
      <c r="AE262" s="59" t="str">
        <f>IFERROR(VLOOKUP(Tabelle32[[#This Row],[Device ID]],BOM!$B$3:$BQ$35,35,FALSE),"")</f>
        <v>10.120.67.141</v>
      </c>
      <c r="AF262" s="59">
        <f>IFERROR(VLOOKUP(Tabelle32[[#This Row],[Device ID]],BOM!$B$3:$BQ$35,36,FALSE),"")</f>
        <v>0</v>
      </c>
      <c r="AG262" s="59">
        <f>IFERROR(VLOOKUP(Tabelle32[[#This Row],[Device ID]],BOM!$B$3:$BQ$35,37,FALSE),"")</f>
        <v>0</v>
      </c>
      <c r="AH262" s="59"/>
      <c r="AI262" s="59"/>
      <c r="AJ262" s="59"/>
      <c r="AK262" s="59"/>
      <c r="AL262" s="59" t="str">
        <f>IFERROR(VLOOKUP(Tabelle32[[#This Row],[Device ID]],BOM!$B$3:$BQ$35,42,FALSE),"")</f>
        <v>Imagine Communications SNP</v>
      </c>
      <c r="AM262" s="59" t="str">
        <f>IFERROR(VLOOKUP(Tabelle32[[#This Row],[Device ID]],BOM!$B$3:$BQ$35,43,FALSE),"")</f>
        <v>no</v>
      </c>
      <c r="AN262" s="59" t="str">
        <f>IFERROR(VLOOKUP(Tabelle32[[#This Row],[Device ID]],BOM!$B$3:$BQ$35,44,FALSE),"")</f>
        <v>yes</v>
      </c>
      <c r="AO262" s="59" t="str">
        <f>IFERROR(VLOOKUP(Tabelle32[[#This Row],[Device ID]],BOM!$B$3:$BQ$35,45,FALSE),"")</f>
        <v>no</v>
      </c>
      <c r="AP262" s="59" t="str">
        <f>IFERROR(CONCATENATE(Tabelle32[[#This Row],[Family
GFX-Unit]]," | ",Tabelle32[[#This Row],[Label 1
GFX-Unit]]," | ",Tabelle32[[#This Row],[Attached Device if Gateway]]),"")</f>
        <v>M3H InCh 1zu1 | Ingest Ch25-04 | IngSRV-07</v>
      </c>
      <c r="AQ262" s="59"/>
      <c r="AR262" s="90"/>
      <c r="AS262" s="90"/>
      <c r="AT262" s="90"/>
      <c r="AU262" s="90"/>
      <c r="AV262" s="90"/>
      <c r="AW262" s="90" t="s">
        <v>97</v>
      </c>
      <c r="AX262" s="90"/>
      <c r="AY262" s="90"/>
      <c r="AZ262" s="90" t="s">
        <v>97</v>
      </c>
      <c r="BA262" s="90"/>
      <c r="BB262" s="90" t="s">
        <v>97</v>
      </c>
      <c r="BC262" s="90" t="s">
        <v>97</v>
      </c>
      <c r="BD262" s="90"/>
      <c r="BE262" s="90"/>
      <c r="BF262" s="90"/>
      <c r="BG262" s="90"/>
      <c r="BH262" s="73" t="s">
        <v>199</v>
      </c>
      <c r="BI262" s="30" t="str">
        <f>IF(COUNTA(Tabelle32[[#This Row],[Type:Vid_1080i50]:[Type:Anc_Prot]])&gt;0,"x","")</f>
        <v>x</v>
      </c>
      <c r="BJ26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62" s="59"/>
      <c r="BL262" s="59"/>
      <c r="BM262" s="63"/>
      <c r="BN262" s="63"/>
      <c r="BO262" s="97" t="s">
        <v>663</v>
      </c>
      <c r="BP262" s="97" t="s">
        <v>606</v>
      </c>
      <c r="BQ262" s="75">
        <f>LEN(Tabelle32[[#This Row],[Label 1
GFX-Unit]])</f>
        <v>14</v>
      </c>
      <c r="BR262" s="63"/>
      <c r="BS262" s="63"/>
      <c r="BT262" s="59"/>
      <c r="BU262" s="59"/>
      <c r="BV262" s="59" t="s">
        <v>226</v>
      </c>
      <c r="BW262" s="59" t="s">
        <v>227</v>
      </c>
      <c r="BX262" s="59" t="s">
        <v>607</v>
      </c>
      <c r="BY262" s="59">
        <v>13</v>
      </c>
    </row>
    <row r="263" spans="1:77" x14ac:dyDescent="0.2">
      <c r="A263" s="58" t="str">
        <f>CONCATENATE(Tabelle32[[#This Row],[Device ID]],".",Tabelle32[[#This Row],[Streamcounter]])</f>
        <v>390.13205</v>
      </c>
      <c r="B26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VGW-103_SDI13_AUDrec_0005</v>
      </c>
      <c r="C263" s="60"/>
      <c r="D263" s="61"/>
      <c r="E263" s="62"/>
      <c r="F263" s="59" t="str">
        <f>IFERROR(VLOOKUP(Tabelle32[[#This Row],[Device ID]],BOM!$B$3:$BQ$35,16,FALSE),"")</f>
        <v>IngSRV-07</v>
      </c>
      <c r="G263" s="63">
        <f>VLOOKUP(Tabelle32[[#This Row],[SDI Interface]],BOM!$A$4:$B$35,2,FALSE)</f>
        <v>390</v>
      </c>
      <c r="H263" s="59" t="str">
        <f>BOM!$C$4</f>
        <v>VGW-103</v>
      </c>
      <c r="I263" s="59" t="str">
        <f>IFERROR(VLOOKUP(Tabelle32[[#This Row],[Device ID]],BOM!$B$3:$BQ$35,12,FALSE),"")</f>
        <v>Videoserver</v>
      </c>
      <c r="J263" s="59" t="str">
        <f>IFERROR(VLOOKUP(Tabelle32[[#This Row],[Device ID]],BOM!$B$3:$BQ$35,13,FALSE),"")</f>
        <v>TC.U1.223 | MDC</v>
      </c>
      <c r="K263" s="59" t="str">
        <f>IFERROR(VLOOKUP(Tabelle32[[#This Row],[Device ID]],BOM!$B$3:$BQ$35,14,FALSE),"")</f>
        <v>Imagine Comunications</v>
      </c>
      <c r="L263" s="59" t="str">
        <f>IFERROR(VLOOKUP(Tabelle32[[#This Row],[Device ID]],BOM!$B$3:$BQ$35,16,FALSE),"")</f>
        <v>IngSRV-07</v>
      </c>
      <c r="M263" s="63" t="str">
        <f>IFERROR(VLOOKUP(Tabelle32[[#This Row],[Device ID]],BOM!$B$3:$BQ$35,17,FALSE),"")</f>
        <v>M3H</v>
      </c>
      <c r="N263" s="59" t="str">
        <f>IFERROR(VLOOKUP(Tabelle32[[#This Row],[Device ID]],BOM!$B$3:$BQ$35,18,FALSE),"")</f>
        <v>TC.03.225 | M3H</v>
      </c>
      <c r="O263" s="64"/>
      <c r="P263" s="64">
        <f>IFERROR(VLOOKUP(Tabelle32[[#This Row],[Device ID]],BOM!$B$3:$BO$50,20,FALSE),"")</f>
        <v>0</v>
      </c>
      <c r="Q263" s="64">
        <f>IFERROR(VLOOKUP(Tabelle32[[#This Row],[Device ID]],BOM!$B$3:$BO$50,21,FALSE),"")</f>
        <v>1</v>
      </c>
      <c r="R263" s="64">
        <f>IFERROR(VLOOKUP(Tabelle32[[#This Row],[Device ID]],BOM!$B$3:$BO$50,22,FALSE),"")</f>
        <v>0</v>
      </c>
      <c r="S263" s="64"/>
      <c r="T263" s="64"/>
      <c r="U263" s="59" t="str">
        <f>IFERROR(VLOOKUP(Tabelle32[[#This Row],[Device ID]],BOM!$B$3:$BQ$35,25,FALSE),"")</f>
        <v>Luis/Ivo</v>
      </c>
      <c r="V263" s="59" t="str">
        <f>IFERROR(VLOOKUP(Tabelle32[[#This Row],[Device ID]],BOM!$B$3:$BQ$35,26,FALSE),"")</f>
        <v>tpco-megw-vgw103.rta.st-net.media.int</v>
      </c>
      <c r="W263" s="59" t="str">
        <f>IFERROR(VLOOKUP(Tabelle32[[#This Row],[Device ID]],BOM!$B$3:$BQ$35,27,FALSE),"")</f>
        <v>10.120.236.50</v>
      </c>
      <c r="X263" s="59" t="str">
        <f>IFERROR(VLOOKUP(Tabelle32[[#This Row],[Device ID]],BOM!$B$3:$BQ$35,28,FALSE),"")</f>
        <v>AVCoreA</v>
      </c>
      <c r="Y263" s="59" t="str">
        <f>IFERROR(VLOOKUP(Tabelle32[[#This Row],[Device ID]],BOM!$B$3:$BQ$35,29,FALSE),"")</f>
        <v>5_36_1</v>
      </c>
      <c r="Z263" s="59" t="str">
        <f>IFERROR(VLOOKUP(Tabelle32[[#This Row],[Device ID]],BOM!$B$3:$BQ$35,30,FALSE),"")</f>
        <v>tpco-megw-vgw103.rtb.st-net.media.int</v>
      </c>
      <c r="AA263" s="59" t="str">
        <f>IFERROR(VLOOKUP(Tabelle32[[#This Row],[Device ID]],BOM!$B$3:$BQ$35,31,FALSE),"")</f>
        <v>10.120.236.54</v>
      </c>
      <c r="AB263" s="59" t="str">
        <f>IFERROR(VLOOKUP(Tabelle32[[#This Row],[Device ID]],BOM!$B$3:$BQ$35,32,FALSE),"")</f>
        <v>AVCoreB</v>
      </c>
      <c r="AC263" s="59" t="str">
        <f>IFERROR(VLOOKUP(Tabelle32[[#This Row],[Device ID]],BOM!$B$3:$BQ$35,33,FALSE),"")</f>
        <v>5_36_1</v>
      </c>
      <c r="AD263" s="59" t="str">
        <f>IFERROR(VLOOKUP(Tabelle32[[#This Row],[Device ID]],BOM!$B$3:$BQ$35,34,FALSE),"")</f>
        <v>tpco-megw-vgw103.st-net.media.int</v>
      </c>
      <c r="AE263" s="59" t="str">
        <f>IFERROR(VLOOKUP(Tabelle32[[#This Row],[Device ID]],BOM!$B$3:$BQ$35,35,FALSE),"")</f>
        <v>10.120.67.141</v>
      </c>
      <c r="AF263" s="59">
        <f>IFERROR(VLOOKUP(Tabelle32[[#This Row],[Device ID]],BOM!$B$3:$BQ$35,36,FALSE),"")</f>
        <v>0</v>
      </c>
      <c r="AG263" s="59">
        <f>IFERROR(VLOOKUP(Tabelle32[[#This Row],[Device ID]],BOM!$B$3:$BQ$35,37,FALSE),"")</f>
        <v>0</v>
      </c>
      <c r="AH263" s="59"/>
      <c r="AI263" s="59"/>
      <c r="AJ263" s="59"/>
      <c r="AK263" s="59"/>
      <c r="AL263" s="59" t="str">
        <f>IFERROR(VLOOKUP(Tabelle32[[#This Row],[Device ID]],BOM!$B$3:$BQ$35,42,FALSE),"")</f>
        <v>Imagine Communications SNP</v>
      </c>
      <c r="AM263" s="59" t="str">
        <f>IFERROR(VLOOKUP(Tabelle32[[#This Row],[Device ID]],BOM!$B$3:$BQ$35,43,FALSE),"")</f>
        <v>no</v>
      </c>
      <c r="AN263" s="59" t="str">
        <f>IFERROR(VLOOKUP(Tabelle32[[#This Row],[Device ID]],BOM!$B$3:$BQ$35,44,FALSE),"")</f>
        <v>yes</v>
      </c>
      <c r="AO263" s="59" t="str">
        <f>IFERROR(VLOOKUP(Tabelle32[[#This Row],[Device ID]],BOM!$B$3:$BQ$35,45,FALSE),"")</f>
        <v>no</v>
      </c>
      <c r="AP263" s="59" t="str">
        <f>IFERROR(CONCATENATE(Tabelle32[[#This Row],[Family
GFX-Unit]]," | ",Tabelle32[[#This Row],[Label 1
GFX-Unit]]," | ",Tabelle32[[#This Row],[Attached Device if Gateway]]),"")</f>
        <v>M3H InCh 1zu1 | Ingest Ch25-05 | IngSRV-07</v>
      </c>
      <c r="AQ263" s="59"/>
      <c r="AR263" s="90"/>
      <c r="AS263" s="90"/>
      <c r="AT263" s="90"/>
      <c r="AU263" s="90"/>
      <c r="AV263" s="90"/>
      <c r="AW263" s="90" t="s">
        <v>97</v>
      </c>
      <c r="AX263" s="90"/>
      <c r="AY263" s="90"/>
      <c r="AZ263" s="90" t="s">
        <v>97</v>
      </c>
      <c r="BA263" s="90"/>
      <c r="BB263" s="90" t="s">
        <v>97</v>
      </c>
      <c r="BC263" s="90" t="s">
        <v>97</v>
      </c>
      <c r="BD263" s="90"/>
      <c r="BE263" s="90"/>
      <c r="BF263" s="90"/>
      <c r="BG263" s="90"/>
      <c r="BH263" s="73" t="s">
        <v>199</v>
      </c>
      <c r="BI263" s="30" t="str">
        <f>IF(COUNTA(Tabelle32[[#This Row],[Type:Vid_1080i50]:[Type:Anc_Prot]])&gt;0,"x","")</f>
        <v>x</v>
      </c>
      <c r="BJ26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63" s="59"/>
      <c r="BL263" s="59"/>
      <c r="BM263" s="63"/>
      <c r="BN263" s="63"/>
      <c r="BO263" s="97" t="s">
        <v>663</v>
      </c>
      <c r="BP263" s="97" t="s">
        <v>608</v>
      </c>
      <c r="BQ263" s="75">
        <f>LEN(Tabelle32[[#This Row],[Label 1
GFX-Unit]])</f>
        <v>14</v>
      </c>
      <c r="BR263" s="63"/>
      <c r="BS263" s="63"/>
      <c r="BT263" s="59"/>
      <c r="BU263" s="59"/>
      <c r="BV263" s="59" t="s">
        <v>230</v>
      </c>
      <c r="BW263" s="59" t="s">
        <v>231</v>
      </c>
      <c r="BX263" s="59" t="s">
        <v>609</v>
      </c>
      <c r="BY263" s="59">
        <v>13</v>
      </c>
    </row>
    <row r="264" spans="1:77" x14ac:dyDescent="0.2">
      <c r="A264" s="58" t="str">
        <f>CONCATENATE(Tabelle32[[#This Row],[Device ID]],".",Tabelle32[[#This Row],[Streamcounter]])</f>
        <v>390.13206</v>
      </c>
      <c r="B26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VGW-103_SDI13_AUDrec_0006</v>
      </c>
      <c r="C264" s="60"/>
      <c r="D264" s="61"/>
      <c r="E264" s="62"/>
      <c r="F264" s="59" t="str">
        <f>IFERROR(VLOOKUP(Tabelle32[[#This Row],[Device ID]],BOM!$B$3:$BQ$35,16,FALSE),"")</f>
        <v>IngSRV-07</v>
      </c>
      <c r="G264" s="63">
        <f>VLOOKUP(Tabelle32[[#This Row],[SDI Interface]],BOM!$A$4:$B$35,2,FALSE)</f>
        <v>390</v>
      </c>
      <c r="H264" s="59" t="str">
        <f>BOM!$C$4</f>
        <v>VGW-103</v>
      </c>
      <c r="I264" s="59" t="str">
        <f>IFERROR(VLOOKUP(Tabelle32[[#This Row],[Device ID]],BOM!$B$3:$BQ$35,12,FALSE),"")</f>
        <v>Videoserver</v>
      </c>
      <c r="J264" s="59" t="str">
        <f>IFERROR(VLOOKUP(Tabelle32[[#This Row],[Device ID]],BOM!$B$3:$BQ$35,13,FALSE),"")</f>
        <v>TC.U1.223 | MDC</v>
      </c>
      <c r="K264" s="59" t="str">
        <f>IFERROR(VLOOKUP(Tabelle32[[#This Row],[Device ID]],BOM!$B$3:$BQ$35,14,FALSE),"")</f>
        <v>Imagine Comunications</v>
      </c>
      <c r="L264" s="59" t="str">
        <f>IFERROR(VLOOKUP(Tabelle32[[#This Row],[Device ID]],BOM!$B$3:$BQ$35,16,FALSE),"")</f>
        <v>IngSRV-07</v>
      </c>
      <c r="M264" s="63" t="str">
        <f>IFERROR(VLOOKUP(Tabelle32[[#This Row],[Device ID]],BOM!$B$3:$BQ$35,17,FALSE),"")</f>
        <v>M3H</v>
      </c>
      <c r="N264" s="59" t="str">
        <f>IFERROR(VLOOKUP(Tabelle32[[#This Row],[Device ID]],BOM!$B$3:$BQ$35,18,FALSE),"")</f>
        <v>TC.03.225 | M3H</v>
      </c>
      <c r="O264" s="64"/>
      <c r="P264" s="64">
        <f>IFERROR(VLOOKUP(Tabelle32[[#This Row],[Device ID]],BOM!$B$3:$BO$50,20,FALSE),"")</f>
        <v>0</v>
      </c>
      <c r="Q264" s="64">
        <f>IFERROR(VLOOKUP(Tabelle32[[#This Row],[Device ID]],BOM!$B$3:$BO$50,21,FALSE),"")</f>
        <v>1</v>
      </c>
      <c r="R264" s="64">
        <f>IFERROR(VLOOKUP(Tabelle32[[#This Row],[Device ID]],BOM!$B$3:$BO$50,22,FALSE),"")</f>
        <v>0</v>
      </c>
      <c r="S264" s="64"/>
      <c r="T264" s="64"/>
      <c r="U264" s="59" t="str">
        <f>IFERROR(VLOOKUP(Tabelle32[[#This Row],[Device ID]],BOM!$B$3:$BQ$35,25,FALSE),"")</f>
        <v>Luis/Ivo</v>
      </c>
      <c r="V264" s="59" t="str">
        <f>IFERROR(VLOOKUP(Tabelle32[[#This Row],[Device ID]],BOM!$B$3:$BQ$35,26,FALSE),"")</f>
        <v>tpco-megw-vgw103.rta.st-net.media.int</v>
      </c>
      <c r="W264" s="59" t="str">
        <f>IFERROR(VLOOKUP(Tabelle32[[#This Row],[Device ID]],BOM!$B$3:$BQ$35,27,FALSE),"")</f>
        <v>10.120.236.50</v>
      </c>
      <c r="X264" s="59" t="str">
        <f>IFERROR(VLOOKUP(Tabelle32[[#This Row],[Device ID]],BOM!$B$3:$BQ$35,28,FALSE),"")</f>
        <v>AVCoreA</v>
      </c>
      <c r="Y264" s="59" t="str">
        <f>IFERROR(VLOOKUP(Tabelle32[[#This Row],[Device ID]],BOM!$B$3:$BQ$35,29,FALSE),"")</f>
        <v>5_36_1</v>
      </c>
      <c r="Z264" s="59" t="str">
        <f>IFERROR(VLOOKUP(Tabelle32[[#This Row],[Device ID]],BOM!$B$3:$BQ$35,30,FALSE),"")</f>
        <v>tpco-megw-vgw103.rtb.st-net.media.int</v>
      </c>
      <c r="AA264" s="59" t="str">
        <f>IFERROR(VLOOKUP(Tabelle32[[#This Row],[Device ID]],BOM!$B$3:$BQ$35,31,FALSE),"")</f>
        <v>10.120.236.54</v>
      </c>
      <c r="AB264" s="59" t="str">
        <f>IFERROR(VLOOKUP(Tabelle32[[#This Row],[Device ID]],BOM!$B$3:$BQ$35,32,FALSE),"")</f>
        <v>AVCoreB</v>
      </c>
      <c r="AC264" s="59" t="str">
        <f>IFERROR(VLOOKUP(Tabelle32[[#This Row],[Device ID]],BOM!$B$3:$BQ$35,33,FALSE),"")</f>
        <v>5_36_1</v>
      </c>
      <c r="AD264" s="59" t="str">
        <f>IFERROR(VLOOKUP(Tabelle32[[#This Row],[Device ID]],BOM!$B$3:$BQ$35,34,FALSE),"")</f>
        <v>tpco-megw-vgw103.st-net.media.int</v>
      </c>
      <c r="AE264" s="59" t="str">
        <f>IFERROR(VLOOKUP(Tabelle32[[#This Row],[Device ID]],BOM!$B$3:$BQ$35,35,FALSE),"")</f>
        <v>10.120.67.141</v>
      </c>
      <c r="AF264" s="59">
        <f>IFERROR(VLOOKUP(Tabelle32[[#This Row],[Device ID]],BOM!$B$3:$BQ$35,36,FALSE),"")</f>
        <v>0</v>
      </c>
      <c r="AG264" s="59">
        <f>IFERROR(VLOOKUP(Tabelle32[[#This Row],[Device ID]],BOM!$B$3:$BQ$35,37,FALSE),"")</f>
        <v>0</v>
      </c>
      <c r="AH264" s="59"/>
      <c r="AI264" s="59"/>
      <c r="AJ264" s="59"/>
      <c r="AK264" s="59"/>
      <c r="AL264" s="59" t="str">
        <f>IFERROR(VLOOKUP(Tabelle32[[#This Row],[Device ID]],BOM!$B$3:$BQ$35,42,FALSE),"")</f>
        <v>Imagine Communications SNP</v>
      </c>
      <c r="AM264" s="59" t="str">
        <f>IFERROR(VLOOKUP(Tabelle32[[#This Row],[Device ID]],BOM!$B$3:$BQ$35,43,FALSE),"")</f>
        <v>no</v>
      </c>
      <c r="AN264" s="59" t="str">
        <f>IFERROR(VLOOKUP(Tabelle32[[#This Row],[Device ID]],BOM!$B$3:$BQ$35,44,FALSE),"")</f>
        <v>yes</v>
      </c>
      <c r="AO264" s="59" t="str">
        <f>IFERROR(VLOOKUP(Tabelle32[[#This Row],[Device ID]],BOM!$B$3:$BQ$35,45,FALSE),"")</f>
        <v>no</v>
      </c>
      <c r="AP264" s="59" t="str">
        <f>IFERROR(CONCATENATE(Tabelle32[[#This Row],[Family
GFX-Unit]]," | ",Tabelle32[[#This Row],[Label 1
GFX-Unit]]," | ",Tabelle32[[#This Row],[Attached Device if Gateway]]),"")</f>
        <v>M3H InCh 1zu1 | Ingest Ch25-06 | IngSRV-07</v>
      </c>
      <c r="AQ264" s="59"/>
      <c r="AR264" s="90"/>
      <c r="AS264" s="90"/>
      <c r="AT264" s="90"/>
      <c r="AU264" s="90"/>
      <c r="AV264" s="90"/>
      <c r="AW264" s="90" t="s">
        <v>97</v>
      </c>
      <c r="AX264" s="90"/>
      <c r="AY264" s="90"/>
      <c r="AZ264" s="90" t="s">
        <v>97</v>
      </c>
      <c r="BA264" s="90"/>
      <c r="BB264" s="90" t="s">
        <v>97</v>
      </c>
      <c r="BC264" s="90" t="s">
        <v>97</v>
      </c>
      <c r="BD264" s="90"/>
      <c r="BE264" s="90"/>
      <c r="BF264" s="90"/>
      <c r="BG264" s="90"/>
      <c r="BH264" s="73" t="s">
        <v>199</v>
      </c>
      <c r="BI264" s="30" t="str">
        <f>IF(COUNTA(Tabelle32[[#This Row],[Type:Vid_1080i50]:[Type:Anc_Prot]])&gt;0,"x","")</f>
        <v>x</v>
      </c>
      <c r="BJ26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64" s="59"/>
      <c r="BL264" s="59"/>
      <c r="BM264" s="63"/>
      <c r="BN264" s="63"/>
      <c r="BO264" s="97" t="s">
        <v>663</v>
      </c>
      <c r="BP264" s="97" t="s">
        <v>610</v>
      </c>
      <c r="BQ264" s="75">
        <f>LEN(Tabelle32[[#This Row],[Label 1
GFX-Unit]])</f>
        <v>14</v>
      </c>
      <c r="BR264" s="63"/>
      <c r="BS264" s="63"/>
      <c r="BT264" s="59"/>
      <c r="BU264" s="59"/>
      <c r="BV264" s="59" t="s">
        <v>234</v>
      </c>
      <c r="BW264" s="59" t="s">
        <v>235</v>
      </c>
      <c r="BX264" s="59" t="s">
        <v>611</v>
      </c>
      <c r="BY264" s="59">
        <v>13</v>
      </c>
    </row>
    <row r="265" spans="1:77" x14ac:dyDescent="0.2">
      <c r="A265" s="58" t="str">
        <f>CONCATENATE(Tabelle32[[#This Row],[Device ID]],".",Tabelle32[[#This Row],[Streamcounter]])</f>
        <v>390.13207</v>
      </c>
      <c r="B26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VGW-103_SDI13_AUDrec_0007</v>
      </c>
      <c r="C265" s="60"/>
      <c r="D265" s="61"/>
      <c r="E265" s="62"/>
      <c r="F265" s="59" t="str">
        <f>IFERROR(VLOOKUP(Tabelle32[[#This Row],[Device ID]],BOM!$B$3:$BQ$35,16,FALSE),"")</f>
        <v>IngSRV-07</v>
      </c>
      <c r="G265" s="63">
        <f>VLOOKUP(Tabelle32[[#This Row],[SDI Interface]],BOM!$A$4:$B$35,2,FALSE)</f>
        <v>390</v>
      </c>
      <c r="H265" s="59" t="str">
        <f>BOM!$C$4</f>
        <v>VGW-103</v>
      </c>
      <c r="I265" s="59" t="str">
        <f>IFERROR(VLOOKUP(Tabelle32[[#This Row],[Device ID]],BOM!$B$3:$BQ$35,12,FALSE),"")</f>
        <v>Videoserver</v>
      </c>
      <c r="J265" s="59" t="str">
        <f>IFERROR(VLOOKUP(Tabelle32[[#This Row],[Device ID]],BOM!$B$3:$BQ$35,13,FALSE),"")</f>
        <v>TC.U1.223 | MDC</v>
      </c>
      <c r="K265" s="59" t="str">
        <f>IFERROR(VLOOKUP(Tabelle32[[#This Row],[Device ID]],BOM!$B$3:$BQ$35,14,FALSE),"")</f>
        <v>Imagine Comunications</v>
      </c>
      <c r="L265" s="59" t="str">
        <f>IFERROR(VLOOKUP(Tabelle32[[#This Row],[Device ID]],BOM!$B$3:$BQ$35,16,FALSE),"")</f>
        <v>IngSRV-07</v>
      </c>
      <c r="M265" s="63" t="str">
        <f>IFERROR(VLOOKUP(Tabelle32[[#This Row],[Device ID]],BOM!$B$3:$BQ$35,17,FALSE),"")</f>
        <v>M3H</v>
      </c>
      <c r="N265" s="59" t="str">
        <f>IFERROR(VLOOKUP(Tabelle32[[#This Row],[Device ID]],BOM!$B$3:$BQ$35,18,FALSE),"")</f>
        <v>TC.03.225 | M3H</v>
      </c>
      <c r="O265" s="64"/>
      <c r="P265" s="64">
        <f>IFERROR(VLOOKUP(Tabelle32[[#This Row],[Device ID]],BOM!$B$3:$BO$50,20,FALSE),"")</f>
        <v>0</v>
      </c>
      <c r="Q265" s="64">
        <f>IFERROR(VLOOKUP(Tabelle32[[#This Row],[Device ID]],BOM!$B$3:$BO$50,21,FALSE),"")</f>
        <v>1</v>
      </c>
      <c r="R265" s="64">
        <f>IFERROR(VLOOKUP(Tabelle32[[#This Row],[Device ID]],BOM!$B$3:$BO$50,22,FALSE),"")</f>
        <v>0</v>
      </c>
      <c r="S265" s="64"/>
      <c r="T265" s="64"/>
      <c r="U265" s="59" t="str">
        <f>IFERROR(VLOOKUP(Tabelle32[[#This Row],[Device ID]],BOM!$B$3:$BQ$35,25,FALSE),"")</f>
        <v>Luis/Ivo</v>
      </c>
      <c r="V265" s="59" t="str">
        <f>IFERROR(VLOOKUP(Tabelle32[[#This Row],[Device ID]],BOM!$B$3:$BQ$35,26,FALSE),"")</f>
        <v>tpco-megw-vgw103.rta.st-net.media.int</v>
      </c>
      <c r="W265" s="59" t="str">
        <f>IFERROR(VLOOKUP(Tabelle32[[#This Row],[Device ID]],BOM!$B$3:$BQ$35,27,FALSE),"")</f>
        <v>10.120.236.50</v>
      </c>
      <c r="X265" s="59" t="str">
        <f>IFERROR(VLOOKUP(Tabelle32[[#This Row],[Device ID]],BOM!$B$3:$BQ$35,28,FALSE),"")</f>
        <v>AVCoreA</v>
      </c>
      <c r="Y265" s="59" t="str">
        <f>IFERROR(VLOOKUP(Tabelle32[[#This Row],[Device ID]],BOM!$B$3:$BQ$35,29,FALSE),"")</f>
        <v>5_36_1</v>
      </c>
      <c r="Z265" s="59" t="str">
        <f>IFERROR(VLOOKUP(Tabelle32[[#This Row],[Device ID]],BOM!$B$3:$BQ$35,30,FALSE),"")</f>
        <v>tpco-megw-vgw103.rtb.st-net.media.int</v>
      </c>
      <c r="AA265" s="59" t="str">
        <f>IFERROR(VLOOKUP(Tabelle32[[#This Row],[Device ID]],BOM!$B$3:$BQ$35,31,FALSE),"")</f>
        <v>10.120.236.54</v>
      </c>
      <c r="AB265" s="59" t="str">
        <f>IFERROR(VLOOKUP(Tabelle32[[#This Row],[Device ID]],BOM!$B$3:$BQ$35,32,FALSE),"")</f>
        <v>AVCoreB</v>
      </c>
      <c r="AC265" s="59" t="str">
        <f>IFERROR(VLOOKUP(Tabelle32[[#This Row],[Device ID]],BOM!$B$3:$BQ$35,33,FALSE),"")</f>
        <v>5_36_1</v>
      </c>
      <c r="AD265" s="59" t="str">
        <f>IFERROR(VLOOKUP(Tabelle32[[#This Row],[Device ID]],BOM!$B$3:$BQ$35,34,FALSE),"")</f>
        <v>tpco-megw-vgw103.st-net.media.int</v>
      </c>
      <c r="AE265" s="59" t="str">
        <f>IFERROR(VLOOKUP(Tabelle32[[#This Row],[Device ID]],BOM!$B$3:$BQ$35,35,FALSE),"")</f>
        <v>10.120.67.141</v>
      </c>
      <c r="AF265" s="59">
        <f>IFERROR(VLOOKUP(Tabelle32[[#This Row],[Device ID]],BOM!$B$3:$BQ$35,36,FALSE),"")</f>
        <v>0</v>
      </c>
      <c r="AG265" s="59">
        <f>IFERROR(VLOOKUP(Tabelle32[[#This Row],[Device ID]],BOM!$B$3:$BQ$35,37,FALSE),"")</f>
        <v>0</v>
      </c>
      <c r="AH265" s="59"/>
      <c r="AI265" s="59"/>
      <c r="AJ265" s="59"/>
      <c r="AK265" s="59"/>
      <c r="AL265" s="59" t="str">
        <f>IFERROR(VLOOKUP(Tabelle32[[#This Row],[Device ID]],BOM!$B$3:$BQ$35,42,FALSE),"")</f>
        <v>Imagine Communications SNP</v>
      </c>
      <c r="AM265" s="59" t="str">
        <f>IFERROR(VLOOKUP(Tabelle32[[#This Row],[Device ID]],BOM!$B$3:$BQ$35,43,FALSE),"")</f>
        <v>no</v>
      </c>
      <c r="AN265" s="59" t="str">
        <f>IFERROR(VLOOKUP(Tabelle32[[#This Row],[Device ID]],BOM!$B$3:$BQ$35,44,FALSE),"")</f>
        <v>yes</v>
      </c>
      <c r="AO265" s="59" t="str">
        <f>IFERROR(VLOOKUP(Tabelle32[[#This Row],[Device ID]],BOM!$B$3:$BQ$35,45,FALSE),"")</f>
        <v>no</v>
      </c>
      <c r="AP265" s="59" t="str">
        <f>IFERROR(CONCATENATE(Tabelle32[[#This Row],[Family
GFX-Unit]]," | ",Tabelle32[[#This Row],[Label 1
GFX-Unit]]," | ",Tabelle32[[#This Row],[Attached Device if Gateway]]),"")</f>
        <v>M3H InCh 1zu1 | Ingest Ch25-07 | IngSRV-07</v>
      </c>
      <c r="AQ265" s="59"/>
      <c r="AR265" s="90"/>
      <c r="AS265" s="90"/>
      <c r="AT265" s="90"/>
      <c r="AU265" s="90"/>
      <c r="AV265" s="90"/>
      <c r="AW265" s="90" t="s">
        <v>97</v>
      </c>
      <c r="AX265" s="90"/>
      <c r="AY265" s="90"/>
      <c r="AZ265" s="90" t="s">
        <v>97</v>
      </c>
      <c r="BA265" s="90"/>
      <c r="BB265" s="90" t="s">
        <v>97</v>
      </c>
      <c r="BC265" s="90" t="s">
        <v>97</v>
      </c>
      <c r="BD265" s="90"/>
      <c r="BE265" s="90"/>
      <c r="BF265" s="90"/>
      <c r="BG265" s="90"/>
      <c r="BH265" s="73" t="s">
        <v>199</v>
      </c>
      <c r="BI265" s="30" t="str">
        <f>IF(COUNTA(Tabelle32[[#This Row],[Type:Vid_1080i50]:[Type:Anc_Prot]])&gt;0,"x","")</f>
        <v>x</v>
      </c>
      <c r="BJ26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65" s="59"/>
      <c r="BL265" s="59"/>
      <c r="BM265" s="63"/>
      <c r="BN265" s="63"/>
      <c r="BO265" s="97" t="s">
        <v>663</v>
      </c>
      <c r="BP265" s="97" t="s">
        <v>612</v>
      </c>
      <c r="BQ265" s="75">
        <f>LEN(Tabelle32[[#This Row],[Label 1
GFX-Unit]])</f>
        <v>14</v>
      </c>
      <c r="BR265" s="63"/>
      <c r="BS265" s="63"/>
      <c r="BT265" s="59"/>
      <c r="BU265" s="59"/>
      <c r="BV265" s="59" t="s">
        <v>238</v>
      </c>
      <c r="BW265" s="59" t="s">
        <v>239</v>
      </c>
      <c r="BX265" s="59" t="s">
        <v>613</v>
      </c>
      <c r="BY265" s="59">
        <v>13</v>
      </c>
    </row>
    <row r="266" spans="1:77" x14ac:dyDescent="0.2">
      <c r="A266" s="58" t="str">
        <f>CONCATENATE(Tabelle32[[#This Row],[Device ID]],".",Tabelle32[[#This Row],[Streamcounter]])</f>
        <v>390.13208</v>
      </c>
      <c r="B26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VGW-103_SDI13_AUDrec_0008</v>
      </c>
      <c r="C266" s="60"/>
      <c r="D266" s="61"/>
      <c r="E266" s="62"/>
      <c r="F266" s="59" t="str">
        <f>IFERROR(VLOOKUP(Tabelle32[[#This Row],[Device ID]],BOM!$B$3:$BQ$35,16,FALSE),"")</f>
        <v>IngSRV-07</v>
      </c>
      <c r="G266" s="63">
        <f>VLOOKUP(Tabelle32[[#This Row],[SDI Interface]],BOM!$A$4:$B$35,2,FALSE)</f>
        <v>390</v>
      </c>
      <c r="H266" s="59" t="str">
        <f>BOM!$C$4</f>
        <v>VGW-103</v>
      </c>
      <c r="I266" s="59" t="str">
        <f>IFERROR(VLOOKUP(Tabelle32[[#This Row],[Device ID]],BOM!$B$3:$BQ$35,12,FALSE),"")</f>
        <v>Videoserver</v>
      </c>
      <c r="J266" s="59" t="str">
        <f>IFERROR(VLOOKUP(Tabelle32[[#This Row],[Device ID]],BOM!$B$3:$BQ$35,13,FALSE),"")</f>
        <v>TC.U1.223 | MDC</v>
      </c>
      <c r="K266" s="59" t="str">
        <f>IFERROR(VLOOKUP(Tabelle32[[#This Row],[Device ID]],BOM!$B$3:$BQ$35,14,FALSE),"")</f>
        <v>Imagine Comunications</v>
      </c>
      <c r="L266" s="59" t="str">
        <f>IFERROR(VLOOKUP(Tabelle32[[#This Row],[Device ID]],BOM!$B$3:$BQ$35,16,FALSE),"")</f>
        <v>IngSRV-07</v>
      </c>
      <c r="M266" s="63" t="str">
        <f>IFERROR(VLOOKUP(Tabelle32[[#This Row],[Device ID]],BOM!$B$3:$BQ$35,17,FALSE),"")</f>
        <v>M3H</v>
      </c>
      <c r="N266" s="59" t="str">
        <f>IFERROR(VLOOKUP(Tabelle32[[#This Row],[Device ID]],BOM!$B$3:$BQ$35,18,FALSE),"")</f>
        <v>TC.03.225 | M3H</v>
      </c>
      <c r="O266" s="64"/>
      <c r="P266" s="64">
        <f>IFERROR(VLOOKUP(Tabelle32[[#This Row],[Device ID]],BOM!$B$3:$BO$50,20,FALSE),"")</f>
        <v>0</v>
      </c>
      <c r="Q266" s="64">
        <f>IFERROR(VLOOKUP(Tabelle32[[#This Row],[Device ID]],BOM!$B$3:$BO$50,21,FALSE),"")</f>
        <v>1</v>
      </c>
      <c r="R266" s="64">
        <f>IFERROR(VLOOKUP(Tabelle32[[#This Row],[Device ID]],BOM!$B$3:$BO$50,22,FALSE),"")</f>
        <v>0</v>
      </c>
      <c r="S266" s="64"/>
      <c r="T266" s="64"/>
      <c r="U266" s="59" t="str">
        <f>IFERROR(VLOOKUP(Tabelle32[[#This Row],[Device ID]],BOM!$B$3:$BQ$35,25,FALSE),"")</f>
        <v>Luis/Ivo</v>
      </c>
      <c r="V266" s="59" t="str">
        <f>IFERROR(VLOOKUP(Tabelle32[[#This Row],[Device ID]],BOM!$B$3:$BQ$35,26,FALSE),"")</f>
        <v>tpco-megw-vgw103.rta.st-net.media.int</v>
      </c>
      <c r="W266" s="59" t="str">
        <f>IFERROR(VLOOKUP(Tabelle32[[#This Row],[Device ID]],BOM!$B$3:$BQ$35,27,FALSE),"")</f>
        <v>10.120.236.50</v>
      </c>
      <c r="X266" s="59" t="str">
        <f>IFERROR(VLOOKUP(Tabelle32[[#This Row],[Device ID]],BOM!$B$3:$BQ$35,28,FALSE),"")</f>
        <v>AVCoreA</v>
      </c>
      <c r="Y266" s="59" t="str">
        <f>IFERROR(VLOOKUP(Tabelle32[[#This Row],[Device ID]],BOM!$B$3:$BQ$35,29,FALSE),"")</f>
        <v>5_36_1</v>
      </c>
      <c r="Z266" s="59" t="str">
        <f>IFERROR(VLOOKUP(Tabelle32[[#This Row],[Device ID]],BOM!$B$3:$BQ$35,30,FALSE),"")</f>
        <v>tpco-megw-vgw103.rtb.st-net.media.int</v>
      </c>
      <c r="AA266" s="59" t="str">
        <f>IFERROR(VLOOKUP(Tabelle32[[#This Row],[Device ID]],BOM!$B$3:$BQ$35,31,FALSE),"")</f>
        <v>10.120.236.54</v>
      </c>
      <c r="AB266" s="59" t="str">
        <f>IFERROR(VLOOKUP(Tabelle32[[#This Row],[Device ID]],BOM!$B$3:$BQ$35,32,FALSE),"")</f>
        <v>AVCoreB</v>
      </c>
      <c r="AC266" s="59" t="str">
        <f>IFERROR(VLOOKUP(Tabelle32[[#This Row],[Device ID]],BOM!$B$3:$BQ$35,33,FALSE),"")</f>
        <v>5_36_1</v>
      </c>
      <c r="AD266" s="59" t="str">
        <f>IFERROR(VLOOKUP(Tabelle32[[#This Row],[Device ID]],BOM!$B$3:$BQ$35,34,FALSE),"")</f>
        <v>tpco-megw-vgw103.st-net.media.int</v>
      </c>
      <c r="AE266" s="59" t="str">
        <f>IFERROR(VLOOKUP(Tabelle32[[#This Row],[Device ID]],BOM!$B$3:$BQ$35,35,FALSE),"")</f>
        <v>10.120.67.141</v>
      </c>
      <c r="AF266" s="59">
        <f>IFERROR(VLOOKUP(Tabelle32[[#This Row],[Device ID]],BOM!$B$3:$BQ$35,36,FALSE),"")</f>
        <v>0</v>
      </c>
      <c r="AG266" s="59">
        <f>IFERROR(VLOOKUP(Tabelle32[[#This Row],[Device ID]],BOM!$B$3:$BQ$35,37,FALSE),"")</f>
        <v>0</v>
      </c>
      <c r="AH266" s="59"/>
      <c r="AI266" s="59"/>
      <c r="AJ266" s="59"/>
      <c r="AK266" s="59"/>
      <c r="AL266" s="59" t="str">
        <f>IFERROR(VLOOKUP(Tabelle32[[#This Row],[Device ID]],BOM!$B$3:$BQ$35,42,FALSE),"")</f>
        <v>Imagine Communications SNP</v>
      </c>
      <c r="AM266" s="59" t="str">
        <f>IFERROR(VLOOKUP(Tabelle32[[#This Row],[Device ID]],BOM!$B$3:$BQ$35,43,FALSE),"")</f>
        <v>no</v>
      </c>
      <c r="AN266" s="59" t="str">
        <f>IFERROR(VLOOKUP(Tabelle32[[#This Row],[Device ID]],BOM!$B$3:$BQ$35,44,FALSE),"")</f>
        <v>yes</v>
      </c>
      <c r="AO266" s="59" t="str">
        <f>IFERROR(VLOOKUP(Tabelle32[[#This Row],[Device ID]],BOM!$B$3:$BQ$35,45,FALSE),"")</f>
        <v>no</v>
      </c>
      <c r="AP266" s="59" t="str">
        <f>IFERROR(CONCATENATE(Tabelle32[[#This Row],[Family
GFX-Unit]]," | ",Tabelle32[[#This Row],[Label 1
GFX-Unit]]," | ",Tabelle32[[#This Row],[Attached Device if Gateway]]),"")</f>
        <v>M3H InCh 1zu1 | Ingest Ch25-08 | IngSRV-07</v>
      </c>
      <c r="AQ266" s="59"/>
      <c r="AR266" s="90"/>
      <c r="AS266" s="90"/>
      <c r="AT266" s="90"/>
      <c r="AU266" s="90"/>
      <c r="AV266" s="90"/>
      <c r="AW266" s="90" t="s">
        <v>97</v>
      </c>
      <c r="AX266" s="90"/>
      <c r="AY266" s="90"/>
      <c r="AZ266" s="90" t="s">
        <v>97</v>
      </c>
      <c r="BA266" s="90"/>
      <c r="BB266" s="90" t="s">
        <v>97</v>
      </c>
      <c r="BC266" s="90" t="s">
        <v>97</v>
      </c>
      <c r="BD266" s="90"/>
      <c r="BE266" s="90"/>
      <c r="BF266" s="90"/>
      <c r="BG266" s="90"/>
      <c r="BH266" s="73" t="s">
        <v>199</v>
      </c>
      <c r="BI266" s="30" t="str">
        <f>IF(COUNTA(Tabelle32[[#This Row],[Type:Vid_1080i50]:[Type:Anc_Prot]])&gt;0,"x","")</f>
        <v>x</v>
      </c>
      <c r="BJ26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66" s="59"/>
      <c r="BL266" s="59"/>
      <c r="BM266" s="63"/>
      <c r="BN266" s="63"/>
      <c r="BO266" s="97" t="s">
        <v>663</v>
      </c>
      <c r="BP266" s="97" t="s">
        <v>614</v>
      </c>
      <c r="BQ266" s="75">
        <f>LEN(Tabelle32[[#This Row],[Label 1
GFX-Unit]])</f>
        <v>14</v>
      </c>
      <c r="BR266" s="63"/>
      <c r="BS266" s="63"/>
      <c r="BT266" s="59"/>
      <c r="BU266" s="59"/>
      <c r="BV266" s="59" t="s">
        <v>242</v>
      </c>
      <c r="BW266" s="59" t="s">
        <v>243</v>
      </c>
      <c r="BX266" s="59" t="s">
        <v>615</v>
      </c>
      <c r="BY266" s="59">
        <v>13</v>
      </c>
    </row>
    <row r="267" spans="1:77" x14ac:dyDescent="0.2">
      <c r="A267" s="58" t="str">
        <f>CONCATENATE(Tabelle32[[#This Row],[Device ID]],".",Tabelle32[[#This Row],[Streamcounter]])</f>
        <v>390.13209</v>
      </c>
      <c r="B26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VGW-103_SDI13_AUDrec_0009</v>
      </c>
      <c r="C267" s="60"/>
      <c r="D267" s="61"/>
      <c r="E267" s="62"/>
      <c r="F267" s="59" t="str">
        <f>IFERROR(VLOOKUP(Tabelle32[[#This Row],[Device ID]],BOM!$B$3:$BQ$35,16,FALSE),"")</f>
        <v>IngSRV-07</v>
      </c>
      <c r="G267" s="63">
        <f>VLOOKUP(Tabelle32[[#This Row],[SDI Interface]],BOM!$A$4:$B$35,2,FALSE)</f>
        <v>390</v>
      </c>
      <c r="H267" s="59" t="str">
        <f>BOM!$C$4</f>
        <v>VGW-103</v>
      </c>
      <c r="I267" s="59" t="str">
        <f>IFERROR(VLOOKUP(Tabelle32[[#This Row],[Device ID]],BOM!$B$3:$BQ$35,12,FALSE),"")</f>
        <v>Videoserver</v>
      </c>
      <c r="J267" s="59" t="str">
        <f>IFERROR(VLOOKUP(Tabelle32[[#This Row],[Device ID]],BOM!$B$3:$BQ$35,13,FALSE),"")</f>
        <v>TC.U1.223 | MDC</v>
      </c>
      <c r="K267" s="59" t="str">
        <f>IFERROR(VLOOKUP(Tabelle32[[#This Row],[Device ID]],BOM!$B$3:$BQ$35,14,FALSE),"")</f>
        <v>Imagine Comunications</v>
      </c>
      <c r="L267" s="59" t="str">
        <f>IFERROR(VLOOKUP(Tabelle32[[#This Row],[Device ID]],BOM!$B$3:$BQ$35,16,FALSE),"")</f>
        <v>IngSRV-07</v>
      </c>
      <c r="M267" s="63" t="str">
        <f>IFERROR(VLOOKUP(Tabelle32[[#This Row],[Device ID]],BOM!$B$3:$BQ$35,17,FALSE),"")</f>
        <v>M3H</v>
      </c>
      <c r="N267" s="59" t="str">
        <f>IFERROR(VLOOKUP(Tabelle32[[#This Row],[Device ID]],BOM!$B$3:$BQ$35,18,FALSE),"")</f>
        <v>TC.03.225 | M3H</v>
      </c>
      <c r="O267" s="64"/>
      <c r="P267" s="64">
        <f>IFERROR(VLOOKUP(Tabelle32[[#This Row],[Device ID]],BOM!$B$3:$BO$50,20,FALSE),"")</f>
        <v>0</v>
      </c>
      <c r="Q267" s="64">
        <f>IFERROR(VLOOKUP(Tabelle32[[#This Row],[Device ID]],BOM!$B$3:$BO$50,21,FALSE),"")</f>
        <v>1</v>
      </c>
      <c r="R267" s="64">
        <f>IFERROR(VLOOKUP(Tabelle32[[#This Row],[Device ID]],BOM!$B$3:$BO$50,22,FALSE),"")</f>
        <v>0</v>
      </c>
      <c r="S267" s="64"/>
      <c r="T267" s="64"/>
      <c r="U267" s="59" t="str">
        <f>IFERROR(VLOOKUP(Tabelle32[[#This Row],[Device ID]],BOM!$B$3:$BQ$35,25,FALSE),"")</f>
        <v>Luis/Ivo</v>
      </c>
      <c r="V267" s="59" t="str">
        <f>IFERROR(VLOOKUP(Tabelle32[[#This Row],[Device ID]],BOM!$B$3:$BQ$35,26,FALSE),"")</f>
        <v>tpco-megw-vgw103.rta.st-net.media.int</v>
      </c>
      <c r="W267" s="59" t="str">
        <f>IFERROR(VLOOKUP(Tabelle32[[#This Row],[Device ID]],BOM!$B$3:$BQ$35,27,FALSE),"")</f>
        <v>10.120.236.50</v>
      </c>
      <c r="X267" s="59" t="str">
        <f>IFERROR(VLOOKUP(Tabelle32[[#This Row],[Device ID]],BOM!$B$3:$BQ$35,28,FALSE),"")</f>
        <v>AVCoreA</v>
      </c>
      <c r="Y267" s="59" t="str">
        <f>IFERROR(VLOOKUP(Tabelle32[[#This Row],[Device ID]],BOM!$B$3:$BQ$35,29,FALSE),"")</f>
        <v>5_36_1</v>
      </c>
      <c r="Z267" s="59" t="str">
        <f>IFERROR(VLOOKUP(Tabelle32[[#This Row],[Device ID]],BOM!$B$3:$BQ$35,30,FALSE),"")</f>
        <v>tpco-megw-vgw103.rtb.st-net.media.int</v>
      </c>
      <c r="AA267" s="59" t="str">
        <f>IFERROR(VLOOKUP(Tabelle32[[#This Row],[Device ID]],BOM!$B$3:$BQ$35,31,FALSE),"")</f>
        <v>10.120.236.54</v>
      </c>
      <c r="AB267" s="59" t="str">
        <f>IFERROR(VLOOKUP(Tabelle32[[#This Row],[Device ID]],BOM!$B$3:$BQ$35,32,FALSE),"")</f>
        <v>AVCoreB</v>
      </c>
      <c r="AC267" s="59" t="str">
        <f>IFERROR(VLOOKUP(Tabelle32[[#This Row],[Device ID]],BOM!$B$3:$BQ$35,33,FALSE),"")</f>
        <v>5_36_1</v>
      </c>
      <c r="AD267" s="59" t="str">
        <f>IFERROR(VLOOKUP(Tabelle32[[#This Row],[Device ID]],BOM!$B$3:$BQ$35,34,FALSE),"")</f>
        <v>tpco-megw-vgw103.st-net.media.int</v>
      </c>
      <c r="AE267" s="59" t="str">
        <f>IFERROR(VLOOKUP(Tabelle32[[#This Row],[Device ID]],BOM!$B$3:$BQ$35,35,FALSE),"")</f>
        <v>10.120.67.141</v>
      </c>
      <c r="AF267" s="59">
        <f>IFERROR(VLOOKUP(Tabelle32[[#This Row],[Device ID]],BOM!$B$3:$BQ$35,36,FALSE),"")</f>
        <v>0</v>
      </c>
      <c r="AG267" s="59">
        <f>IFERROR(VLOOKUP(Tabelle32[[#This Row],[Device ID]],BOM!$B$3:$BQ$35,37,FALSE),"")</f>
        <v>0</v>
      </c>
      <c r="AH267" s="59"/>
      <c r="AI267" s="59"/>
      <c r="AJ267" s="59"/>
      <c r="AK267" s="59"/>
      <c r="AL267" s="59" t="str">
        <f>IFERROR(VLOOKUP(Tabelle32[[#This Row],[Device ID]],BOM!$B$3:$BQ$35,42,FALSE),"")</f>
        <v>Imagine Communications SNP</v>
      </c>
      <c r="AM267" s="59" t="str">
        <f>IFERROR(VLOOKUP(Tabelle32[[#This Row],[Device ID]],BOM!$B$3:$BQ$35,43,FALSE),"")</f>
        <v>no</v>
      </c>
      <c r="AN267" s="59" t="str">
        <f>IFERROR(VLOOKUP(Tabelle32[[#This Row],[Device ID]],BOM!$B$3:$BQ$35,44,FALSE),"")</f>
        <v>yes</v>
      </c>
      <c r="AO267" s="59" t="str">
        <f>IFERROR(VLOOKUP(Tabelle32[[#This Row],[Device ID]],BOM!$B$3:$BQ$35,45,FALSE),"")</f>
        <v>no</v>
      </c>
      <c r="AP267" s="59" t="str">
        <f>IFERROR(CONCATENATE(Tabelle32[[#This Row],[Family
GFX-Unit]]," | ",Tabelle32[[#This Row],[Label 1
GFX-Unit]]," | ",Tabelle32[[#This Row],[Attached Device if Gateway]]),"")</f>
        <v>M3H InCh 1zu1 | Ingest Ch25-09 | IngSRV-07</v>
      </c>
      <c r="AQ267" s="59"/>
      <c r="AR267" s="90"/>
      <c r="AS267" s="90"/>
      <c r="AT267" s="90"/>
      <c r="AU267" s="90"/>
      <c r="AV267" s="90"/>
      <c r="AW267" s="90" t="s">
        <v>97</v>
      </c>
      <c r="AX267" s="90"/>
      <c r="AY267" s="90"/>
      <c r="AZ267" s="90" t="s">
        <v>97</v>
      </c>
      <c r="BA267" s="90"/>
      <c r="BB267" s="90" t="s">
        <v>97</v>
      </c>
      <c r="BC267" s="90" t="s">
        <v>97</v>
      </c>
      <c r="BD267" s="90"/>
      <c r="BE267" s="90"/>
      <c r="BF267" s="90"/>
      <c r="BG267" s="90"/>
      <c r="BH267" s="73" t="s">
        <v>199</v>
      </c>
      <c r="BI267" s="30" t="str">
        <f>IF(COUNTA(Tabelle32[[#This Row],[Type:Vid_1080i50]:[Type:Anc_Prot]])&gt;0,"x","")</f>
        <v>x</v>
      </c>
      <c r="BJ26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67" s="59"/>
      <c r="BL267" s="59"/>
      <c r="BM267" s="63"/>
      <c r="BN267" s="63"/>
      <c r="BO267" s="97" t="s">
        <v>663</v>
      </c>
      <c r="BP267" s="97" t="s">
        <v>616</v>
      </c>
      <c r="BQ267" s="75">
        <f>LEN(Tabelle32[[#This Row],[Label 1
GFX-Unit]])</f>
        <v>14</v>
      </c>
      <c r="BR267" s="63"/>
      <c r="BS267" s="63"/>
      <c r="BT267" s="59"/>
      <c r="BU267" s="59"/>
      <c r="BV267" s="59" t="s">
        <v>245</v>
      </c>
      <c r="BW267" s="59" t="s">
        <v>246</v>
      </c>
      <c r="BX267" s="59" t="s">
        <v>617</v>
      </c>
      <c r="BY267" s="59">
        <v>13</v>
      </c>
    </row>
    <row r="268" spans="1:77" hidden="1" x14ac:dyDescent="0.2">
      <c r="A268" s="58" t="str">
        <f>CONCATENATE(Tabelle32[[#This Row],[Device ID]],".",Tabelle32[[#This Row],[Streamcounter]])</f>
        <v>390.13210</v>
      </c>
      <c r="B26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VGW-103_SDI13_AUDrec_0010</v>
      </c>
      <c r="C268" s="60"/>
      <c r="D268" s="61"/>
      <c r="E268" s="62"/>
      <c r="F268" s="59" t="str">
        <f>IFERROR(VLOOKUP(Tabelle32[[#This Row],[Device ID]],BOM!$B$3:$BQ$35,16,FALSE),"")</f>
        <v>IngSRV-07</v>
      </c>
      <c r="G268" s="63">
        <f>VLOOKUP(Tabelle32[[#This Row],[SDI Interface]],BOM!$A$4:$B$35,2,FALSE)</f>
        <v>390</v>
      </c>
      <c r="H268" s="59" t="str">
        <f>BOM!$C$4</f>
        <v>VGW-103</v>
      </c>
      <c r="I268" s="59" t="str">
        <f>IFERROR(VLOOKUP(Tabelle32[[#This Row],[Device ID]],BOM!$B$3:$BQ$35,12,FALSE),"")</f>
        <v>Videoserver</v>
      </c>
      <c r="J268" s="59" t="str">
        <f>IFERROR(VLOOKUP(Tabelle32[[#This Row],[Device ID]],BOM!$B$3:$BQ$35,13,FALSE),"")</f>
        <v>TC.U1.223 | MDC</v>
      </c>
      <c r="K268" s="59" t="str">
        <f>IFERROR(VLOOKUP(Tabelle32[[#This Row],[Device ID]],BOM!$B$3:$BQ$35,14,FALSE),"")</f>
        <v>Imagine Comunications</v>
      </c>
      <c r="L268" s="59" t="str">
        <f>IFERROR(VLOOKUP(Tabelle32[[#This Row],[Device ID]],BOM!$B$3:$BQ$35,16,FALSE),"")</f>
        <v>IngSRV-07</v>
      </c>
      <c r="M268" s="63" t="str">
        <f>IFERROR(VLOOKUP(Tabelle32[[#This Row],[Device ID]],BOM!$B$3:$BQ$35,17,FALSE),"")</f>
        <v>M3H</v>
      </c>
      <c r="N268" s="59" t="str">
        <f>IFERROR(VLOOKUP(Tabelle32[[#This Row],[Device ID]],BOM!$B$3:$BQ$35,18,FALSE),"")</f>
        <v>TC.03.225 | M3H</v>
      </c>
      <c r="O268" s="64"/>
      <c r="P268" s="64">
        <f>IFERROR(VLOOKUP(Tabelle32[[#This Row],[Device ID]],BOM!$B$3:$BO$50,20,FALSE),"")</f>
        <v>0</v>
      </c>
      <c r="Q268" s="64">
        <f>IFERROR(VLOOKUP(Tabelle32[[#This Row],[Device ID]],BOM!$B$3:$BO$50,21,FALSE),"")</f>
        <v>1</v>
      </c>
      <c r="R268" s="64">
        <f>IFERROR(VLOOKUP(Tabelle32[[#This Row],[Device ID]],BOM!$B$3:$BO$50,22,FALSE),"")</f>
        <v>0</v>
      </c>
      <c r="S268" s="64"/>
      <c r="T268" s="64"/>
      <c r="U268" s="59" t="str">
        <f>IFERROR(VLOOKUP(Tabelle32[[#This Row],[Device ID]],BOM!$B$3:$BQ$35,25,FALSE),"")</f>
        <v>Luis/Ivo</v>
      </c>
      <c r="V268" s="59" t="str">
        <f>IFERROR(VLOOKUP(Tabelle32[[#This Row],[Device ID]],BOM!$B$3:$BQ$35,26,FALSE),"")</f>
        <v>tpco-megw-vgw103.rta.st-net.media.int</v>
      </c>
      <c r="W268" s="59" t="str">
        <f>IFERROR(VLOOKUP(Tabelle32[[#This Row],[Device ID]],BOM!$B$3:$BQ$35,27,FALSE),"")</f>
        <v>10.120.236.50</v>
      </c>
      <c r="X268" s="59" t="str">
        <f>IFERROR(VLOOKUP(Tabelle32[[#This Row],[Device ID]],BOM!$B$3:$BQ$35,28,FALSE),"")</f>
        <v>AVCoreA</v>
      </c>
      <c r="Y268" s="59" t="str">
        <f>IFERROR(VLOOKUP(Tabelle32[[#This Row],[Device ID]],BOM!$B$3:$BQ$35,29,FALSE),"")</f>
        <v>5_36_1</v>
      </c>
      <c r="Z268" s="59" t="str">
        <f>IFERROR(VLOOKUP(Tabelle32[[#This Row],[Device ID]],BOM!$B$3:$BQ$35,30,FALSE),"")</f>
        <v>tpco-megw-vgw103.rtb.st-net.media.int</v>
      </c>
      <c r="AA268" s="59" t="str">
        <f>IFERROR(VLOOKUP(Tabelle32[[#This Row],[Device ID]],BOM!$B$3:$BQ$35,31,FALSE),"")</f>
        <v>10.120.236.54</v>
      </c>
      <c r="AB268" s="59" t="str">
        <f>IFERROR(VLOOKUP(Tabelle32[[#This Row],[Device ID]],BOM!$B$3:$BQ$35,32,FALSE),"")</f>
        <v>AVCoreB</v>
      </c>
      <c r="AC268" s="59" t="str">
        <f>IFERROR(VLOOKUP(Tabelle32[[#This Row],[Device ID]],BOM!$B$3:$BQ$35,33,FALSE),"")</f>
        <v>5_36_1</v>
      </c>
      <c r="AD268" s="59" t="str">
        <f>IFERROR(VLOOKUP(Tabelle32[[#This Row],[Device ID]],BOM!$B$3:$BQ$35,34,FALSE),"")</f>
        <v>tpco-megw-vgw103.st-net.media.int</v>
      </c>
      <c r="AE268" s="59" t="str">
        <f>IFERROR(VLOOKUP(Tabelle32[[#This Row],[Device ID]],BOM!$B$3:$BQ$35,35,FALSE),"")</f>
        <v>10.120.67.141</v>
      </c>
      <c r="AF268" s="59">
        <f>IFERROR(VLOOKUP(Tabelle32[[#This Row],[Device ID]],BOM!$B$3:$BQ$35,36,FALSE),"")</f>
        <v>0</v>
      </c>
      <c r="AG268" s="59">
        <f>IFERROR(VLOOKUP(Tabelle32[[#This Row],[Device ID]],BOM!$B$3:$BQ$35,37,FALSE),"")</f>
        <v>0</v>
      </c>
      <c r="AH268" s="59"/>
      <c r="AI268" s="59"/>
      <c r="AJ268" s="59"/>
      <c r="AK268" s="59"/>
      <c r="AL268" s="59" t="str">
        <f>IFERROR(VLOOKUP(Tabelle32[[#This Row],[Device ID]],BOM!$B$3:$BQ$35,42,FALSE),"")</f>
        <v>Imagine Communications SNP</v>
      </c>
      <c r="AM268" s="59" t="str">
        <f>IFERROR(VLOOKUP(Tabelle32[[#This Row],[Device ID]],BOM!$B$3:$BQ$35,43,FALSE),"")</f>
        <v>no</v>
      </c>
      <c r="AN268" s="59" t="str">
        <f>IFERROR(VLOOKUP(Tabelle32[[#This Row],[Device ID]],BOM!$B$3:$BQ$35,44,FALSE),"")</f>
        <v>yes</v>
      </c>
      <c r="AO268" s="59" t="str">
        <f>IFERROR(VLOOKUP(Tabelle32[[#This Row],[Device ID]],BOM!$B$3:$BQ$35,45,FALSE),"")</f>
        <v>no</v>
      </c>
      <c r="AP268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68" s="59"/>
      <c r="AR268" s="90"/>
      <c r="AS268" s="90"/>
      <c r="AT268" s="90"/>
      <c r="AU268" s="90"/>
      <c r="AV268" s="90"/>
      <c r="AW268" s="90"/>
      <c r="AX268" s="90"/>
      <c r="AY268" s="90"/>
      <c r="AZ268" s="90"/>
      <c r="BA268" s="90"/>
      <c r="BB268" s="90"/>
      <c r="BC268" s="90"/>
      <c r="BD268" s="90"/>
      <c r="BE268" s="90"/>
      <c r="BF268" s="90"/>
      <c r="BG268" s="90"/>
      <c r="BH268" s="73" t="s">
        <v>199</v>
      </c>
      <c r="BI268" s="30" t="str">
        <f>IF(COUNTA(Tabelle32[[#This Row],[Type:Vid_1080i50]:[Type:Anc_Prot]])&gt;0,"x","")</f>
        <v/>
      </c>
      <c r="BJ26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68" s="59"/>
      <c r="BL268" s="59"/>
      <c r="BM268" s="63"/>
      <c r="BN268" s="63"/>
      <c r="BO268" s="96"/>
      <c r="BP268" s="96"/>
      <c r="BQ268" s="75">
        <f>LEN(Tabelle32[[#This Row],[Label 1
GFX-Unit]])</f>
        <v>0</v>
      </c>
      <c r="BR268" s="63"/>
      <c r="BS268" s="63"/>
      <c r="BT268" s="59"/>
      <c r="BU268" s="59"/>
      <c r="BV268" s="59" t="s">
        <v>248</v>
      </c>
      <c r="BW268" s="59" t="s">
        <v>249</v>
      </c>
      <c r="BX268" s="59" t="s">
        <v>618</v>
      </c>
      <c r="BY268" s="59">
        <v>13</v>
      </c>
    </row>
    <row r="269" spans="1:77" hidden="1" x14ac:dyDescent="0.2">
      <c r="A269" s="58" t="str">
        <f>CONCATENATE(Tabelle32[[#This Row],[Device ID]],".",Tabelle32[[#This Row],[Streamcounter]])</f>
        <v>390.13211</v>
      </c>
      <c r="B26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VGW-103_SDI13_AUDrec_0011</v>
      </c>
      <c r="C269" s="60"/>
      <c r="D269" s="61"/>
      <c r="E269" s="62"/>
      <c r="F269" s="59" t="str">
        <f>IFERROR(VLOOKUP(Tabelle32[[#This Row],[Device ID]],BOM!$B$3:$BQ$35,16,FALSE),"")</f>
        <v>IngSRV-07</v>
      </c>
      <c r="G269" s="63">
        <f>VLOOKUP(Tabelle32[[#This Row],[SDI Interface]],BOM!$A$4:$B$35,2,FALSE)</f>
        <v>390</v>
      </c>
      <c r="H269" s="59" t="str">
        <f>BOM!$C$4</f>
        <v>VGW-103</v>
      </c>
      <c r="I269" s="59" t="str">
        <f>IFERROR(VLOOKUP(Tabelle32[[#This Row],[Device ID]],BOM!$B$3:$BQ$35,12,FALSE),"")</f>
        <v>Videoserver</v>
      </c>
      <c r="J269" s="59" t="str">
        <f>IFERROR(VLOOKUP(Tabelle32[[#This Row],[Device ID]],BOM!$B$3:$BQ$35,13,FALSE),"")</f>
        <v>TC.U1.223 | MDC</v>
      </c>
      <c r="K269" s="59" t="str">
        <f>IFERROR(VLOOKUP(Tabelle32[[#This Row],[Device ID]],BOM!$B$3:$BQ$35,14,FALSE),"")</f>
        <v>Imagine Comunications</v>
      </c>
      <c r="L269" s="59" t="str">
        <f>IFERROR(VLOOKUP(Tabelle32[[#This Row],[Device ID]],BOM!$B$3:$BQ$35,16,FALSE),"")</f>
        <v>IngSRV-07</v>
      </c>
      <c r="M269" s="63" t="str">
        <f>IFERROR(VLOOKUP(Tabelle32[[#This Row],[Device ID]],BOM!$B$3:$BQ$35,17,FALSE),"")</f>
        <v>M3H</v>
      </c>
      <c r="N269" s="59" t="str">
        <f>IFERROR(VLOOKUP(Tabelle32[[#This Row],[Device ID]],BOM!$B$3:$BQ$35,18,FALSE),"")</f>
        <v>TC.03.225 | M3H</v>
      </c>
      <c r="O269" s="64"/>
      <c r="P269" s="64">
        <f>IFERROR(VLOOKUP(Tabelle32[[#This Row],[Device ID]],BOM!$B$3:$BO$50,20,FALSE),"")</f>
        <v>0</v>
      </c>
      <c r="Q269" s="64">
        <f>IFERROR(VLOOKUP(Tabelle32[[#This Row],[Device ID]],BOM!$B$3:$BO$50,21,FALSE),"")</f>
        <v>1</v>
      </c>
      <c r="R269" s="64">
        <f>IFERROR(VLOOKUP(Tabelle32[[#This Row],[Device ID]],BOM!$B$3:$BO$50,22,FALSE),"")</f>
        <v>0</v>
      </c>
      <c r="S269" s="64"/>
      <c r="T269" s="64"/>
      <c r="U269" s="59" t="str">
        <f>IFERROR(VLOOKUP(Tabelle32[[#This Row],[Device ID]],BOM!$B$3:$BQ$35,25,FALSE),"")</f>
        <v>Luis/Ivo</v>
      </c>
      <c r="V269" s="59" t="str">
        <f>IFERROR(VLOOKUP(Tabelle32[[#This Row],[Device ID]],BOM!$B$3:$BQ$35,26,FALSE),"")</f>
        <v>tpco-megw-vgw103.rta.st-net.media.int</v>
      </c>
      <c r="W269" s="59" t="str">
        <f>IFERROR(VLOOKUP(Tabelle32[[#This Row],[Device ID]],BOM!$B$3:$BQ$35,27,FALSE),"")</f>
        <v>10.120.236.50</v>
      </c>
      <c r="X269" s="59" t="str">
        <f>IFERROR(VLOOKUP(Tabelle32[[#This Row],[Device ID]],BOM!$B$3:$BQ$35,28,FALSE),"")</f>
        <v>AVCoreA</v>
      </c>
      <c r="Y269" s="59" t="str">
        <f>IFERROR(VLOOKUP(Tabelle32[[#This Row],[Device ID]],BOM!$B$3:$BQ$35,29,FALSE),"")</f>
        <v>5_36_1</v>
      </c>
      <c r="Z269" s="59" t="str">
        <f>IFERROR(VLOOKUP(Tabelle32[[#This Row],[Device ID]],BOM!$B$3:$BQ$35,30,FALSE),"")</f>
        <v>tpco-megw-vgw103.rtb.st-net.media.int</v>
      </c>
      <c r="AA269" s="59" t="str">
        <f>IFERROR(VLOOKUP(Tabelle32[[#This Row],[Device ID]],BOM!$B$3:$BQ$35,31,FALSE),"")</f>
        <v>10.120.236.54</v>
      </c>
      <c r="AB269" s="59" t="str">
        <f>IFERROR(VLOOKUP(Tabelle32[[#This Row],[Device ID]],BOM!$B$3:$BQ$35,32,FALSE),"")</f>
        <v>AVCoreB</v>
      </c>
      <c r="AC269" s="59" t="str">
        <f>IFERROR(VLOOKUP(Tabelle32[[#This Row],[Device ID]],BOM!$B$3:$BQ$35,33,FALSE),"")</f>
        <v>5_36_1</v>
      </c>
      <c r="AD269" s="59" t="str">
        <f>IFERROR(VLOOKUP(Tabelle32[[#This Row],[Device ID]],BOM!$B$3:$BQ$35,34,FALSE),"")</f>
        <v>tpco-megw-vgw103.st-net.media.int</v>
      </c>
      <c r="AE269" s="59" t="str">
        <f>IFERROR(VLOOKUP(Tabelle32[[#This Row],[Device ID]],BOM!$B$3:$BQ$35,35,FALSE),"")</f>
        <v>10.120.67.141</v>
      </c>
      <c r="AF269" s="59">
        <f>IFERROR(VLOOKUP(Tabelle32[[#This Row],[Device ID]],BOM!$B$3:$BQ$35,36,FALSE),"")</f>
        <v>0</v>
      </c>
      <c r="AG269" s="59">
        <f>IFERROR(VLOOKUP(Tabelle32[[#This Row],[Device ID]],BOM!$B$3:$BQ$35,37,FALSE),"")</f>
        <v>0</v>
      </c>
      <c r="AH269" s="59"/>
      <c r="AI269" s="59"/>
      <c r="AJ269" s="59"/>
      <c r="AK269" s="59"/>
      <c r="AL269" s="59" t="str">
        <f>IFERROR(VLOOKUP(Tabelle32[[#This Row],[Device ID]],BOM!$B$3:$BQ$35,42,FALSE),"")</f>
        <v>Imagine Communications SNP</v>
      </c>
      <c r="AM269" s="59" t="str">
        <f>IFERROR(VLOOKUP(Tabelle32[[#This Row],[Device ID]],BOM!$B$3:$BQ$35,43,FALSE),"")</f>
        <v>no</v>
      </c>
      <c r="AN269" s="59" t="str">
        <f>IFERROR(VLOOKUP(Tabelle32[[#This Row],[Device ID]],BOM!$B$3:$BQ$35,44,FALSE),"")</f>
        <v>yes</v>
      </c>
      <c r="AO269" s="59" t="str">
        <f>IFERROR(VLOOKUP(Tabelle32[[#This Row],[Device ID]],BOM!$B$3:$BQ$35,45,FALSE),"")</f>
        <v>no</v>
      </c>
      <c r="AP269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69" s="59"/>
      <c r="AR269" s="90"/>
      <c r="AS269" s="90"/>
      <c r="AT269" s="90"/>
      <c r="AU269" s="90"/>
      <c r="AV269" s="90"/>
      <c r="AW269" s="90"/>
      <c r="AX269" s="90"/>
      <c r="AY269" s="90"/>
      <c r="AZ269" s="90"/>
      <c r="BA269" s="90"/>
      <c r="BB269" s="90"/>
      <c r="BC269" s="90"/>
      <c r="BD269" s="90"/>
      <c r="BE269" s="90"/>
      <c r="BF269" s="90"/>
      <c r="BG269" s="90"/>
      <c r="BH269" s="73" t="s">
        <v>199</v>
      </c>
      <c r="BI269" s="30" t="str">
        <f>IF(COUNTA(Tabelle32[[#This Row],[Type:Vid_1080i50]:[Type:Anc_Prot]])&gt;0,"x","")</f>
        <v/>
      </c>
      <c r="BJ26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69" s="59"/>
      <c r="BL269" s="59"/>
      <c r="BM269" s="63"/>
      <c r="BN269" s="63"/>
      <c r="BO269" s="96"/>
      <c r="BP269" s="96"/>
      <c r="BQ269" s="75">
        <f>LEN(Tabelle32[[#This Row],[Label 1
GFX-Unit]])</f>
        <v>0</v>
      </c>
      <c r="BR269" s="63"/>
      <c r="BS269" s="63"/>
      <c r="BT269" s="59"/>
      <c r="BU269" s="59"/>
      <c r="BV269" s="59" t="s">
        <v>251</v>
      </c>
      <c r="BW269" s="59" t="s">
        <v>252</v>
      </c>
      <c r="BX269" s="59" t="s">
        <v>619</v>
      </c>
      <c r="BY269" s="59">
        <v>13</v>
      </c>
    </row>
    <row r="270" spans="1:77" hidden="1" x14ac:dyDescent="0.2">
      <c r="A270" s="58" t="str">
        <f>CONCATENATE(Tabelle32[[#This Row],[Device ID]],".",Tabelle32[[#This Row],[Streamcounter]])</f>
        <v>390.13212</v>
      </c>
      <c r="B27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VGW-103_SDI13_AUDrec_0012</v>
      </c>
      <c r="C270" s="60"/>
      <c r="D270" s="61"/>
      <c r="E270" s="62"/>
      <c r="F270" s="59" t="str">
        <f>IFERROR(VLOOKUP(Tabelle32[[#This Row],[Device ID]],BOM!$B$3:$BQ$35,16,FALSE),"")</f>
        <v>IngSRV-07</v>
      </c>
      <c r="G270" s="63">
        <f>VLOOKUP(Tabelle32[[#This Row],[SDI Interface]],BOM!$A$4:$B$35,2,FALSE)</f>
        <v>390</v>
      </c>
      <c r="H270" s="59" t="str">
        <f>BOM!$C$4</f>
        <v>VGW-103</v>
      </c>
      <c r="I270" s="59" t="str">
        <f>IFERROR(VLOOKUP(Tabelle32[[#This Row],[Device ID]],BOM!$B$3:$BQ$35,12,FALSE),"")</f>
        <v>Videoserver</v>
      </c>
      <c r="J270" s="59" t="str">
        <f>IFERROR(VLOOKUP(Tabelle32[[#This Row],[Device ID]],BOM!$B$3:$BQ$35,13,FALSE),"")</f>
        <v>TC.U1.223 | MDC</v>
      </c>
      <c r="K270" s="59" t="str">
        <f>IFERROR(VLOOKUP(Tabelle32[[#This Row],[Device ID]],BOM!$B$3:$BQ$35,14,FALSE),"")</f>
        <v>Imagine Comunications</v>
      </c>
      <c r="L270" s="59" t="str">
        <f>IFERROR(VLOOKUP(Tabelle32[[#This Row],[Device ID]],BOM!$B$3:$BQ$35,16,FALSE),"")</f>
        <v>IngSRV-07</v>
      </c>
      <c r="M270" s="63" t="str">
        <f>IFERROR(VLOOKUP(Tabelle32[[#This Row],[Device ID]],BOM!$B$3:$BQ$35,17,FALSE),"")</f>
        <v>M3H</v>
      </c>
      <c r="N270" s="59" t="str">
        <f>IFERROR(VLOOKUP(Tabelle32[[#This Row],[Device ID]],BOM!$B$3:$BQ$35,18,FALSE),"")</f>
        <v>TC.03.225 | M3H</v>
      </c>
      <c r="O270" s="64"/>
      <c r="P270" s="64">
        <f>IFERROR(VLOOKUP(Tabelle32[[#This Row],[Device ID]],BOM!$B$3:$BO$50,20,FALSE),"")</f>
        <v>0</v>
      </c>
      <c r="Q270" s="64">
        <f>IFERROR(VLOOKUP(Tabelle32[[#This Row],[Device ID]],BOM!$B$3:$BO$50,21,FALSE),"")</f>
        <v>1</v>
      </c>
      <c r="R270" s="64">
        <f>IFERROR(VLOOKUP(Tabelle32[[#This Row],[Device ID]],BOM!$B$3:$BO$50,22,FALSE),"")</f>
        <v>0</v>
      </c>
      <c r="S270" s="64"/>
      <c r="T270" s="64"/>
      <c r="U270" s="59" t="str">
        <f>IFERROR(VLOOKUP(Tabelle32[[#This Row],[Device ID]],BOM!$B$3:$BQ$35,25,FALSE),"")</f>
        <v>Luis/Ivo</v>
      </c>
      <c r="V270" s="59" t="str">
        <f>IFERROR(VLOOKUP(Tabelle32[[#This Row],[Device ID]],BOM!$B$3:$BQ$35,26,FALSE),"")</f>
        <v>tpco-megw-vgw103.rta.st-net.media.int</v>
      </c>
      <c r="W270" s="59" t="str">
        <f>IFERROR(VLOOKUP(Tabelle32[[#This Row],[Device ID]],BOM!$B$3:$BQ$35,27,FALSE),"")</f>
        <v>10.120.236.50</v>
      </c>
      <c r="X270" s="59" t="str">
        <f>IFERROR(VLOOKUP(Tabelle32[[#This Row],[Device ID]],BOM!$B$3:$BQ$35,28,FALSE),"")</f>
        <v>AVCoreA</v>
      </c>
      <c r="Y270" s="59" t="str">
        <f>IFERROR(VLOOKUP(Tabelle32[[#This Row],[Device ID]],BOM!$B$3:$BQ$35,29,FALSE),"")</f>
        <v>5_36_1</v>
      </c>
      <c r="Z270" s="59" t="str">
        <f>IFERROR(VLOOKUP(Tabelle32[[#This Row],[Device ID]],BOM!$B$3:$BQ$35,30,FALSE),"")</f>
        <v>tpco-megw-vgw103.rtb.st-net.media.int</v>
      </c>
      <c r="AA270" s="59" t="str">
        <f>IFERROR(VLOOKUP(Tabelle32[[#This Row],[Device ID]],BOM!$B$3:$BQ$35,31,FALSE),"")</f>
        <v>10.120.236.54</v>
      </c>
      <c r="AB270" s="59" t="str">
        <f>IFERROR(VLOOKUP(Tabelle32[[#This Row],[Device ID]],BOM!$B$3:$BQ$35,32,FALSE),"")</f>
        <v>AVCoreB</v>
      </c>
      <c r="AC270" s="59" t="str">
        <f>IFERROR(VLOOKUP(Tabelle32[[#This Row],[Device ID]],BOM!$B$3:$BQ$35,33,FALSE),"")</f>
        <v>5_36_1</v>
      </c>
      <c r="AD270" s="59" t="str">
        <f>IFERROR(VLOOKUP(Tabelle32[[#This Row],[Device ID]],BOM!$B$3:$BQ$35,34,FALSE),"")</f>
        <v>tpco-megw-vgw103.st-net.media.int</v>
      </c>
      <c r="AE270" s="59" t="str">
        <f>IFERROR(VLOOKUP(Tabelle32[[#This Row],[Device ID]],BOM!$B$3:$BQ$35,35,FALSE),"")</f>
        <v>10.120.67.141</v>
      </c>
      <c r="AF270" s="59">
        <f>IFERROR(VLOOKUP(Tabelle32[[#This Row],[Device ID]],BOM!$B$3:$BQ$35,36,FALSE),"")</f>
        <v>0</v>
      </c>
      <c r="AG270" s="59">
        <f>IFERROR(VLOOKUP(Tabelle32[[#This Row],[Device ID]],BOM!$B$3:$BQ$35,37,FALSE),"")</f>
        <v>0</v>
      </c>
      <c r="AH270" s="59"/>
      <c r="AI270" s="59"/>
      <c r="AJ270" s="59"/>
      <c r="AK270" s="59"/>
      <c r="AL270" s="59" t="str">
        <f>IFERROR(VLOOKUP(Tabelle32[[#This Row],[Device ID]],BOM!$B$3:$BQ$35,42,FALSE),"")</f>
        <v>Imagine Communications SNP</v>
      </c>
      <c r="AM270" s="59" t="str">
        <f>IFERROR(VLOOKUP(Tabelle32[[#This Row],[Device ID]],BOM!$B$3:$BQ$35,43,FALSE),"")</f>
        <v>no</v>
      </c>
      <c r="AN270" s="59" t="str">
        <f>IFERROR(VLOOKUP(Tabelle32[[#This Row],[Device ID]],BOM!$B$3:$BQ$35,44,FALSE),"")</f>
        <v>yes</v>
      </c>
      <c r="AO270" s="59" t="str">
        <f>IFERROR(VLOOKUP(Tabelle32[[#This Row],[Device ID]],BOM!$B$3:$BQ$35,45,FALSE),"")</f>
        <v>no</v>
      </c>
      <c r="AP270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70" s="59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90"/>
      <c r="BC270" s="90"/>
      <c r="BD270" s="90"/>
      <c r="BE270" s="90"/>
      <c r="BF270" s="90"/>
      <c r="BG270" s="90"/>
      <c r="BH270" s="73" t="s">
        <v>199</v>
      </c>
      <c r="BI270" s="30" t="str">
        <f>IF(COUNTA(Tabelle32[[#This Row],[Type:Vid_1080i50]:[Type:Anc_Prot]])&gt;0,"x","")</f>
        <v/>
      </c>
      <c r="BJ27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70" s="59"/>
      <c r="BL270" s="59"/>
      <c r="BM270" s="63"/>
      <c r="BN270" s="63"/>
      <c r="BO270" s="96"/>
      <c r="BP270" s="96"/>
      <c r="BQ270" s="75">
        <f>LEN(Tabelle32[[#This Row],[Label 1
GFX-Unit]])</f>
        <v>0</v>
      </c>
      <c r="BR270" s="63"/>
      <c r="BS270" s="63"/>
      <c r="BT270" s="59"/>
      <c r="BU270" s="59"/>
      <c r="BV270" s="59" t="s">
        <v>254</v>
      </c>
      <c r="BW270" s="59" t="s">
        <v>255</v>
      </c>
      <c r="BX270" s="59" t="s">
        <v>620</v>
      </c>
      <c r="BY270" s="59">
        <v>13</v>
      </c>
    </row>
    <row r="271" spans="1:77" hidden="1" x14ac:dyDescent="0.2">
      <c r="A271" s="58" t="str">
        <f>CONCATENATE(Tabelle32[[#This Row],[Device ID]],".",Tabelle32[[#This Row],[Streamcounter]])</f>
        <v>390.13213</v>
      </c>
      <c r="B27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VGW-103_SDI13_AUDrec_0013</v>
      </c>
      <c r="C271" s="60"/>
      <c r="D271" s="61"/>
      <c r="E271" s="62"/>
      <c r="F271" s="59" t="str">
        <f>IFERROR(VLOOKUP(Tabelle32[[#This Row],[Device ID]],BOM!$B$3:$BQ$35,16,FALSE),"")</f>
        <v>IngSRV-07</v>
      </c>
      <c r="G271" s="63">
        <f>VLOOKUP(Tabelle32[[#This Row],[SDI Interface]],BOM!$A$4:$B$35,2,FALSE)</f>
        <v>390</v>
      </c>
      <c r="H271" s="59" t="str">
        <f>BOM!$C$4</f>
        <v>VGW-103</v>
      </c>
      <c r="I271" s="59" t="str">
        <f>IFERROR(VLOOKUP(Tabelle32[[#This Row],[Device ID]],BOM!$B$3:$BQ$35,12,FALSE),"")</f>
        <v>Videoserver</v>
      </c>
      <c r="J271" s="59" t="str">
        <f>IFERROR(VLOOKUP(Tabelle32[[#This Row],[Device ID]],BOM!$B$3:$BQ$35,13,FALSE),"")</f>
        <v>TC.U1.223 | MDC</v>
      </c>
      <c r="K271" s="59" t="str">
        <f>IFERROR(VLOOKUP(Tabelle32[[#This Row],[Device ID]],BOM!$B$3:$BQ$35,14,FALSE),"")</f>
        <v>Imagine Comunications</v>
      </c>
      <c r="L271" s="59" t="str">
        <f>IFERROR(VLOOKUP(Tabelle32[[#This Row],[Device ID]],BOM!$B$3:$BQ$35,16,FALSE),"")</f>
        <v>IngSRV-07</v>
      </c>
      <c r="M271" s="63" t="str">
        <f>IFERROR(VLOOKUP(Tabelle32[[#This Row],[Device ID]],BOM!$B$3:$BQ$35,17,FALSE),"")</f>
        <v>M3H</v>
      </c>
      <c r="N271" s="59" t="str">
        <f>IFERROR(VLOOKUP(Tabelle32[[#This Row],[Device ID]],BOM!$B$3:$BQ$35,18,FALSE),"")</f>
        <v>TC.03.225 | M3H</v>
      </c>
      <c r="O271" s="64"/>
      <c r="P271" s="64">
        <f>IFERROR(VLOOKUP(Tabelle32[[#This Row],[Device ID]],BOM!$B$3:$BO$50,20,FALSE),"")</f>
        <v>0</v>
      </c>
      <c r="Q271" s="64">
        <f>IFERROR(VLOOKUP(Tabelle32[[#This Row],[Device ID]],BOM!$B$3:$BO$50,21,FALSE),"")</f>
        <v>1</v>
      </c>
      <c r="R271" s="64">
        <f>IFERROR(VLOOKUP(Tabelle32[[#This Row],[Device ID]],BOM!$B$3:$BO$50,22,FALSE),"")</f>
        <v>0</v>
      </c>
      <c r="S271" s="64"/>
      <c r="T271" s="64"/>
      <c r="U271" s="59" t="str">
        <f>IFERROR(VLOOKUP(Tabelle32[[#This Row],[Device ID]],BOM!$B$3:$BQ$35,25,FALSE),"")</f>
        <v>Luis/Ivo</v>
      </c>
      <c r="V271" s="59" t="str">
        <f>IFERROR(VLOOKUP(Tabelle32[[#This Row],[Device ID]],BOM!$B$3:$BQ$35,26,FALSE),"")</f>
        <v>tpco-megw-vgw103.rta.st-net.media.int</v>
      </c>
      <c r="W271" s="59" t="str">
        <f>IFERROR(VLOOKUP(Tabelle32[[#This Row],[Device ID]],BOM!$B$3:$BQ$35,27,FALSE),"")</f>
        <v>10.120.236.50</v>
      </c>
      <c r="X271" s="59" t="str">
        <f>IFERROR(VLOOKUP(Tabelle32[[#This Row],[Device ID]],BOM!$B$3:$BQ$35,28,FALSE),"")</f>
        <v>AVCoreA</v>
      </c>
      <c r="Y271" s="59" t="str">
        <f>IFERROR(VLOOKUP(Tabelle32[[#This Row],[Device ID]],BOM!$B$3:$BQ$35,29,FALSE),"")</f>
        <v>5_36_1</v>
      </c>
      <c r="Z271" s="59" t="str">
        <f>IFERROR(VLOOKUP(Tabelle32[[#This Row],[Device ID]],BOM!$B$3:$BQ$35,30,FALSE),"")</f>
        <v>tpco-megw-vgw103.rtb.st-net.media.int</v>
      </c>
      <c r="AA271" s="59" t="str">
        <f>IFERROR(VLOOKUP(Tabelle32[[#This Row],[Device ID]],BOM!$B$3:$BQ$35,31,FALSE),"")</f>
        <v>10.120.236.54</v>
      </c>
      <c r="AB271" s="59" t="str">
        <f>IFERROR(VLOOKUP(Tabelle32[[#This Row],[Device ID]],BOM!$B$3:$BQ$35,32,FALSE),"")</f>
        <v>AVCoreB</v>
      </c>
      <c r="AC271" s="59" t="str">
        <f>IFERROR(VLOOKUP(Tabelle32[[#This Row],[Device ID]],BOM!$B$3:$BQ$35,33,FALSE),"")</f>
        <v>5_36_1</v>
      </c>
      <c r="AD271" s="59" t="str">
        <f>IFERROR(VLOOKUP(Tabelle32[[#This Row],[Device ID]],BOM!$B$3:$BQ$35,34,FALSE),"")</f>
        <v>tpco-megw-vgw103.st-net.media.int</v>
      </c>
      <c r="AE271" s="59" t="str">
        <f>IFERROR(VLOOKUP(Tabelle32[[#This Row],[Device ID]],BOM!$B$3:$BQ$35,35,FALSE),"")</f>
        <v>10.120.67.141</v>
      </c>
      <c r="AF271" s="59">
        <f>IFERROR(VLOOKUP(Tabelle32[[#This Row],[Device ID]],BOM!$B$3:$BQ$35,36,FALSE),"")</f>
        <v>0</v>
      </c>
      <c r="AG271" s="59">
        <f>IFERROR(VLOOKUP(Tabelle32[[#This Row],[Device ID]],BOM!$B$3:$BQ$35,37,FALSE),"")</f>
        <v>0</v>
      </c>
      <c r="AH271" s="59"/>
      <c r="AI271" s="59"/>
      <c r="AJ271" s="59"/>
      <c r="AK271" s="59"/>
      <c r="AL271" s="59" t="str">
        <f>IFERROR(VLOOKUP(Tabelle32[[#This Row],[Device ID]],BOM!$B$3:$BQ$35,42,FALSE),"")</f>
        <v>Imagine Communications SNP</v>
      </c>
      <c r="AM271" s="59" t="str">
        <f>IFERROR(VLOOKUP(Tabelle32[[#This Row],[Device ID]],BOM!$B$3:$BQ$35,43,FALSE),"")</f>
        <v>no</v>
      </c>
      <c r="AN271" s="59" t="str">
        <f>IFERROR(VLOOKUP(Tabelle32[[#This Row],[Device ID]],BOM!$B$3:$BQ$35,44,FALSE),"")</f>
        <v>yes</v>
      </c>
      <c r="AO271" s="59" t="str">
        <f>IFERROR(VLOOKUP(Tabelle32[[#This Row],[Device ID]],BOM!$B$3:$BQ$35,45,FALSE),"")</f>
        <v>no</v>
      </c>
      <c r="AP271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71" s="59"/>
      <c r="AR271" s="90"/>
      <c r="AS271" s="90"/>
      <c r="AT271" s="90"/>
      <c r="AU271" s="90"/>
      <c r="AV271" s="90"/>
      <c r="AW271" s="90"/>
      <c r="AX271" s="90"/>
      <c r="AY271" s="90"/>
      <c r="AZ271" s="90"/>
      <c r="BA271" s="90"/>
      <c r="BB271" s="90"/>
      <c r="BC271" s="90"/>
      <c r="BD271" s="90"/>
      <c r="BE271" s="90"/>
      <c r="BF271" s="90"/>
      <c r="BG271" s="90"/>
      <c r="BH271" s="73" t="s">
        <v>199</v>
      </c>
      <c r="BI271" s="30" t="str">
        <f>IF(COUNTA(Tabelle32[[#This Row],[Type:Vid_1080i50]:[Type:Anc_Prot]])&gt;0,"x","")</f>
        <v/>
      </c>
      <c r="BJ27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71" s="59"/>
      <c r="BL271" s="59"/>
      <c r="BM271" s="63"/>
      <c r="BN271" s="63"/>
      <c r="BO271" s="96"/>
      <c r="BP271" s="96"/>
      <c r="BQ271" s="75">
        <f>LEN(Tabelle32[[#This Row],[Label 1
GFX-Unit]])</f>
        <v>0</v>
      </c>
      <c r="BR271" s="63"/>
      <c r="BS271" s="63"/>
      <c r="BT271" s="59"/>
      <c r="BU271" s="59"/>
      <c r="BV271" s="59" t="s">
        <v>257</v>
      </c>
      <c r="BW271" s="59" t="s">
        <v>258</v>
      </c>
      <c r="BX271" s="59" t="s">
        <v>621</v>
      </c>
      <c r="BY271" s="59">
        <v>13</v>
      </c>
    </row>
    <row r="272" spans="1:77" hidden="1" x14ac:dyDescent="0.2">
      <c r="A272" s="58" t="str">
        <f>CONCATENATE(Tabelle32[[#This Row],[Device ID]],".",Tabelle32[[#This Row],[Streamcounter]])</f>
        <v>390.13214</v>
      </c>
      <c r="B27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VGW-103_SDI13_AUDrec_0014</v>
      </c>
      <c r="C272" s="60"/>
      <c r="D272" s="61"/>
      <c r="E272" s="62"/>
      <c r="F272" s="59" t="str">
        <f>IFERROR(VLOOKUP(Tabelle32[[#This Row],[Device ID]],BOM!$B$3:$BQ$35,16,FALSE),"")</f>
        <v>IngSRV-07</v>
      </c>
      <c r="G272" s="63">
        <f>VLOOKUP(Tabelle32[[#This Row],[SDI Interface]],BOM!$A$4:$B$35,2,FALSE)</f>
        <v>390</v>
      </c>
      <c r="H272" s="59" t="str">
        <f>BOM!$C$4</f>
        <v>VGW-103</v>
      </c>
      <c r="I272" s="59" t="str">
        <f>IFERROR(VLOOKUP(Tabelle32[[#This Row],[Device ID]],BOM!$B$3:$BQ$35,12,FALSE),"")</f>
        <v>Videoserver</v>
      </c>
      <c r="J272" s="59" t="str">
        <f>IFERROR(VLOOKUP(Tabelle32[[#This Row],[Device ID]],BOM!$B$3:$BQ$35,13,FALSE),"")</f>
        <v>TC.U1.223 | MDC</v>
      </c>
      <c r="K272" s="59" t="str">
        <f>IFERROR(VLOOKUP(Tabelle32[[#This Row],[Device ID]],BOM!$B$3:$BQ$35,14,FALSE),"")</f>
        <v>Imagine Comunications</v>
      </c>
      <c r="L272" s="59" t="str">
        <f>IFERROR(VLOOKUP(Tabelle32[[#This Row],[Device ID]],BOM!$B$3:$BQ$35,16,FALSE),"")</f>
        <v>IngSRV-07</v>
      </c>
      <c r="M272" s="63" t="str">
        <f>IFERROR(VLOOKUP(Tabelle32[[#This Row],[Device ID]],BOM!$B$3:$BQ$35,17,FALSE),"")</f>
        <v>M3H</v>
      </c>
      <c r="N272" s="59" t="str">
        <f>IFERROR(VLOOKUP(Tabelle32[[#This Row],[Device ID]],BOM!$B$3:$BQ$35,18,FALSE),"")</f>
        <v>TC.03.225 | M3H</v>
      </c>
      <c r="O272" s="64"/>
      <c r="P272" s="64">
        <f>IFERROR(VLOOKUP(Tabelle32[[#This Row],[Device ID]],BOM!$B$3:$BO$50,20,FALSE),"")</f>
        <v>0</v>
      </c>
      <c r="Q272" s="64">
        <f>IFERROR(VLOOKUP(Tabelle32[[#This Row],[Device ID]],BOM!$B$3:$BO$50,21,FALSE),"")</f>
        <v>1</v>
      </c>
      <c r="R272" s="64">
        <f>IFERROR(VLOOKUP(Tabelle32[[#This Row],[Device ID]],BOM!$B$3:$BO$50,22,FALSE),"")</f>
        <v>0</v>
      </c>
      <c r="S272" s="64"/>
      <c r="T272" s="64"/>
      <c r="U272" s="59" t="str">
        <f>IFERROR(VLOOKUP(Tabelle32[[#This Row],[Device ID]],BOM!$B$3:$BQ$35,25,FALSE),"")</f>
        <v>Luis/Ivo</v>
      </c>
      <c r="V272" s="59" t="str">
        <f>IFERROR(VLOOKUP(Tabelle32[[#This Row],[Device ID]],BOM!$B$3:$BQ$35,26,FALSE),"")</f>
        <v>tpco-megw-vgw103.rta.st-net.media.int</v>
      </c>
      <c r="W272" s="59" t="str">
        <f>IFERROR(VLOOKUP(Tabelle32[[#This Row],[Device ID]],BOM!$B$3:$BQ$35,27,FALSE),"")</f>
        <v>10.120.236.50</v>
      </c>
      <c r="X272" s="59" t="str">
        <f>IFERROR(VLOOKUP(Tabelle32[[#This Row],[Device ID]],BOM!$B$3:$BQ$35,28,FALSE),"")</f>
        <v>AVCoreA</v>
      </c>
      <c r="Y272" s="59" t="str">
        <f>IFERROR(VLOOKUP(Tabelle32[[#This Row],[Device ID]],BOM!$B$3:$BQ$35,29,FALSE),"")</f>
        <v>5_36_1</v>
      </c>
      <c r="Z272" s="59" t="str">
        <f>IFERROR(VLOOKUP(Tabelle32[[#This Row],[Device ID]],BOM!$B$3:$BQ$35,30,FALSE),"")</f>
        <v>tpco-megw-vgw103.rtb.st-net.media.int</v>
      </c>
      <c r="AA272" s="59" t="str">
        <f>IFERROR(VLOOKUP(Tabelle32[[#This Row],[Device ID]],BOM!$B$3:$BQ$35,31,FALSE),"")</f>
        <v>10.120.236.54</v>
      </c>
      <c r="AB272" s="59" t="str">
        <f>IFERROR(VLOOKUP(Tabelle32[[#This Row],[Device ID]],BOM!$B$3:$BQ$35,32,FALSE),"")</f>
        <v>AVCoreB</v>
      </c>
      <c r="AC272" s="59" t="str">
        <f>IFERROR(VLOOKUP(Tabelle32[[#This Row],[Device ID]],BOM!$B$3:$BQ$35,33,FALSE),"")</f>
        <v>5_36_1</v>
      </c>
      <c r="AD272" s="59" t="str">
        <f>IFERROR(VLOOKUP(Tabelle32[[#This Row],[Device ID]],BOM!$B$3:$BQ$35,34,FALSE),"")</f>
        <v>tpco-megw-vgw103.st-net.media.int</v>
      </c>
      <c r="AE272" s="59" t="str">
        <f>IFERROR(VLOOKUP(Tabelle32[[#This Row],[Device ID]],BOM!$B$3:$BQ$35,35,FALSE),"")</f>
        <v>10.120.67.141</v>
      </c>
      <c r="AF272" s="59">
        <f>IFERROR(VLOOKUP(Tabelle32[[#This Row],[Device ID]],BOM!$B$3:$BQ$35,36,FALSE),"")</f>
        <v>0</v>
      </c>
      <c r="AG272" s="59">
        <f>IFERROR(VLOOKUP(Tabelle32[[#This Row],[Device ID]],BOM!$B$3:$BQ$35,37,FALSE),"")</f>
        <v>0</v>
      </c>
      <c r="AH272" s="59"/>
      <c r="AI272" s="59"/>
      <c r="AJ272" s="59"/>
      <c r="AK272" s="59"/>
      <c r="AL272" s="59" t="str">
        <f>IFERROR(VLOOKUP(Tabelle32[[#This Row],[Device ID]],BOM!$B$3:$BQ$35,42,FALSE),"")</f>
        <v>Imagine Communications SNP</v>
      </c>
      <c r="AM272" s="59" t="str">
        <f>IFERROR(VLOOKUP(Tabelle32[[#This Row],[Device ID]],BOM!$B$3:$BQ$35,43,FALSE),"")</f>
        <v>no</v>
      </c>
      <c r="AN272" s="59" t="str">
        <f>IFERROR(VLOOKUP(Tabelle32[[#This Row],[Device ID]],BOM!$B$3:$BQ$35,44,FALSE),"")</f>
        <v>yes</v>
      </c>
      <c r="AO272" s="59" t="str">
        <f>IFERROR(VLOOKUP(Tabelle32[[#This Row],[Device ID]],BOM!$B$3:$BQ$35,45,FALSE),"")</f>
        <v>no</v>
      </c>
      <c r="AP272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72" s="59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90"/>
      <c r="BC272" s="90"/>
      <c r="BD272" s="90"/>
      <c r="BE272" s="90"/>
      <c r="BF272" s="90"/>
      <c r="BG272" s="90"/>
      <c r="BH272" s="73" t="s">
        <v>199</v>
      </c>
      <c r="BI272" s="30" t="str">
        <f>IF(COUNTA(Tabelle32[[#This Row],[Type:Vid_1080i50]:[Type:Anc_Prot]])&gt;0,"x","")</f>
        <v/>
      </c>
      <c r="BJ27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72" s="59"/>
      <c r="BL272" s="59"/>
      <c r="BM272" s="63"/>
      <c r="BN272" s="63"/>
      <c r="BO272" s="96"/>
      <c r="BP272" s="96"/>
      <c r="BQ272" s="75">
        <f>LEN(Tabelle32[[#This Row],[Label 1
GFX-Unit]])</f>
        <v>0</v>
      </c>
      <c r="BR272" s="63"/>
      <c r="BS272" s="63"/>
      <c r="BT272" s="59"/>
      <c r="BU272" s="59"/>
      <c r="BV272" s="59" t="s">
        <v>260</v>
      </c>
      <c r="BW272" s="59" t="s">
        <v>261</v>
      </c>
      <c r="BX272" s="59" t="s">
        <v>622</v>
      </c>
      <c r="BY272" s="59">
        <v>13</v>
      </c>
    </row>
    <row r="273" spans="1:77" x14ac:dyDescent="0.2">
      <c r="A273" s="58" t="str">
        <f>CONCATENATE(Tabelle32[[#This Row],[Device ID]],".",Tabelle32[[#This Row],[Streamcounter]])</f>
        <v>390.13215</v>
      </c>
      <c r="B27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VGW-103_SDI13_AUDrec_0015</v>
      </c>
      <c r="C273" s="60"/>
      <c r="D273" s="61"/>
      <c r="E273" s="62"/>
      <c r="F273" s="59" t="str">
        <f>IFERROR(VLOOKUP(Tabelle32[[#This Row],[Device ID]],BOM!$B$3:$BQ$35,16,FALSE),"")</f>
        <v>IngSRV-07</v>
      </c>
      <c r="G273" s="63">
        <f>VLOOKUP(Tabelle32[[#This Row],[SDI Interface]],BOM!$A$4:$B$35,2,FALSE)</f>
        <v>390</v>
      </c>
      <c r="H273" s="59" t="str">
        <f>BOM!$C$4</f>
        <v>VGW-103</v>
      </c>
      <c r="I273" s="59" t="str">
        <f>IFERROR(VLOOKUP(Tabelle32[[#This Row],[Device ID]],BOM!$B$3:$BQ$35,12,FALSE),"")</f>
        <v>Videoserver</v>
      </c>
      <c r="J273" s="59" t="str">
        <f>IFERROR(VLOOKUP(Tabelle32[[#This Row],[Device ID]],BOM!$B$3:$BQ$35,13,FALSE),"")</f>
        <v>TC.U1.223 | MDC</v>
      </c>
      <c r="K273" s="59" t="str">
        <f>IFERROR(VLOOKUP(Tabelle32[[#This Row],[Device ID]],BOM!$B$3:$BQ$35,14,FALSE),"")</f>
        <v>Imagine Comunications</v>
      </c>
      <c r="L273" s="59" t="str">
        <f>IFERROR(VLOOKUP(Tabelle32[[#This Row],[Device ID]],BOM!$B$3:$BQ$35,16,FALSE),"")</f>
        <v>IngSRV-07</v>
      </c>
      <c r="M273" s="63" t="str">
        <f>IFERROR(VLOOKUP(Tabelle32[[#This Row],[Device ID]],BOM!$B$3:$BQ$35,17,FALSE),"")</f>
        <v>M3H</v>
      </c>
      <c r="N273" s="59" t="str">
        <f>IFERROR(VLOOKUP(Tabelle32[[#This Row],[Device ID]],BOM!$B$3:$BQ$35,18,FALSE),"")</f>
        <v>TC.03.225 | M3H</v>
      </c>
      <c r="O273" s="64"/>
      <c r="P273" s="64">
        <f>IFERROR(VLOOKUP(Tabelle32[[#This Row],[Device ID]],BOM!$B$3:$BO$50,20,FALSE),"")</f>
        <v>0</v>
      </c>
      <c r="Q273" s="64">
        <f>IFERROR(VLOOKUP(Tabelle32[[#This Row],[Device ID]],BOM!$B$3:$BO$50,21,FALSE),"")</f>
        <v>1</v>
      </c>
      <c r="R273" s="64">
        <f>IFERROR(VLOOKUP(Tabelle32[[#This Row],[Device ID]],BOM!$B$3:$BO$50,22,FALSE),"")</f>
        <v>0</v>
      </c>
      <c r="S273" s="64"/>
      <c r="T273" s="64"/>
      <c r="U273" s="59" t="str">
        <f>IFERROR(VLOOKUP(Tabelle32[[#This Row],[Device ID]],BOM!$B$3:$BQ$35,25,FALSE),"")</f>
        <v>Luis/Ivo</v>
      </c>
      <c r="V273" s="59" t="str">
        <f>IFERROR(VLOOKUP(Tabelle32[[#This Row],[Device ID]],BOM!$B$3:$BQ$35,26,FALSE),"")</f>
        <v>tpco-megw-vgw103.rta.st-net.media.int</v>
      </c>
      <c r="W273" s="59" t="str">
        <f>IFERROR(VLOOKUP(Tabelle32[[#This Row],[Device ID]],BOM!$B$3:$BQ$35,27,FALSE),"")</f>
        <v>10.120.236.50</v>
      </c>
      <c r="X273" s="59" t="str">
        <f>IFERROR(VLOOKUP(Tabelle32[[#This Row],[Device ID]],BOM!$B$3:$BQ$35,28,FALSE),"")</f>
        <v>AVCoreA</v>
      </c>
      <c r="Y273" s="59" t="str">
        <f>IFERROR(VLOOKUP(Tabelle32[[#This Row],[Device ID]],BOM!$B$3:$BQ$35,29,FALSE),"")</f>
        <v>5_36_1</v>
      </c>
      <c r="Z273" s="59" t="str">
        <f>IFERROR(VLOOKUP(Tabelle32[[#This Row],[Device ID]],BOM!$B$3:$BQ$35,30,FALSE),"")</f>
        <v>tpco-megw-vgw103.rtb.st-net.media.int</v>
      </c>
      <c r="AA273" s="59" t="str">
        <f>IFERROR(VLOOKUP(Tabelle32[[#This Row],[Device ID]],BOM!$B$3:$BQ$35,31,FALSE),"")</f>
        <v>10.120.236.54</v>
      </c>
      <c r="AB273" s="59" t="str">
        <f>IFERROR(VLOOKUP(Tabelle32[[#This Row],[Device ID]],BOM!$B$3:$BQ$35,32,FALSE),"")</f>
        <v>AVCoreB</v>
      </c>
      <c r="AC273" s="59" t="str">
        <f>IFERROR(VLOOKUP(Tabelle32[[#This Row],[Device ID]],BOM!$B$3:$BQ$35,33,FALSE),"")</f>
        <v>5_36_1</v>
      </c>
      <c r="AD273" s="59" t="str">
        <f>IFERROR(VLOOKUP(Tabelle32[[#This Row],[Device ID]],BOM!$B$3:$BQ$35,34,FALSE),"")</f>
        <v>tpco-megw-vgw103.st-net.media.int</v>
      </c>
      <c r="AE273" s="59" t="str">
        <f>IFERROR(VLOOKUP(Tabelle32[[#This Row],[Device ID]],BOM!$B$3:$BQ$35,35,FALSE),"")</f>
        <v>10.120.67.141</v>
      </c>
      <c r="AF273" s="59">
        <f>IFERROR(VLOOKUP(Tabelle32[[#This Row],[Device ID]],BOM!$B$3:$BQ$35,36,FALSE),"")</f>
        <v>0</v>
      </c>
      <c r="AG273" s="59">
        <f>IFERROR(VLOOKUP(Tabelle32[[#This Row],[Device ID]],BOM!$B$3:$BQ$35,37,FALSE),"")</f>
        <v>0</v>
      </c>
      <c r="AH273" s="59"/>
      <c r="AI273" s="59"/>
      <c r="AJ273" s="59"/>
      <c r="AK273" s="59"/>
      <c r="AL273" s="59" t="str">
        <f>IFERROR(VLOOKUP(Tabelle32[[#This Row],[Device ID]],BOM!$B$3:$BQ$35,42,FALSE),"")</f>
        <v>Imagine Communications SNP</v>
      </c>
      <c r="AM273" s="59" t="str">
        <f>IFERROR(VLOOKUP(Tabelle32[[#This Row],[Device ID]],BOM!$B$3:$BQ$35,43,FALSE),"")</f>
        <v>no</v>
      </c>
      <c r="AN273" s="59" t="str">
        <f>IFERROR(VLOOKUP(Tabelle32[[#This Row],[Device ID]],BOM!$B$3:$BQ$35,44,FALSE),"")</f>
        <v>yes</v>
      </c>
      <c r="AO273" s="59" t="str">
        <f>IFERROR(VLOOKUP(Tabelle32[[#This Row],[Device ID]],BOM!$B$3:$BQ$35,45,FALSE),"")</f>
        <v>no</v>
      </c>
      <c r="AP273" s="59" t="str">
        <f>IFERROR(CONCATENATE(Tabelle32[[#This Row],[Family
GFX-Unit]]," | ",Tabelle32[[#This Row],[Label 1
GFX-Unit]]," | ",Tabelle32[[#This Row],[Attached Device if Gateway]]),"")</f>
        <v>M3H InCh 1zu1 | Ingest Ch25-15 | IngSRV-07</v>
      </c>
      <c r="AQ273" s="59"/>
      <c r="AR273" s="90"/>
      <c r="AS273" s="90"/>
      <c r="AT273" s="90"/>
      <c r="AU273" s="90"/>
      <c r="AV273" s="90"/>
      <c r="AW273" s="90" t="s">
        <v>97</v>
      </c>
      <c r="AX273" s="90"/>
      <c r="AY273" s="90"/>
      <c r="AZ273" s="90" t="s">
        <v>97</v>
      </c>
      <c r="BA273" s="90"/>
      <c r="BB273" s="90" t="s">
        <v>97</v>
      </c>
      <c r="BC273" s="90" t="s">
        <v>97</v>
      </c>
      <c r="BD273" s="90" t="s">
        <v>97</v>
      </c>
      <c r="BE273" s="90"/>
      <c r="BF273" s="90"/>
      <c r="BG273" s="90"/>
      <c r="BH273" s="73" t="s">
        <v>199</v>
      </c>
      <c r="BI273" s="30" t="str">
        <f>IF(COUNTA(Tabelle32[[#This Row],[Type:Vid_1080i50]:[Type:Anc_Prot]])&gt;0,"x","")</f>
        <v>x</v>
      </c>
      <c r="BJ27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73" s="59"/>
      <c r="BL273" s="59"/>
      <c r="BM273" s="63"/>
      <c r="BN273" s="63"/>
      <c r="BO273" s="97" t="s">
        <v>663</v>
      </c>
      <c r="BP273" s="97" t="s">
        <v>623</v>
      </c>
      <c r="BQ273" s="75">
        <f>LEN(Tabelle32[[#This Row],[Label 1
GFX-Unit]])</f>
        <v>14</v>
      </c>
      <c r="BR273" s="63"/>
      <c r="BS273" s="63"/>
      <c r="BT273" s="59"/>
      <c r="BU273" s="59"/>
      <c r="BV273" s="59" t="s">
        <v>264</v>
      </c>
      <c r="BW273" s="59" t="s">
        <v>265</v>
      </c>
      <c r="BX273" s="59" t="s">
        <v>624</v>
      </c>
      <c r="BY273" s="59">
        <v>13</v>
      </c>
    </row>
    <row r="274" spans="1:77" x14ac:dyDescent="0.2">
      <c r="A274" s="58" t="str">
        <f>CONCATENATE(Tabelle32[[#This Row],[Device ID]],".",Tabelle32[[#This Row],[Streamcounter]])</f>
        <v>390.13216</v>
      </c>
      <c r="B27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VGW-103_SDI13_AUDrec_0016</v>
      </c>
      <c r="C274" s="60"/>
      <c r="D274" s="61"/>
      <c r="E274" s="62"/>
      <c r="F274" s="59" t="str">
        <f>IFERROR(VLOOKUP(Tabelle32[[#This Row],[Device ID]],BOM!$B$3:$BQ$35,16,FALSE),"")</f>
        <v>IngSRV-07</v>
      </c>
      <c r="G274" s="63">
        <f>VLOOKUP(Tabelle32[[#This Row],[SDI Interface]],BOM!$A$4:$B$35,2,FALSE)</f>
        <v>390</v>
      </c>
      <c r="H274" s="59" t="str">
        <f>BOM!$C$4</f>
        <v>VGW-103</v>
      </c>
      <c r="I274" s="59" t="str">
        <f>IFERROR(VLOOKUP(Tabelle32[[#This Row],[Device ID]],BOM!$B$3:$BQ$35,12,FALSE),"")</f>
        <v>Videoserver</v>
      </c>
      <c r="J274" s="59" t="str">
        <f>IFERROR(VLOOKUP(Tabelle32[[#This Row],[Device ID]],BOM!$B$3:$BQ$35,13,FALSE),"")</f>
        <v>TC.U1.223 | MDC</v>
      </c>
      <c r="K274" s="59" t="str">
        <f>IFERROR(VLOOKUP(Tabelle32[[#This Row],[Device ID]],BOM!$B$3:$BQ$35,14,FALSE),"")</f>
        <v>Imagine Comunications</v>
      </c>
      <c r="L274" s="59" t="str">
        <f>IFERROR(VLOOKUP(Tabelle32[[#This Row],[Device ID]],BOM!$B$3:$BQ$35,16,FALSE),"")</f>
        <v>IngSRV-07</v>
      </c>
      <c r="M274" s="63" t="str">
        <f>IFERROR(VLOOKUP(Tabelle32[[#This Row],[Device ID]],BOM!$B$3:$BQ$35,17,FALSE),"")</f>
        <v>M3H</v>
      </c>
      <c r="N274" s="59" t="str">
        <f>IFERROR(VLOOKUP(Tabelle32[[#This Row],[Device ID]],BOM!$B$3:$BQ$35,18,FALSE),"")</f>
        <v>TC.03.225 | M3H</v>
      </c>
      <c r="O274" s="64"/>
      <c r="P274" s="64">
        <f>IFERROR(VLOOKUP(Tabelle32[[#This Row],[Device ID]],BOM!$B$3:$BO$50,20,FALSE),"")</f>
        <v>0</v>
      </c>
      <c r="Q274" s="64">
        <f>IFERROR(VLOOKUP(Tabelle32[[#This Row],[Device ID]],BOM!$B$3:$BO$50,21,FALSE),"")</f>
        <v>1</v>
      </c>
      <c r="R274" s="64">
        <f>IFERROR(VLOOKUP(Tabelle32[[#This Row],[Device ID]],BOM!$B$3:$BO$50,22,FALSE),"")</f>
        <v>0</v>
      </c>
      <c r="S274" s="64"/>
      <c r="T274" s="64"/>
      <c r="U274" s="59" t="str">
        <f>IFERROR(VLOOKUP(Tabelle32[[#This Row],[Device ID]],BOM!$B$3:$BQ$35,25,FALSE),"")</f>
        <v>Luis/Ivo</v>
      </c>
      <c r="V274" s="59" t="str">
        <f>IFERROR(VLOOKUP(Tabelle32[[#This Row],[Device ID]],BOM!$B$3:$BQ$35,26,FALSE),"")</f>
        <v>tpco-megw-vgw103.rta.st-net.media.int</v>
      </c>
      <c r="W274" s="59" t="str">
        <f>IFERROR(VLOOKUP(Tabelle32[[#This Row],[Device ID]],BOM!$B$3:$BQ$35,27,FALSE),"")</f>
        <v>10.120.236.50</v>
      </c>
      <c r="X274" s="59" t="str">
        <f>IFERROR(VLOOKUP(Tabelle32[[#This Row],[Device ID]],BOM!$B$3:$BQ$35,28,FALSE),"")</f>
        <v>AVCoreA</v>
      </c>
      <c r="Y274" s="59" t="str">
        <f>IFERROR(VLOOKUP(Tabelle32[[#This Row],[Device ID]],BOM!$B$3:$BQ$35,29,FALSE),"")</f>
        <v>5_36_1</v>
      </c>
      <c r="Z274" s="59" t="str">
        <f>IFERROR(VLOOKUP(Tabelle32[[#This Row],[Device ID]],BOM!$B$3:$BQ$35,30,FALSE),"")</f>
        <v>tpco-megw-vgw103.rtb.st-net.media.int</v>
      </c>
      <c r="AA274" s="59" t="str">
        <f>IFERROR(VLOOKUP(Tabelle32[[#This Row],[Device ID]],BOM!$B$3:$BQ$35,31,FALSE),"")</f>
        <v>10.120.236.54</v>
      </c>
      <c r="AB274" s="59" t="str">
        <f>IFERROR(VLOOKUP(Tabelle32[[#This Row],[Device ID]],BOM!$B$3:$BQ$35,32,FALSE),"")</f>
        <v>AVCoreB</v>
      </c>
      <c r="AC274" s="59" t="str">
        <f>IFERROR(VLOOKUP(Tabelle32[[#This Row],[Device ID]],BOM!$B$3:$BQ$35,33,FALSE),"")</f>
        <v>5_36_1</v>
      </c>
      <c r="AD274" s="59" t="str">
        <f>IFERROR(VLOOKUP(Tabelle32[[#This Row],[Device ID]],BOM!$B$3:$BQ$35,34,FALSE),"")</f>
        <v>tpco-megw-vgw103.st-net.media.int</v>
      </c>
      <c r="AE274" s="59" t="str">
        <f>IFERROR(VLOOKUP(Tabelle32[[#This Row],[Device ID]],BOM!$B$3:$BQ$35,35,FALSE),"")</f>
        <v>10.120.67.141</v>
      </c>
      <c r="AF274" s="59">
        <f>IFERROR(VLOOKUP(Tabelle32[[#This Row],[Device ID]],BOM!$B$3:$BQ$35,36,FALSE),"")</f>
        <v>0</v>
      </c>
      <c r="AG274" s="59">
        <f>IFERROR(VLOOKUP(Tabelle32[[#This Row],[Device ID]],BOM!$B$3:$BQ$35,37,FALSE),"")</f>
        <v>0</v>
      </c>
      <c r="AH274" s="59"/>
      <c r="AI274" s="59"/>
      <c r="AJ274" s="59"/>
      <c r="AK274" s="59"/>
      <c r="AL274" s="59" t="str">
        <f>IFERROR(VLOOKUP(Tabelle32[[#This Row],[Device ID]],BOM!$B$3:$BQ$35,42,FALSE),"")</f>
        <v>Imagine Communications SNP</v>
      </c>
      <c r="AM274" s="59" t="str">
        <f>IFERROR(VLOOKUP(Tabelle32[[#This Row],[Device ID]],BOM!$B$3:$BQ$35,43,FALSE),"")</f>
        <v>no</v>
      </c>
      <c r="AN274" s="59" t="str">
        <f>IFERROR(VLOOKUP(Tabelle32[[#This Row],[Device ID]],BOM!$B$3:$BQ$35,44,FALSE),"")</f>
        <v>yes</v>
      </c>
      <c r="AO274" s="59" t="str">
        <f>IFERROR(VLOOKUP(Tabelle32[[#This Row],[Device ID]],BOM!$B$3:$BQ$35,45,FALSE),"")</f>
        <v>no</v>
      </c>
      <c r="AP274" s="59" t="str">
        <f>IFERROR(CONCATENATE(Tabelle32[[#This Row],[Family
GFX-Unit]]," | ",Tabelle32[[#This Row],[Label 1
GFX-Unit]]," | ",Tabelle32[[#This Row],[Attached Device if Gateway]]),"")</f>
        <v>M3H InCh 1zu1 | Ingest Ch25-16 | IngSRV-07</v>
      </c>
      <c r="AQ274" s="59"/>
      <c r="AR274" s="90"/>
      <c r="AS274" s="90"/>
      <c r="AT274" s="90"/>
      <c r="AU274" s="90"/>
      <c r="AV274" s="90"/>
      <c r="AW274" s="90" t="s">
        <v>97</v>
      </c>
      <c r="AX274" s="90"/>
      <c r="AY274" s="90"/>
      <c r="AZ274" s="90" t="s">
        <v>97</v>
      </c>
      <c r="BA274" s="90"/>
      <c r="BB274" s="90" t="s">
        <v>97</v>
      </c>
      <c r="BC274" s="90" t="s">
        <v>97</v>
      </c>
      <c r="BD274" s="90" t="s">
        <v>97</v>
      </c>
      <c r="BE274" s="90"/>
      <c r="BF274" s="90"/>
      <c r="BG274" s="90"/>
      <c r="BH274" s="73" t="s">
        <v>199</v>
      </c>
      <c r="BI274" s="30" t="str">
        <f>IF(COUNTA(Tabelle32[[#This Row],[Type:Vid_1080i50]:[Type:Anc_Prot]])&gt;0,"x","")</f>
        <v>x</v>
      </c>
      <c r="BJ27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74" s="59"/>
      <c r="BL274" s="59"/>
      <c r="BM274" s="63"/>
      <c r="BN274" s="63"/>
      <c r="BO274" s="97" t="s">
        <v>663</v>
      </c>
      <c r="BP274" s="97" t="s">
        <v>625</v>
      </c>
      <c r="BQ274" s="75">
        <f>LEN(Tabelle32[[#This Row],[Label 1
GFX-Unit]])</f>
        <v>14</v>
      </c>
      <c r="BR274" s="63"/>
      <c r="BS274" s="63"/>
      <c r="BT274" s="59"/>
      <c r="BU274" s="59"/>
      <c r="BV274" s="59" t="s">
        <v>268</v>
      </c>
      <c r="BW274" s="59" t="s">
        <v>269</v>
      </c>
      <c r="BX274" s="59" t="s">
        <v>626</v>
      </c>
      <c r="BY274" s="59">
        <v>13</v>
      </c>
    </row>
    <row r="275" spans="1:77" x14ac:dyDescent="0.2">
      <c r="A275" s="58" t="str">
        <f>CONCATENATE(Tabelle32[[#This Row],[Device ID]],".",Tabelle32[[#This Row],[Streamcounter]])</f>
        <v>390.13101</v>
      </c>
      <c r="B27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VGW-103_SDI13_VIDrec_0001</v>
      </c>
      <c r="C275" s="60"/>
      <c r="D275" s="61"/>
      <c r="E275" s="62"/>
      <c r="F275" s="59" t="str">
        <f>IFERROR(VLOOKUP(Tabelle32[[#This Row],[Device ID]],BOM!$B$3:$BQ$35,16,FALSE),"")</f>
        <v>IngSRV-07</v>
      </c>
      <c r="G275" s="63">
        <f>VLOOKUP(Tabelle32[[#This Row],[SDI Interface]],BOM!$A$4:$B$35,2,FALSE)</f>
        <v>390</v>
      </c>
      <c r="H275" s="59" t="str">
        <f>BOM!$C$4</f>
        <v>VGW-103</v>
      </c>
      <c r="I275" s="59" t="str">
        <f>IFERROR(VLOOKUP(Tabelle32[[#This Row],[Device ID]],BOM!$B$3:$BQ$35,12,FALSE),"")</f>
        <v>Videoserver</v>
      </c>
      <c r="J275" s="59" t="str">
        <f>IFERROR(VLOOKUP(Tabelle32[[#This Row],[Device ID]],BOM!$B$3:$BQ$35,13,FALSE),"")</f>
        <v>TC.U1.223 | MDC</v>
      </c>
      <c r="K275" s="59" t="str">
        <f>IFERROR(VLOOKUP(Tabelle32[[#This Row],[Device ID]],BOM!$B$3:$BQ$35,14,FALSE),"")</f>
        <v>Imagine Comunications</v>
      </c>
      <c r="L275" s="59" t="str">
        <f>IFERROR(VLOOKUP(Tabelle32[[#This Row],[Device ID]],BOM!$B$3:$BQ$35,16,FALSE),"")</f>
        <v>IngSRV-07</v>
      </c>
      <c r="M275" s="63" t="str">
        <f>IFERROR(VLOOKUP(Tabelle32[[#This Row],[Device ID]],BOM!$B$3:$BQ$35,17,FALSE),"")</f>
        <v>M3H</v>
      </c>
      <c r="N275" s="59" t="str">
        <f>IFERROR(VLOOKUP(Tabelle32[[#This Row],[Device ID]],BOM!$B$3:$BQ$35,18,FALSE),"")</f>
        <v>TC.03.225 | M3H</v>
      </c>
      <c r="O275" s="64"/>
      <c r="P275" s="64">
        <f>IFERROR(VLOOKUP(Tabelle32[[#This Row],[Device ID]],BOM!$B$3:$BO$50,20,FALSE),"")</f>
        <v>0</v>
      </c>
      <c r="Q275" s="64">
        <f>IFERROR(VLOOKUP(Tabelle32[[#This Row],[Device ID]],BOM!$B$3:$BO$50,21,FALSE),"")</f>
        <v>1</v>
      </c>
      <c r="R275" s="64">
        <f>IFERROR(VLOOKUP(Tabelle32[[#This Row],[Device ID]],BOM!$B$3:$BO$50,22,FALSE),"")</f>
        <v>0</v>
      </c>
      <c r="S275" s="64"/>
      <c r="T275" s="64"/>
      <c r="U275" s="59" t="str">
        <f>IFERROR(VLOOKUP(Tabelle32[[#This Row],[Device ID]],BOM!$B$3:$BQ$35,25,FALSE),"")</f>
        <v>Luis/Ivo</v>
      </c>
      <c r="V275" s="59" t="str">
        <f>IFERROR(VLOOKUP(Tabelle32[[#This Row],[Device ID]],BOM!$B$3:$BQ$35,26,FALSE),"")</f>
        <v>tpco-megw-vgw103.rta.st-net.media.int</v>
      </c>
      <c r="W275" s="59" t="str">
        <f>IFERROR(VLOOKUP(Tabelle32[[#This Row],[Device ID]],BOM!$B$3:$BQ$35,27,FALSE),"")</f>
        <v>10.120.236.50</v>
      </c>
      <c r="X275" s="59" t="str">
        <f>IFERROR(VLOOKUP(Tabelle32[[#This Row],[Device ID]],BOM!$B$3:$BQ$35,28,FALSE),"")</f>
        <v>AVCoreA</v>
      </c>
      <c r="Y275" s="59" t="str">
        <f>IFERROR(VLOOKUP(Tabelle32[[#This Row],[Device ID]],BOM!$B$3:$BQ$35,29,FALSE),"")</f>
        <v>5_36_1</v>
      </c>
      <c r="Z275" s="59" t="str">
        <f>IFERROR(VLOOKUP(Tabelle32[[#This Row],[Device ID]],BOM!$B$3:$BQ$35,30,FALSE),"")</f>
        <v>tpco-megw-vgw103.rtb.st-net.media.int</v>
      </c>
      <c r="AA275" s="59" t="str">
        <f>IFERROR(VLOOKUP(Tabelle32[[#This Row],[Device ID]],BOM!$B$3:$BQ$35,31,FALSE),"")</f>
        <v>10.120.236.54</v>
      </c>
      <c r="AB275" s="59" t="str">
        <f>IFERROR(VLOOKUP(Tabelle32[[#This Row],[Device ID]],BOM!$B$3:$BQ$35,32,FALSE),"")</f>
        <v>AVCoreB</v>
      </c>
      <c r="AC275" s="59" t="str">
        <f>IFERROR(VLOOKUP(Tabelle32[[#This Row],[Device ID]],BOM!$B$3:$BQ$35,33,FALSE),"")</f>
        <v>5_36_1</v>
      </c>
      <c r="AD275" s="59" t="str">
        <f>IFERROR(VLOOKUP(Tabelle32[[#This Row],[Device ID]],BOM!$B$3:$BQ$35,34,FALSE),"")</f>
        <v>tpco-megw-vgw103.st-net.media.int</v>
      </c>
      <c r="AE275" s="59" t="str">
        <f>IFERROR(VLOOKUP(Tabelle32[[#This Row],[Device ID]],BOM!$B$3:$BQ$35,35,FALSE),"")</f>
        <v>10.120.67.141</v>
      </c>
      <c r="AF275" s="59">
        <f>IFERROR(VLOOKUP(Tabelle32[[#This Row],[Device ID]],BOM!$B$3:$BQ$35,36,FALSE),"")</f>
        <v>0</v>
      </c>
      <c r="AG275" s="59">
        <f>IFERROR(VLOOKUP(Tabelle32[[#This Row],[Device ID]],BOM!$B$3:$BQ$35,37,FALSE),"")</f>
        <v>0</v>
      </c>
      <c r="AH275" s="59"/>
      <c r="AI275" s="59"/>
      <c r="AJ275" s="59"/>
      <c r="AK275" s="59"/>
      <c r="AL275" s="59" t="str">
        <f>IFERROR(VLOOKUP(Tabelle32[[#This Row],[Device ID]],BOM!$B$3:$BQ$35,42,FALSE),"")</f>
        <v>Imagine Communications SNP</v>
      </c>
      <c r="AM275" s="59" t="str">
        <f>IFERROR(VLOOKUP(Tabelle32[[#This Row],[Device ID]],BOM!$B$3:$BQ$35,43,FALSE),"")</f>
        <v>no</v>
      </c>
      <c r="AN275" s="59" t="str">
        <f>IFERROR(VLOOKUP(Tabelle32[[#This Row],[Device ID]],BOM!$B$3:$BQ$35,44,FALSE),"")</f>
        <v>yes</v>
      </c>
      <c r="AO275" s="59" t="str">
        <f>IFERROR(VLOOKUP(Tabelle32[[#This Row],[Device ID]],BOM!$B$3:$BQ$35,45,FALSE),"")</f>
        <v>no</v>
      </c>
      <c r="AP275" s="59" t="str">
        <f>IFERROR(CONCATENATE(Tabelle32[[#This Row],[Family
GFX-Unit]]," | ",Tabelle32[[#This Row],[Label 1
GFX-Unit]]," | ",Tabelle32[[#This Row],[Attached Device if Gateway]]),"")</f>
        <v>M3H InCh 1zu1 | Ingest Ch25 | IngSRV-07</v>
      </c>
      <c r="AQ275" s="59"/>
      <c r="AR275" s="90" t="s">
        <v>97</v>
      </c>
      <c r="AS275" s="90" t="s">
        <v>97</v>
      </c>
      <c r="AT275" s="90" t="s">
        <v>97</v>
      </c>
      <c r="AU275" s="90"/>
      <c r="AV275" s="90" t="s">
        <v>97</v>
      </c>
      <c r="AW275" s="90"/>
      <c r="AX275" s="90"/>
      <c r="AY275" s="90"/>
      <c r="AZ275" s="90"/>
      <c r="BA275" s="90"/>
      <c r="BB275" s="90"/>
      <c r="BC275" s="90"/>
      <c r="BD275" s="90"/>
      <c r="BE275" s="90"/>
      <c r="BF275" s="90"/>
      <c r="BG275" s="90"/>
      <c r="BH275" s="73" t="s">
        <v>199</v>
      </c>
      <c r="BI275" s="30" t="str">
        <f>IF(COUNTA(Tabelle32[[#This Row],[Type:Vid_1080i50]:[Type:Anc_Prot]])&gt;0,"x","")</f>
        <v>x</v>
      </c>
      <c r="BJ27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275" s="59"/>
      <c r="BL275" s="59"/>
      <c r="BM275" s="63"/>
      <c r="BN275" s="63"/>
      <c r="BO275" s="97" t="s">
        <v>663</v>
      </c>
      <c r="BP275" s="97" t="s">
        <v>627</v>
      </c>
      <c r="BQ275" s="75">
        <f>LEN(Tabelle32[[#This Row],[Label 1
GFX-Unit]])</f>
        <v>11</v>
      </c>
      <c r="BR275" s="63"/>
      <c r="BS275" s="63"/>
      <c r="BT275" s="59"/>
      <c r="BU275" s="59"/>
      <c r="BV275" s="59" t="s">
        <v>272</v>
      </c>
      <c r="BW275" s="59" t="s">
        <v>273</v>
      </c>
      <c r="BX275" s="59" t="s">
        <v>628</v>
      </c>
      <c r="BY275" s="59">
        <v>13</v>
      </c>
    </row>
    <row r="276" spans="1:77" x14ac:dyDescent="0.2">
      <c r="A276" s="58" t="str">
        <f>CONCATENATE(Tabelle32[[#This Row],[Device ID]],".",Tabelle32[[#This Row],[Streamcounter]])</f>
        <v>391.14301</v>
      </c>
      <c r="B27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VGW-103_SDI14_ANCrec_0001</v>
      </c>
      <c r="C276" s="60"/>
      <c r="D276" s="61"/>
      <c r="E276" s="62"/>
      <c r="F276" s="59" t="str">
        <f>IFERROR(VLOOKUP(Tabelle32[[#This Row],[Device ID]],BOM!$B$3:$BQ$35,16,FALSE),"")</f>
        <v>IngSRV-07</v>
      </c>
      <c r="G276" s="63">
        <f>VLOOKUP(Tabelle32[[#This Row],[SDI Interface]],BOM!$A$4:$B$35,2,FALSE)</f>
        <v>391</v>
      </c>
      <c r="H276" s="59" t="str">
        <f>BOM!$C$4</f>
        <v>VGW-103</v>
      </c>
      <c r="I276" s="59" t="str">
        <f>IFERROR(VLOOKUP(Tabelle32[[#This Row],[Device ID]],BOM!$B$3:$BQ$35,12,FALSE),"")</f>
        <v>Videoserver</v>
      </c>
      <c r="J276" s="59" t="str">
        <f>IFERROR(VLOOKUP(Tabelle32[[#This Row],[Device ID]],BOM!$B$3:$BQ$35,13,FALSE),"")</f>
        <v>TC.U1.223 | MDC</v>
      </c>
      <c r="K276" s="59" t="str">
        <f>IFERROR(VLOOKUP(Tabelle32[[#This Row],[Device ID]],BOM!$B$3:$BQ$35,14,FALSE),"")</f>
        <v>Imagine Comunications</v>
      </c>
      <c r="L276" s="59" t="str">
        <f>IFERROR(VLOOKUP(Tabelle32[[#This Row],[Device ID]],BOM!$B$3:$BQ$35,16,FALSE),"")</f>
        <v>IngSRV-07</v>
      </c>
      <c r="M276" s="63" t="str">
        <f>IFERROR(VLOOKUP(Tabelle32[[#This Row],[Device ID]],BOM!$B$3:$BQ$35,17,FALSE),"")</f>
        <v>M3H</v>
      </c>
      <c r="N276" s="59" t="str">
        <f>IFERROR(VLOOKUP(Tabelle32[[#This Row],[Device ID]],BOM!$B$3:$BQ$35,18,FALSE),"")</f>
        <v>TC.03.225 | M3H</v>
      </c>
      <c r="O276" s="64"/>
      <c r="P276" s="64">
        <f>IFERROR(VLOOKUP(Tabelle32[[#This Row],[Device ID]],BOM!$B$3:$BO$50,20,FALSE),"")</f>
        <v>0</v>
      </c>
      <c r="Q276" s="64">
        <f>IFERROR(VLOOKUP(Tabelle32[[#This Row],[Device ID]],BOM!$B$3:$BO$50,21,FALSE),"")</f>
        <v>1</v>
      </c>
      <c r="R276" s="64">
        <f>IFERROR(VLOOKUP(Tabelle32[[#This Row],[Device ID]],BOM!$B$3:$BO$50,22,FALSE),"")</f>
        <v>0</v>
      </c>
      <c r="S276" s="64"/>
      <c r="T276" s="64"/>
      <c r="U276" s="59" t="str">
        <f>IFERROR(VLOOKUP(Tabelle32[[#This Row],[Device ID]],BOM!$B$3:$BQ$35,25,FALSE),"")</f>
        <v>Luis/Ivo</v>
      </c>
      <c r="V276" s="59" t="str">
        <f>IFERROR(VLOOKUP(Tabelle32[[#This Row],[Device ID]],BOM!$B$3:$BQ$35,26,FALSE),"")</f>
        <v>tpco-megw-vgw103.rta.st-net.media.int</v>
      </c>
      <c r="W276" s="59" t="str">
        <f>IFERROR(VLOOKUP(Tabelle32[[#This Row],[Device ID]],BOM!$B$3:$BQ$35,27,FALSE),"")</f>
        <v>10.120.236.50</v>
      </c>
      <c r="X276" s="59" t="str">
        <f>IFERROR(VLOOKUP(Tabelle32[[#This Row],[Device ID]],BOM!$B$3:$BQ$35,28,FALSE),"")</f>
        <v>AVCoreA</v>
      </c>
      <c r="Y276" s="59" t="str">
        <f>IFERROR(VLOOKUP(Tabelle32[[#This Row],[Device ID]],BOM!$B$3:$BQ$35,29,FALSE),"")</f>
        <v>5_36_1</v>
      </c>
      <c r="Z276" s="59" t="str">
        <f>IFERROR(VLOOKUP(Tabelle32[[#This Row],[Device ID]],BOM!$B$3:$BQ$35,30,FALSE),"")</f>
        <v>tpco-megw-vgw103.rtb.st-net.media.int</v>
      </c>
      <c r="AA276" s="59" t="str">
        <f>IFERROR(VLOOKUP(Tabelle32[[#This Row],[Device ID]],BOM!$B$3:$BQ$35,31,FALSE),"")</f>
        <v>10.120.236.54</v>
      </c>
      <c r="AB276" s="59" t="str">
        <f>IFERROR(VLOOKUP(Tabelle32[[#This Row],[Device ID]],BOM!$B$3:$BQ$35,32,FALSE),"")</f>
        <v>AVCoreB</v>
      </c>
      <c r="AC276" s="59" t="str">
        <f>IFERROR(VLOOKUP(Tabelle32[[#This Row],[Device ID]],BOM!$B$3:$BQ$35,33,FALSE),"")</f>
        <v>5_36_1</v>
      </c>
      <c r="AD276" s="59" t="str">
        <f>IFERROR(VLOOKUP(Tabelle32[[#This Row],[Device ID]],BOM!$B$3:$BQ$35,34,FALSE),"")</f>
        <v>tpco-megw-vgw103.st-net.media.int</v>
      </c>
      <c r="AE276" s="59" t="str">
        <f>IFERROR(VLOOKUP(Tabelle32[[#This Row],[Device ID]],BOM!$B$3:$BQ$35,35,FALSE),"")</f>
        <v>10.120.67.141</v>
      </c>
      <c r="AF276" s="59">
        <f>IFERROR(VLOOKUP(Tabelle32[[#This Row],[Device ID]],BOM!$B$3:$BQ$35,36,FALSE),"")</f>
        <v>0</v>
      </c>
      <c r="AG276" s="59">
        <f>IFERROR(VLOOKUP(Tabelle32[[#This Row],[Device ID]],BOM!$B$3:$BQ$35,37,FALSE),"")</f>
        <v>0</v>
      </c>
      <c r="AH276" s="59"/>
      <c r="AI276" s="59"/>
      <c r="AJ276" s="59"/>
      <c r="AK276" s="59"/>
      <c r="AL276" s="59" t="str">
        <f>IFERROR(VLOOKUP(Tabelle32[[#This Row],[Device ID]],BOM!$B$3:$BQ$35,42,FALSE),"")</f>
        <v>Imagine Communications SNP</v>
      </c>
      <c r="AM276" s="59" t="str">
        <f>IFERROR(VLOOKUP(Tabelle32[[#This Row],[Device ID]],BOM!$B$3:$BQ$35,43,FALSE),"")</f>
        <v>no</v>
      </c>
      <c r="AN276" s="59" t="str">
        <f>IFERROR(VLOOKUP(Tabelle32[[#This Row],[Device ID]],BOM!$B$3:$BQ$35,44,FALSE),"")</f>
        <v>yes</v>
      </c>
      <c r="AO276" s="59" t="str">
        <f>IFERROR(VLOOKUP(Tabelle32[[#This Row],[Device ID]],BOM!$B$3:$BQ$35,45,FALSE),"")</f>
        <v>no</v>
      </c>
      <c r="AP276" s="59" t="str">
        <f>IFERROR(CONCATENATE(Tabelle32[[#This Row],[Family
GFX-Unit]]," | ",Tabelle32[[#This Row],[Label 1
GFX-Unit]]," | ",Tabelle32[[#This Row],[Attached Device if Gateway]]),"")</f>
        <v>M3H InCh 1zu1 | Ingest Ch26-ANC1 | IngSRV-07</v>
      </c>
      <c r="AQ276" s="59"/>
      <c r="AR276" s="90"/>
      <c r="AS276" s="90"/>
      <c r="AT276" s="90"/>
      <c r="AU276" s="90"/>
      <c r="AV276" s="90"/>
      <c r="AW276" s="90"/>
      <c r="AX276" s="90"/>
      <c r="AY276" s="90"/>
      <c r="AZ276" s="90"/>
      <c r="BA276" s="90"/>
      <c r="BB276" s="90"/>
      <c r="BC276" s="90"/>
      <c r="BD276" s="90"/>
      <c r="BE276" s="90"/>
      <c r="BF276" s="90"/>
      <c r="BG276" s="90" t="s">
        <v>97</v>
      </c>
      <c r="BH276" s="73" t="s">
        <v>199</v>
      </c>
      <c r="BI276" s="30" t="str">
        <f>IF(COUNTA(Tabelle32[[#This Row],[Type:Vid_1080i50]:[Type:Anc_Prot]])&gt;0,"x","")</f>
        <v>x</v>
      </c>
      <c r="BJ27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276" s="59"/>
      <c r="BL276" s="59"/>
      <c r="BM276" s="63"/>
      <c r="BN276" s="63"/>
      <c r="BO276" s="97" t="s">
        <v>663</v>
      </c>
      <c r="BP276" s="97" t="s">
        <v>629</v>
      </c>
      <c r="BQ276" s="75">
        <f>LEN(Tabelle32[[#This Row],[Label 1
GFX-Unit]])</f>
        <v>16</v>
      </c>
      <c r="BR276" s="63"/>
      <c r="BS276" s="63"/>
      <c r="BT276" s="59"/>
      <c r="BU276" s="59"/>
      <c r="BV276" s="59" t="s">
        <v>202</v>
      </c>
      <c r="BW276" s="59" t="s">
        <v>203</v>
      </c>
      <c r="BX276" s="59" t="s">
        <v>630</v>
      </c>
      <c r="BY276" s="59">
        <v>14</v>
      </c>
    </row>
    <row r="277" spans="1:77" hidden="1" x14ac:dyDescent="0.2">
      <c r="A277" s="58" t="str">
        <f>CONCATENATE(Tabelle32[[#This Row],[Device ID]],".",Tabelle32[[#This Row],[Streamcounter]])</f>
        <v>391.14302</v>
      </c>
      <c r="B27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VGW-103_SDI14_ANCrec_0002</v>
      </c>
      <c r="C277" s="60"/>
      <c r="D277" s="61"/>
      <c r="E277" s="62"/>
      <c r="F277" s="59" t="str">
        <f>IFERROR(VLOOKUP(Tabelle32[[#This Row],[Device ID]],BOM!$B$3:$BQ$35,16,FALSE),"")</f>
        <v>IngSRV-07</v>
      </c>
      <c r="G277" s="63">
        <f>VLOOKUP(Tabelle32[[#This Row],[SDI Interface]],BOM!$A$4:$B$35,2,FALSE)</f>
        <v>391</v>
      </c>
      <c r="H277" s="59" t="str">
        <f>BOM!$C$4</f>
        <v>VGW-103</v>
      </c>
      <c r="I277" s="59" t="str">
        <f>IFERROR(VLOOKUP(Tabelle32[[#This Row],[Device ID]],BOM!$B$3:$BQ$35,12,FALSE),"")</f>
        <v>Videoserver</v>
      </c>
      <c r="J277" s="59" t="str">
        <f>IFERROR(VLOOKUP(Tabelle32[[#This Row],[Device ID]],BOM!$B$3:$BQ$35,13,FALSE),"")</f>
        <v>TC.U1.223 | MDC</v>
      </c>
      <c r="K277" s="59" t="str">
        <f>IFERROR(VLOOKUP(Tabelle32[[#This Row],[Device ID]],BOM!$B$3:$BQ$35,14,FALSE),"")</f>
        <v>Imagine Comunications</v>
      </c>
      <c r="L277" s="59" t="str">
        <f>IFERROR(VLOOKUP(Tabelle32[[#This Row],[Device ID]],BOM!$B$3:$BQ$35,16,FALSE),"")</f>
        <v>IngSRV-07</v>
      </c>
      <c r="M277" s="63" t="str">
        <f>IFERROR(VLOOKUP(Tabelle32[[#This Row],[Device ID]],BOM!$B$3:$BQ$35,17,FALSE),"")</f>
        <v>M3H</v>
      </c>
      <c r="N277" s="59" t="str">
        <f>IFERROR(VLOOKUP(Tabelle32[[#This Row],[Device ID]],BOM!$B$3:$BQ$35,18,FALSE),"")</f>
        <v>TC.03.225 | M3H</v>
      </c>
      <c r="O277" s="64"/>
      <c r="P277" s="64">
        <f>IFERROR(VLOOKUP(Tabelle32[[#This Row],[Device ID]],BOM!$B$3:$BO$50,20,FALSE),"")</f>
        <v>0</v>
      </c>
      <c r="Q277" s="64">
        <f>IFERROR(VLOOKUP(Tabelle32[[#This Row],[Device ID]],BOM!$B$3:$BO$50,21,FALSE),"")</f>
        <v>1</v>
      </c>
      <c r="R277" s="64">
        <f>IFERROR(VLOOKUP(Tabelle32[[#This Row],[Device ID]],BOM!$B$3:$BO$50,22,FALSE),"")</f>
        <v>0</v>
      </c>
      <c r="S277" s="64"/>
      <c r="T277" s="64"/>
      <c r="U277" s="59" t="str">
        <f>IFERROR(VLOOKUP(Tabelle32[[#This Row],[Device ID]],BOM!$B$3:$BQ$35,25,FALSE),"")</f>
        <v>Luis/Ivo</v>
      </c>
      <c r="V277" s="59" t="str">
        <f>IFERROR(VLOOKUP(Tabelle32[[#This Row],[Device ID]],BOM!$B$3:$BQ$35,26,FALSE),"")</f>
        <v>tpco-megw-vgw103.rta.st-net.media.int</v>
      </c>
      <c r="W277" s="59" t="str">
        <f>IFERROR(VLOOKUP(Tabelle32[[#This Row],[Device ID]],BOM!$B$3:$BQ$35,27,FALSE),"")</f>
        <v>10.120.236.50</v>
      </c>
      <c r="X277" s="59" t="str">
        <f>IFERROR(VLOOKUP(Tabelle32[[#This Row],[Device ID]],BOM!$B$3:$BQ$35,28,FALSE),"")</f>
        <v>AVCoreA</v>
      </c>
      <c r="Y277" s="59" t="str">
        <f>IFERROR(VLOOKUP(Tabelle32[[#This Row],[Device ID]],BOM!$B$3:$BQ$35,29,FALSE),"")</f>
        <v>5_36_1</v>
      </c>
      <c r="Z277" s="59" t="str">
        <f>IFERROR(VLOOKUP(Tabelle32[[#This Row],[Device ID]],BOM!$B$3:$BQ$35,30,FALSE),"")</f>
        <v>tpco-megw-vgw103.rtb.st-net.media.int</v>
      </c>
      <c r="AA277" s="59" t="str">
        <f>IFERROR(VLOOKUP(Tabelle32[[#This Row],[Device ID]],BOM!$B$3:$BQ$35,31,FALSE),"")</f>
        <v>10.120.236.54</v>
      </c>
      <c r="AB277" s="59" t="str">
        <f>IFERROR(VLOOKUP(Tabelle32[[#This Row],[Device ID]],BOM!$B$3:$BQ$35,32,FALSE),"")</f>
        <v>AVCoreB</v>
      </c>
      <c r="AC277" s="59" t="str">
        <f>IFERROR(VLOOKUP(Tabelle32[[#This Row],[Device ID]],BOM!$B$3:$BQ$35,33,FALSE),"")</f>
        <v>5_36_1</v>
      </c>
      <c r="AD277" s="59" t="str">
        <f>IFERROR(VLOOKUP(Tabelle32[[#This Row],[Device ID]],BOM!$B$3:$BQ$35,34,FALSE),"")</f>
        <v>tpco-megw-vgw103.st-net.media.int</v>
      </c>
      <c r="AE277" s="59" t="str">
        <f>IFERROR(VLOOKUP(Tabelle32[[#This Row],[Device ID]],BOM!$B$3:$BQ$35,35,FALSE),"")</f>
        <v>10.120.67.141</v>
      </c>
      <c r="AF277" s="59">
        <f>IFERROR(VLOOKUP(Tabelle32[[#This Row],[Device ID]],BOM!$B$3:$BQ$35,36,FALSE),"")</f>
        <v>0</v>
      </c>
      <c r="AG277" s="59">
        <f>IFERROR(VLOOKUP(Tabelle32[[#This Row],[Device ID]],BOM!$B$3:$BQ$35,37,FALSE),"")</f>
        <v>0</v>
      </c>
      <c r="AH277" s="59"/>
      <c r="AI277" s="59"/>
      <c r="AJ277" s="59"/>
      <c r="AK277" s="59"/>
      <c r="AL277" s="59" t="str">
        <f>IFERROR(VLOOKUP(Tabelle32[[#This Row],[Device ID]],BOM!$B$3:$BQ$35,42,FALSE),"")</f>
        <v>Imagine Communications SNP</v>
      </c>
      <c r="AM277" s="59" t="str">
        <f>IFERROR(VLOOKUP(Tabelle32[[#This Row],[Device ID]],BOM!$B$3:$BQ$35,43,FALSE),"")</f>
        <v>no</v>
      </c>
      <c r="AN277" s="59" t="str">
        <f>IFERROR(VLOOKUP(Tabelle32[[#This Row],[Device ID]],BOM!$B$3:$BQ$35,44,FALSE),"")</f>
        <v>yes</v>
      </c>
      <c r="AO277" s="59" t="str">
        <f>IFERROR(VLOOKUP(Tabelle32[[#This Row],[Device ID]],BOM!$B$3:$BQ$35,45,FALSE),"")</f>
        <v>no</v>
      </c>
      <c r="AP277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77" s="59"/>
      <c r="AR277" s="90"/>
      <c r="AS277" s="90"/>
      <c r="AT277" s="90"/>
      <c r="AU277" s="90"/>
      <c r="AV277" s="90"/>
      <c r="AW277" s="90"/>
      <c r="AX277" s="90"/>
      <c r="AY277" s="90"/>
      <c r="AZ277" s="90"/>
      <c r="BA277" s="90"/>
      <c r="BB277" s="90"/>
      <c r="BC277" s="90"/>
      <c r="BD277" s="90"/>
      <c r="BE277" s="90"/>
      <c r="BF277" s="90"/>
      <c r="BG277" s="90"/>
      <c r="BH277" s="73" t="s">
        <v>199</v>
      </c>
      <c r="BI277" s="30" t="str">
        <f>IF(COUNTA(Tabelle32[[#This Row],[Type:Vid_1080i50]:[Type:Anc_Prot]])&gt;0,"x","")</f>
        <v/>
      </c>
      <c r="BJ27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77" s="59"/>
      <c r="BL277" s="59"/>
      <c r="BM277" s="63"/>
      <c r="BN277" s="63"/>
      <c r="BO277" s="96"/>
      <c r="BP277" s="96"/>
      <c r="BQ277" s="75">
        <f>LEN(Tabelle32[[#This Row],[Label 1
GFX-Unit]])</f>
        <v>0</v>
      </c>
      <c r="BR277" s="63"/>
      <c r="BS277" s="63"/>
      <c r="BT277" s="59"/>
      <c r="BU277" s="59"/>
      <c r="BV277" s="59" t="s">
        <v>205</v>
      </c>
      <c r="BW277" s="59" t="s">
        <v>206</v>
      </c>
      <c r="BX277" s="59" t="s">
        <v>631</v>
      </c>
      <c r="BY277" s="59">
        <v>14</v>
      </c>
    </row>
    <row r="278" spans="1:77" hidden="1" x14ac:dyDescent="0.2">
      <c r="A278" s="58" t="str">
        <f>CONCATENATE(Tabelle32[[#This Row],[Device ID]],".",Tabelle32[[#This Row],[Streamcounter]])</f>
        <v>391.14303</v>
      </c>
      <c r="B27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VGW-103_SDI14_ANCrec_0003</v>
      </c>
      <c r="C278" s="60"/>
      <c r="D278" s="61"/>
      <c r="E278" s="62"/>
      <c r="F278" s="59" t="str">
        <f>IFERROR(VLOOKUP(Tabelle32[[#This Row],[Device ID]],BOM!$B$3:$BQ$35,16,FALSE),"")</f>
        <v>IngSRV-07</v>
      </c>
      <c r="G278" s="63">
        <f>VLOOKUP(Tabelle32[[#This Row],[SDI Interface]],BOM!$A$4:$B$35,2,FALSE)</f>
        <v>391</v>
      </c>
      <c r="H278" s="59" t="str">
        <f>BOM!$C$4</f>
        <v>VGW-103</v>
      </c>
      <c r="I278" s="59" t="str">
        <f>IFERROR(VLOOKUP(Tabelle32[[#This Row],[Device ID]],BOM!$B$3:$BQ$35,12,FALSE),"")</f>
        <v>Videoserver</v>
      </c>
      <c r="J278" s="59" t="str">
        <f>IFERROR(VLOOKUP(Tabelle32[[#This Row],[Device ID]],BOM!$B$3:$BQ$35,13,FALSE),"")</f>
        <v>TC.U1.223 | MDC</v>
      </c>
      <c r="K278" s="59" t="str">
        <f>IFERROR(VLOOKUP(Tabelle32[[#This Row],[Device ID]],BOM!$B$3:$BQ$35,14,FALSE),"")</f>
        <v>Imagine Comunications</v>
      </c>
      <c r="L278" s="59" t="str">
        <f>IFERROR(VLOOKUP(Tabelle32[[#This Row],[Device ID]],BOM!$B$3:$BQ$35,16,FALSE),"")</f>
        <v>IngSRV-07</v>
      </c>
      <c r="M278" s="63" t="str">
        <f>IFERROR(VLOOKUP(Tabelle32[[#This Row],[Device ID]],BOM!$B$3:$BQ$35,17,FALSE),"")</f>
        <v>M3H</v>
      </c>
      <c r="N278" s="59" t="str">
        <f>IFERROR(VLOOKUP(Tabelle32[[#This Row],[Device ID]],BOM!$B$3:$BQ$35,18,FALSE),"")</f>
        <v>TC.03.225 | M3H</v>
      </c>
      <c r="O278" s="64"/>
      <c r="P278" s="64">
        <f>IFERROR(VLOOKUP(Tabelle32[[#This Row],[Device ID]],BOM!$B$3:$BO$50,20,FALSE),"")</f>
        <v>0</v>
      </c>
      <c r="Q278" s="64">
        <f>IFERROR(VLOOKUP(Tabelle32[[#This Row],[Device ID]],BOM!$B$3:$BO$50,21,FALSE),"")</f>
        <v>1</v>
      </c>
      <c r="R278" s="64">
        <f>IFERROR(VLOOKUP(Tabelle32[[#This Row],[Device ID]],BOM!$B$3:$BO$50,22,FALSE),"")</f>
        <v>0</v>
      </c>
      <c r="S278" s="64"/>
      <c r="T278" s="64"/>
      <c r="U278" s="59" t="str">
        <f>IFERROR(VLOOKUP(Tabelle32[[#This Row],[Device ID]],BOM!$B$3:$BQ$35,25,FALSE),"")</f>
        <v>Luis/Ivo</v>
      </c>
      <c r="V278" s="59" t="str">
        <f>IFERROR(VLOOKUP(Tabelle32[[#This Row],[Device ID]],BOM!$B$3:$BQ$35,26,FALSE),"")</f>
        <v>tpco-megw-vgw103.rta.st-net.media.int</v>
      </c>
      <c r="W278" s="59" t="str">
        <f>IFERROR(VLOOKUP(Tabelle32[[#This Row],[Device ID]],BOM!$B$3:$BQ$35,27,FALSE),"")</f>
        <v>10.120.236.50</v>
      </c>
      <c r="X278" s="59" t="str">
        <f>IFERROR(VLOOKUP(Tabelle32[[#This Row],[Device ID]],BOM!$B$3:$BQ$35,28,FALSE),"")</f>
        <v>AVCoreA</v>
      </c>
      <c r="Y278" s="59" t="str">
        <f>IFERROR(VLOOKUP(Tabelle32[[#This Row],[Device ID]],BOM!$B$3:$BQ$35,29,FALSE),"")</f>
        <v>5_36_1</v>
      </c>
      <c r="Z278" s="59" t="str">
        <f>IFERROR(VLOOKUP(Tabelle32[[#This Row],[Device ID]],BOM!$B$3:$BQ$35,30,FALSE),"")</f>
        <v>tpco-megw-vgw103.rtb.st-net.media.int</v>
      </c>
      <c r="AA278" s="59" t="str">
        <f>IFERROR(VLOOKUP(Tabelle32[[#This Row],[Device ID]],BOM!$B$3:$BQ$35,31,FALSE),"")</f>
        <v>10.120.236.54</v>
      </c>
      <c r="AB278" s="59" t="str">
        <f>IFERROR(VLOOKUP(Tabelle32[[#This Row],[Device ID]],BOM!$B$3:$BQ$35,32,FALSE),"")</f>
        <v>AVCoreB</v>
      </c>
      <c r="AC278" s="59" t="str">
        <f>IFERROR(VLOOKUP(Tabelle32[[#This Row],[Device ID]],BOM!$B$3:$BQ$35,33,FALSE),"")</f>
        <v>5_36_1</v>
      </c>
      <c r="AD278" s="59" t="str">
        <f>IFERROR(VLOOKUP(Tabelle32[[#This Row],[Device ID]],BOM!$B$3:$BQ$35,34,FALSE),"")</f>
        <v>tpco-megw-vgw103.st-net.media.int</v>
      </c>
      <c r="AE278" s="59" t="str">
        <f>IFERROR(VLOOKUP(Tabelle32[[#This Row],[Device ID]],BOM!$B$3:$BQ$35,35,FALSE),"")</f>
        <v>10.120.67.141</v>
      </c>
      <c r="AF278" s="59">
        <f>IFERROR(VLOOKUP(Tabelle32[[#This Row],[Device ID]],BOM!$B$3:$BQ$35,36,FALSE),"")</f>
        <v>0</v>
      </c>
      <c r="AG278" s="59">
        <f>IFERROR(VLOOKUP(Tabelle32[[#This Row],[Device ID]],BOM!$B$3:$BQ$35,37,FALSE),"")</f>
        <v>0</v>
      </c>
      <c r="AH278" s="59"/>
      <c r="AI278" s="59"/>
      <c r="AJ278" s="59"/>
      <c r="AK278" s="59"/>
      <c r="AL278" s="59" t="str">
        <f>IFERROR(VLOOKUP(Tabelle32[[#This Row],[Device ID]],BOM!$B$3:$BQ$35,42,FALSE),"")</f>
        <v>Imagine Communications SNP</v>
      </c>
      <c r="AM278" s="59" t="str">
        <f>IFERROR(VLOOKUP(Tabelle32[[#This Row],[Device ID]],BOM!$B$3:$BQ$35,43,FALSE),"")</f>
        <v>no</v>
      </c>
      <c r="AN278" s="59" t="str">
        <f>IFERROR(VLOOKUP(Tabelle32[[#This Row],[Device ID]],BOM!$B$3:$BQ$35,44,FALSE),"")</f>
        <v>yes</v>
      </c>
      <c r="AO278" s="59" t="str">
        <f>IFERROR(VLOOKUP(Tabelle32[[#This Row],[Device ID]],BOM!$B$3:$BQ$35,45,FALSE),"")</f>
        <v>no</v>
      </c>
      <c r="AP278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78" s="59"/>
      <c r="AR278" s="90"/>
      <c r="AS278" s="90"/>
      <c r="AT278" s="90"/>
      <c r="AU278" s="90"/>
      <c r="AV278" s="90"/>
      <c r="AW278" s="90"/>
      <c r="AX278" s="90"/>
      <c r="AY278" s="90"/>
      <c r="AZ278" s="90"/>
      <c r="BA278" s="90"/>
      <c r="BB278" s="90"/>
      <c r="BC278" s="90"/>
      <c r="BD278" s="90"/>
      <c r="BE278" s="90"/>
      <c r="BF278" s="90"/>
      <c r="BG278" s="90"/>
      <c r="BH278" s="73" t="s">
        <v>199</v>
      </c>
      <c r="BI278" s="30" t="str">
        <f>IF(COUNTA(Tabelle32[[#This Row],[Type:Vid_1080i50]:[Type:Anc_Prot]])&gt;0,"x","")</f>
        <v/>
      </c>
      <c r="BJ27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78" s="59"/>
      <c r="BL278" s="59"/>
      <c r="BM278" s="63"/>
      <c r="BN278" s="63"/>
      <c r="BO278" s="96"/>
      <c r="BP278" s="96"/>
      <c r="BQ278" s="75">
        <f>LEN(Tabelle32[[#This Row],[Label 1
GFX-Unit]])</f>
        <v>0</v>
      </c>
      <c r="BR278" s="63"/>
      <c r="BS278" s="63"/>
      <c r="BT278" s="59"/>
      <c r="BU278" s="59"/>
      <c r="BV278" s="59" t="s">
        <v>208</v>
      </c>
      <c r="BW278" s="59" t="s">
        <v>209</v>
      </c>
      <c r="BX278" s="59" t="s">
        <v>632</v>
      </c>
      <c r="BY278" s="59">
        <v>14</v>
      </c>
    </row>
    <row r="279" spans="1:77" hidden="1" x14ac:dyDescent="0.2">
      <c r="A279" s="58" t="str">
        <f>CONCATENATE(Tabelle32[[#This Row],[Device ID]],".",Tabelle32[[#This Row],[Streamcounter]])</f>
        <v>391.14304</v>
      </c>
      <c r="B27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VGW-103_SDI14_ANCrec_0004</v>
      </c>
      <c r="C279" s="60"/>
      <c r="D279" s="61"/>
      <c r="E279" s="62"/>
      <c r="F279" s="59" t="str">
        <f>IFERROR(VLOOKUP(Tabelle32[[#This Row],[Device ID]],BOM!$B$3:$BQ$35,16,FALSE),"")</f>
        <v>IngSRV-07</v>
      </c>
      <c r="G279" s="63">
        <f>VLOOKUP(Tabelle32[[#This Row],[SDI Interface]],BOM!$A$4:$B$35,2,FALSE)</f>
        <v>391</v>
      </c>
      <c r="H279" s="59" t="str">
        <f>BOM!$C$4</f>
        <v>VGW-103</v>
      </c>
      <c r="I279" s="59" t="str">
        <f>IFERROR(VLOOKUP(Tabelle32[[#This Row],[Device ID]],BOM!$B$3:$BQ$35,12,FALSE),"")</f>
        <v>Videoserver</v>
      </c>
      <c r="J279" s="59" t="str">
        <f>IFERROR(VLOOKUP(Tabelle32[[#This Row],[Device ID]],BOM!$B$3:$BQ$35,13,FALSE),"")</f>
        <v>TC.U1.223 | MDC</v>
      </c>
      <c r="K279" s="59" t="str">
        <f>IFERROR(VLOOKUP(Tabelle32[[#This Row],[Device ID]],BOM!$B$3:$BQ$35,14,FALSE),"")</f>
        <v>Imagine Comunications</v>
      </c>
      <c r="L279" s="59" t="str">
        <f>IFERROR(VLOOKUP(Tabelle32[[#This Row],[Device ID]],BOM!$B$3:$BQ$35,16,FALSE),"")</f>
        <v>IngSRV-07</v>
      </c>
      <c r="M279" s="63" t="str">
        <f>IFERROR(VLOOKUP(Tabelle32[[#This Row],[Device ID]],BOM!$B$3:$BQ$35,17,FALSE),"")</f>
        <v>M3H</v>
      </c>
      <c r="N279" s="59" t="str">
        <f>IFERROR(VLOOKUP(Tabelle32[[#This Row],[Device ID]],BOM!$B$3:$BQ$35,18,FALSE),"")</f>
        <v>TC.03.225 | M3H</v>
      </c>
      <c r="O279" s="64"/>
      <c r="P279" s="64">
        <f>IFERROR(VLOOKUP(Tabelle32[[#This Row],[Device ID]],BOM!$B$3:$BO$50,20,FALSE),"")</f>
        <v>0</v>
      </c>
      <c r="Q279" s="64">
        <f>IFERROR(VLOOKUP(Tabelle32[[#This Row],[Device ID]],BOM!$B$3:$BO$50,21,FALSE),"")</f>
        <v>1</v>
      </c>
      <c r="R279" s="64">
        <f>IFERROR(VLOOKUP(Tabelle32[[#This Row],[Device ID]],BOM!$B$3:$BO$50,22,FALSE),"")</f>
        <v>0</v>
      </c>
      <c r="S279" s="64"/>
      <c r="T279" s="64"/>
      <c r="U279" s="59" t="str">
        <f>IFERROR(VLOOKUP(Tabelle32[[#This Row],[Device ID]],BOM!$B$3:$BQ$35,25,FALSE),"")</f>
        <v>Luis/Ivo</v>
      </c>
      <c r="V279" s="59" t="str">
        <f>IFERROR(VLOOKUP(Tabelle32[[#This Row],[Device ID]],BOM!$B$3:$BQ$35,26,FALSE),"")</f>
        <v>tpco-megw-vgw103.rta.st-net.media.int</v>
      </c>
      <c r="W279" s="59" t="str">
        <f>IFERROR(VLOOKUP(Tabelle32[[#This Row],[Device ID]],BOM!$B$3:$BQ$35,27,FALSE),"")</f>
        <v>10.120.236.50</v>
      </c>
      <c r="X279" s="59" t="str">
        <f>IFERROR(VLOOKUP(Tabelle32[[#This Row],[Device ID]],BOM!$B$3:$BQ$35,28,FALSE),"")</f>
        <v>AVCoreA</v>
      </c>
      <c r="Y279" s="59" t="str">
        <f>IFERROR(VLOOKUP(Tabelle32[[#This Row],[Device ID]],BOM!$B$3:$BQ$35,29,FALSE),"")</f>
        <v>5_36_1</v>
      </c>
      <c r="Z279" s="59" t="str">
        <f>IFERROR(VLOOKUP(Tabelle32[[#This Row],[Device ID]],BOM!$B$3:$BQ$35,30,FALSE),"")</f>
        <v>tpco-megw-vgw103.rtb.st-net.media.int</v>
      </c>
      <c r="AA279" s="59" t="str">
        <f>IFERROR(VLOOKUP(Tabelle32[[#This Row],[Device ID]],BOM!$B$3:$BQ$35,31,FALSE),"")</f>
        <v>10.120.236.54</v>
      </c>
      <c r="AB279" s="59" t="str">
        <f>IFERROR(VLOOKUP(Tabelle32[[#This Row],[Device ID]],BOM!$B$3:$BQ$35,32,FALSE),"")</f>
        <v>AVCoreB</v>
      </c>
      <c r="AC279" s="59" t="str">
        <f>IFERROR(VLOOKUP(Tabelle32[[#This Row],[Device ID]],BOM!$B$3:$BQ$35,33,FALSE),"")</f>
        <v>5_36_1</v>
      </c>
      <c r="AD279" s="59" t="str">
        <f>IFERROR(VLOOKUP(Tabelle32[[#This Row],[Device ID]],BOM!$B$3:$BQ$35,34,FALSE),"")</f>
        <v>tpco-megw-vgw103.st-net.media.int</v>
      </c>
      <c r="AE279" s="59" t="str">
        <f>IFERROR(VLOOKUP(Tabelle32[[#This Row],[Device ID]],BOM!$B$3:$BQ$35,35,FALSE),"")</f>
        <v>10.120.67.141</v>
      </c>
      <c r="AF279" s="59">
        <f>IFERROR(VLOOKUP(Tabelle32[[#This Row],[Device ID]],BOM!$B$3:$BQ$35,36,FALSE),"")</f>
        <v>0</v>
      </c>
      <c r="AG279" s="59">
        <f>IFERROR(VLOOKUP(Tabelle32[[#This Row],[Device ID]],BOM!$B$3:$BQ$35,37,FALSE),"")</f>
        <v>0</v>
      </c>
      <c r="AH279" s="59"/>
      <c r="AI279" s="59"/>
      <c r="AJ279" s="59"/>
      <c r="AK279" s="59"/>
      <c r="AL279" s="59" t="str">
        <f>IFERROR(VLOOKUP(Tabelle32[[#This Row],[Device ID]],BOM!$B$3:$BQ$35,42,FALSE),"")</f>
        <v>Imagine Communications SNP</v>
      </c>
      <c r="AM279" s="59" t="str">
        <f>IFERROR(VLOOKUP(Tabelle32[[#This Row],[Device ID]],BOM!$B$3:$BQ$35,43,FALSE),"")</f>
        <v>no</v>
      </c>
      <c r="AN279" s="59" t="str">
        <f>IFERROR(VLOOKUP(Tabelle32[[#This Row],[Device ID]],BOM!$B$3:$BQ$35,44,FALSE),"")</f>
        <v>yes</v>
      </c>
      <c r="AO279" s="59" t="str">
        <f>IFERROR(VLOOKUP(Tabelle32[[#This Row],[Device ID]],BOM!$B$3:$BQ$35,45,FALSE),"")</f>
        <v>no</v>
      </c>
      <c r="AP279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79" s="59"/>
      <c r="AR279" s="90"/>
      <c r="AS279" s="90"/>
      <c r="AT279" s="90"/>
      <c r="AU279" s="90"/>
      <c r="AV279" s="90"/>
      <c r="AW279" s="90"/>
      <c r="AX279" s="90"/>
      <c r="AY279" s="90"/>
      <c r="AZ279" s="90"/>
      <c r="BA279" s="90"/>
      <c r="BB279" s="90"/>
      <c r="BC279" s="90"/>
      <c r="BD279" s="90"/>
      <c r="BE279" s="90"/>
      <c r="BF279" s="90"/>
      <c r="BG279" s="90"/>
      <c r="BH279" s="73" t="s">
        <v>199</v>
      </c>
      <c r="BI279" s="30" t="str">
        <f>IF(COUNTA(Tabelle32[[#This Row],[Type:Vid_1080i50]:[Type:Anc_Prot]])&gt;0,"x","")</f>
        <v/>
      </c>
      <c r="BJ27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79" s="59"/>
      <c r="BL279" s="59"/>
      <c r="BM279" s="63"/>
      <c r="BN279" s="63"/>
      <c r="BO279" s="96"/>
      <c r="BP279" s="96"/>
      <c r="BQ279" s="75">
        <f>LEN(Tabelle32[[#This Row],[Label 1
GFX-Unit]])</f>
        <v>0</v>
      </c>
      <c r="BR279" s="63"/>
      <c r="BS279" s="63"/>
      <c r="BT279" s="59"/>
      <c r="BU279" s="59"/>
      <c r="BV279" s="59" t="s">
        <v>211</v>
      </c>
      <c r="BW279" s="59" t="s">
        <v>212</v>
      </c>
      <c r="BX279" s="59" t="s">
        <v>633</v>
      </c>
      <c r="BY279" s="59">
        <v>14</v>
      </c>
    </row>
    <row r="280" spans="1:77" x14ac:dyDescent="0.2">
      <c r="A280" s="58" t="str">
        <f>CONCATENATE(Tabelle32[[#This Row],[Device ID]],".",Tabelle32[[#This Row],[Streamcounter]])</f>
        <v>391.14201</v>
      </c>
      <c r="B28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VGW-103_SDI14_AUDrec_0001</v>
      </c>
      <c r="C280" s="60"/>
      <c r="D280" s="61"/>
      <c r="E280" s="62"/>
      <c r="F280" s="59" t="str">
        <f>IFERROR(VLOOKUP(Tabelle32[[#This Row],[Device ID]],BOM!$B$3:$BQ$35,16,FALSE),"")</f>
        <v>IngSRV-07</v>
      </c>
      <c r="G280" s="63">
        <f>VLOOKUP(Tabelle32[[#This Row],[SDI Interface]],BOM!$A$4:$B$35,2,FALSE)</f>
        <v>391</v>
      </c>
      <c r="H280" s="59" t="str">
        <f>BOM!$C$4</f>
        <v>VGW-103</v>
      </c>
      <c r="I280" s="59" t="str">
        <f>IFERROR(VLOOKUP(Tabelle32[[#This Row],[Device ID]],BOM!$B$3:$BQ$35,12,FALSE),"")</f>
        <v>Videoserver</v>
      </c>
      <c r="J280" s="59" t="str">
        <f>IFERROR(VLOOKUP(Tabelle32[[#This Row],[Device ID]],BOM!$B$3:$BQ$35,13,FALSE),"")</f>
        <v>TC.U1.223 | MDC</v>
      </c>
      <c r="K280" s="59" t="str">
        <f>IFERROR(VLOOKUP(Tabelle32[[#This Row],[Device ID]],BOM!$B$3:$BQ$35,14,FALSE),"")</f>
        <v>Imagine Comunications</v>
      </c>
      <c r="L280" s="59" t="str">
        <f>IFERROR(VLOOKUP(Tabelle32[[#This Row],[Device ID]],BOM!$B$3:$BQ$35,16,FALSE),"")</f>
        <v>IngSRV-07</v>
      </c>
      <c r="M280" s="63" t="str">
        <f>IFERROR(VLOOKUP(Tabelle32[[#This Row],[Device ID]],BOM!$B$3:$BQ$35,17,FALSE),"")</f>
        <v>M3H</v>
      </c>
      <c r="N280" s="59" t="str">
        <f>IFERROR(VLOOKUP(Tabelle32[[#This Row],[Device ID]],BOM!$B$3:$BQ$35,18,FALSE),"")</f>
        <v>TC.03.225 | M3H</v>
      </c>
      <c r="O280" s="64"/>
      <c r="P280" s="64">
        <f>IFERROR(VLOOKUP(Tabelle32[[#This Row],[Device ID]],BOM!$B$3:$BO$50,20,FALSE),"")</f>
        <v>0</v>
      </c>
      <c r="Q280" s="64">
        <f>IFERROR(VLOOKUP(Tabelle32[[#This Row],[Device ID]],BOM!$B$3:$BO$50,21,FALSE),"")</f>
        <v>1</v>
      </c>
      <c r="R280" s="64">
        <f>IFERROR(VLOOKUP(Tabelle32[[#This Row],[Device ID]],BOM!$B$3:$BO$50,22,FALSE),"")</f>
        <v>0</v>
      </c>
      <c r="S280" s="64"/>
      <c r="T280" s="64"/>
      <c r="U280" s="59" t="str">
        <f>IFERROR(VLOOKUP(Tabelle32[[#This Row],[Device ID]],BOM!$B$3:$BQ$35,25,FALSE),"")</f>
        <v>Luis/Ivo</v>
      </c>
      <c r="V280" s="59" t="str">
        <f>IFERROR(VLOOKUP(Tabelle32[[#This Row],[Device ID]],BOM!$B$3:$BQ$35,26,FALSE),"")</f>
        <v>tpco-megw-vgw103.rta.st-net.media.int</v>
      </c>
      <c r="W280" s="59" t="str">
        <f>IFERROR(VLOOKUP(Tabelle32[[#This Row],[Device ID]],BOM!$B$3:$BQ$35,27,FALSE),"")</f>
        <v>10.120.236.50</v>
      </c>
      <c r="X280" s="59" t="str">
        <f>IFERROR(VLOOKUP(Tabelle32[[#This Row],[Device ID]],BOM!$B$3:$BQ$35,28,FALSE),"")</f>
        <v>AVCoreA</v>
      </c>
      <c r="Y280" s="59" t="str">
        <f>IFERROR(VLOOKUP(Tabelle32[[#This Row],[Device ID]],BOM!$B$3:$BQ$35,29,FALSE),"")</f>
        <v>5_36_1</v>
      </c>
      <c r="Z280" s="59" t="str">
        <f>IFERROR(VLOOKUP(Tabelle32[[#This Row],[Device ID]],BOM!$B$3:$BQ$35,30,FALSE),"")</f>
        <v>tpco-megw-vgw103.rtb.st-net.media.int</v>
      </c>
      <c r="AA280" s="59" t="str">
        <f>IFERROR(VLOOKUP(Tabelle32[[#This Row],[Device ID]],BOM!$B$3:$BQ$35,31,FALSE),"")</f>
        <v>10.120.236.54</v>
      </c>
      <c r="AB280" s="59" t="str">
        <f>IFERROR(VLOOKUP(Tabelle32[[#This Row],[Device ID]],BOM!$B$3:$BQ$35,32,FALSE),"")</f>
        <v>AVCoreB</v>
      </c>
      <c r="AC280" s="59" t="str">
        <f>IFERROR(VLOOKUP(Tabelle32[[#This Row],[Device ID]],BOM!$B$3:$BQ$35,33,FALSE),"")</f>
        <v>5_36_1</v>
      </c>
      <c r="AD280" s="59" t="str">
        <f>IFERROR(VLOOKUP(Tabelle32[[#This Row],[Device ID]],BOM!$B$3:$BQ$35,34,FALSE),"")</f>
        <v>tpco-megw-vgw103.st-net.media.int</v>
      </c>
      <c r="AE280" s="59" t="str">
        <f>IFERROR(VLOOKUP(Tabelle32[[#This Row],[Device ID]],BOM!$B$3:$BQ$35,35,FALSE),"")</f>
        <v>10.120.67.141</v>
      </c>
      <c r="AF280" s="59">
        <f>IFERROR(VLOOKUP(Tabelle32[[#This Row],[Device ID]],BOM!$B$3:$BQ$35,36,FALSE),"")</f>
        <v>0</v>
      </c>
      <c r="AG280" s="59">
        <f>IFERROR(VLOOKUP(Tabelle32[[#This Row],[Device ID]],BOM!$B$3:$BQ$35,37,FALSE),"")</f>
        <v>0</v>
      </c>
      <c r="AH280" s="59"/>
      <c r="AI280" s="59"/>
      <c r="AJ280" s="59"/>
      <c r="AK280" s="59"/>
      <c r="AL280" s="59" t="str">
        <f>IFERROR(VLOOKUP(Tabelle32[[#This Row],[Device ID]],BOM!$B$3:$BQ$35,42,FALSE),"")</f>
        <v>Imagine Communications SNP</v>
      </c>
      <c r="AM280" s="59" t="str">
        <f>IFERROR(VLOOKUP(Tabelle32[[#This Row],[Device ID]],BOM!$B$3:$BQ$35,43,FALSE),"")</f>
        <v>no</v>
      </c>
      <c r="AN280" s="59" t="str">
        <f>IFERROR(VLOOKUP(Tabelle32[[#This Row],[Device ID]],BOM!$B$3:$BQ$35,44,FALSE),"")</f>
        <v>yes</v>
      </c>
      <c r="AO280" s="59" t="str">
        <f>IFERROR(VLOOKUP(Tabelle32[[#This Row],[Device ID]],BOM!$B$3:$BQ$35,45,FALSE),"")</f>
        <v>no</v>
      </c>
      <c r="AP280" s="59" t="str">
        <f>IFERROR(CONCATENATE(Tabelle32[[#This Row],[Family
GFX-Unit]]," | ",Tabelle32[[#This Row],[Label 1
GFX-Unit]]," | ",Tabelle32[[#This Row],[Attached Device if Gateway]]),"")</f>
        <v>M3H InCh 1zu1 | Ingest Ch26-01 | IngSRV-07</v>
      </c>
      <c r="AQ280" s="59"/>
      <c r="AR280" s="90"/>
      <c r="AS280" s="90"/>
      <c r="AT280" s="90"/>
      <c r="AU280" s="90"/>
      <c r="AV280" s="90"/>
      <c r="AW280" s="90" t="s">
        <v>97</v>
      </c>
      <c r="AX280" s="90"/>
      <c r="AY280" s="90"/>
      <c r="AZ280" s="90" t="s">
        <v>97</v>
      </c>
      <c r="BA280" s="90"/>
      <c r="BB280" s="90" t="s">
        <v>97</v>
      </c>
      <c r="BC280" s="90" t="s">
        <v>97</v>
      </c>
      <c r="BD280" s="90"/>
      <c r="BE280" s="90"/>
      <c r="BF280" s="90"/>
      <c r="BG280" s="90"/>
      <c r="BH280" s="73" t="s">
        <v>199</v>
      </c>
      <c r="BI280" s="30" t="str">
        <f>IF(COUNTA(Tabelle32[[#This Row],[Type:Vid_1080i50]:[Type:Anc_Prot]])&gt;0,"x","")</f>
        <v>x</v>
      </c>
      <c r="BJ28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0" s="59"/>
      <c r="BL280" s="59"/>
      <c r="BM280" s="63"/>
      <c r="BN280" s="63"/>
      <c r="BO280" s="97" t="s">
        <v>663</v>
      </c>
      <c r="BP280" s="97" t="s">
        <v>634</v>
      </c>
      <c r="BQ280" s="75">
        <f>LEN(Tabelle32[[#This Row],[Label 1
GFX-Unit]])</f>
        <v>14</v>
      </c>
      <c r="BR280" s="63"/>
      <c r="BS280" s="63"/>
      <c r="BT280" s="59"/>
      <c r="BU280" s="59"/>
      <c r="BV280" s="59" t="s">
        <v>214</v>
      </c>
      <c r="BW280" s="59" t="s">
        <v>215</v>
      </c>
      <c r="BX280" s="59" t="s">
        <v>635</v>
      </c>
      <c r="BY280" s="59">
        <v>14</v>
      </c>
    </row>
    <row r="281" spans="1:77" x14ac:dyDescent="0.2">
      <c r="A281" s="58" t="str">
        <f>CONCATENATE(Tabelle32[[#This Row],[Device ID]],".",Tabelle32[[#This Row],[Streamcounter]])</f>
        <v>391.14202</v>
      </c>
      <c r="B28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VGW-103_SDI14_AUDrec_0002</v>
      </c>
      <c r="C281" s="67"/>
      <c r="D281" s="61"/>
      <c r="E281" s="67"/>
      <c r="F281" s="59" t="str">
        <f>IFERROR(VLOOKUP(Tabelle32[[#This Row],[Device ID]],BOM!$B$3:$BQ$35,16,FALSE),"")</f>
        <v>IngSRV-07</v>
      </c>
      <c r="G281" s="63">
        <f>VLOOKUP(Tabelle32[[#This Row],[SDI Interface]],BOM!$A$4:$B$35,2,FALSE)</f>
        <v>391</v>
      </c>
      <c r="H281" s="59" t="str">
        <f>BOM!$C$4</f>
        <v>VGW-103</v>
      </c>
      <c r="I281" s="59" t="str">
        <f>IFERROR(VLOOKUP(Tabelle32[[#This Row],[Device ID]],BOM!$B$3:$BQ$35,12,FALSE),"")</f>
        <v>Videoserver</v>
      </c>
      <c r="J281" s="59" t="str">
        <f>IFERROR(VLOOKUP(Tabelle32[[#This Row],[Device ID]],BOM!$B$3:$BQ$35,13,FALSE),"")</f>
        <v>TC.U1.223 | MDC</v>
      </c>
      <c r="K281" s="59" t="str">
        <f>IFERROR(VLOOKUP(Tabelle32[[#This Row],[Device ID]],BOM!$B$3:$BQ$35,14,FALSE),"")</f>
        <v>Imagine Comunications</v>
      </c>
      <c r="L281" s="59" t="str">
        <f>IFERROR(VLOOKUP(Tabelle32[[#This Row],[Device ID]],BOM!$B$3:$BQ$35,16,FALSE),"")</f>
        <v>IngSRV-07</v>
      </c>
      <c r="M281" s="63" t="str">
        <f>IFERROR(VLOOKUP(Tabelle32[[#This Row],[Device ID]],BOM!$B$3:$BQ$35,17,FALSE),"")</f>
        <v>M3H</v>
      </c>
      <c r="N281" s="59" t="str">
        <f>IFERROR(VLOOKUP(Tabelle32[[#This Row],[Device ID]],BOM!$B$3:$BQ$35,18,FALSE),"")</f>
        <v>TC.03.225 | M3H</v>
      </c>
      <c r="O281" s="64"/>
      <c r="P281" s="64">
        <f>IFERROR(VLOOKUP(Tabelle32[[#This Row],[Device ID]],BOM!$B$3:$BO$50,20,FALSE),"")</f>
        <v>0</v>
      </c>
      <c r="Q281" s="64">
        <f>IFERROR(VLOOKUP(Tabelle32[[#This Row],[Device ID]],BOM!$B$3:$BO$50,21,FALSE),"")</f>
        <v>1</v>
      </c>
      <c r="R281" s="64">
        <f>IFERROR(VLOOKUP(Tabelle32[[#This Row],[Device ID]],BOM!$B$3:$BO$50,22,FALSE),"")</f>
        <v>0</v>
      </c>
      <c r="S281" s="64"/>
      <c r="T281" s="64"/>
      <c r="U281" s="59" t="str">
        <f>IFERROR(VLOOKUP(Tabelle32[[#This Row],[Device ID]],BOM!$B$3:$BQ$35,25,FALSE),"")</f>
        <v>Luis/Ivo</v>
      </c>
      <c r="V281" s="59" t="str">
        <f>IFERROR(VLOOKUP(Tabelle32[[#This Row],[Device ID]],BOM!$B$3:$BQ$35,26,FALSE),"")</f>
        <v>tpco-megw-vgw103.rta.st-net.media.int</v>
      </c>
      <c r="W281" s="59" t="str">
        <f>IFERROR(VLOOKUP(Tabelle32[[#This Row],[Device ID]],BOM!$B$3:$BQ$35,27,FALSE),"")</f>
        <v>10.120.236.50</v>
      </c>
      <c r="X281" s="59" t="str">
        <f>IFERROR(VLOOKUP(Tabelle32[[#This Row],[Device ID]],BOM!$B$3:$BQ$35,28,FALSE),"")</f>
        <v>AVCoreA</v>
      </c>
      <c r="Y281" s="59" t="str">
        <f>IFERROR(VLOOKUP(Tabelle32[[#This Row],[Device ID]],BOM!$B$3:$BQ$35,29,FALSE),"")</f>
        <v>5_36_1</v>
      </c>
      <c r="Z281" s="59" t="str">
        <f>IFERROR(VLOOKUP(Tabelle32[[#This Row],[Device ID]],BOM!$B$3:$BQ$35,30,FALSE),"")</f>
        <v>tpco-megw-vgw103.rtb.st-net.media.int</v>
      </c>
      <c r="AA281" s="59" t="str">
        <f>IFERROR(VLOOKUP(Tabelle32[[#This Row],[Device ID]],BOM!$B$3:$BQ$35,31,FALSE),"")</f>
        <v>10.120.236.54</v>
      </c>
      <c r="AB281" s="59" t="str">
        <f>IFERROR(VLOOKUP(Tabelle32[[#This Row],[Device ID]],BOM!$B$3:$BQ$35,32,FALSE),"")</f>
        <v>AVCoreB</v>
      </c>
      <c r="AC281" s="59" t="str">
        <f>IFERROR(VLOOKUP(Tabelle32[[#This Row],[Device ID]],BOM!$B$3:$BQ$35,33,FALSE),"")</f>
        <v>5_36_1</v>
      </c>
      <c r="AD281" s="59" t="str">
        <f>IFERROR(VLOOKUP(Tabelle32[[#This Row],[Device ID]],BOM!$B$3:$BQ$35,34,FALSE),"")</f>
        <v>tpco-megw-vgw103.st-net.media.int</v>
      </c>
      <c r="AE281" s="59" t="str">
        <f>IFERROR(VLOOKUP(Tabelle32[[#This Row],[Device ID]],BOM!$B$3:$BQ$35,35,FALSE),"")</f>
        <v>10.120.67.141</v>
      </c>
      <c r="AF281" s="59">
        <f>IFERROR(VLOOKUP(Tabelle32[[#This Row],[Device ID]],BOM!$B$3:$BQ$35,36,FALSE),"")</f>
        <v>0</v>
      </c>
      <c r="AG281" s="59">
        <f>IFERROR(VLOOKUP(Tabelle32[[#This Row],[Device ID]],BOM!$B$3:$BQ$35,37,FALSE),"")</f>
        <v>0</v>
      </c>
      <c r="AH281" s="59"/>
      <c r="AI281" s="59"/>
      <c r="AJ281" s="59"/>
      <c r="AK281" s="59"/>
      <c r="AL281" s="59" t="str">
        <f>IFERROR(VLOOKUP(Tabelle32[[#This Row],[Device ID]],BOM!$B$3:$BQ$35,42,FALSE),"")</f>
        <v>Imagine Communications SNP</v>
      </c>
      <c r="AM281" s="59" t="str">
        <f>IFERROR(VLOOKUP(Tabelle32[[#This Row],[Device ID]],BOM!$B$3:$BQ$35,43,FALSE),"")</f>
        <v>no</v>
      </c>
      <c r="AN281" s="59" t="str">
        <f>IFERROR(VLOOKUP(Tabelle32[[#This Row],[Device ID]],BOM!$B$3:$BQ$35,44,FALSE),"")</f>
        <v>yes</v>
      </c>
      <c r="AO281" s="59" t="str">
        <f>IFERROR(VLOOKUP(Tabelle32[[#This Row],[Device ID]],BOM!$B$3:$BQ$35,45,FALSE),"")</f>
        <v>no</v>
      </c>
      <c r="AP281" s="59" t="str">
        <f>IFERROR(CONCATENATE(Tabelle32[[#This Row],[Family
GFX-Unit]]," | ",Tabelle32[[#This Row],[Label 1
GFX-Unit]]," | ",Tabelle32[[#This Row],[Attached Device if Gateway]]),"")</f>
        <v>M3H InCh 1zu1 | Ingest Ch26-02 | IngSRV-07</v>
      </c>
      <c r="AQ281" s="59"/>
      <c r="AR281" s="90"/>
      <c r="AS281" s="90"/>
      <c r="AT281" s="90"/>
      <c r="AU281" s="90"/>
      <c r="AV281" s="90"/>
      <c r="AW281" s="90" t="s">
        <v>97</v>
      </c>
      <c r="AX281" s="90"/>
      <c r="AY281" s="90"/>
      <c r="AZ281" s="90" t="s">
        <v>97</v>
      </c>
      <c r="BA281" s="90"/>
      <c r="BB281" s="90" t="s">
        <v>97</v>
      </c>
      <c r="BC281" s="90" t="s">
        <v>97</v>
      </c>
      <c r="BD281" s="90"/>
      <c r="BE281" s="90"/>
      <c r="BF281" s="90"/>
      <c r="BG281" s="90"/>
      <c r="BH281" s="73" t="s">
        <v>199</v>
      </c>
      <c r="BI281" s="30" t="str">
        <f>IF(COUNTA(Tabelle32[[#This Row],[Type:Vid_1080i50]:[Type:Anc_Prot]])&gt;0,"x","")</f>
        <v>x</v>
      </c>
      <c r="BJ28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1" s="59"/>
      <c r="BL281" s="59"/>
      <c r="BM281" s="63"/>
      <c r="BN281" s="63"/>
      <c r="BO281" s="97" t="s">
        <v>663</v>
      </c>
      <c r="BP281" s="97" t="s">
        <v>636</v>
      </c>
      <c r="BQ281" s="75">
        <f>LEN(Tabelle32[[#This Row],[Label 1
GFX-Unit]])</f>
        <v>14</v>
      </c>
      <c r="BR281" s="63"/>
      <c r="BS281" s="63"/>
      <c r="BT281" s="59"/>
      <c r="BU281" s="59"/>
      <c r="BV281" s="59" t="s">
        <v>218</v>
      </c>
      <c r="BW281" s="59" t="s">
        <v>219</v>
      </c>
      <c r="BX281" s="59" t="s">
        <v>637</v>
      </c>
      <c r="BY281" s="59">
        <v>14</v>
      </c>
    </row>
    <row r="282" spans="1:77" x14ac:dyDescent="0.2">
      <c r="A282" s="58" t="str">
        <f>CONCATENATE(Tabelle32[[#This Row],[Device ID]],".",Tabelle32[[#This Row],[Streamcounter]])</f>
        <v>391.14203</v>
      </c>
      <c r="B28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VGW-103_SDI14_AUDrec_0003</v>
      </c>
      <c r="C282" s="67"/>
      <c r="D282" s="61"/>
      <c r="E282" s="67"/>
      <c r="F282" s="59" t="str">
        <f>IFERROR(VLOOKUP(Tabelle32[[#This Row],[Device ID]],BOM!$B$3:$BQ$35,16,FALSE),"")</f>
        <v>IngSRV-07</v>
      </c>
      <c r="G282" s="63">
        <f>VLOOKUP(Tabelle32[[#This Row],[SDI Interface]],BOM!$A$4:$B$35,2,FALSE)</f>
        <v>391</v>
      </c>
      <c r="H282" s="59" t="str">
        <f>BOM!$C$4</f>
        <v>VGW-103</v>
      </c>
      <c r="I282" s="59" t="str">
        <f>IFERROR(VLOOKUP(Tabelle32[[#This Row],[Device ID]],BOM!$B$3:$BQ$35,12,FALSE),"")</f>
        <v>Videoserver</v>
      </c>
      <c r="J282" s="59" t="str">
        <f>IFERROR(VLOOKUP(Tabelle32[[#This Row],[Device ID]],BOM!$B$3:$BQ$35,13,FALSE),"")</f>
        <v>TC.U1.223 | MDC</v>
      </c>
      <c r="K282" s="59" t="str">
        <f>IFERROR(VLOOKUP(Tabelle32[[#This Row],[Device ID]],BOM!$B$3:$BQ$35,14,FALSE),"")</f>
        <v>Imagine Comunications</v>
      </c>
      <c r="L282" s="59" t="str">
        <f>IFERROR(VLOOKUP(Tabelle32[[#This Row],[Device ID]],BOM!$B$3:$BQ$35,16,FALSE),"")</f>
        <v>IngSRV-07</v>
      </c>
      <c r="M282" s="63" t="str">
        <f>IFERROR(VLOOKUP(Tabelle32[[#This Row],[Device ID]],BOM!$B$3:$BQ$35,17,FALSE),"")</f>
        <v>M3H</v>
      </c>
      <c r="N282" s="59" t="str">
        <f>IFERROR(VLOOKUP(Tabelle32[[#This Row],[Device ID]],BOM!$B$3:$BQ$35,18,FALSE),"")</f>
        <v>TC.03.225 | M3H</v>
      </c>
      <c r="O282" s="64"/>
      <c r="P282" s="64">
        <f>IFERROR(VLOOKUP(Tabelle32[[#This Row],[Device ID]],BOM!$B$3:$BO$50,20,FALSE),"")</f>
        <v>0</v>
      </c>
      <c r="Q282" s="64">
        <f>IFERROR(VLOOKUP(Tabelle32[[#This Row],[Device ID]],BOM!$B$3:$BO$50,21,FALSE),"")</f>
        <v>1</v>
      </c>
      <c r="R282" s="64">
        <f>IFERROR(VLOOKUP(Tabelle32[[#This Row],[Device ID]],BOM!$B$3:$BO$50,22,FALSE),"")</f>
        <v>0</v>
      </c>
      <c r="S282" s="64"/>
      <c r="T282" s="64"/>
      <c r="U282" s="59" t="str">
        <f>IFERROR(VLOOKUP(Tabelle32[[#This Row],[Device ID]],BOM!$B$3:$BQ$35,25,FALSE),"")</f>
        <v>Luis/Ivo</v>
      </c>
      <c r="V282" s="59" t="str">
        <f>IFERROR(VLOOKUP(Tabelle32[[#This Row],[Device ID]],BOM!$B$3:$BQ$35,26,FALSE),"")</f>
        <v>tpco-megw-vgw103.rta.st-net.media.int</v>
      </c>
      <c r="W282" s="59" t="str">
        <f>IFERROR(VLOOKUP(Tabelle32[[#This Row],[Device ID]],BOM!$B$3:$BQ$35,27,FALSE),"")</f>
        <v>10.120.236.50</v>
      </c>
      <c r="X282" s="59" t="str">
        <f>IFERROR(VLOOKUP(Tabelle32[[#This Row],[Device ID]],BOM!$B$3:$BQ$35,28,FALSE),"")</f>
        <v>AVCoreA</v>
      </c>
      <c r="Y282" s="59" t="str">
        <f>IFERROR(VLOOKUP(Tabelle32[[#This Row],[Device ID]],BOM!$B$3:$BQ$35,29,FALSE),"")</f>
        <v>5_36_1</v>
      </c>
      <c r="Z282" s="59" t="str">
        <f>IFERROR(VLOOKUP(Tabelle32[[#This Row],[Device ID]],BOM!$B$3:$BQ$35,30,FALSE),"")</f>
        <v>tpco-megw-vgw103.rtb.st-net.media.int</v>
      </c>
      <c r="AA282" s="59" t="str">
        <f>IFERROR(VLOOKUP(Tabelle32[[#This Row],[Device ID]],BOM!$B$3:$BQ$35,31,FALSE),"")</f>
        <v>10.120.236.54</v>
      </c>
      <c r="AB282" s="59" t="str">
        <f>IFERROR(VLOOKUP(Tabelle32[[#This Row],[Device ID]],BOM!$B$3:$BQ$35,32,FALSE),"")</f>
        <v>AVCoreB</v>
      </c>
      <c r="AC282" s="59" t="str">
        <f>IFERROR(VLOOKUP(Tabelle32[[#This Row],[Device ID]],BOM!$B$3:$BQ$35,33,FALSE),"")</f>
        <v>5_36_1</v>
      </c>
      <c r="AD282" s="59" t="str">
        <f>IFERROR(VLOOKUP(Tabelle32[[#This Row],[Device ID]],BOM!$B$3:$BQ$35,34,FALSE),"")</f>
        <v>tpco-megw-vgw103.st-net.media.int</v>
      </c>
      <c r="AE282" s="59" t="str">
        <f>IFERROR(VLOOKUP(Tabelle32[[#This Row],[Device ID]],BOM!$B$3:$BQ$35,35,FALSE),"")</f>
        <v>10.120.67.141</v>
      </c>
      <c r="AF282" s="59">
        <f>IFERROR(VLOOKUP(Tabelle32[[#This Row],[Device ID]],BOM!$B$3:$BQ$35,36,FALSE),"")</f>
        <v>0</v>
      </c>
      <c r="AG282" s="59">
        <f>IFERROR(VLOOKUP(Tabelle32[[#This Row],[Device ID]],BOM!$B$3:$BQ$35,37,FALSE),"")</f>
        <v>0</v>
      </c>
      <c r="AH282" s="59"/>
      <c r="AI282" s="59"/>
      <c r="AJ282" s="59"/>
      <c r="AK282" s="59"/>
      <c r="AL282" s="59" t="str">
        <f>IFERROR(VLOOKUP(Tabelle32[[#This Row],[Device ID]],BOM!$B$3:$BQ$35,42,FALSE),"")</f>
        <v>Imagine Communications SNP</v>
      </c>
      <c r="AM282" s="59" t="str">
        <f>IFERROR(VLOOKUP(Tabelle32[[#This Row],[Device ID]],BOM!$B$3:$BQ$35,43,FALSE),"")</f>
        <v>no</v>
      </c>
      <c r="AN282" s="59" t="str">
        <f>IFERROR(VLOOKUP(Tabelle32[[#This Row],[Device ID]],BOM!$B$3:$BQ$35,44,FALSE),"")</f>
        <v>yes</v>
      </c>
      <c r="AO282" s="59" t="str">
        <f>IFERROR(VLOOKUP(Tabelle32[[#This Row],[Device ID]],BOM!$B$3:$BQ$35,45,FALSE),"")</f>
        <v>no</v>
      </c>
      <c r="AP282" s="59" t="str">
        <f>IFERROR(CONCATENATE(Tabelle32[[#This Row],[Family
GFX-Unit]]," | ",Tabelle32[[#This Row],[Label 1
GFX-Unit]]," | ",Tabelle32[[#This Row],[Attached Device if Gateway]]),"")</f>
        <v>M3H InCh 1zu1 | Ingest Ch26-03 | IngSRV-07</v>
      </c>
      <c r="AQ282" s="59"/>
      <c r="AR282" s="90"/>
      <c r="AS282" s="90"/>
      <c r="AT282" s="90"/>
      <c r="AU282" s="90"/>
      <c r="AV282" s="90"/>
      <c r="AW282" s="90" t="s">
        <v>97</v>
      </c>
      <c r="AX282" s="90"/>
      <c r="AY282" s="90"/>
      <c r="AZ282" s="90" t="s">
        <v>97</v>
      </c>
      <c r="BA282" s="90"/>
      <c r="BB282" s="90" t="s">
        <v>97</v>
      </c>
      <c r="BC282" s="90" t="s">
        <v>97</v>
      </c>
      <c r="BD282" s="90"/>
      <c r="BE282" s="90"/>
      <c r="BF282" s="90"/>
      <c r="BG282" s="90"/>
      <c r="BH282" s="73" t="s">
        <v>199</v>
      </c>
      <c r="BI282" s="30" t="str">
        <f>IF(COUNTA(Tabelle32[[#This Row],[Type:Vid_1080i50]:[Type:Anc_Prot]])&gt;0,"x","")</f>
        <v>x</v>
      </c>
      <c r="BJ28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2" s="59"/>
      <c r="BL282" s="59"/>
      <c r="BM282" s="63"/>
      <c r="BN282" s="63"/>
      <c r="BO282" s="97" t="s">
        <v>663</v>
      </c>
      <c r="BP282" s="97" t="s">
        <v>638</v>
      </c>
      <c r="BQ282" s="75">
        <f>LEN(Tabelle32[[#This Row],[Label 1
GFX-Unit]])</f>
        <v>14</v>
      </c>
      <c r="BR282" s="63"/>
      <c r="BS282" s="63"/>
      <c r="BT282" s="59"/>
      <c r="BU282" s="59"/>
      <c r="BV282" s="59" t="s">
        <v>222</v>
      </c>
      <c r="BW282" s="59" t="s">
        <v>223</v>
      </c>
      <c r="BX282" s="59" t="s">
        <v>639</v>
      </c>
      <c r="BY282" s="59">
        <v>14</v>
      </c>
    </row>
    <row r="283" spans="1:77" x14ac:dyDescent="0.2">
      <c r="A283" s="58" t="str">
        <f>CONCATENATE(Tabelle32[[#This Row],[Device ID]],".",Tabelle32[[#This Row],[Streamcounter]])</f>
        <v>391.14204</v>
      </c>
      <c r="B28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VGW-103_SDI14_AUDrec_0004</v>
      </c>
      <c r="C283" s="60"/>
      <c r="D283" s="61"/>
      <c r="E283" s="62"/>
      <c r="F283" s="59" t="str">
        <f>IFERROR(VLOOKUP(Tabelle32[[#This Row],[Device ID]],BOM!$B$3:$BQ$35,16,FALSE),"")</f>
        <v>IngSRV-07</v>
      </c>
      <c r="G283" s="63">
        <f>VLOOKUP(Tabelle32[[#This Row],[SDI Interface]],BOM!$A$4:$B$35,2,FALSE)</f>
        <v>391</v>
      </c>
      <c r="H283" s="59" t="str">
        <f>BOM!$C$4</f>
        <v>VGW-103</v>
      </c>
      <c r="I283" s="59" t="str">
        <f>IFERROR(VLOOKUP(Tabelle32[[#This Row],[Device ID]],BOM!$B$3:$BQ$35,12,FALSE),"")</f>
        <v>Videoserver</v>
      </c>
      <c r="J283" s="59" t="str">
        <f>IFERROR(VLOOKUP(Tabelle32[[#This Row],[Device ID]],BOM!$B$3:$BQ$35,13,FALSE),"")</f>
        <v>TC.U1.223 | MDC</v>
      </c>
      <c r="K283" s="59" t="str">
        <f>IFERROR(VLOOKUP(Tabelle32[[#This Row],[Device ID]],BOM!$B$3:$BQ$35,14,FALSE),"")</f>
        <v>Imagine Comunications</v>
      </c>
      <c r="L283" s="59" t="str">
        <f>IFERROR(VLOOKUP(Tabelle32[[#This Row],[Device ID]],BOM!$B$3:$BQ$35,16,FALSE),"")</f>
        <v>IngSRV-07</v>
      </c>
      <c r="M283" s="63" t="str">
        <f>IFERROR(VLOOKUP(Tabelle32[[#This Row],[Device ID]],BOM!$B$3:$BQ$35,17,FALSE),"")</f>
        <v>M3H</v>
      </c>
      <c r="N283" s="59" t="str">
        <f>IFERROR(VLOOKUP(Tabelle32[[#This Row],[Device ID]],BOM!$B$3:$BQ$35,18,FALSE),"")</f>
        <v>TC.03.225 | M3H</v>
      </c>
      <c r="O283" s="64"/>
      <c r="P283" s="64">
        <f>IFERROR(VLOOKUP(Tabelle32[[#This Row],[Device ID]],BOM!$B$3:$BO$50,20,FALSE),"")</f>
        <v>0</v>
      </c>
      <c r="Q283" s="64">
        <f>IFERROR(VLOOKUP(Tabelle32[[#This Row],[Device ID]],BOM!$B$3:$BO$50,21,FALSE),"")</f>
        <v>1</v>
      </c>
      <c r="R283" s="64">
        <f>IFERROR(VLOOKUP(Tabelle32[[#This Row],[Device ID]],BOM!$B$3:$BO$50,22,FALSE),"")</f>
        <v>0</v>
      </c>
      <c r="S283" s="64"/>
      <c r="T283" s="64"/>
      <c r="U283" s="59" t="str">
        <f>IFERROR(VLOOKUP(Tabelle32[[#This Row],[Device ID]],BOM!$B$3:$BQ$35,25,FALSE),"")</f>
        <v>Luis/Ivo</v>
      </c>
      <c r="V283" s="59" t="str">
        <f>IFERROR(VLOOKUP(Tabelle32[[#This Row],[Device ID]],BOM!$B$3:$BQ$35,26,FALSE),"")</f>
        <v>tpco-megw-vgw103.rta.st-net.media.int</v>
      </c>
      <c r="W283" s="59" t="str">
        <f>IFERROR(VLOOKUP(Tabelle32[[#This Row],[Device ID]],BOM!$B$3:$BQ$35,27,FALSE),"")</f>
        <v>10.120.236.50</v>
      </c>
      <c r="X283" s="59" t="str">
        <f>IFERROR(VLOOKUP(Tabelle32[[#This Row],[Device ID]],BOM!$B$3:$BQ$35,28,FALSE),"")</f>
        <v>AVCoreA</v>
      </c>
      <c r="Y283" s="59" t="str">
        <f>IFERROR(VLOOKUP(Tabelle32[[#This Row],[Device ID]],BOM!$B$3:$BQ$35,29,FALSE),"")</f>
        <v>5_36_1</v>
      </c>
      <c r="Z283" s="59" t="str">
        <f>IFERROR(VLOOKUP(Tabelle32[[#This Row],[Device ID]],BOM!$B$3:$BQ$35,30,FALSE),"")</f>
        <v>tpco-megw-vgw103.rtb.st-net.media.int</v>
      </c>
      <c r="AA283" s="59" t="str">
        <f>IFERROR(VLOOKUP(Tabelle32[[#This Row],[Device ID]],BOM!$B$3:$BQ$35,31,FALSE),"")</f>
        <v>10.120.236.54</v>
      </c>
      <c r="AB283" s="59" t="str">
        <f>IFERROR(VLOOKUP(Tabelle32[[#This Row],[Device ID]],BOM!$B$3:$BQ$35,32,FALSE),"")</f>
        <v>AVCoreB</v>
      </c>
      <c r="AC283" s="59" t="str">
        <f>IFERROR(VLOOKUP(Tabelle32[[#This Row],[Device ID]],BOM!$B$3:$BQ$35,33,FALSE),"")</f>
        <v>5_36_1</v>
      </c>
      <c r="AD283" s="59" t="str">
        <f>IFERROR(VLOOKUP(Tabelle32[[#This Row],[Device ID]],BOM!$B$3:$BQ$35,34,FALSE),"")</f>
        <v>tpco-megw-vgw103.st-net.media.int</v>
      </c>
      <c r="AE283" s="59" t="str">
        <f>IFERROR(VLOOKUP(Tabelle32[[#This Row],[Device ID]],BOM!$B$3:$BQ$35,35,FALSE),"")</f>
        <v>10.120.67.141</v>
      </c>
      <c r="AF283" s="59">
        <f>IFERROR(VLOOKUP(Tabelle32[[#This Row],[Device ID]],BOM!$B$3:$BQ$35,36,FALSE),"")</f>
        <v>0</v>
      </c>
      <c r="AG283" s="59">
        <f>IFERROR(VLOOKUP(Tabelle32[[#This Row],[Device ID]],BOM!$B$3:$BQ$35,37,FALSE),"")</f>
        <v>0</v>
      </c>
      <c r="AH283" s="59"/>
      <c r="AI283" s="59"/>
      <c r="AJ283" s="59"/>
      <c r="AK283" s="59"/>
      <c r="AL283" s="59" t="str">
        <f>IFERROR(VLOOKUP(Tabelle32[[#This Row],[Device ID]],BOM!$B$3:$BQ$35,42,FALSE),"")</f>
        <v>Imagine Communications SNP</v>
      </c>
      <c r="AM283" s="59" t="str">
        <f>IFERROR(VLOOKUP(Tabelle32[[#This Row],[Device ID]],BOM!$B$3:$BQ$35,43,FALSE),"")</f>
        <v>no</v>
      </c>
      <c r="AN283" s="59" t="str">
        <f>IFERROR(VLOOKUP(Tabelle32[[#This Row],[Device ID]],BOM!$B$3:$BQ$35,44,FALSE),"")</f>
        <v>yes</v>
      </c>
      <c r="AO283" s="59" t="str">
        <f>IFERROR(VLOOKUP(Tabelle32[[#This Row],[Device ID]],BOM!$B$3:$BQ$35,45,FALSE),"")</f>
        <v>no</v>
      </c>
      <c r="AP283" s="59" t="str">
        <f>IFERROR(CONCATENATE(Tabelle32[[#This Row],[Family
GFX-Unit]]," | ",Tabelle32[[#This Row],[Label 1
GFX-Unit]]," | ",Tabelle32[[#This Row],[Attached Device if Gateway]]),"")</f>
        <v>M3H InCh 1zu1 | Ingest Ch26-04 | IngSRV-07</v>
      </c>
      <c r="AQ283" s="59"/>
      <c r="AR283" s="90"/>
      <c r="AS283" s="90"/>
      <c r="AT283" s="90"/>
      <c r="AU283" s="90"/>
      <c r="AV283" s="90"/>
      <c r="AW283" s="90" t="s">
        <v>97</v>
      </c>
      <c r="AX283" s="90"/>
      <c r="AY283" s="90"/>
      <c r="AZ283" s="90" t="s">
        <v>97</v>
      </c>
      <c r="BA283" s="90"/>
      <c r="BB283" s="90" t="s">
        <v>97</v>
      </c>
      <c r="BC283" s="90" t="s">
        <v>97</v>
      </c>
      <c r="BD283" s="90"/>
      <c r="BE283" s="90"/>
      <c r="BF283" s="90"/>
      <c r="BG283" s="90"/>
      <c r="BH283" s="73" t="s">
        <v>199</v>
      </c>
      <c r="BI283" s="30" t="str">
        <f>IF(COUNTA(Tabelle32[[#This Row],[Type:Vid_1080i50]:[Type:Anc_Prot]])&gt;0,"x","")</f>
        <v>x</v>
      </c>
      <c r="BJ28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3" s="59"/>
      <c r="BL283" s="59"/>
      <c r="BM283" s="63"/>
      <c r="BN283" s="63"/>
      <c r="BO283" s="97" t="s">
        <v>663</v>
      </c>
      <c r="BP283" s="97" t="s">
        <v>640</v>
      </c>
      <c r="BQ283" s="75">
        <f>LEN(Tabelle32[[#This Row],[Label 1
GFX-Unit]])</f>
        <v>14</v>
      </c>
      <c r="BR283" s="63"/>
      <c r="BS283" s="63"/>
      <c r="BT283" s="59"/>
      <c r="BU283" s="59"/>
      <c r="BV283" s="59" t="s">
        <v>226</v>
      </c>
      <c r="BW283" s="59" t="s">
        <v>227</v>
      </c>
      <c r="BX283" s="59" t="s">
        <v>641</v>
      </c>
      <c r="BY283" s="59">
        <v>14</v>
      </c>
    </row>
    <row r="284" spans="1:77" x14ac:dyDescent="0.2">
      <c r="A284" s="58" t="str">
        <f>CONCATENATE(Tabelle32[[#This Row],[Device ID]],".",Tabelle32[[#This Row],[Streamcounter]])</f>
        <v>391.14205</v>
      </c>
      <c r="B28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VGW-103_SDI14_AUDrec_0005</v>
      </c>
      <c r="C284" s="60"/>
      <c r="D284" s="61"/>
      <c r="E284" s="62"/>
      <c r="F284" s="59" t="str">
        <f>IFERROR(VLOOKUP(Tabelle32[[#This Row],[Device ID]],BOM!$B$3:$BQ$35,16,FALSE),"")</f>
        <v>IngSRV-07</v>
      </c>
      <c r="G284" s="63">
        <f>VLOOKUP(Tabelle32[[#This Row],[SDI Interface]],BOM!$A$4:$B$35,2,FALSE)</f>
        <v>391</v>
      </c>
      <c r="H284" s="59" t="str">
        <f>BOM!$C$4</f>
        <v>VGW-103</v>
      </c>
      <c r="I284" s="59" t="str">
        <f>IFERROR(VLOOKUP(Tabelle32[[#This Row],[Device ID]],BOM!$B$3:$BQ$35,12,FALSE),"")</f>
        <v>Videoserver</v>
      </c>
      <c r="J284" s="59" t="str">
        <f>IFERROR(VLOOKUP(Tabelle32[[#This Row],[Device ID]],BOM!$B$3:$BQ$35,13,FALSE),"")</f>
        <v>TC.U1.223 | MDC</v>
      </c>
      <c r="K284" s="59" t="str">
        <f>IFERROR(VLOOKUP(Tabelle32[[#This Row],[Device ID]],BOM!$B$3:$BQ$35,14,FALSE),"")</f>
        <v>Imagine Comunications</v>
      </c>
      <c r="L284" s="59" t="str">
        <f>IFERROR(VLOOKUP(Tabelle32[[#This Row],[Device ID]],BOM!$B$3:$BQ$35,16,FALSE),"")</f>
        <v>IngSRV-07</v>
      </c>
      <c r="M284" s="63" t="str">
        <f>IFERROR(VLOOKUP(Tabelle32[[#This Row],[Device ID]],BOM!$B$3:$BQ$35,17,FALSE),"")</f>
        <v>M3H</v>
      </c>
      <c r="N284" s="59" t="str">
        <f>IFERROR(VLOOKUP(Tabelle32[[#This Row],[Device ID]],BOM!$B$3:$BQ$35,18,FALSE),"")</f>
        <v>TC.03.225 | M3H</v>
      </c>
      <c r="O284" s="64"/>
      <c r="P284" s="64">
        <f>IFERROR(VLOOKUP(Tabelle32[[#This Row],[Device ID]],BOM!$B$3:$BO$50,20,FALSE),"")</f>
        <v>0</v>
      </c>
      <c r="Q284" s="64">
        <f>IFERROR(VLOOKUP(Tabelle32[[#This Row],[Device ID]],BOM!$B$3:$BO$50,21,FALSE),"")</f>
        <v>1</v>
      </c>
      <c r="R284" s="64">
        <f>IFERROR(VLOOKUP(Tabelle32[[#This Row],[Device ID]],BOM!$B$3:$BO$50,22,FALSE),"")</f>
        <v>0</v>
      </c>
      <c r="S284" s="64"/>
      <c r="T284" s="64"/>
      <c r="U284" s="59" t="str">
        <f>IFERROR(VLOOKUP(Tabelle32[[#This Row],[Device ID]],BOM!$B$3:$BQ$35,25,FALSE),"")</f>
        <v>Luis/Ivo</v>
      </c>
      <c r="V284" s="59" t="str">
        <f>IFERROR(VLOOKUP(Tabelle32[[#This Row],[Device ID]],BOM!$B$3:$BQ$35,26,FALSE),"")</f>
        <v>tpco-megw-vgw103.rta.st-net.media.int</v>
      </c>
      <c r="W284" s="59" t="str">
        <f>IFERROR(VLOOKUP(Tabelle32[[#This Row],[Device ID]],BOM!$B$3:$BQ$35,27,FALSE),"")</f>
        <v>10.120.236.50</v>
      </c>
      <c r="X284" s="59" t="str">
        <f>IFERROR(VLOOKUP(Tabelle32[[#This Row],[Device ID]],BOM!$B$3:$BQ$35,28,FALSE),"")</f>
        <v>AVCoreA</v>
      </c>
      <c r="Y284" s="59" t="str">
        <f>IFERROR(VLOOKUP(Tabelle32[[#This Row],[Device ID]],BOM!$B$3:$BQ$35,29,FALSE),"")</f>
        <v>5_36_1</v>
      </c>
      <c r="Z284" s="59" t="str">
        <f>IFERROR(VLOOKUP(Tabelle32[[#This Row],[Device ID]],BOM!$B$3:$BQ$35,30,FALSE),"")</f>
        <v>tpco-megw-vgw103.rtb.st-net.media.int</v>
      </c>
      <c r="AA284" s="59" t="str">
        <f>IFERROR(VLOOKUP(Tabelle32[[#This Row],[Device ID]],BOM!$B$3:$BQ$35,31,FALSE),"")</f>
        <v>10.120.236.54</v>
      </c>
      <c r="AB284" s="59" t="str">
        <f>IFERROR(VLOOKUP(Tabelle32[[#This Row],[Device ID]],BOM!$B$3:$BQ$35,32,FALSE),"")</f>
        <v>AVCoreB</v>
      </c>
      <c r="AC284" s="59" t="str">
        <f>IFERROR(VLOOKUP(Tabelle32[[#This Row],[Device ID]],BOM!$B$3:$BQ$35,33,FALSE),"")</f>
        <v>5_36_1</v>
      </c>
      <c r="AD284" s="59" t="str">
        <f>IFERROR(VLOOKUP(Tabelle32[[#This Row],[Device ID]],BOM!$B$3:$BQ$35,34,FALSE),"")</f>
        <v>tpco-megw-vgw103.st-net.media.int</v>
      </c>
      <c r="AE284" s="59" t="str">
        <f>IFERROR(VLOOKUP(Tabelle32[[#This Row],[Device ID]],BOM!$B$3:$BQ$35,35,FALSE),"")</f>
        <v>10.120.67.141</v>
      </c>
      <c r="AF284" s="59">
        <f>IFERROR(VLOOKUP(Tabelle32[[#This Row],[Device ID]],BOM!$B$3:$BQ$35,36,FALSE),"")</f>
        <v>0</v>
      </c>
      <c r="AG284" s="59">
        <f>IFERROR(VLOOKUP(Tabelle32[[#This Row],[Device ID]],BOM!$B$3:$BQ$35,37,FALSE),"")</f>
        <v>0</v>
      </c>
      <c r="AH284" s="59"/>
      <c r="AI284" s="59"/>
      <c r="AJ284" s="59"/>
      <c r="AK284" s="59"/>
      <c r="AL284" s="59" t="str">
        <f>IFERROR(VLOOKUP(Tabelle32[[#This Row],[Device ID]],BOM!$B$3:$BQ$35,42,FALSE),"")</f>
        <v>Imagine Communications SNP</v>
      </c>
      <c r="AM284" s="59" t="str">
        <f>IFERROR(VLOOKUP(Tabelle32[[#This Row],[Device ID]],BOM!$B$3:$BQ$35,43,FALSE),"")</f>
        <v>no</v>
      </c>
      <c r="AN284" s="59" t="str">
        <f>IFERROR(VLOOKUP(Tabelle32[[#This Row],[Device ID]],BOM!$B$3:$BQ$35,44,FALSE),"")</f>
        <v>yes</v>
      </c>
      <c r="AO284" s="59" t="str">
        <f>IFERROR(VLOOKUP(Tabelle32[[#This Row],[Device ID]],BOM!$B$3:$BQ$35,45,FALSE),"")</f>
        <v>no</v>
      </c>
      <c r="AP284" s="59" t="str">
        <f>IFERROR(CONCATENATE(Tabelle32[[#This Row],[Family
GFX-Unit]]," | ",Tabelle32[[#This Row],[Label 1
GFX-Unit]]," | ",Tabelle32[[#This Row],[Attached Device if Gateway]]),"")</f>
        <v>M3H InCh 1zu1 | Ingest Ch26-05 | IngSRV-07</v>
      </c>
      <c r="AQ284" s="59"/>
      <c r="AR284" s="90"/>
      <c r="AS284" s="90"/>
      <c r="AT284" s="90"/>
      <c r="AU284" s="90"/>
      <c r="AV284" s="90"/>
      <c r="AW284" s="90" t="s">
        <v>97</v>
      </c>
      <c r="AX284" s="90"/>
      <c r="AY284" s="90"/>
      <c r="AZ284" s="90" t="s">
        <v>97</v>
      </c>
      <c r="BA284" s="90"/>
      <c r="BB284" s="90" t="s">
        <v>97</v>
      </c>
      <c r="BC284" s="90" t="s">
        <v>97</v>
      </c>
      <c r="BD284" s="90"/>
      <c r="BE284" s="90"/>
      <c r="BF284" s="90"/>
      <c r="BG284" s="90"/>
      <c r="BH284" s="73" t="s">
        <v>199</v>
      </c>
      <c r="BI284" s="30" t="str">
        <f>IF(COUNTA(Tabelle32[[#This Row],[Type:Vid_1080i50]:[Type:Anc_Prot]])&gt;0,"x","")</f>
        <v>x</v>
      </c>
      <c r="BJ28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4" s="59"/>
      <c r="BL284" s="59"/>
      <c r="BM284" s="63"/>
      <c r="BN284" s="63"/>
      <c r="BO284" s="97" t="s">
        <v>663</v>
      </c>
      <c r="BP284" s="97" t="s">
        <v>642</v>
      </c>
      <c r="BQ284" s="75">
        <f>LEN(Tabelle32[[#This Row],[Label 1
GFX-Unit]])</f>
        <v>14</v>
      </c>
      <c r="BR284" s="63"/>
      <c r="BS284" s="63"/>
      <c r="BT284" s="59"/>
      <c r="BU284" s="59"/>
      <c r="BV284" s="59" t="s">
        <v>230</v>
      </c>
      <c r="BW284" s="59" t="s">
        <v>231</v>
      </c>
      <c r="BX284" s="59" t="s">
        <v>643</v>
      </c>
      <c r="BY284" s="59">
        <v>14</v>
      </c>
    </row>
    <row r="285" spans="1:77" x14ac:dyDescent="0.2">
      <c r="A285" s="58" t="str">
        <f>CONCATENATE(Tabelle32[[#This Row],[Device ID]],".",Tabelle32[[#This Row],[Streamcounter]])</f>
        <v>391.14206</v>
      </c>
      <c r="B28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VGW-103_SDI14_AUDrec_0006</v>
      </c>
      <c r="C285" s="60"/>
      <c r="D285" s="61"/>
      <c r="E285" s="62"/>
      <c r="F285" s="59" t="str">
        <f>IFERROR(VLOOKUP(Tabelle32[[#This Row],[Device ID]],BOM!$B$3:$BQ$35,16,FALSE),"")</f>
        <v>IngSRV-07</v>
      </c>
      <c r="G285" s="63">
        <f>VLOOKUP(Tabelle32[[#This Row],[SDI Interface]],BOM!$A$4:$B$35,2,FALSE)</f>
        <v>391</v>
      </c>
      <c r="H285" s="59" t="str">
        <f>BOM!$C$4</f>
        <v>VGW-103</v>
      </c>
      <c r="I285" s="59" t="str">
        <f>IFERROR(VLOOKUP(Tabelle32[[#This Row],[Device ID]],BOM!$B$3:$BQ$35,12,FALSE),"")</f>
        <v>Videoserver</v>
      </c>
      <c r="J285" s="59" t="str">
        <f>IFERROR(VLOOKUP(Tabelle32[[#This Row],[Device ID]],BOM!$B$3:$BQ$35,13,FALSE),"")</f>
        <v>TC.U1.223 | MDC</v>
      </c>
      <c r="K285" s="59" t="str">
        <f>IFERROR(VLOOKUP(Tabelle32[[#This Row],[Device ID]],BOM!$B$3:$BQ$35,14,FALSE),"")</f>
        <v>Imagine Comunications</v>
      </c>
      <c r="L285" s="59" t="str">
        <f>IFERROR(VLOOKUP(Tabelle32[[#This Row],[Device ID]],BOM!$B$3:$BQ$35,16,FALSE),"")</f>
        <v>IngSRV-07</v>
      </c>
      <c r="M285" s="63" t="str">
        <f>IFERROR(VLOOKUP(Tabelle32[[#This Row],[Device ID]],BOM!$B$3:$BQ$35,17,FALSE),"")</f>
        <v>M3H</v>
      </c>
      <c r="N285" s="59" t="str">
        <f>IFERROR(VLOOKUP(Tabelle32[[#This Row],[Device ID]],BOM!$B$3:$BQ$35,18,FALSE),"")</f>
        <v>TC.03.225 | M3H</v>
      </c>
      <c r="O285" s="64"/>
      <c r="P285" s="64">
        <f>IFERROR(VLOOKUP(Tabelle32[[#This Row],[Device ID]],BOM!$B$3:$BO$50,20,FALSE),"")</f>
        <v>0</v>
      </c>
      <c r="Q285" s="64">
        <f>IFERROR(VLOOKUP(Tabelle32[[#This Row],[Device ID]],BOM!$B$3:$BO$50,21,FALSE),"")</f>
        <v>1</v>
      </c>
      <c r="R285" s="64">
        <f>IFERROR(VLOOKUP(Tabelle32[[#This Row],[Device ID]],BOM!$B$3:$BO$50,22,FALSE),"")</f>
        <v>0</v>
      </c>
      <c r="S285" s="64"/>
      <c r="T285" s="64"/>
      <c r="U285" s="59" t="str">
        <f>IFERROR(VLOOKUP(Tabelle32[[#This Row],[Device ID]],BOM!$B$3:$BQ$35,25,FALSE),"")</f>
        <v>Luis/Ivo</v>
      </c>
      <c r="V285" s="59" t="str">
        <f>IFERROR(VLOOKUP(Tabelle32[[#This Row],[Device ID]],BOM!$B$3:$BQ$35,26,FALSE),"")</f>
        <v>tpco-megw-vgw103.rta.st-net.media.int</v>
      </c>
      <c r="W285" s="59" t="str">
        <f>IFERROR(VLOOKUP(Tabelle32[[#This Row],[Device ID]],BOM!$B$3:$BQ$35,27,FALSE),"")</f>
        <v>10.120.236.50</v>
      </c>
      <c r="X285" s="59" t="str">
        <f>IFERROR(VLOOKUP(Tabelle32[[#This Row],[Device ID]],BOM!$B$3:$BQ$35,28,FALSE),"")</f>
        <v>AVCoreA</v>
      </c>
      <c r="Y285" s="59" t="str">
        <f>IFERROR(VLOOKUP(Tabelle32[[#This Row],[Device ID]],BOM!$B$3:$BQ$35,29,FALSE),"")</f>
        <v>5_36_1</v>
      </c>
      <c r="Z285" s="59" t="str">
        <f>IFERROR(VLOOKUP(Tabelle32[[#This Row],[Device ID]],BOM!$B$3:$BQ$35,30,FALSE),"")</f>
        <v>tpco-megw-vgw103.rtb.st-net.media.int</v>
      </c>
      <c r="AA285" s="59" t="str">
        <f>IFERROR(VLOOKUP(Tabelle32[[#This Row],[Device ID]],BOM!$B$3:$BQ$35,31,FALSE),"")</f>
        <v>10.120.236.54</v>
      </c>
      <c r="AB285" s="59" t="str">
        <f>IFERROR(VLOOKUP(Tabelle32[[#This Row],[Device ID]],BOM!$B$3:$BQ$35,32,FALSE),"")</f>
        <v>AVCoreB</v>
      </c>
      <c r="AC285" s="59" t="str">
        <f>IFERROR(VLOOKUP(Tabelle32[[#This Row],[Device ID]],BOM!$B$3:$BQ$35,33,FALSE),"")</f>
        <v>5_36_1</v>
      </c>
      <c r="AD285" s="59" t="str">
        <f>IFERROR(VLOOKUP(Tabelle32[[#This Row],[Device ID]],BOM!$B$3:$BQ$35,34,FALSE),"")</f>
        <v>tpco-megw-vgw103.st-net.media.int</v>
      </c>
      <c r="AE285" s="59" t="str">
        <f>IFERROR(VLOOKUP(Tabelle32[[#This Row],[Device ID]],BOM!$B$3:$BQ$35,35,FALSE),"")</f>
        <v>10.120.67.141</v>
      </c>
      <c r="AF285" s="59">
        <f>IFERROR(VLOOKUP(Tabelle32[[#This Row],[Device ID]],BOM!$B$3:$BQ$35,36,FALSE),"")</f>
        <v>0</v>
      </c>
      <c r="AG285" s="59">
        <f>IFERROR(VLOOKUP(Tabelle32[[#This Row],[Device ID]],BOM!$B$3:$BQ$35,37,FALSE),"")</f>
        <v>0</v>
      </c>
      <c r="AH285" s="59"/>
      <c r="AI285" s="59"/>
      <c r="AJ285" s="59"/>
      <c r="AK285" s="59"/>
      <c r="AL285" s="59" t="str">
        <f>IFERROR(VLOOKUP(Tabelle32[[#This Row],[Device ID]],BOM!$B$3:$BQ$35,42,FALSE),"")</f>
        <v>Imagine Communications SNP</v>
      </c>
      <c r="AM285" s="59" t="str">
        <f>IFERROR(VLOOKUP(Tabelle32[[#This Row],[Device ID]],BOM!$B$3:$BQ$35,43,FALSE),"")</f>
        <v>no</v>
      </c>
      <c r="AN285" s="59" t="str">
        <f>IFERROR(VLOOKUP(Tabelle32[[#This Row],[Device ID]],BOM!$B$3:$BQ$35,44,FALSE),"")</f>
        <v>yes</v>
      </c>
      <c r="AO285" s="59" t="str">
        <f>IFERROR(VLOOKUP(Tabelle32[[#This Row],[Device ID]],BOM!$B$3:$BQ$35,45,FALSE),"")</f>
        <v>no</v>
      </c>
      <c r="AP285" s="59" t="str">
        <f>IFERROR(CONCATENATE(Tabelle32[[#This Row],[Family
GFX-Unit]]," | ",Tabelle32[[#This Row],[Label 1
GFX-Unit]]," | ",Tabelle32[[#This Row],[Attached Device if Gateway]]),"")</f>
        <v>M3H InCh 1zu1 | Ingest Ch26-06 | IngSRV-07</v>
      </c>
      <c r="AQ285" s="59"/>
      <c r="AR285" s="90"/>
      <c r="AS285" s="90"/>
      <c r="AT285" s="90"/>
      <c r="AU285" s="90"/>
      <c r="AV285" s="90"/>
      <c r="AW285" s="90" t="s">
        <v>97</v>
      </c>
      <c r="AX285" s="90"/>
      <c r="AY285" s="90"/>
      <c r="AZ285" s="90" t="s">
        <v>97</v>
      </c>
      <c r="BA285" s="90"/>
      <c r="BB285" s="90" t="s">
        <v>97</v>
      </c>
      <c r="BC285" s="90" t="s">
        <v>97</v>
      </c>
      <c r="BD285" s="90"/>
      <c r="BE285" s="90"/>
      <c r="BF285" s="90"/>
      <c r="BG285" s="90"/>
      <c r="BH285" s="73" t="s">
        <v>199</v>
      </c>
      <c r="BI285" s="30" t="str">
        <f>IF(COUNTA(Tabelle32[[#This Row],[Type:Vid_1080i50]:[Type:Anc_Prot]])&gt;0,"x","")</f>
        <v>x</v>
      </c>
      <c r="BJ28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5" s="59"/>
      <c r="BL285" s="59"/>
      <c r="BM285" s="63"/>
      <c r="BN285" s="63"/>
      <c r="BO285" s="97" t="s">
        <v>663</v>
      </c>
      <c r="BP285" s="97" t="s">
        <v>644</v>
      </c>
      <c r="BQ285" s="75">
        <f>LEN(Tabelle32[[#This Row],[Label 1
GFX-Unit]])</f>
        <v>14</v>
      </c>
      <c r="BR285" s="63"/>
      <c r="BS285" s="63"/>
      <c r="BT285" s="59"/>
      <c r="BU285" s="59"/>
      <c r="BV285" s="59" t="s">
        <v>234</v>
      </c>
      <c r="BW285" s="59" t="s">
        <v>235</v>
      </c>
      <c r="BX285" s="59" t="s">
        <v>645</v>
      </c>
      <c r="BY285" s="59">
        <v>14</v>
      </c>
    </row>
    <row r="286" spans="1:77" x14ac:dyDescent="0.2">
      <c r="A286" s="58" t="str">
        <f>CONCATENATE(Tabelle32[[#This Row],[Device ID]],".",Tabelle32[[#This Row],[Streamcounter]])</f>
        <v>391.14207</v>
      </c>
      <c r="B28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VGW-103_SDI14_AUDrec_0007</v>
      </c>
      <c r="C286" s="60"/>
      <c r="D286" s="61"/>
      <c r="E286" s="62"/>
      <c r="F286" s="59" t="str">
        <f>IFERROR(VLOOKUP(Tabelle32[[#This Row],[Device ID]],BOM!$B$3:$BQ$35,16,FALSE),"")</f>
        <v>IngSRV-07</v>
      </c>
      <c r="G286" s="63">
        <f>VLOOKUP(Tabelle32[[#This Row],[SDI Interface]],BOM!$A$4:$B$35,2,FALSE)</f>
        <v>391</v>
      </c>
      <c r="H286" s="59" t="str">
        <f>BOM!$C$4</f>
        <v>VGW-103</v>
      </c>
      <c r="I286" s="59" t="str">
        <f>IFERROR(VLOOKUP(Tabelle32[[#This Row],[Device ID]],BOM!$B$3:$BQ$35,12,FALSE),"")</f>
        <v>Videoserver</v>
      </c>
      <c r="J286" s="59" t="str">
        <f>IFERROR(VLOOKUP(Tabelle32[[#This Row],[Device ID]],BOM!$B$3:$BQ$35,13,FALSE),"")</f>
        <v>TC.U1.223 | MDC</v>
      </c>
      <c r="K286" s="59" t="str">
        <f>IFERROR(VLOOKUP(Tabelle32[[#This Row],[Device ID]],BOM!$B$3:$BQ$35,14,FALSE),"")</f>
        <v>Imagine Comunications</v>
      </c>
      <c r="L286" s="59" t="str">
        <f>IFERROR(VLOOKUP(Tabelle32[[#This Row],[Device ID]],BOM!$B$3:$BQ$35,16,FALSE),"")</f>
        <v>IngSRV-07</v>
      </c>
      <c r="M286" s="63" t="str">
        <f>IFERROR(VLOOKUP(Tabelle32[[#This Row],[Device ID]],BOM!$B$3:$BQ$35,17,FALSE),"")</f>
        <v>M3H</v>
      </c>
      <c r="N286" s="59" t="str">
        <f>IFERROR(VLOOKUP(Tabelle32[[#This Row],[Device ID]],BOM!$B$3:$BQ$35,18,FALSE),"")</f>
        <v>TC.03.225 | M3H</v>
      </c>
      <c r="O286" s="64"/>
      <c r="P286" s="64">
        <f>IFERROR(VLOOKUP(Tabelle32[[#This Row],[Device ID]],BOM!$B$3:$BO$50,20,FALSE),"")</f>
        <v>0</v>
      </c>
      <c r="Q286" s="64">
        <f>IFERROR(VLOOKUP(Tabelle32[[#This Row],[Device ID]],BOM!$B$3:$BO$50,21,FALSE),"")</f>
        <v>1</v>
      </c>
      <c r="R286" s="64">
        <f>IFERROR(VLOOKUP(Tabelle32[[#This Row],[Device ID]],BOM!$B$3:$BO$50,22,FALSE),"")</f>
        <v>0</v>
      </c>
      <c r="S286" s="64"/>
      <c r="T286" s="64"/>
      <c r="U286" s="59" t="str">
        <f>IFERROR(VLOOKUP(Tabelle32[[#This Row],[Device ID]],BOM!$B$3:$BQ$35,25,FALSE),"")</f>
        <v>Luis/Ivo</v>
      </c>
      <c r="V286" s="59" t="str">
        <f>IFERROR(VLOOKUP(Tabelle32[[#This Row],[Device ID]],BOM!$B$3:$BQ$35,26,FALSE),"")</f>
        <v>tpco-megw-vgw103.rta.st-net.media.int</v>
      </c>
      <c r="W286" s="59" t="str">
        <f>IFERROR(VLOOKUP(Tabelle32[[#This Row],[Device ID]],BOM!$B$3:$BQ$35,27,FALSE),"")</f>
        <v>10.120.236.50</v>
      </c>
      <c r="X286" s="59" t="str">
        <f>IFERROR(VLOOKUP(Tabelle32[[#This Row],[Device ID]],BOM!$B$3:$BQ$35,28,FALSE),"")</f>
        <v>AVCoreA</v>
      </c>
      <c r="Y286" s="59" t="str">
        <f>IFERROR(VLOOKUP(Tabelle32[[#This Row],[Device ID]],BOM!$B$3:$BQ$35,29,FALSE),"")</f>
        <v>5_36_1</v>
      </c>
      <c r="Z286" s="59" t="str">
        <f>IFERROR(VLOOKUP(Tabelle32[[#This Row],[Device ID]],BOM!$B$3:$BQ$35,30,FALSE),"")</f>
        <v>tpco-megw-vgw103.rtb.st-net.media.int</v>
      </c>
      <c r="AA286" s="59" t="str">
        <f>IFERROR(VLOOKUP(Tabelle32[[#This Row],[Device ID]],BOM!$B$3:$BQ$35,31,FALSE),"")</f>
        <v>10.120.236.54</v>
      </c>
      <c r="AB286" s="59" t="str">
        <f>IFERROR(VLOOKUP(Tabelle32[[#This Row],[Device ID]],BOM!$B$3:$BQ$35,32,FALSE),"")</f>
        <v>AVCoreB</v>
      </c>
      <c r="AC286" s="59" t="str">
        <f>IFERROR(VLOOKUP(Tabelle32[[#This Row],[Device ID]],BOM!$B$3:$BQ$35,33,FALSE),"")</f>
        <v>5_36_1</v>
      </c>
      <c r="AD286" s="59" t="str">
        <f>IFERROR(VLOOKUP(Tabelle32[[#This Row],[Device ID]],BOM!$B$3:$BQ$35,34,FALSE),"")</f>
        <v>tpco-megw-vgw103.st-net.media.int</v>
      </c>
      <c r="AE286" s="59" t="str">
        <f>IFERROR(VLOOKUP(Tabelle32[[#This Row],[Device ID]],BOM!$B$3:$BQ$35,35,FALSE),"")</f>
        <v>10.120.67.141</v>
      </c>
      <c r="AF286" s="59">
        <f>IFERROR(VLOOKUP(Tabelle32[[#This Row],[Device ID]],BOM!$B$3:$BQ$35,36,FALSE),"")</f>
        <v>0</v>
      </c>
      <c r="AG286" s="59">
        <f>IFERROR(VLOOKUP(Tabelle32[[#This Row],[Device ID]],BOM!$B$3:$BQ$35,37,FALSE),"")</f>
        <v>0</v>
      </c>
      <c r="AH286" s="59"/>
      <c r="AI286" s="59"/>
      <c r="AJ286" s="59"/>
      <c r="AK286" s="59"/>
      <c r="AL286" s="59" t="str">
        <f>IFERROR(VLOOKUP(Tabelle32[[#This Row],[Device ID]],BOM!$B$3:$BQ$35,42,FALSE),"")</f>
        <v>Imagine Communications SNP</v>
      </c>
      <c r="AM286" s="59" t="str">
        <f>IFERROR(VLOOKUP(Tabelle32[[#This Row],[Device ID]],BOM!$B$3:$BQ$35,43,FALSE),"")</f>
        <v>no</v>
      </c>
      <c r="AN286" s="59" t="str">
        <f>IFERROR(VLOOKUP(Tabelle32[[#This Row],[Device ID]],BOM!$B$3:$BQ$35,44,FALSE),"")</f>
        <v>yes</v>
      </c>
      <c r="AO286" s="59" t="str">
        <f>IFERROR(VLOOKUP(Tabelle32[[#This Row],[Device ID]],BOM!$B$3:$BQ$35,45,FALSE),"")</f>
        <v>no</v>
      </c>
      <c r="AP286" s="59" t="str">
        <f>IFERROR(CONCATENATE(Tabelle32[[#This Row],[Family
GFX-Unit]]," | ",Tabelle32[[#This Row],[Label 1
GFX-Unit]]," | ",Tabelle32[[#This Row],[Attached Device if Gateway]]),"")</f>
        <v>M3H InCh 1zu1 | Ingest Ch26-07 | IngSRV-07</v>
      </c>
      <c r="AQ286" s="59"/>
      <c r="AR286" s="90"/>
      <c r="AS286" s="90"/>
      <c r="AT286" s="90"/>
      <c r="AU286" s="90"/>
      <c r="AV286" s="90"/>
      <c r="AW286" s="90" t="s">
        <v>97</v>
      </c>
      <c r="AX286" s="90"/>
      <c r="AY286" s="90"/>
      <c r="AZ286" s="90" t="s">
        <v>97</v>
      </c>
      <c r="BA286" s="90"/>
      <c r="BB286" s="90" t="s">
        <v>97</v>
      </c>
      <c r="BC286" s="90" t="s">
        <v>97</v>
      </c>
      <c r="BD286" s="90"/>
      <c r="BE286" s="90"/>
      <c r="BF286" s="90"/>
      <c r="BG286" s="90"/>
      <c r="BH286" s="73" t="s">
        <v>199</v>
      </c>
      <c r="BI286" s="30" t="str">
        <f>IF(COUNTA(Tabelle32[[#This Row],[Type:Vid_1080i50]:[Type:Anc_Prot]])&gt;0,"x","")</f>
        <v>x</v>
      </c>
      <c r="BJ28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6" s="59"/>
      <c r="BL286" s="59"/>
      <c r="BM286" s="63"/>
      <c r="BN286" s="63"/>
      <c r="BO286" s="97" t="s">
        <v>663</v>
      </c>
      <c r="BP286" s="97" t="s">
        <v>646</v>
      </c>
      <c r="BQ286" s="75">
        <f>LEN(Tabelle32[[#This Row],[Label 1
GFX-Unit]])</f>
        <v>14</v>
      </c>
      <c r="BR286" s="63"/>
      <c r="BS286" s="63"/>
      <c r="BT286" s="59"/>
      <c r="BU286" s="59"/>
      <c r="BV286" s="59" t="s">
        <v>238</v>
      </c>
      <c r="BW286" s="59" t="s">
        <v>239</v>
      </c>
      <c r="BX286" s="59" t="s">
        <v>647</v>
      </c>
      <c r="BY286" s="59">
        <v>14</v>
      </c>
    </row>
    <row r="287" spans="1:77" x14ac:dyDescent="0.2">
      <c r="A287" s="58" t="str">
        <f>CONCATENATE(Tabelle32[[#This Row],[Device ID]],".",Tabelle32[[#This Row],[Streamcounter]])</f>
        <v>391.14208</v>
      </c>
      <c r="B28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VGW-103_SDI14_AUDrec_0008</v>
      </c>
      <c r="C287" s="60"/>
      <c r="D287" s="61"/>
      <c r="E287" s="62"/>
      <c r="F287" s="59" t="str">
        <f>IFERROR(VLOOKUP(Tabelle32[[#This Row],[Device ID]],BOM!$B$3:$BQ$35,16,FALSE),"")</f>
        <v>IngSRV-07</v>
      </c>
      <c r="G287" s="63">
        <f>VLOOKUP(Tabelle32[[#This Row],[SDI Interface]],BOM!$A$4:$B$35,2,FALSE)</f>
        <v>391</v>
      </c>
      <c r="H287" s="59" t="str">
        <f>BOM!$C$4</f>
        <v>VGW-103</v>
      </c>
      <c r="I287" s="59" t="str">
        <f>IFERROR(VLOOKUP(Tabelle32[[#This Row],[Device ID]],BOM!$B$3:$BQ$35,12,FALSE),"")</f>
        <v>Videoserver</v>
      </c>
      <c r="J287" s="59" t="str">
        <f>IFERROR(VLOOKUP(Tabelle32[[#This Row],[Device ID]],BOM!$B$3:$BQ$35,13,FALSE),"")</f>
        <v>TC.U1.223 | MDC</v>
      </c>
      <c r="K287" s="59" t="str">
        <f>IFERROR(VLOOKUP(Tabelle32[[#This Row],[Device ID]],BOM!$B$3:$BQ$35,14,FALSE),"")</f>
        <v>Imagine Comunications</v>
      </c>
      <c r="L287" s="59" t="str">
        <f>IFERROR(VLOOKUP(Tabelle32[[#This Row],[Device ID]],BOM!$B$3:$BQ$35,16,FALSE),"")</f>
        <v>IngSRV-07</v>
      </c>
      <c r="M287" s="63" t="str">
        <f>IFERROR(VLOOKUP(Tabelle32[[#This Row],[Device ID]],BOM!$B$3:$BQ$35,17,FALSE),"")</f>
        <v>M3H</v>
      </c>
      <c r="N287" s="59" t="str">
        <f>IFERROR(VLOOKUP(Tabelle32[[#This Row],[Device ID]],BOM!$B$3:$BQ$35,18,FALSE),"")</f>
        <v>TC.03.225 | M3H</v>
      </c>
      <c r="O287" s="64"/>
      <c r="P287" s="64">
        <f>IFERROR(VLOOKUP(Tabelle32[[#This Row],[Device ID]],BOM!$B$3:$BO$50,20,FALSE),"")</f>
        <v>0</v>
      </c>
      <c r="Q287" s="64">
        <f>IFERROR(VLOOKUP(Tabelle32[[#This Row],[Device ID]],BOM!$B$3:$BO$50,21,FALSE),"")</f>
        <v>1</v>
      </c>
      <c r="R287" s="64">
        <f>IFERROR(VLOOKUP(Tabelle32[[#This Row],[Device ID]],BOM!$B$3:$BO$50,22,FALSE),"")</f>
        <v>0</v>
      </c>
      <c r="S287" s="64"/>
      <c r="T287" s="64"/>
      <c r="U287" s="59" t="str">
        <f>IFERROR(VLOOKUP(Tabelle32[[#This Row],[Device ID]],BOM!$B$3:$BQ$35,25,FALSE),"")</f>
        <v>Luis/Ivo</v>
      </c>
      <c r="V287" s="59" t="str">
        <f>IFERROR(VLOOKUP(Tabelle32[[#This Row],[Device ID]],BOM!$B$3:$BQ$35,26,FALSE),"")</f>
        <v>tpco-megw-vgw103.rta.st-net.media.int</v>
      </c>
      <c r="W287" s="59" t="str">
        <f>IFERROR(VLOOKUP(Tabelle32[[#This Row],[Device ID]],BOM!$B$3:$BQ$35,27,FALSE),"")</f>
        <v>10.120.236.50</v>
      </c>
      <c r="X287" s="59" t="str">
        <f>IFERROR(VLOOKUP(Tabelle32[[#This Row],[Device ID]],BOM!$B$3:$BQ$35,28,FALSE),"")</f>
        <v>AVCoreA</v>
      </c>
      <c r="Y287" s="59" t="str">
        <f>IFERROR(VLOOKUP(Tabelle32[[#This Row],[Device ID]],BOM!$B$3:$BQ$35,29,FALSE),"")</f>
        <v>5_36_1</v>
      </c>
      <c r="Z287" s="59" t="str">
        <f>IFERROR(VLOOKUP(Tabelle32[[#This Row],[Device ID]],BOM!$B$3:$BQ$35,30,FALSE),"")</f>
        <v>tpco-megw-vgw103.rtb.st-net.media.int</v>
      </c>
      <c r="AA287" s="59" t="str">
        <f>IFERROR(VLOOKUP(Tabelle32[[#This Row],[Device ID]],BOM!$B$3:$BQ$35,31,FALSE),"")</f>
        <v>10.120.236.54</v>
      </c>
      <c r="AB287" s="59" t="str">
        <f>IFERROR(VLOOKUP(Tabelle32[[#This Row],[Device ID]],BOM!$B$3:$BQ$35,32,FALSE),"")</f>
        <v>AVCoreB</v>
      </c>
      <c r="AC287" s="59" t="str">
        <f>IFERROR(VLOOKUP(Tabelle32[[#This Row],[Device ID]],BOM!$B$3:$BQ$35,33,FALSE),"")</f>
        <v>5_36_1</v>
      </c>
      <c r="AD287" s="59" t="str">
        <f>IFERROR(VLOOKUP(Tabelle32[[#This Row],[Device ID]],BOM!$B$3:$BQ$35,34,FALSE),"")</f>
        <v>tpco-megw-vgw103.st-net.media.int</v>
      </c>
      <c r="AE287" s="59" t="str">
        <f>IFERROR(VLOOKUP(Tabelle32[[#This Row],[Device ID]],BOM!$B$3:$BQ$35,35,FALSE),"")</f>
        <v>10.120.67.141</v>
      </c>
      <c r="AF287" s="59">
        <f>IFERROR(VLOOKUP(Tabelle32[[#This Row],[Device ID]],BOM!$B$3:$BQ$35,36,FALSE),"")</f>
        <v>0</v>
      </c>
      <c r="AG287" s="59">
        <f>IFERROR(VLOOKUP(Tabelle32[[#This Row],[Device ID]],BOM!$B$3:$BQ$35,37,FALSE),"")</f>
        <v>0</v>
      </c>
      <c r="AH287" s="59"/>
      <c r="AI287" s="59"/>
      <c r="AJ287" s="59"/>
      <c r="AK287" s="59"/>
      <c r="AL287" s="59" t="str">
        <f>IFERROR(VLOOKUP(Tabelle32[[#This Row],[Device ID]],BOM!$B$3:$BQ$35,42,FALSE),"")</f>
        <v>Imagine Communications SNP</v>
      </c>
      <c r="AM287" s="59" t="str">
        <f>IFERROR(VLOOKUP(Tabelle32[[#This Row],[Device ID]],BOM!$B$3:$BQ$35,43,FALSE),"")</f>
        <v>no</v>
      </c>
      <c r="AN287" s="59" t="str">
        <f>IFERROR(VLOOKUP(Tabelle32[[#This Row],[Device ID]],BOM!$B$3:$BQ$35,44,FALSE),"")</f>
        <v>yes</v>
      </c>
      <c r="AO287" s="59" t="str">
        <f>IFERROR(VLOOKUP(Tabelle32[[#This Row],[Device ID]],BOM!$B$3:$BQ$35,45,FALSE),"")</f>
        <v>no</v>
      </c>
      <c r="AP287" s="59" t="str">
        <f>IFERROR(CONCATENATE(Tabelle32[[#This Row],[Family
GFX-Unit]]," | ",Tabelle32[[#This Row],[Label 1
GFX-Unit]]," | ",Tabelle32[[#This Row],[Attached Device if Gateway]]),"")</f>
        <v>M3H InCh 1zu1 | Ingest Ch26-08 | IngSRV-07</v>
      </c>
      <c r="AQ287" s="59"/>
      <c r="AR287" s="90"/>
      <c r="AS287" s="90"/>
      <c r="AT287" s="90"/>
      <c r="AU287" s="90"/>
      <c r="AV287" s="90"/>
      <c r="AW287" s="90" t="s">
        <v>97</v>
      </c>
      <c r="AX287" s="90"/>
      <c r="AY287" s="90"/>
      <c r="AZ287" s="90" t="s">
        <v>97</v>
      </c>
      <c r="BA287" s="90"/>
      <c r="BB287" s="90" t="s">
        <v>97</v>
      </c>
      <c r="BC287" s="90" t="s">
        <v>97</v>
      </c>
      <c r="BD287" s="90"/>
      <c r="BE287" s="90"/>
      <c r="BF287" s="90"/>
      <c r="BG287" s="90"/>
      <c r="BH287" s="73" t="s">
        <v>199</v>
      </c>
      <c r="BI287" s="30" t="str">
        <f>IF(COUNTA(Tabelle32[[#This Row],[Type:Vid_1080i50]:[Type:Anc_Prot]])&gt;0,"x","")</f>
        <v>x</v>
      </c>
      <c r="BJ28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7" s="59"/>
      <c r="BL287" s="59"/>
      <c r="BM287" s="63"/>
      <c r="BN287" s="63"/>
      <c r="BO287" s="97" t="s">
        <v>663</v>
      </c>
      <c r="BP287" s="97" t="s">
        <v>648</v>
      </c>
      <c r="BQ287" s="75">
        <f>LEN(Tabelle32[[#This Row],[Label 1
GFX-Unit]])</f>
        <v>14</v>
      </c>
      <c r="BR287" s="63"/>
      <c r="BS287" s="63"/>
      <c r="BT287" s="59"/>
      <c r="BU287" s="59"/>
      <c r="BV287" s="59" t="s">
        <v>242</v>
      </c>
      <c r="BW287" s="59" t="s">
        <v>243</v>
      </c>
      <c r="BX287" s="59" t="s">
        <v>649</v>
      </c>
      <c r="BY287" s="59">
        <v>14</v>
      </c>
    </row>
    <row r="288" spans="1:77" x14ac:dyDescent="0.2">
      <c r="A288" s="58" t="str">
        <f>CONCATENATE(Tabelle32[[#This Row],[Device ID]],".",Tabelle32[[#This Row],[Streamcounter]])</f>
        <v>391.14209</v>
      </c>
      <c r="B28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VGW-103_SDI14_AUDrec_0009</v>
      </c>
      <c r="C288" s="60"/>
      <c r="D288" s="61"/>
      <c r="E288" s="62"/>
      <c r="F288" s="59" t="str">
        <f>IFERROR(VLOOKUP(Tabelle32[[#This Row],[Device ID]],BOM!$B$3:$BQ$35,16,FALSE),"")</f>
        <v>IngSRV-07</v>
      </c>
      <c r="G288" s="63">
        <f>VLOOKUP(Tabelle32[[#This Row],[SDI Interface]],BOM!$A$4:$B$35,2,FALSE)</f>
        <v>391</v>
      </c>
      <c r="H288" s="59" t="str">
        <f>BOM!$C$4</f>
        <v>VGW-103</v>
      </c>
      <c r="I288" s="59" t="str">
        <f>IFERROR(VLOOKUP(Tabelle32[[#This Row],[Device ID]],BOM!$B$3:$BQ$35,12,FALSE),"")</f>
        <v>Videoserver</v>
      </c>
      <c r="J288" s="59" t="str">
        <f>IFERROR(VLOOKUP(Tabelle32[[#This Row],[Device ID]],BOM!$B$3:$BQ$35,13,FALSE),"")</f>
        <v>TC.U1.223 | MDC</v>
      </c>
      <c r="K288" s="59" t="str">
        <f>IFERROR(VLOOKUP(Tabelle32[[#This Row],[Device ID]],BOM!$B$3:$BQ$35,14,FALSE),"")</f>
        <v>Imagine Comunications</v>
      </c>
      <c r="L288" s="59" t="str">
        <f>IFERROR(VLOOKUP(Tabelle32[[#This Row],[Device ID]],BOM!$B$3:$BQ$35,16,FALSE),"")</f>
        <v>IngSRV-07</v>
      </c>
      <c r="M288" s="63" t="str">
        <f>IFERROR(VLOOKUP(Tabelle32[[#This Row],[Device ID]],BOM!$B$3:$BQ$35,17,FALSE),"")</f>
        <v>M3H</v>
      </c>
      <c r="N288" s="59" t="str">
        <f>IFERROR(VLOOKUP(Tabelle32[[#This Row],[Device ID]],BOM!$B$3:$BQ$35,18,FALSE),"")</f>
        <v>TC.03.225 | M3H</v>
      </c>
      <c r="O288" s="64"/>
      <c r="P288" s="64">
        <f>IFERROR(VLOOKUP(Tabelle32[[#This Row],[Device ID]],BOM!$B$3:$BO$50,20,FALSE),"")</f>
        <v>0</v>
      </c>
      <c r="Q288" s="64">
        <f>IFERROR(VLOOKUP(Tabelle32[[#This Row],[Device ID]],BOM!$B$3:$BO$50,21,FALSE),"")</f>
        <v>1</v>
      </c>
      <c r="R288" s="64">
        <f>IFERROR(VLOOKUP(Tabelle32[[#This Row],[Device ID]],BOM!$B$3:$BO$50,22,FALSE),"")</f>
        <v>0</v>
      </c>
      <c r="S288" s="64"/>
      <c r="T288" s="64"/>
      <c r="U288" s="59" t="str">
        <f>IFERROR(VLOOKUP(Tabelle32[[#This Row],[Device ID]],BOM!$B$3:$BQ$35,25,FALSE),"")</f>
        <v>Luis/Ivo</v>
      </c>
      <c r="V288" s="59" t="str">
        <f>IFERROR(VLOOKUP(Tabelle32[[#This Row],[Device ID]],BOM!$B$3:$BQ$35,26,FALSE),"")</f>
        <v>tpco-megw-vgw103.rta.st-net.media.int</v>
      </c>
      <c r="W288" s="59" t="str">
        <f>IFERROR(VLOOKUP(Tabelle32[[#This Row],[Device ID]],BOM!$B$3:$BQ$35,27,FALSE),"")</f>
        <v>10.120.236.50</v>
      </c>
      <c r="X288" s="59" t="str">
        <f>IFERROR(VLOOKUP(Tabelle32[[#This Row],[Device ID]],BOM!$B$3:$BQ$35,28,FALSE),"")</f>
        <v>AVCoreA</v>
      </c>
      <c r="Y288" s="59" t="str">
        <f>IFERROR(VLOOKUP(Tabelle32[[#This Row],[Device ID]],BOM!$B$3:$BQ$35,29,FALSE),"")</f>
        <v>5_36_1</v>
      </c>
      <c r="Z288" s="59" t="str">
        <f>IFERROR(VLOOKUP(Tabelle32[[#This Row],[Device ID]],BOM!$B$3:$BQ$35,30,FALSE),"")</f>
        <v>tpco-megw-vgw103.rtb.st-net.media.int</v>
      </c>
      <c r="AA288" s="59" t="str">
        <f>IFERROR(VLOOKUP(Tabelle32[[#This Row],[Device ID]],BOM!$B$3:$BQ$35,31,FALSE),"")</f>
        <v>10.120.236.54</v>
      </c>
      <c r="AB288" s="59" t="str">
        <f>IFERROR(VLOOKUP(Tabelle32[[#This Row],[Device ID]],BOM!$B$3:$BQ$35,32,FALSE),"")</f>
        <v>AVCoreB</v>
      </c>
      <c r="AC288" s="59" t="str">
        <f>IFERROR(VLOOKUP(Tabelle32[[#This Row],[Device ID]],BOM!$B$3:$BQ$35,33,FALSE),"")</f>
        <v>5_36_1</v>
      </c>
      <c r="AD288" s="59" t="str">
        <f>IFERROR(VLOOKUP(Tabelle32[[#This Row],[Device ID]],BOM!$B$3:$BQ$35,34,FALSE),"")</f>
        <v>tpco-megw-vgw103.st-net.media.int</v>
      </c>
      <c r="AE288" s="59" t="str">
        <f>IFERROR(VLOOKUP(Tabelle32[[#This Row],[Device ID]],BOM!$B$3:$BQ$35,35,FALSE),"")</f>
        <v>10.120.67.141</v>
      </c>
      <c r="AF288" s="59">
        <f>IFERROR(VLOOKUP(Tabelle32[[#This Row],[Device ID]],BOM!$B$3:$BQ$35,36,FALSE),"")</f>
        <v>0</v>
      </c>
      <c r="AG288" s="59">
        <f>IFERROR(VLOOKUP(Tabelle32[[#This Row],[Device ID]],BOM!$B$3:$BQ$35,37,FALSE),"")</f>
        <v>0</v>
      </c>
      <c r="AH288" s="59"/>
      <c r="AI288" s="59"/>
      <c r="AJ288" s="59"/>
      <c r="AK288" s="59"/>
      <c r="AL288" s="59" t="str">
        <f>IFERROR(VLOOKUP(Tabelle32[[#This Row],[Device ID]],BOM!$B$3:$BQ$35,42,FALSE),"")</f>
        <v>Imagine Communications SNP</v>
      </c>
      <c r="AM288" s="59" t="str">
        <f>IFERROR(VLOOKUP(Tabelle32[[#This Row],[Device ID]],BOM!$B$3:$BQ$35,43,FALSE),"")</f>
        <v>no</v>
      </c>
      <c r="AN288" s="59" t="str">
        <f>IFERROR(VLOOKUP(Tabelle32[[#This Row],[Device ID]],BOM!$B$3:$BQ$35,44,FALSE),"")</f>
        <v>yes</v>
      </c>
      <c r="AO288" s="59" t="str">
        <f>IFERROR(VLOOKUP(Tabelle32[[#This Row],[Device ID]],BOM!$B$3:$BQ$35,45,FALSE),"")</f>
        <v>no</v>
      </c>
      <c r="AP288" s="59" t="str">
        <f>IFERROR(CONCATENATE(Tabelle32[[#This Row],[Family
GFX-Unit]]," | ",Tabelle32[[#This Row],[Label 1
GFX-Unit]]," | ",Tabelle32[[#This Row],[Attached Device if Gateway]]),"")</f>
        <v>M3H InCh 1zu1 | Ingest Ch26-09 | IngSRV-07</v>
      </c>
      <c r="AQ288" s="59"/>
      <c r="AR288" s="90"/>
      <c r="AS288" s="90"/>
      <c r="AT288" s="90"/>
      <c r="AU288" s="90"/>
      <c r="AV288" s="90"/>
      <c r="AW288" s="90" t="s">
        <v>97</v>
      </c>
      <c r="AX288" s="90"/>
      <c r="AY288" s="90"/>
      <c r="AZ288" s="90" t="s">
        <v>97</v>
      </c>
      <c r="BA288" s="90"/>
      <c r="BB288" s="90" t="s">
        <v>97</v>
      </c>
      <c r="BC288" s="90" t="s">
        <v>97</v>
      </c>
      <c r="BD288" s="90"/>
      <c r="BE288" s="90"/>
      <c r="BF288" s="90"/>
      <c r="BG288" s="90"/>
      <c r="BH288" s="73" t="s">
        <v>199</v>
      </c>
      <c r="BI288" s="30" t="str">
        <f>IF(COUNTA(Tabelle32[[#This Row],[Type:Vid_1080i50]:[Type:Anc_Prot]])&gt;0,"x","")</f>
        <v>x</v>
      </c>
      <c r="BJ28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288" s="59"/>
      <c r="BL288" s="59"/>
      <c r="BM288" s="63"/>
      <c r="BN288" s="63"/>
      <c r="BO288" s="97" t="s">
        <v>663</v>
      </c>
      <c r="BP288" s="97" t="s">
        <v>650</v>
      </c>
      <c r="BQ288" s="75">
        <f>LEN(Tabelle32[[#This Row],[Label 1
GFX-Unit]])</f>
        <v>14</v>
      </c>
      <c r="BR288" s="63"/>
      <c r="BS288" s="63"/>
      <c r="BT288" s="59"/>
      <c r="BU288" s="59"/>
      <c r="BV288" s="59" t="s">
        <v>245</v>
      </c>
      <c r="BW288" s="59" t="s">
        <v>246</v>
      </c>
      <c r="BX288" s="59" t="s">
        <v>651</v>
      </c>
      <c r="BY288" s="59">
        <v>14</v>
      </c>
    </row>
    <row r="289" spans="1:77" hidden="1" x14ac:dyDescent="0.2">
      <c r="A289" s="58" t="str">
        <f>CONCATENATE(Tabelle32[[#This Row],[Device ID]],".",Tabelle32[[#This Row],[Streamcounter]])</f>
        <v>391.14210</v>
      </c>
      <c r="B28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VGW-103_SDI14_AUDrec_0010</v>
      </c>
      <c r="C289" s="60"/>
      <c r="D289" s="61"/>
      <c r="E289" s="62"/>
      <c r="F289" s="59" t="str">
        <f>IFERROR(VLOOKUP(Tabelle32[[#This Row],[Device ID]],BOM!$B$3:$BQ$35,16,FALSE),"")</f>
        <v>IngSRV-07</v>
      </c>
      <c r="G289" s="63">
        <f>VLOOKUP(Tabelle32[[#This Row],[SDI Interface]],BOM!$A$4:$B$35,2,FALSE)</f>
        <v>391</v>
      </c>
      <c r="H289" s="59" t="str">
        <f>BOM!$C$4</f>
        <v>VGW-103</v>
      </c>
      <c r="I289" s="59" t="str">
        <f>IFERROR(VLOOKUP(Tabelle32[[#This Row],[Device ID]],BOM!$B$3:$BQ$35,12,FALSE),"")</f>
        <v>Videoserver</v>
      </c>
      <c r="J289" s="59" t="str">
        <f>IFERROR(VLOOKUP(Tabelle32[[#This Row],[Device ID]],BOM!$B$3:$BQ$35,13,FALSE),"")</f>
        <v>TC.U1.223 | MDC</v>
      </c>
      <c r="K289" s="59" t="str">
        <f>IFERROR(VLOOKUP(Tabelle32[[#This Row],[Device ID]],BOM!$B$3:$BQ$35,14,FALSE),"")</f>
        <v>Imagine Comunications</v>
      </c>
      <c r="L289" s="59" t="str">
        <f>IFERROR(VLOOKUP(Tabelle32[[#This Row],[Device ID]],BOM!$B$3:$BQ$35,16,FALSE),"")</f>
        <v>IngSRV-07</v>
      </c>
      <c r="M289" s="63" t="str">
        <f>IFERROR(VLOOKUP(Tabelle32[[#This Row],[Device ID]],BOM!$B$3:$BQ$35,17,FALSE),"")</f>
        <v>M3H</v>
      </c>
      <c r="N289" s="59" t="str">
        <f>IFERROR(VLOOKUP(Tabelle32[[#This Row],[Device ID]],BOM!$B$3:$BQ$35,18,FALSE),"")</f>
        <v>TC.03.225 | M3H</v>
      </c>
      <c r="O289" s="64"/>
      <c r="P289" s="64">
        <f>IFERROR(VLOOKUP(Tabelle32[[#This Row],[Device ID]],BOM!$B$3:$BO$50,20,FALSE),"")</f>
        <v>0</v>
      </c>
      <c r="Q289" s="64">
        <f>IFERROR(VLOOKUP(Tabelle32[[#This Row],[Device ID]],BOM!$B$3:$BO$50,21,FALSE),"")</f>
        <v>1</v>
      </c>
      <c r="R289" s="64">
        <f>IFERROR(VLOOKUP(Tabelle32[[#This Row],[Device ID]],BOM!$B$3:$BO$50,22,FALSE),"")</f>
        <v>0</v>
      </c>
      <c r="S289" s="64"/>
      <c r="T289" s="64"/>
      <c r="U289" s="59" t="str">
        <f>IFERROR(VLOOKUP(Tabelle32[[#This Row],[Device ID]],BOM!$B$3:$BQ$35,25,FALSE),"")</f>
        <v>Luis/Ivo</v>
      </c>
      <c r="V289" s="59" t="str">
        <f>IFERROR(VLOOKUP(Tabelle32[[#This Row],[Device ID]],BOM!$B$3:$BQ$35,26,FALSE),"")</f>
        <v>tpco-megw-vgw103.rta.st-net.media.int</v>
      </c>
      <c r="W289" s="59" t="str">
        <f>IFERROR(VLOOKUP(Tabelle32[[#This Row],[Device ID]],BOM!$B$3:$BQ$35,27,FALSE),"")</f>
        <v>10.120.236.50</v>
      </c>
      <c r="X289" s="59" t="str">
        <f>IFERROR(VLOOKUP(Tabelle32[[#This Row],[Device ID]],BOM!$B$3:$BQ$35,28,FALSE),"")</f>
        <v>AVCoreA</v>
      </c>
      <c r="Y289" s="59" t="str">
        <f>IFERROR(VLOOKUP(Tabelle32[[#This Row],[Device ID]],BOM!$B$3:$BQ$35,29,FALSE),"")</f>
        <v>5_36_1</v>
      </c>
      <c r="Z289" s="59" t="str">
        <f>IFERROR(VLOOKUP(Tabelle32[[#This Row],[Device ID]],BOM!$B$3:$BQ$35,30,FALSE),"")</f>
        <v>tpco-megw-vgw103.rtb.st-net.media.int</v>
      </c>
      <c r="AA289" s="59" t="str">
        <f>IFERROR(VLOOKUP(Tabelle32[[#This Row],[Device ID]],BOM!$B$3:$BQ$35,31,FALSE),"")</f>
        <v>10.120.236.54</v>
      </c>
      <c r="AB289" s="59" t="str">
        <f>IFERROR(VLOOKUP(Tabelle32[[#This Row],[Device ID]],BOM!$B$3:$BQ$35,32,FALSE),"")</f>
        <v>AVCoreB</v>
      </c>
      <c r="AC289" s="59" t="str">
        <f>IFERROR(VLOOKUP(Tabelle32[[#This Row],[Device ID]],BOM!$B$3:$BQ$35,33,FALSE),"")</f>
        <v>5_36_1</v>
      </c>
      <c r="AD289" s="59" t="str">
        <f>IFERROR(VLOOKUP(Tabelle32[[#This Row],[Device ID]],BOM!$B$3:$BQ$35,34,FALSE),"")</f>
        <v>tpco-megw-vgw103.st-net.media.int</v>
      </c>
      <c r="AE289" s="59" t="str">
        <f>IFERROR(VLOOKUP(Tabelle32[[#This Row],[Device ID]],BOM!$B$3:$BQ$35,35,FALSE),"")</f>
        <v>10.120.67.141</v>
      </c>
      <c r="AF289" s="59">
        <f>IFERROR(VLOOKUP(Tabelle32[[#This Row],[Device ID]],BOM!$B$3:$BQ$35,36,FALSE),"")</f>
        <v>0</v>
      </c>
      <c r="AG289" s="59">
        <f>IFERROR(VLOOKUP(Tabelle32[[#This Row],[Device ID]],BOM!$B$3:$BQ$35,37,FALSE),"")</f>
        <v>0</v>
      </c>
      <c r="AH289" s="59"/>
      <c r="AI289" s="59"/>
      <c r="AJ289" s="59"/>
      <c r="AK289" s="59"/>
      <c r="AL289" s="59" t="str">
        <f>IFERROR(VLOOKUP(Tabelle32[[#This Row],[Device ID]],BOM!$B$3:$BQ$35,42,FALSE),"")</f>
        <v>Imagine Communications SNP</v>
      </c>
      <c r="AM289" s="59" t="str">
        <f>IFERROR(VLOOKUP(Tabelle32[[#This Row],[Device ID]],BOM!$B$3:$BQ$35,43,FALSE),"")</f>
        <v>no</v>
      </c>
      <c r="AN289" s="59" t="str">
        <f>IFERROR(VLOOKUP(Tabelle32[[#This Row],[Device ID]],BOM!$B$3:$BQ$35,44,FALSE),"")</f>
        <v>yes</v>
      </c>
      <c r="AO289" s="59" t="str">
        <f>IFERROR(VLOOKUP(Tabelle32[[#This Row],[Device ID]],BOM!$B$3:$BQ$35,45,FALSE),"")</f>
        <v>no</v>
      </c>
      <c r="AP289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89" s="59"/>
      <c r="AR289" s="90"/>
      <c r="AS289" s="90"/>
      <c r="AT289" s="90"/>
      <c r="AU289" s="90"/>
      <c r="AV289" s="90"/>
      <c r="AW289" s="90"/>
      <c r="AX289" s="90"/>
      <c r="AY289" s="90"/>
      <c r="AZ289" s="90"/>
      <c r="BA289" s="90"/>
      <c r="BB289" s="90"/>
      <c r="BC289" s="90"/>
      <c r="BD289" s="90"/>
      <c r="BE289" s="90"/>
      <c r="BF289" s="90"/>
      <c r="BG289" s="90"/>
      <c r="BH289" s="73" t="s">
        <v>199</v>
      </c>
      <c r="BI289" s="30" t="str">
        <f>IF(COUNTA(Tabelle32[[#This Row],[Type:Vid_1080i50]:[Type:Anc_Prot]])&gt;0,"x","")</f>
        <v/>
      </c>
      <c r="BJ28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89" s="59"/>
      <c r="BL289" s="59"/>
      <c r="BM289" s="63"/>
      <c r="BN289" s="63"/>
      <c r="BO289" s="96"/>
      <c r="BP289" s="96"/>
      <c r="BQ289" s="75">
        <f>LEN(Tabelle32[[#This Row],[Label 1
GFX-Unit]])</f>
        <v>0</v>
      </c>
      <c r="BR289" s="63"/>
      <c r="BS289" s="63"/>
      <c r="BT289" s="59"/>
      <c r="BU289" s="59"/>
      <c r="BV289" s="59" t="s">
        <v>248</v>
      </c>
      <c r="BW289" s="59" t="s">
        <v>249</v>
      </c>
      <c r="BX289" s="59" t="s">
        <v>652</v>
      </c>
      <c r="BY289" s="59">
        <v>14</v>
      </c>
    </row>
    <row r="290" spans="1:77" hidden="1" x14ac:dyDescent="0.2">
      <c r="A290" s="58" t="str">
        <f>CONCATENATE(Tabelle32[[#This Row],[Device ID]],".",Tabelle32[[#This Row],[Streamcounter]])</f>
        <v>391.14211</v>
      </c>
      <c r="B29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VGW-103_SDI14_AUDrec_0011</v>
      </c>
      <c r="C290" s="60"/>
      <c r="D290" s="61"/>
      <c r="E290" s="62"/>
      <c r="F290" s="59" t="str">
        <f>IFERROR(VLOOKUP(Tabelle32[[#This Row],[Device ID]],BOM!$B$3:$BQ$35,16,FALSE),"")</f>
        <v>IngSRV-07</v>
      </c>
      <c r="G290" s="63">
        <f>VLOOKUP(Tabelle32[[#This Row],[SDI Interface]],BOM!$A$4:$B$35,2,FALSE)</f>
        <v>391</v>
      </c>
      <c r="H290" s="59" t="str">
        <f>BOM!$C$4</f>
        <v>VGW-103</v>
      </c>
      <c r="I290" s="59" t="str">
        <f>IFERROR(VLOOKUP(Tabelle32[[#This Row],[Device ID]],BOM!$B$3:$BQ$35,12,FALSE),"")</f>
        <v>Videoserver</v>
      </c>
      <c r="J290" s="59" t="str">
        <f>IFERROR(VLOOKUP(Tabelle32[[#This Row],[Device ID]],BOM!$B$3:$BQ$35,13,FALSE),"")</f>
        <v>TC.U1.223 | MDC</v>
      </c>
      <c r="K290" s="59" t="str">
        <f>IFERROR(VLOOKUP(Tabelle32[[#This Row],[Device ID]],BOM!$B$3:$BQ$35,14,FALSE),"")</f>
        <v>Imagine Comunications</v>
      </c>
      <c r="L290" s="59" t="str">
        <f>IFERROR(VLOOKUP(Tabelle32[[#This Row],[Device ID]],BOM!$B$3:$BQ$35,16,FALSE),"")</f>
        <v>IngSRV-07</v>
      </c>
      <c r="M290" s="63" t="str">
        <f>IFERROR(VLOOKUP(Tabelle32[[#This Row],[Device ID]],BOM!$B$3:$BQ$35,17,FALSE),"")</f>
        <v>M3H</v>
      </c>
      <c r="N290" s="59" t="str">
        <f>IFERROR(VLOOKUP(Tabelle32[[#This Row],[Device ID]],BOM!$B$3:$BQ$35,18,FALSE),"")</f>
        <v>TC.03.225 | M3H</v>
      </c>
      <c r="O290" s="64"/>
      <c r="P290" s="64">
        <f>IFERROR(VLOOKUP(Tabelle32[[#This Row],[Device ID]],BOM!$B$3:$BO$50,20,FALSE),"")</f>
        <v>0</v>
      </c>
      <c r="Q290" s="64">
        <f>IFERROR(VLOOKUP(Tabelle32[[#This Row],[Device ID]],BOM!$B$3:$BO$50,21,FALSE),"")</f>
        <v>1</v>
      </c>
      <c r="R290" s="64">
        <f>IFERROR(VLOOKUP(Tabelle32[[#This Row],[Device ID]],BOM!$B$3:$BO$50,22,FALSE),"")</f>
        <v>0</v>
      </c>
      <c r="S290" s="64"/>
      <c r="T290" s="64"/>
      <c r="U290" s="59" t="str">
        <f>IFERROR(VLOOKUP(Tabelle32[[#This Row],[Device ID]],BOM!$B$3:$BQ$35,25,FALSE),"")</f>
        <v>Luis/Ivo</v>
      </c>
      <c r="V290" s="59" t="str">
        <f>IFERROR(VLOOKUP(Tabelle32[[#This Row],[Device ID]],BOM!$B$3:$BQ$35,26,FALSE),"")</f>
        <v>tpco-megw-vgw103.rta.st-net.media.int</v>
      </c>
      <c r="W290" s="59" t="str">
        <f>IFERROR(VLOOKUP(Tabelle32[[#This Row],[Device ID]],BOM!$B$3:$BQ$35,27,FALSE),"")</f>
        <v>10.120.236.50</v>
      </c>
      <c r="X290" s="59" t="str">
        <f>IFERROR(VLOOKUP(Tabelle32[[#This Row],[Device ID]],BOM!$B$3:$BQ$35,28,FALSE),"")</f>
        <v>AVCoreA</v>
      </c>
      <c r="Y290" s="59" t="str">
        <f>IFERROR(VLOOKUP(Tabelle32[[#This Row],[Device ID]],BOM!$B$3:$BQ$35,29,FALSE),"")</f>
        <v>5_36_1</v>
      </c>
      <c r="Z290" s="59" t="str">
        <f>IFERROR(VLOOKUP(Tabelle32[[#This Row],[Device ID]],BOM!$B$3:$BQ$35,30,FALSE),"")</f>
        <v>tpco-megw-vgw103.rtb.st-net.media.int</v>
      </c>
      <c r="AA290" s="59" t="str">
        <f>IFERROR(VLOOKUP(Tabelle32[[#This Row],[Device ID]],BOM!$B$3:$BQ$35,31,FALSE),"")</f>
        <v>10.120.236.54</v>
      </c>
      <c r="AB290" s="59" t="str">
        <f>IFERROR(VLOOKUP(Tabelle32[[#This Row],[Device ID]],BOM!$B$3:$BQ$35,32,FALSE),"")</f>
        <v>AVCoreB</v>
      </c>
      <c r="AC290" s="59" t="str">
        <f>IFERROR(VLOOKUP(Tabelle32[[#This Row],[Device ID]],BOM!$B$3:$BQ$35,33,FALSE),"")</f>
        <v>5_36_1</v>
      </c>
      <c r="AD290" s="59" t="str">
        <f>IFERROR(VLOOKUP(Tabelle32[[#This Row],[Device ID]],BOM!$B$3:$BQ$35,34,FALSE),"")</f>
        <v>tpco-megw-vgw103.st-net.media.int</v>
      </c>
      <c r="AE290" s="59" t="str">
        <f>IFERROR(VLOOKUP(Tabelle32[[#This Row],[Device ID]],BOM!$B$3:$BQ$35,35,FALSE),"")</f>
        <v>10.120.67.141</v>
      </c>
      <c r="AF290" s="59">
        <f>IFERROR(VLOOKUP(Tabelle32[[#This Row],[Device ID]],BOM!$B$3:$BQ$35,36,FALSE),"")</f>
        <v>0</v>
      </c>
      <c r="AG290" s="59">
        <f>IFERROR(VLOOKUP(Tabelle32[[#This Row],[Device ID]],BOM!$B$3:$BQ$35,37,FALSE),"")</f>
        <v>0</v>
      </c>
      <c r="AH290" s="59"/>
      <c r="AI290" s="59"/>
      <c r="AJ290" s="59"/>
      <c r="AK290" s="59"/>
      <c r="AL290" s="59" t="str">
        <f>IFERROR(VLOOKUP(Tabelle32[[#This Row],[Device ID]],BOM!$B$3:$BQ$35,42,FALSE),"")</f>
        <v>Imagine Communications SNP</v>
      </c>
      <c r="AM290" s="59" t="str">
        <f>IFERROR(VLOOKUP(Tabelle32[[#This Row],[Device ID]],BOM!$B$3:$BQ$35,43,FALSE),"")</f>
        <v>no</v>
      </c>
      <c r="AN290" s="59" t="str">
        <f>IFERROR(VLOOKUP(Tabelle32[[#This Row],[Device ID]],BOM!$B$3:$BQ$35,44,FALSE),"")</f>
        <v>yes</v>
      </c>
      <c r="AO290" s="59" t="str">
        <f>IFERROR(VLOOKUP(Tabelle32[[#This Row],[Device ID]],BOM!$B$3:$BQ$35,45,FALSE),"")</f>
        <v>no</v>
      </c>
      <c r="AP290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90" s="59"/>
      <c r="AR290" s="90"/>
      <c r="AS290" s="90"/>
      <c r="AT290" s="90"/>
      <c r="AU290" s="90"/>
      <c r="AV290" s="90"/>
      <c r="AW290" s="90"/>
      <c r="AX290" s="90"/>
      <c r="AY290" s="90"/>
      <c r="AZ290" s="90"/>
      <c r="BA290" s="90"/>
      <c r="BB290" s="90"/>
      <c r="BC290" s="90"/>
      <c r="BD290" s="90"/>
      <c r="BE290" s="90"/>
      <c r="BF290" s="90"/>
      <c r="BG290" s="90"/>
      <c r="BH290" s="73" t="s">
        <v>199</v>
      </c>
      <c r="BI290" s="30" t="str">
        <f>IF(COUNTA(Tabelle32[[#This Row],[Type:Vid_1080i50]:[Type:Anc_Prot]])&gt;0,"x","")</f>
        <v/>
      </c>
      <c r="BJ29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90" s="59"/>
      <c r="BL290" s="59"/>
      <c r="BM290" s="63"/>
      <c r="BN290" s="63"/>
      <c r="BO290" s="96"/>
      <c r="BP290" s="96"/>
      <c r="BQ290" s="75">
        <f>LEN(Tabelle32[[#This Row],[Label 1
GFX-Unit]])</f>
        <v>0</v>
      </c>
      <c r="BR290" s="63"/>
      <c r="BS290" s="63"/>
      <c r="BT290" s="59"/>
      <c r="BU290" s="59"/>
      <c r="BV290" s="59" t="s">
        <v>251</v>
      </c>
      <c r="BW290" s="59" t="s">
        <v>252</v>
      </c>
      <c r="BX290" s="59" t="s">
        <v>653</v>
      </c>
      <c r="BY290" s="59">
        <v>14</v>
      </c>
    </row>
    <row r="291" spans="1:77" hidden="1" x14ac:dyDescent="0.2">
      <c r="A291" s="58" t="str">
        <f>CONCATENATE(Tabelle32[[#This Row],[Device ID]],".",Tabelle32[[#This Row],[Streamcounter]])</f>
        <v>391.14212</v>
      </c>
      <c r="B29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VGW-103_SDI14_AUDrec_0012</v>
      </c>
      <c r="C291" s="60"/>
      <c r="D291" s="61"/>
      <c r="E291" s="62"/>
      <c r="F291" s="59" t="str">
        <f>IFERROR(VLOOKUP(Tabelle32[[#This Row],[Device ID]],BOM!$B$3:$BQ$35,16,FALSE),"")</f>
        <v>IngSRV-07</v>
      </c>
      <c r="G291" s="63">
        <f>VLOOKUP(Tabelle32[[#This Row],[SDI Interface]],BOM!$A$4:$B$35,2,FALSE)</f>
        <v>391</v>
      </c>
      <c r="H291" s="59" t="str">
        <f>BOM!$C$4</f>
        <v>VGW-103</v>
      </c>
      <c r="I291" s="59" t="str">
        <f>IFERROR(VLOOKUP(Tabelle32[[#This Row],[Device ID]],BOM!$B$3:$BQ$35,12,FALSE),"")</f>
        <v>Videoserver</v>
      </c>
      <c r="J291" s="59" t="str">
        <f>IFERROR(VLOOKUP(Tabelle32[[#This Row],[Device ID]],BOM!$B$3:$BQ$35,13,FALSE),"")</f>
        <v>TC.U1.223 | MDC</v>
      </c>
      <c r="K291" s="59" t="str">
        <f>IFERROR(VLOOKUP(Tabelle32[[#This Row],[Device ID]],BOM!$B$3:$BQ$35,14,FALSE),"")</f>
        <v>Imagine Comunications</v>
      </c>
      <c r="L291" s="59" t="str">
        <f>IFERROR(VLOOKUP(Tabelle32[[#This Row],[Device ID]],BOM!$B$3:$BQ$35,16,FALSE),"")</f>
        <v>IngSRV-07</v>
      </c>
      <c r="M291" s="63" t="str">
        <f>IFERROR(VLOOKUP(Tabelle32[[#This Row],[Device ID]],BOM!$B$3:$BQ$35,17,FALSE),"")</f>
        <v>M3H</v>
      </c>
      <c r="N291" s="59" t="str">
        <f>IFERROR(VLOOKUP(Tabelle32[[#This Row],[Device ID]],BOM!$B$3:$BQ$35,18,FALSE),"")</f>
        <v>TC.03.225 | M3H</v>
      </c>
      <c r="O291" s="64"/>
      <c r="P291" s="64">
        <f>IFERROR(VLOOKUP(Tabelle32[[#This Row],[Device ID]],BOM!$B$3:$BO$50,20,FALSE),"")</f>
        <v>0</v>
      </c>
      <c r="Q291" s="64">
        <f>IFERROR(VLOOKUP(Tabelle32[[#This Row],[Device ID]],BOM!$B$3:$BO$50,21,FALSE),"")</f>
        <v>1</v>
      </c>
      <c r="R291" s="64">
        <f>IFERROR(VLOOKUP(Tabelle32[[#This Row],[Device ID]],BOM!$B$3:$BO$50,22,FALSE),"")</f>
        <v>0</v>
      </c>
      <c r="S291" s="64"/>
      <c r="T291" s="64"/>
      <c r="U291" s="59" t="str">
        <f>IFERROR(VLOOKUP(Tabelle32[[#This Row],[Device ID]],BOM!$B$3:$BQ$35,25,FALSE),"")</f>
        <v>Luis/Ivo</v>
      </c>
      <c r="V291" s="59" t="str">
        <f>IFERROR(VLOOKUP(Tabelle32[[#This Row],[Device ID]],BOM!$B$3:$BQ$35,26,FALSE),"")</f>
        <v>tpco-megw-vgw103.rta.st-net.media.int</v>
      </c>
      <c r="W291" s="59" t="str">
        <f>IFERROR(VLOOKUP(Tabelle32[[#This Row],[Device ID]],BOM!$B$3:$BQ$35,27,FALSE),"")</f>
        <v>10.120.236.50</v>
      </c>
      <c r="X291" s="59" t="str">
        <f>IFERROR(VLOOKUP(Tabelle32[[#This Row],[Device ID]],BOM!$B$3:$BQ$35,28,FALSE),"")</f>
        <v>AVCoreA</v>
      </c>
      <c r="Y291" s="59" t="str">
        <f>IFERROR(VLOOKUP(Tabelle32[[#This Row],[Device ID]],BOM!$B$3:$BQ$35,29,FALSE),"")</f>
        <v>5_36_1</v>
      </c>
      <c r="Z291" s="59" t="str">
        <f>IFERROR(VLOOKUP(Tabelle32[[#This Row],[Device ID]],BOM!$B$3:$BQ$35,30,FALSE),"")</f>
        <v>tpco-megw-vgw103.rtb.st-net.media.int</v>
      </c>
      <c r="AA291" s="59" t="str">
        <f>IFERROR(VLOOKUP(Tabelle32[[#This Row],[Device ID]],BOM!$B$3:$BQ$35,31,FALSE),"")</f>
        <v>10.120.236.54</v>
      </c>
      <c r="AB291" s="59" t="str">
        <f>IFERROR(VLOOKUP(Tabelle32[[#This Row],[Device ID]],BOM!$B$3:$BQ$35,32,FALSE),"")</f>
        <v>AVCoreB</v>
      </c>
      <c r="AC291" s="59" t="str">
        <f>IFERROR(VLOOKUP(Tabelle32[[#This Row],[Device ID]],BOM!$B$3:$BQ$35,33,FALSE),"")</f>
        <v>5_36_1</v>
      </c>
      <c r="AD291" s="59" t="str">
        <f>IFERROR(VLOOKUP(Tabelle32[[#This Row],[Device ID]],BOM!$B$3:$BQ$35,34,FALSE),"")</f>
        <v>tpco-megw-vgw103.st-net.media.int</v>
      </c>
      <c r="AE291" s="59" t="str">
        <f>IFERROR(VLOOKUP(Tabelle32[[#This Row],[Device ID]],BOM!$B$3:$BQ$35,35,FALSE),"")</f>
        <v>10.120.67.141</v>
      </c>
      <c r="AF291" s="59">
        <f>IFERROR(VLOOKUP(Tabelle32[[#This Row],[Device ID]],BOM!$B$3:$BQ$35,36,FALSE),"")</f>
        <v>0</v>
      </c>
      <c r="AG291" s="59">
        <f>IFERROR(VLOOKUP(Tabelle32[[#This Row],[Device ID]],BOM!$B$3:$BQ$35,37,FALSE),"")</f>
        <v>0</v>
      </c>
      <c r="AH291" s="59"/>
      <c r="AI291" s="59"/>
      <c r="AJ291" s="59"/>
      <c r="AK291" s="59"/>
      <c r="AL291" s="59" t="str">
        <f>IFERROR(VLOOKUP(Tabelle32[[#This Row],[Device ID]],BOM!$B$3:$BQ$35,42,FALSE),"")</f>
        <v>Imagine Communications SNP</v>
      </c>
      <c r="AM291" s="59" t="str">
        <f>IFERROR(VLOOKUP(Tabelle32[[#This Row],[Device ID]],BOM!$B$3:$BQ$35,43,FALSE),"")</f>
        <v>no</v>
      </c>
      <c r="AN291" s="59" t="str">
        <f>IFERROR(VLOOKUP(Tabelle32[[#This Row],[Device ID]],BOM!$B$3:$BQ$35,44,FALSE),"")</f>
        <v>yes</v>
      </c>
      <c r="AO291" s="59" t="str">
        <f>IFERROR(VLOOKUP(Tabelle32[[#This Row],[Device ID]],BOM!$B$3:$BQ$35,45,FALSE),"")</f>
        <v>no</v>
      </c>
      <c r="AP291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91" s="59"/>
      <c r="AR291" s="90"/>
      <c r="AS291" s="90"/>
      <c r="AT291" s="90"/>
      <c r="AU291" s="90"/>
      <c r="AV291" s="90"/>
      <c r="AW291" s="90"/>
      <c r="AX291" s="90"/>
      <c r="AY291" s="90"/>
      <c r="AZ291" s="90"/>
      <c r="BA291" s="90"/>
      <c r="BB291" s="90"/>
      <c r="BC291" s="90"/>
      <c r="BD291" s="90"/>
      <c r="BE291" s="90"/>
      <c r="BF291" s="90"/>
      <c r="BG291" s="90"/>
      <c r="BH291" s="73" t="s">
        <v>199</v>
      </c>
      <c r="BI291" s="30" t="str">
        <f>IF(COUNTA(Tabelle32[[#This Row],[Type:Vid_1080i50]:[Type:Anc_Prot]])&gt;0,"x","")</f>
        <v/>
      </c>
      <c r="BJ29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91" s="59"/>
      <c r="BL291" s="59"/>
      <c r="BM291" s="63"/>
      <c r="BN291" s="63"/>
      <c r="BO291" s="96"/>
      <c r="BP291" s="96"/>
      <c r="BQ291" s="75">
        <f>LEN(Tabelle32[[#This Row],[Label 1
GFX-Unit]])</f>
        <v>0</v>
      </c>
      <c r="BR291" s="63"/>
      <c r="BS291" s="63"/>
      <c r="BT291" s="59"/>
      <c r="BU291" s="59"/>
      <c r="BV291" s="59" t="s">
        <v>254</v>
      </c>
      <c r="BW291" s="59" t="s">
        <v>255</v>
      </c>
      <c r="BX291" s="59" t="s">
        <v>654</v>
      </c>
      <c r="BY291" s="59">
        <v>14</v>
      </c>
    </row>
    <row r="292" spans="1:77" hidden="1" x14ac:dyDescent="0.2">
      <c r="A292" s="58" t="str">
        <f>CONCATENATE(Tabelle32[[#This Row],[Device ID]],".",Tabelle32[[#This Row],[Streamcounter]])</f>
        <v>391.14213</v>
      </c>
      <c r="B29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VGW-103_SDI14_AUDrec_0013</v>
      </c>
      <c r="C292" s="60"/>
      <c r="D292" s="61"/>
      <c r="E292" s="62"/>
      <c r="F292" s="59" t="str">
        <f>IFERROR(VLOOKUP(Tabelle32[[#This Row],[Device ID]],BOM!$B$3:$BQ$35,16,FALSE),"")</f>
        <v>IngSRV-07</v>
      </c>
      <c r="G292" s="63">
        <f>VLOOKUP(Tabelle32[[#This Row],[SDI Interface]],BOM!$A$4:$B$35,2,FALSE)</f>
        <v>391</v>
      </c>
      <c r="H292" s="59" t="str">
        <f>BOM!$C$4</f>
        <v>VGW-103</v>
      </c>
      <c r="I292" s="59" t="str">
        <f>IFERROR(VLOOKUP(Tabelle32[[#This Row],[Device ID]],BOM!$B$3:$BQ$35,12,FALSE),"")</f>
        <v>Videoserver</v>
      </c>
      <c r="J292" s="59" t="str">
        <f>IFERROR(VLOOKUP(Tabelle32[[#This Row],[Device ID]],BOM!$B$3:$BQ$35,13,FALSE),"")</f>
        <v>TC.U1.223 | MDC</v>
      </c>
      <c r="K292" s="59" t="str">
        <f>IFERROR(VLOOKUP(Tabelle32[[#This Row],[Device ID]],BOM!$B$3:$BQ$35,14,FALSE),"")</f>
        <v>Imagine Comunications</v>
      </c>
      <c r="L292" s="59" t="str">
        <f>IFERROR(VLOOKUP(Tabelle32[[#This Row],[Device ID]],BOM!$B$3:$BQ$35,16,FALSE),"")</f>
        <v>IngSRV-07</v>
      </c>
      <c r="M292" s="63" t="str">
        <f>IFERROR(VLOOKUP(Tabelle32[[#This Row],[Device ID]],BOM!$B$3:$BQ$35,17,FALSE),"")</f>
        <v>M3H</v>
      </c>
      <c r="N292" s="59" t="str">
        <f>IFERROR(VLOOKUP(Tabelle32[[#This Row],[Device ID]],BOM!$B$3:$BQ$35,18,FALSE),"")</f>
        <v>TC.03.225 | M3H</v>
      </c>
      <c r="O292" s="64"/>
      <c r="P292" s="64">
        <f>IFERROR(VLOOKUP(Tabelle32[[#This Row],[Device ID]],BOM!$B$3:$BO$50,20,FALSE),"")</f>
        <v>0</v>
      </c>
      <c r="Q292" s="64">
        <f>IFERROR(VLOOKUP(Tabelle32[[#This Row],[Device ID]],BOM!$B$3:$BO$50,21,FALSE),"")</f>
        <v>1</v>
      </c>
      <c r="R292" s="64">
        <f>IFERROR(VLOOKUP(Tabelle32[[#This Row],[Device ID]],BOM!$B$3:$BO$50,22,FALSE),"")</f>
        <v>0</v>
      </c>
      <c r="S292" s="64"/>
      <c r="T292" s="64"/>
      <c r="U292" s="59" t="str">
        <f>IFERROR(VLOOKUP(Tabelle32[[#This Row],[Device ID]],BOM!$B$3:$BQ$35,25,FALSE),"")</f>
        <v>Luis/Ivo</v>
      </c>
      <c r="V292" s="59" t="str">
        <f>IFERROR(VLOOKUP(Tabelle32[[#This Row],[Device ID]],BOM!$B$3:$BQ$35,26,FALSE),"")</f>
        <v>tpco-megw-vgw103.rta.st-net.media.int</v>
      </c>
      <c r="W292" s="59" t="str">
        <f>IFERROR(VLOOKUP(Tabelle32[[#This Row],[Device ID]],BOM!$B$3:$BQ$35,27,FALSE),"")</f>
        <v>10.120.236.50</v>
      </c>
      <c r="X292" s="59" t="str">
        <f>IFERROR(VLOOKUP(Tabelle32[[#This Row],[Device ID]],BOM!$B$3:$BQ$35,28,FALSE),"")</f>
        <v>AVCoreA</v>
      </c>
      <c r="Y292" s="59" t="str">
        <f>IFERROR(VLOOKUP(Tabelle32[[#This Row],[Device ID]],BOM!$B$3:$BQ$35,29,FALSE),"")</f>
        <v>5_36_1</v>
      </c>
      <c r="Z292" s="59" t="str">
        <f>IFERROR(VLOOKUP(Tabelle32[[#This Row],[Device ID]],BOM!$B$3:$BQ$35,30,FALSE),"")</f>
        <v>tpco-megw-vgw103.rtb.st-net.media.int</v>
      </c>
      <c r="AA292" s="59" t="str">
        <f>IFERROR(VLOOKUP(Tabelle32[[#This Row],[Device ID]],BOM!$B$3:$BQ$35,31,FALSE),"")</f>
        <v>10.120.236.54</v>
      </c>
      <c r="AB292" s="59" t="str">
        <f>IFERROR(VLOOKUP(Tabelle32[[#This Row],[Device ID]],BOM!$B$3:$BQ$35,32,FALSE),"")</f>
        <v>AVCoreB</v>
      </c>
      <c r="AC292" s="59" t="str">
        <f>IFERROR(VLOOKUP(Tabelle32[[#This Row],[Device ID]],BOM!$B$3:$BQ$35,33,FALSE),"")</f>
        <v>5_36_1</v>
      </c>
      <c r="AD292" s="59" t="str">
        <f>IFERROR(VLOOKUP(Tabelle32[[#This Row],[Device ID]],BOM!$B$3:$BQ$35,34,FALSE),"")</f>
        <v>tpco-megw-vgw103.st-net.media.int</v>
      </c>
      <c r="AE292" s="59" t="str">
        <f>IFERROR(VLOOKUP(Tabelle32[[#This Row],[Device ID]],BOM!$B$3:$BQ$35,35,FALSE),"")</f>
        <v>10.120.67.141</v>
      </c>
      <c r="AF292" s="59">
        <f>IFERROR(VLOOKUP(Tabelle32[[#This Row],[Device ID]],BOM!$B$3:$BQ$35,36,FALSE),"")</f>
        <v>0</v>
      </c>
      <c r="AG292" s="59">
        <f>IFERROR(VLOOKUP(Tabelle32[[#This Row],[Device ID]],BOM!$B$3:$BQ$35,37,FALSE),"")</f>
        <v>0</v>
      </c>
      <c r="AH292" s="59"/>
      <c r="AI292" s="59"/>
      <c r="AJ292" s="59"/>
      <c r="AK292" s="59"/>
      <c r="AL292" s="59" t="str">
        <f>IFERROR(VLOOKUP(Tabelle32[[#This Row],[Device ID]],BOM!$B$3:$BQ$35,42,FALSE),"")</f>
        <v>Imagine Communications SNP</v>
      </c>
      <c r="AM292" s="59" t="str">
        <f>IFERROR(VLOOKUP(Tabelle32[[#This Row],[Device ID]],BOM!$B$3:$BQ$35,43,FALSE),"")</f>
        <v>no</v>
      </c>
      <c r="AN292" s="59" t="str">
        <f>IFERROR(VLOOKUP(Tabelle32[[#This Row],[Device ID]],BOM!$B$3:$BQ$35,44,FALSE),"")</f>
        <v>yes</v>
      </c>
      <c r="AO292" s="59" t="str">
        <f>IFERROR(VLOOKUP(Tabelle32[[#This Row],[Device ID]],BOM!$B$3:$BQ$35,45,FALSE),"")</f>
        <v>no</v>
      </c>
      <c r="AP292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92" s="59"/>
      <c r="AR292" s="90"/>
      <c r="AS292" s="90"/>
      <c r="AT292" s="90"/>
      <c r="AU292" s="90"/>
      <c r="AV292" s="90"/>
      <c r="AW292" s="90"/>
      <c r="AX292" s="90"/>
      <c r="AY292" s="90"/>
      <c r="AZ292" s="90"/>
      <c r="BA292" s="90"/>
      <c r="BB292" s="90"/>
      <c r="BC292" s="90"/>
      <c r="BD292" s="90"/>
      <c r="BE292" s="90"/>
      <c r="BF292" s="90"/>
      <c r="BG292" s="90"/>
      <c r="BH292" s="73" t="s">
        <v>199</v>
      </c>
      <c r="BI292" s="30" t="str">
        <f>IF(COUNTA(Tabelle32[[#This Row],[Type:Vid_1080i50]:[Type:Anc_Prot]])&gt;0,"x","")</f>
        <v/>
      </c>
      <c r="BJ29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92" s="59"/>
      <c r="BL292" s="59"/>
      <c r="BM292" s="63"/>
      <c r="BN292" s="63"/>
      <c r="BO292" s="96"/>
      <c r="BP292" s="96"/>
      <c r="BQ292" s="75">
        <f>LEN(Tabelle32[[#This Row],[Label 1
GFX-Unit]])</f>
        <v>0</v>
      </c>
      <c r="BR292" s="63"/>
      <c r="BS292" s="63"/>
      <c r="BT292" s="59"/>
      <c r="BU292" s="59"/>
      <c r="BV292" s="59" t="s">
        <v>257</v>
      </c>
      <c r="BW292" s="59" t="s">
        <v>258</v>
      </c>
      <c r="BX292" s="59" t="s">
        <v>655</v>
      </c>
      <c r="BY292" s="59">
        <v>14</v>
      </c>
    </row>
    <row r="293" spans="1:77" hidden="1" x14ac:dyDescent="0.2">
      <c r="A293" s="58" t="str">
        <f>CONCATENATE(Tabelle32[[#This Row],[Device ID]],".",Tabelle32[[#This Row],[Streamcounter]])</f>
        <v>391.14214</v>
      </c>
      <c r="B29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VGW-103_SDI14_AUDrec_0014</v>
      </c>
      <c r="C293" s="60"/>
      <c r="D293" s="61"/>
      <c r="E293" s="62"/>
      <c r="F293" s="59" t="str">
        <f>IFERROR(VLOOKUP(Tabelle32[[#This Row],[Device ID]],BOM!$B$3:$BQ$35,16,FALSE),"")</f>
        <v>IngSRV-07</v>
      </c>
      <c r="G293" s="63">
        <f>VLOOKUP(Tabelle32[[#This Row],[SDI Interface]],BOM!$A$4:$B$35,2,FALSE)</f>
        <v>391</v>
      </c>
      <c r="H293" s="59" t="str">
        <f>BOM!$C$4</f>
        <v>VGW-103</v>
      </c>
      <c r="I293" s="59" t="str">
        <f>IFERROR(VLOOKUP(Tabelle32[[#This Row],[Device ID]],BOM!$B$3:$BQ$35,12,FALSE),"")</f>
        <v>Videoserver</v>
      </c>
      <c r="J293" s="59" t="str">
        <f>IFERROR(VLOOKUP(Tabelle32[[#This Row],[Device ID]],BOM!$B$3:$BQ$35,13,FALSE),"")</f>
        <v>TC.U1.223 | MDC</v>
      </c>
      <c r="K293" s="59" t="str">
        <f>IFERROR(VLOOKUP(Tabelle32[[#This Row],[Device ID]],BOM!$B$3:$BQ$35,14,FALSE),"")</f>
        <v>Imagine Comunications</v>
      </c>
      <c r="L293" s="59" t="str">
        <f>IFERROR(VLOOKUP(Tabelle32[[#This Row],[Device ID]],BOM!$B$3:$BQ$35,16,FALSE),"")</f>
        <v>IngSRV-07</v>
      </c>
      <c r="M293" s="63" t="str">
        <f>IFERROR(VLOOKUP(Tabelle32[[#This Row],[Device ID]],BOM!$B$3:$BQ$35,17,FALSE),"")</f>
        <v>M3H</v>
      </c>
      <c r="N293" s="59" t="str">
        <f>IFERROR(VLOOKUP(Tabelle32[[#This Row],[Device ID]],BOM!$B$3:$BQ$35,18,FALSE),"")</f>
        <v>TC.03.225 | M3H</v>
      </c>
      <c r="O293" s="64"/>
      <c r="P293" s="64">
        <f>IFERROR(VLOOKUP(Tabelle32[[#This Row],[Device ID]],BOM!$B$3:$BO$50,20,FALSE),"")</f>
        <v>0</v>
      </c>
      <c r="Q293" s="64">
        <f>IFERROR(VLOOKUP(Tabelle32[[#This Row],[Device ID]],BOM!$B$3:$BO$50,21,FALSE),"")</f>
        <v>1</v>
      </c>
      <c r="R293" s="64">
        <f>IFERROR(VLOOKUP(Tabelle32[[#This Row],[Device ID]],BOM!$B$3:$BO$50,22,FALSE),"")</f>
        <v>0</v>
      </c>
      <c r="S293" s="64"/>
      <c r="T293" s="64"/>
      <c r="U293" s="59" t="str">
        <f>IFERROR(VLOOKUP(Tabelle32[[#This Row],[Device ID]],BOM!$B$3:$BQ$35,25,FALSE),"")</f>
        <v>Luis/Ivo</v>
      </c>
      <c r="V293" s="59" t="str">
        <f>IFERROR(VLOOKUP(Tabelle32[[#This Row],[Device ID]],BOM!$B$3:$BQ$35,26,FALSE),"")</f>
        <v>tpco-megw-vgw103.rta.st-net.media.int</v>
      </c>
      <c r="W293" s="59" t="str">
        <f>IFERROR(VLOOKUP(Tabelle32[[#This Row],[Device ID]],BOM!$B$3:$BQ$35,27,FALSE),"")</f>
        <v>10.120.236.50</v>
      </c>
      <c r="X293" s="59" t="str">
        <f>IFERROR(VLOOKUP(Tabelle32[[#This Row],[Device ID]],BOM!$B$3:$BQ$35,28,FALSE),"")</f>
        <v>AVCoreA</v>
      </c>
      <c r="Y293" s="59" t="str">
        <f>IFERROR(VLOOKUP(Tabelle32[[#This Row],[Device ID]],BOM!$B$3:$BQ$35,29,FALSE),"")</f>
        <v>5_36_1</v>
      </c>
      <c r="Z293" s="59" t="str">
        <f>IFERROR(VLOOKUP(Tabelle32[[#This Row],[Device ID]],BOM!$B$3:$BQ$35,30,FALSE),"")</f>
        <v>tpco-megw-vgw103.rtb.st-net.media.int</v>
      </c>
      <c r="AA293" s="59" t="str">
        <f>IFERROR(VLOOKUP(Tabelle32[[#This Row],[Device ID]],BOM!$B$3:$BQ$35,31,FALSE),"")</f>
        <v>10.120.236.54</v>
      </c>
      <c r="AB293" s="59" t="str">
        <f>IFERROR(VLOOKUP(Tabelle32[[#This Row],[Device ID]],BOM!$B$3:$BQ$35,32,FALSE),"")</f>
        <v>AVCoreB</v>
      </c>
      <c r="AC293" s="59" t="str">
        <f>IFERROR(VLOOKUP(Tabelle32[[#This Row],[Device ID]],BOM!$B$3:$BQ$35,33,FALSE),"")</f>
        <v>5_36_1</v>
      </c>
      <c r="AD293" s="59" t="str">
        <f>IFERROR(VLOOKUP(Tabelle32[[#This Row],[Device ID]],BOM!$B$3:$BQ$35,34,FALSE),"")</f>
        <v>tpco-megw-vgw103.st-net.media.int</v>
      </c>
      <c r="AE293" s="59" t="str">
        <f>IFERROR(VLOOKUP(Tabelle32[[#This Row],[Device ID]],BOM!$B$3:$BQ$35,35,FALSE),"")</f>
        <v>10.120.67.141</v>
      </c>
      <c r="AF293" s="59">
        <f>IFERROR(VLOOKUP(Tabelle32[[#This Row],[Device ID]],BOM!$B$3:$BQ$35,36,FALSE),"")</f>
        <v>0</v>
      </c>
      <c r="AG293" s="59">
        <f>IFERROR(VLOOKUP(Tabelle32[[#This Row],[Device ID]],BOM!$B$3:$BQ$35,37,FALSE),"")</f>
        <v>0</v>
      </c>
      <c r="AH293" s="59"/>
      <c r="AI293" s="59"/>
      <c r="AJ293" s="59"/>
      <c r="AK293" s="59"/>
      <c r="AL293" s="59" t="str">
        <f>IFERROR(VLOOKUP(Tabelle32[[#This Row],[Device ID]],BOM!$B$3:$BQ$35,42,FALSE),"")</f>
        <v>Imagine Communications SNP</v>
      </c>
      <c r="AM293" s="59" t="str">
        <f>IFERROR(VLOOKUP(Tabelle32[[#This Row],[Device ID]],BOM!$B$3:$BQ$35,43,FALSE),"")</f>
        <v>no</v>
      </c>
      <c r="AN293" s="59" t="str">
        <f>IFERROR(VLOOKUP(Tabelle32[[#This Row],[Device ID]],BOM!$B$3:$BQ$35,44,FALSE),"")</f>
        <v>yes</v>
      </c>
      <c r="AO293" s="59" t="str">
        <f>IFERROR(VLOOKUP(Tabelle32[[#This Row],[Device ID]],BOM!$B$3:$BQ$35,45,FALSE),"")</f>
        <v>no</v>
      </c>
      <c r="AP293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93" s="59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90"/>
      <c r="BC293" s="90"/>
      <c r="BD293" s="90"/>
      <c r="BE293" s="90"/>
      <c r="BF293" s="90"/>
      <c r="BG293" s="90"/>
      <c r="BH293" s="73" t="s">
        <v>199</v>
      </c>
      <c r="BI293" s="30" t="str">
        <f>IF(COUNTA(Tabelle32[[#This Row],[Type:Vid_1080i50]:[Type:Anc_Prot]])&gt;0,"x","")</f>
        <v/>
      </c>
      <c r="BJ29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93" s="59"/>
      <c r="BL293" s="59"/>
      <c r="BM293" s="63"/>
      <c r="BN293" s="63"/>
      <c r="BO293" s="96"/>
      <c r="BP293" s="96"/>
      <c r="BQ293" s="75">
        <f>LEN(Tabelle32[[#This Row],[Label 1
GFX-Unit]])</f>
        <v>0</v>
      </c>
      <c r="BR293" s="63"/>
      <c r="BS293" s="63"/>
      <c r="BT293" s="59"/>
      <c r="BU293" s="59"/>
      <c r="BV293" s="59" t="s">
        <v>260</v>
      </c>
      <c r="BW293" s="59" t="s">
        <v>261</v>
      </c>
      <c r="BX293" s="59" t="s">
        <v>656</v>
      </c>
      <c r="BY293" s="59">
        <v>14</v>
      </c>
    </row>
    <row r="294" spans="1:77" x14ac:dyDescent="0.2">
      <c r="A294" s="58" t="str">
        <f>CONCATENATE(Tabelle32[[#This Row],[Device ID]],".",Tabelle32[[#This Row],[Streamcounter]])</f>
        <v>391.14215</v>
      </c>
      <c r="B29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VGW-103_SDI14_AUDrec_0015</v>
      </c>
      <c r="C294" s="60"/>
      <c r="D294" s="61"/>
      <c r="E294" s="62"/>
      <c r="F294" s="59" t="str">
        <f>IFERROR(VLOOKUP(Tabelle32[[#This Row],[Device ID]],BOM!$B$3:$BQ$35,16,FALSE),"")</f>
        <v>IngSRV-07</v>
      </c>
      <c r="G294" s="63">
        <f>VLOOKUP(Tabelle32[[#This Row],[SDI Interface]],BOM!$A$4:$B$35,2,FALSE)</f>
        <v>391</v>
      </c>
      <c r="H294" s="59" t="str">
        <f>BOM!$C$4</f>
        <v>VGW-103</v>
      </c>
      <c r="I294" s="59" t="str">
        <f>IFERROR(VLOOKUP(Tabelle32[[#This Row],[Device ID]],BOM!$B$3:$BQ$35,12,FALSE),"")</f>
        <v>Videoserver</v>
      </c>
      <c r="J294" s="59" t="str">
        <f>IFERROR(VLOOKUP(Tabelle32[[#This Row],[Device ID]],BOM!$B$3:$BQ$35,13,FALSE),"")</f>
        <v>TC.U1.223 | MDC</v>
      </c>
      <c r="K294" s="59" t="str">
        <f>IFERROR(VLOOKUP(Tabelle32[[#This Row],[Device ID]],BOM!$B$3:$BQ$35,14,FALSE),"")</f>
        <v>Imagine Comunications</v>
      </c>
      <c r="L294" s="59" t="str">
        <f>IFERROR(VLOOKUP(Tabelle32[[#This Row],[Device ID]],BOM!$B$3:$BQ$35,16,FALSE),"")</f>
        <v>IngSRV-07</v>
      </c>
      <c r="M294" s="63" t="str">
        <f>IFERROR(VLOOKUP(Tabelle32[[#This Row],[Device ID]],BOM!$B$3:$BQ$35,17,FALSE),"")</f>
        <v>M3H</v>
      </c>
      <c r="N294" s="59" t="str">
        <f>IFERROR(VLOOKUP(Tabelle32[[#This Row],[Device ID]],BOM!$B$3:$BQ$35,18,FALSE),"")</f>
        <v>TC.03.225 | M3H</v>
      </c>
      <c r="O294" s="64"/>
      <c r="P294" s="64">
        <f>IFERROR(VLOOKUP(Tabelle32[[#This Row],[Device ID]],BOM!$B$3:$BO$50,20,FALSE),"")</f>
        <v>0</v>
      </c>
      <c r="Q294" s="64">
        <f>IFERROR(VLOOKUP(Tabelle32[[#This Row],[Device ID]],BOM!$B$3:$BO$50,21,FALSE),"")</f>
        <v>1</v>
      </c>
      <c r="R294" s="64">
        <f>IFERROR(VLOOKUP(Tabelle32[[#This Row],[Device ID]],BOM!$B$3:$BO$50,22,FALSE),"")</f>
        <v>0</v>
      </c>
      <c r="S294" s="64"/>
      <c r="T294" s="64"/>
      <c r="U294" s="59" t="str">
        <f>IFERROR(VLOOKUP(Tabelle32[[#This Row],[Device ID]],BOM!$B$3:$BQ$35,25,FALSE),"")</f>
        <v>Luis/Ivo</v>
      </c>
      <c r="V294" s="59" t="str">
        <f>IFERROR(VLOOKUP(Tabelle32[[#This Row],[Device ID]],BOM!$B$3:$BQ$35,26,FALSE),"")</f>
        <v>tpco-megw-vgw103.rta.st-net.media.int</v>
      </c>
      <c r="W294" s="59" t="str">
        <f>IFERROR(VLOOKUP(Tabelle32[[#This Row],[Device ID]],BOM!$B$3:$BQ$35,27,FALSE),"")</f>
        <v>10.120.236.50</v>
      </c>
      <c r="X294" s="59" t="str">
        <f>IFERROR(VLOOKUP(Tabelle32[[#This Row],[Device ID]],BOM!$B$3:$BQ$35,28,FALSE),"")</f>
        <v>AVCoreA</v>
      </c>
      <c r="Y294" s="59" t="str">
        <f>IFERROR(VLOOKUP(Tabelle32[[#This Row],[Device ID]],BOM!$B$3:$BQ$35,29,FALSE),"")</f>
        <v>5_36_1</v>
      </c>
      <c r="Z294" s="59" t="str">
        <f>IFERROR(VLOOKUP(Tabelle32[[#This Row],[Device ID]],BOM!$B$3:$BQ$35,30,FALSE),"")</f>
        <v>tpco-megw-vgw103.rtb.st-net.media.int</v>
      </c>
      <c r="AA294" s="59" t="str">
        <f>IFERROR(VLOOKUP(Tabelle32[[#This Row],[Device ID]],BOM!$B$3:$BQ$35,31,FALSE),"")</f>
        <v>10.120.236.54</v>
      </c>
      <c r="AB294" s="59" t="str">
        <f>IFERROR(VLOOKUP(Tabelle32[[#This Row],[Device ID]],BOM!$B$3:$BQ$35,32,FALSE),"")</f>
        <v>AVCoreB</v>
      </c>
      <c r="AC294" s="59" t="str">
        <f>IFERROR(VLOOKUP(Tabelle32[[#This Row],[Device ID]],BOM!$B$3:$BQ$35,33,FALSE),"")</f>
        <v>5_36_1</v>
      </c>
      <c r="AD294" s="59" t="str">
        <f>IFERROR(VLOOKUP(Tabelle32[[#This Row],[Device ID]],BOM!$B$3:$BQ$35,34,FALSE),"")</f>
        <v>tpco-megw-vgw103.st-net.media.int</v>
      </c>
      <c r="AE294" s="59" t="str">
        <f>IFERROR(VLOOKUP(Tabelle32[[#This Row],[Device ID]],BOM!$B$3:$BQ$35,35,FALSE),"")</f>
        <v>10.120.67.141</v>
      </c>
      <c r="AF294" s="59">
        <f>IFERROR(VLOOKUP(Tabelle32[[#This Row],[Device ID]],BOM!$B$3:$BQ$35,36,FALSE),"")</f>
        <v>0</v>
      </c>
      <c r="AG294" s="59">
        <f>IFERROR(VLOOKUP(Tabelle32[[#This Row],[Device ID]],BOM!$B$3:$BQ$35,37,FALSE),"")</f>
        <v>0</v>
      </c>
      <c r="AH294" s="59"/>
      <c r="AI294" s="59"/>
      <c r="AJ294" s="59"/>
      <c r="AK294" s="59"/>
      <c r="AL294" s="59" t="str">
        <f>IFERROR(VLOOKUP(Tabelle32[[#This Row],[Device ID]],BOM!$B$3:$BQ$35,42,FALSE),"")</f>
        <v>Imagine Communications SNP</v>
      </c>
      <c r="AM294" s="59" t="str">
        <f>IFERROR(VLOOKUP(Tabelle32[[#This Row],[Device ID]],BOM!$B$3:$BQ$35,43,FALSE),"")</f>
        <v>no</v>
      </c>
      <c r="AN294" s="59" t="str">
        <f>IFERROR(VLOOKUP(Tabelle32[[#This Row],[Device ID]],BOM!$B$3:$BQ$35,44,FALSE),"")</f>
        <v>yes</v>
      </c>
      <c r="AO294" s="59" t="str">
        <f>IFERROR(VLOOKUP(Tabelle32[[#This Row],[Device ID]],BOM!$B$3:$BQ$35,45,FALSE),"")</f>
        <v>no</v>
      </c>
      <c r="AP294" s="59" t="str">
        <f>IFERROR(CONCATENATE(Tabelle32[[#This Row],[Family
GFX-Unit]]," | ",Tabelle32[[#This Row],[Label 1
GFX-Unit]]," | ",Tabelle32[[#This Row],[Attached Device if Gateway]]),"")</f>
        <v>M3H InCh 1zu1 | Ingest Ch26-15 | IngSRV-07</v>
      </c>
      <c r="AQ294" s="59"/>
      <c r="AR294" s="90"/>
      <c r="AS294" s="90"/>
      <c r="AT294" s="90"/>
      <c r="AU294" s="90"/>
      <c r="AV294" s="90"/>
      <c r="AW294" s="90" t="s">
        <v>97</v>
      </c>
      <c r="AX294" s="90"/>
      <c r="AY294" s="90"/>
      <c r="AZ294" s="90" t="s">
        <v>97</v>
      </c>
      <c r="BA294" s="90"/>
      <c r="BB294" s="90" t="s">
        <v>97</v>
      </c>
      <c r="BC294" s="90" t="s">
        <v>97</v>
      </c>
      <c r="BD294" s="90" t="s">
        <v>97</v>
      </c>
      <c r="BE294" s="90"/>
      <c r="BF294" s="90"/>
      <c r="BG294" s="90"/>
      <c r="BH294" s="73" t="s">
        <v>199</v>
      </c>
      <c r="BI294" s="30" t="str">
        <f>IF(COUNTA(Tabelle32[[#This Row],[Type:Vid_1080i50]:[Type:Anc_Prot]])&gt;0,"x","")</f>
        <v>x</v>
      </c>
      <c r="BJ29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94" s="59"/>
      <c r="BL294" s="59"/>
      <c r="BM294" s="63"/>
      <c r="BN294" s="63"/>
      <c r="BO294" s="97" t="s">
        <v>663</v>
      </c>
      <c r="BP294" s="97" t="s">
        <v>657</v>
      </c>
      <c r="BQ294" s="75">
        <f>LEN(Tabelle32[[#This Row],[Label 1
GFX-Unit]])</f>
        <v>14</v>
      </c>
      <c r="BR294" s="63"/>
      <c r="BS294" s="63"/>
      <c r="BT294" s="59"/>
      <c r="BU294" s="59"/>
      <c r="BV294" s="59" t="s">
        <v>264</v>
      </c>
      <c r="BW294" s="59" t="s">
        <v>265</v>
      </c>
      <c r="BX294" s="59" t="s">
        <v>658</v>
      </c>
      <c r="BY294" s="59">
        <v>14</v>
      </c>
    </row>
    <row r="295" spans="1:77" x14ac:dyDescent="0.2">
      <c r="A295" s="58" t="str">
        <f>CONCATENATE(Tabelle32[[#This Row],[Device ID]],".",Tabelle32[[#This Row],[Streamcounter]])</f>
        <v>391.14216</v>
      </c>
      <c r="B29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VGW-103_SDI14_AUDrec_0016</v>
      </c>
      <c r="C295" s="60"/>
      <c r="D295" s="61"/>
      <c r="E295" s="62"/>
      <c r="F295" s="59" t="str">
        <f>IFERROR(VLOOKUP(Tabelle32[[#This Row],[Device ID]],BOM!$B$3:$BQ$35,16,FALSE),"")</f>
        <v>IngSRV-07</v>
      </c>
      <c r="G295" s="63">
        <f>VLOOKUP(Tabelle32[[#This Row],[SDI Interface]],BOM!$A$4:$B$35,2,FALSE)</f>
        <v>391</v>
      </c>
      <c r="H295" s="59" t="str">
        <f>BOM!$C$4</f>
        <v>VGW-103</v>
      </c>
      <c r="I295" s="59" t="str">
        <f>IFERROR(VLOOKUP(Tabelle32[[#This Row],[Device ID]],BOM!$B$3:$BQ$35,12,FALSE),"")</f>
        <v>Videoserver</v>
      </c>
      <c r="J295" s="59" t="str">
        <f>IFERROR(VLOOKUP(Tabelle32[[#This Row],[Device ID]],BOM!$B$3:$BQ$35,13,FALSE),"")</f>
        <v>TC.U1.223 | MDC</v>
      </c>
      <c r="K295" s="59" t="str">
        <f>IFERROR(VLOOKUP(Tabelle32[[#This Row],[Device ID]],BOM!$B$3:$BQ$35,14,FALSE),"")</f>
        <v>Imagine Comunications</v>
      </c>
      <c r="L295" s="59" t="str">
        <f>IFERROR(VLOOKUP(Tabelle32[[#This Row],[Device ID]],BOM!$B$3:$BQ$35,16,FALSE),"")</f>
        <v>IngSRV-07</v>
      </c>
      <c r="M295" s="63" t="str">
        <f>IFERROR(VLOOKUP(Tabelle32[[#This Row],[Device ID]],BOM!$B$3:$BQ$35,17,FALSE),"")</f>
        <v>M3H</v>
      </c>
      <c r="N295" s="59" t="str">
        <f>IFERROR(VLOOKUP(Tabelle32[[#This Row],[Device ID]],BOM!$B$3:$BQ$35,18,FALSE),"")</f>
        <v>TC.03.225 | M3H</v>
      </c>
      <c r="O295" s="64"/>
      <c r="P295" s="64">
        <f>IFERROR(VLOOKUP(Tabelle32[[#This Row],[Device ID]],BOM!$B$3:$BO$50,20,FALSE),"")</f>
        <v>0</v>
      </c>
      <c r="Q295" s="64">
        <f>IFERROR(VLOOKUP(Tabelle32[[#This Row],[Device ID]],BOM!$B$3:$BO$50,21,FALSE),"")</f>
        <v>1</v>
      </c>
      <c r="R295" s="64">
        <f>IFERROR(VLOOKUP(Tabelle32[[#This Row],[Device ID]],BOM!$B$3:$BO$50,22,FALSE),"")</f>
        <v>0</v>
      </c>
      <c r="S295" s="64"/>
      <c r="T295" s="64"/>
      <c r="U295" s="59" t="str">
        <f>IFERROR(VLOOKUP(Tabelle32[[#This Row],[Device ID]],BOM!$B$3:$BQ$35,25,FALSE),"")</f>
        <v>Luis/Ivo</v>
      </c>
      <c r="V295" s="59" t="str">
        <f>IFERROR(VLOOKUP(Tabelle32[[#This Row],[Device ID]],BOM!$B$3:$BQ$35,26,FALSE),"")</f>
        <v>tpco-megw-vgw103.rta.st-net.media.int</v>
      </c>
      <c r="W295" s="59" t="str">
        <f>IFERROR(VLOOKUP(Tabelle32[[#This Row],[Device ID]],BOM!$B$3:$BQ$35,27,FALSE),"")</f>
        <v>10.120.236.50</v>
      </c>
      <c r="X295" s="59" t="str">
        <f>IFERROR(VLOOKUP(Tabelle32[[#This Row],[Device ID]],BOM!$B$3:$BQ$35,28,FALSE),"")</f>
        <v>AVCoreA</v>
      </c>
      <c r="Y295" s="59" t="str">
        <f>IFERROR(VLOOKUP(Tabelle32[[#This Row],[Device ID]],BOM!$B$3:$BQ$35,29,FALSE),"")</f>
        <v>5_36_1</v>
      </c>
      <c r="Z295" s="59" t="str">
        <f>IFERROR(VLOOKUP(Tabelle32[[#This Row],[Device ID]],BOM!$B$3:$BQ$35,30,FALSE),"")</f>
        <v>tpco-megw-vgw103.rtb.st-net.media.int</v>
      </c>
      <c r="AA295" s="59" t="str">
        <f>IFERROR(VLOOKUP(Tabelle32[[#This Row],[Device ID]],BOM!$B$3:$BQ$35,31,FALSE),"")</f>
        <v>10.120.236.54</v>
      </c>
      <c r="AB295" s="59" t="str">
        <f>IFERROR(VLOOKUP(Tabelle32[[#This Row],[Device ID]],BOM!$B$3:$BQ$35,32,FALSE),"")</f>
        <v>AVCoreB</v>
      </c>
      <c r="AC295" s="59" t="str">
        <f>IFERROR(VLOOKUP(Tabelle32[[#This Row],[Device ID]],BOM!$B$3:$BQ$35,33,FALSE),"")</f>
        <v>5_36_1</v>
      </c>
      <c r="AD295" s="59" t="str">
        <f>IFERROR(VLOOKUP(Tabelle32[[#This Row],[Device ID]],BOM!$B$3:$BQ$35,34,FALSE),"")</f>
        <v>tpco-megw-vgw103.st-net.media.int</v>
      </c>
      <c r="AE295" s="59" t="str">
        <f>IFERROR(VLOOKUP(Tabelle32[[#This Row],[Device ID]],BOM!$B$3:$BQ$35,35,FALSE),"")</f>
        <v>10.120.67.141</v>
      </c>
      <c r="AF295" s="59">
        <f>IFERROR(VLOOKUP(Tabelle32[[#This Row],[Device ID]],BOM!$B$3:$BQ$35,36,FALSE),"")</f>
        <v>0</v>
      </c>
      <c r="AG295" s="59">
        <f>IFERROR(VLOOKUP(Tabelle32[[#This Row],[Device ID]],BOM!$B$3:$BQ$35,37,FALSE),"")</f>
        <v>0</v>
      </c>
      <c r="AH295" s="59"/>
      <c r="AI295" s="59"/>
      <c r="AJ295" s="59"/>
      <c r="AK295" s="59"/>
      <c r="AL295" s="59" t="str">
        <f>IFERROR(VLOOKUP(Tabelle32[[#This Row],[Device ID]],BOM!$B$3:$BQ$35,42,FALSE),"")</f>
        <v>Imagine Communications SNP</v>
      </c>
      <c r="AM295" s="59" t="str">
        <f>IFERROR(VLOOKUP(Tabelle32[[#This Row],[Device ID]],BOM!$B$3:$BQ$35,43,FALSE),"")</f>
        <v>no</v>
      </c>
      <c r="AN295" s="59" t="str">
        <f>IFERROR(VLOOKUP(Tabelle32[[#This Row],[Device ID]],BOM!$B$3:$BQ$35,44,FALSE),"")</f>
        <v>yes</v>
      </c>
      <c r="AO295" s="59" t="str">
        <f>IFERROR(VLOOKUP(Tabelle32[[#This Row],[Device ID]],BOM!$B$3:$BQ$35,45,FALSE),"")</f>
        <v>no</v>
      </c>
      <c r="AP295" s="59" t="str">
        <f>IFERROR(CONCATENATE(Tabelle32[[#This Row],[Family
GFX-Unit]]," | ",Tabelle32[[#This Row],[Label 1
GFX-Unit]]," | ",Tabelle32[[#This Row],[Attached Device if Gateway]]),"")</f>
        <v>M3H InCh 1zu1 | Ingest Ch26-16 | IngSRV-07</v>
      </c>
      <c r="AQ295" s="59"/>
      <c r="AR295" s="90"/>
      <c r="AS295" s="90"/>
      <c r="AT295" s="90"/>
      <c r="AU295" s="90"/>
      <c r="AV295" s="90"/>
      <c r="AW295" s="90" t="s">
        <v>97</v>
      </c>
      <c r="AX295" s="90"/>
      <c r="AY295" s="90"/>
      <c r="AZ295" s="90" t="s">
        <v>97</v>
      </c>
      <c r="BA295" s="90"/>
      <c r="BB295" s="90" t="s">
        <v>97</v>
      </c>
      <c r="BC295" s="90" t="s">
        <v>97</v>
      </c>
      <c r="BD295" s="90" t="s">
        <v>97</v>
      </c>
      <c r="BE295" s="90"/>
      <c r="BF295" s="90"/>
      <c r="BG295" s="90"/>
      <c r="BH295" s="73" t="s">
        <v>199</v>
      </c>
      <c r="BI295" s="30" t="str">
        <f>IF(COUNTA(Tabelle32[[#This Row],[Type:Vid_1080i50]:[Type:Anc_Prot]])&gt;0,"x","")</f>
        <v>x</v>
      </c>
      <c r="BJ29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295" s="59"/>
      <c r="BL295" s="59"/>
      <c r="BM295" s="63"/>
      <c r="BN295" s="63"/>
      <c r="BO295" s="97" t="s">
        <v>663</v>
      </c>
      <c r="BP295" s="97" t="s">
        <v>659</v>
      </c>
      <c r="BQ295" s="75">
        <f>LEN(Tabelle32[[#This Row],[Label 1
GFX-Unit]])</f>
        <v>14</v>
      </c>
      <c r="BR295" s="63"/>
      <c r="BS295" s="63"/>
      <c r="BT295" s="59"/>
      <c r="BU295" s="59"/>
      <c r="BV295" s="59" t="s">
        <v>268</v>
      </c>
      <c r="BW295" s="59" t="s">
        <v>269</v>
      </c>
      <c r="BX295" s="59" t="s">
        <v>660</v>
      </c>
      <c r="BY295" s="59">
        <v>14</v>
      </c>
    </row>
    <row r="296" spans="1:77" x14ac:dyDescent="0.2">
      <c r="A296" s="58" t="str">
        <f>CONCATENATE(Tabelle32[[#This Row],[Device ID]],".",Tabelle32[[#This Row],[Streamcounter]])</f>
        <v>391.14101</v>
      </c>
      <c r="B29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VGW-103_SDI14_VIDrec_0001</v>
      </c>
      <c r="C296" s="60"/>
      <c r="D296" s="61"/>
      <c r="E296" s="62"/>
      <c r="F296" s="59" t="str">
        <f>IFERROR(VLOOKUP(Tabelle32[[#This Row],[Device ID]],BOM!$B$3:$BQ$35,16,FALSE),"")</f>
        <v>IngSRV-07</v>
      </c>
      <c r="G296" s="63">
        <f>VLOOKUP(Tabelle32[[#This Row],[SDI Interface]],BOM!$A$4:$B$35,2,FALSE)</f>
        <v>391</v>
      </c>
      <c r="H296" s="59" t="str">
        <f>BOM!$C$4</f>
        <v>VGW-103</v>
      </c>
      <c r="I296" s="59" t="str">
        <f>IFERROR(VLOOKUP(Tabelle32[[#This Row],[Device ID]],BOM!$B$3:$BQ$35,12,FALSE),"")</f>
        <v>Videoserver</v>
      </c>
      <c r="J296" s="59" t="str">
        <f>IFERROR(VLOOKUP(Tabelle32[[#This Row],[Device ID]],BOM!$B$3:$BQ$35,13,FALSE),"")</f>
        <v>TC.U1.223 | MDC</v>
      </c>
      <c r="K296" s="59" t="str">
        <f>IFERROR(VLOOKUP(Tabelle32[[#This Row],[Device ID]],BOM!$B$3:$BQ$35,14,FALSE),"")</f>
        <v>Imagine Comunications</v>
      </c>
      <c r="L296" s="59" t="str">
        <f>IFERROR(VLOOKUP(Tabelle32[[#This Row],[Device ID]],BOM!$B$3:$BQ$35,16,FALSE),"")</f>
        <v>IngSRV-07</v>
      </c>
      <c r="M296" s="63" t="str">
        <f>IFERROR(VLOOKUP(Tabelle32[[#This Row],[Device ID]],BOM!$B$3:$BQ$35,17,FALSE),"")</f>
        <v>M3H</v>
      </c>
      <c r="N296" s="59" t="str">
        <f>IFERROR(VLOOKUP(Tabelle32[[#This Row],[Device ID]],BOM!$B$3:$BQ$35,18,FALSE),"")</f>
        <v>TC.03.225 | M3H</v>
      </c>
      <c r="O296" s="64"/>
      <c r="P296" s="64">
        <f>IFERROR(VLOOKUP(Tabelle32[[#This Row],[Device ID]],BOM!$B$3:$BO$50,20,FALSE),"")</f>
        <v>0</v>
      </c>
      <c r="Q296" s="64">
        <f>IFERROR(VLOOKUP(Tabelle32[[#This Row],[Device ID]],BOM!$B$3:$BO$50,21,FALSE),"")</f>
        <v>1</v>
      </c>
      <c r="R296" s="64">
        <f>IFERROR(VLOOKUP(Tabelle32[[#This Row],[Device ID]],BOM!$B$3:$BO$50,22,FALSE),"")</f>
        <v>0</v>
      </c>
      <c r="S296" s="64"/>
      <c r="T296" s="64"/>
      <c r="U296" s="59" t="str">
        <f>IFERROR(VLOOKUP(Tabelle32[[#This Row],[Device ID]],BOM!$B$3:$BQ$35,25,FALSE),"")</f>
        <v>Luis/Ivo</v>
      </c>
      <c r="V296" s="59" t="str">
        <f>IFERROR(VLOOKUP(Tabelle32[[#This Row],[Device ID]],BOM!$B$3:$BQ$35,26,FALSE),"")</f>
        <v>tpco-megw-vgw103.rta.st-net.media.int</v>
      </c>
      <c r="W296" s="59" t="str">
        <f>IFERROR(VLOOKUP(Tabelle32[[#This Row],[Device ID]],BOM!$B$3:$BQ$35,27,FALSE),"")</f>
        <v>10.120.236.50</v>
      </c>
      <c r="X296" s="59" t="str">
        <f>IFERROR(VLOOKUP(Tabelle32[[#This Row],[Device ID]],BOM!$B$3:$BQ$35,28,FALSE),"")</f>
        <v>AVCoreA</v>
      </c>
      <c r="Y296" s="59" t="str">
        <f>IFERROR(VLOOKUP(Tabelle32[[#This Row],[Device ID]],BOM!$B$3:$BQ$35,29,FALSE),"")</f>
        <v>5_36_1</v>
      </c>
      <c r="Z296" s="59" t="str">
        <f>IFERROR(VLOOKUP(Tabelle32[[#This Row],[Device ID]],BOM!$B$3:$BQ$35,30,FALSE),"")</f>
        <v>tpco-megw-vgw103.rtb.st-net.media.int</v>
      </c>
      <c r="AA296" s="59" t="str">
        <f>IFERROR(VLOOKUP(Tabelle32[[#This Row],[Device ID]],BOM!$B$3:$BQ$35,31,FALSE),"")</f>
        <v>10.120.236.54</v>
      </c>
      <c r="AB296" s="59" t="str">
        <f>IFERROR(VLOOKUP(Tabelle32[[#This Row],[Device ID]],BOM!$B$3:$BQ$35,32,FALSE),"")</f>
        <v>AVCoreB</v>
      </c>
      <c r="AC296" s="59" t="str">
        <f>IFERROR(VLOOKUP(Tabelle32[[#This Row],[Device ID]],BOM!$B$3:$BQ$35,33,FALSE),"")</f>
        <v>5_36_1</v>
      </c>
      <c r="AD296" s="59" t="str">
        <f>IFERROR(VLOOKUP(Tabelle32[[#This Row],[Device ID]],BOM!$B$3:$BQ$35,34,FALSE),"")</f>
        <v>tpco-megw-vgw103.st-net.media.int</v>
      </c>
      <c r="AE296" s="59" t="str">
        <f>IFERROR(VLOOKUP(Tabelle32[[#This Row],[Device ID]],BOM!$B$3:$BQ$35,35,FALSE),"")</f>
        <v>10.120.67.141</v>
      </c>
      <c r="AF296" s="59">
        <f>IFERROR(VLOOKUP(Tabelle32[[#This Row],[Device ID]],BOM!$B$3:$BQ$35,36,FALSE),"")</f>
        <v>0</v>
      </c>
      <c r="AG296" s="59">
        <f>IFERROR(VLOOKUP(Tabelle32[[#This Row],[Device ID]],BOM!$B$3:$BQ$35,37,FALSE),"")</f>
        <v>0</v>
      </c>
      <c r="AH296" s="59"/>
      <c r="AI296" s="59"/>
      <c r="AJ296" s="59"/>
      <c r="AK296" s="59"/>
      <c r="AL296" s="59" t="str">
        <f>IFERROR(VLOOKUP(Tabelle32[[#This Row],[Device ID]],BOM!$B$3:$BQ$35,42,FALSE),"")</f>
        <v>Imagine Communications SNP</v>
      </c>
      <c r="AM296" s="59" t="str">
        <f>IFERROR(VLOOKUP(Tabelle32[[#This Row],[Device ID]],BOM!$B$3:$BQ$35,43,FALSE),"")</f>
        <v>no</v>
      </c>
      <c r="AN296" s="59" t="str">
        <f>IFERROR(VLOOKUP(Tabelle32[[#This Row],[Device ID]],BOM!$B$3:$BQ$35,44,FALSE),"")</f>
        <v>yes</v>
      </c>
      <c r="AO296" s="59" t="str">
        <f>IFERROR(VLOOKUP(Tabelle32[[#This Row],[Device ID]],BOM!$B$3:$BQ$35,45,FALSE),"")</f>
        <v>no</v>
      </c>
      <c r="AP296" s="59" t="str">
        <f>IFERROR(CONCATENATE(Tabelle32[[#This Row],[Family
GFX-Unit]]," | ",Tabelle32[[#This Row],[Label 1
GFX-Unit]]," | ",Tabelle32[[#This Row],[Attached Device if Gateway]]),"")</f>
        <v>M3H InCh 1zu1 | Ingest Ch26 | IngSRV-07</v>
      </c>
      <c r="AQ296" s="59"/>
      <c r="AR296" s="90" t="s">
        <v>97</v>
      </c>
      <c r="AS296" s="90" t="s">
        <v>97</v>
      </c>
      <c r="AT296" s="90" t="s">
        <v>97</v>
      </c>
      <c r="AU296" s="90"/>
      <c r="AV296" s="90" t="s">
        <v>97</v>
      </c>
      <c r="AW296" s="90"/>
      <c r="AX296" s="90"/>
      <c r="AY296" s="90"/>
      <c r="AZ296" s="90"/>
      <c r="BA296" s="90"/>
      <c r="BB296" s="90"/>
      <c r="BC296" s="90"/>
      <c r="BD296" s="90"/>
      <c r="BE296" s="90"/>
      <c r="BF296" s="90"/>
      <c r="BG296" s="90"/>
      <c r="BH296" s="73" t="s">
        <v>199</v>
      </c>
      <c r="BI296" s="30" t="str">
        <f>IF(COUNTA(Tabelle32[[#This Row],[Type:Vid_1080i50]:[Type:Anc_Prot]])&gt;0,"x","")</f>
        <v>x</v>
      </c>
      <c r="BJ29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296" s="59"/>
      <c r="BL296" s="59"/>
      <c r="BM296" s="63"/>
      <c r="BN296" s="63"/>
      <c r="BO296" s="97" t="s">
        <v>663</v>
      </c>
      <c r="BP296" s="97" t="s">
        <v>661</v>
      </c>
      <c r="BQ296" s="75">
        <f>LEN(Tabelle32[[#This Row],[Label 1
GFX-Unit]])</f>
        <v>11</v>
      </c>
      <c r="BR296" s="63"/>
      <c r="BS296" s="63"/>
      <c r="BT296" s="59"/>
      <c r="BU296" s="59"/>
      <c r="BV296" s="59" t="s">
        <v>272</v>
      </c>
      <c r="BW296" s="59" t="s">
        <v>273</v>
      </c>
      <c r="BX296" s="59" t="s">
        <v>662</v>
      </c>
      <c r="BY296" s="59">
        <v>14</v>
      </c>
    </row>
    <row r="297" spans="1:77" x14ac:dyDescent="0.2">
      <c r="A297" s="58" t="str">
        <f>CONCATENATE(Tabelle32[[#This Row],[Device ID]],".",Tabelle32[[#This Row],[Streamcounter]])</f>
        <v>392.15301</v>
      </c>
      <c r="B29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VGW-103_SDI15_ANCrec_0001</v>
      </c>
      <c r="C297" s="60"/>
      <c r="D297" s="61"/>
      <c r="E297" s="62"/>
      <c r="F297" s="59" t="str">
        <f>IFERROR(VLOOKUP(Tabelle32[[#This Row],[Device ID]],BOM!$B$3:$BQ$35,16,FALSE),"")</f>
        <v>IngSRV-07</v>
      </c>
      <c r="G297" s="63">
        <f>VLOOKUP(Tabelle32[[#This Row],[SDI Interface]],BOM!$A$4:$B$35,2,FALSE)</f>
        <v>392</v>
      </c>
      <c r="H297" s="59" t="str">
        <f>BOM!$C$4</f>
        <v>VGW-103</v>
      </c>
      <c r="I297" s="59" t="str">
        <f>IFERROR(VLOOKUP(Tabelle32[[#This Row],[Device ID]],BOM!$B$3:$BQ$35,12,FALSE),"")</f>
        <v>Videoserver</v>
      </c>
      <c r="J297" s="59" t="str">
        <f>IFERROR(VLOOKUP(Tabelle32[[#This Row],[Device ID]],BOM!$B$3:$BQ$35,13,FALSE),"")</f>
        <v>TC.U1.223 | MDC</v>
      </c>
      <c r="K297" s="59" t="str">
        <f>IFERROR(VLOOKUP(Tabelle32[[#This Row],[Device ID]],BOM!$B$3:$BQ$35,14,FALSE),"")</f>
        <v>Imagine Comunications</v>
      </c>
      <c r="L297" s="59" t="str">
        <f>IFERROR(VLOOKUP(Tabelle32[[#This Row],[Device ID]],BOM!$B$3:$BQ$35,16,FALSE),"")</f>
        <v>IngSRV-07</v>
      </c>
      <c r="M297" s="63" t="str">
        <f>IFERROR(VLOOKUP(Tabelle32[[#This Row],[Device ID]],BOM!$B$3:$BQ$35,17,FALSE),"")</f>
        <v>M3H</v>
      </c>
      <c r="N297" s="59" t="str">
        <f>IFERROR(VLOOKUP(Tabelle32[[#This Row],[Device ID]],BOM!$B$3:$BQ$35,18,FALSE),"")</f>
        <v>TC.03.225 | M3H</v>
      </c>
      <c r="O297" s="64"/>
      <c r="P297" s="64">
        <f>IFERROR(VLOOKUP(Tabelle32[[#This Row],[Device ID]],BOM!$B$3:$BO$50,20,FALSE),"")</f>
        <v>0</v>
      </c>
      <c r="Q297" s="64">
        <f>IFERROR(VLOOKUP(Tabelle32[[#This Row],[Device ID]],BOM!$B$3:$BO$50,21,FALSE),"")</f>
        <v>1</v>
      </c>
      <c r="R297" s="64">
        <f>IFERROR(VLOOKUP(Tabelle32[[#This Row],[Device ID]],BOM!$B$3:$BO$50,22,FALSE),"")</f>
        <v>0</v>
      </c>
      <c r="S297" s="64"/>
      <c r="T297" s="64"/>
      <c r="U297" s="59" t="str">
        <f>IFERROR(VLOOKUP(Tabelle32[[#This Row],[Device ID]],BOM!$B$3:$BQ$35,25,FALSE),"")</f>
        <v>Luis/Ivo</v>
      </c>
      <c r="V297" s="59" t="str">
        <f>IFERROR(VLOOKUP(Tabelle32[[#This Row],[Device ID]],BOM!$B$3:$BQ$35,26,FALSE),"")</f>
        <v>tpco-megw-vgw103.rta.st-net.media.int</v>
      </c>
      <c r="W297" s="59" t="str">
        <f>IFERROR(VLOOKUP(Tabelle32[[#This Row],[Device ID]],BOM!$B$3:$BQ$35,27,FALSE),"")</f>
        <v>10.120.236.50</v>
      </c>
      <c r="X297" s="59" t="str">
        <f>IFERROR(VLOOKUP(Tabelle32[[#This Row],[Device ID]],BOM!$B$3:$BQ$35,28,FALSE),"")</f>
        <v>AVCoreA</v>
      </c>
      <c r="Y297" s="59" t="str">
        <f>IFERROR(VLOOKUP(Tabelle32[[#This Row],[Device ID]],BOM!$B$3:$BQ$35,29,FALSE),"")</f>
        <v>5_36_1</v>
      </c>
      <c r="Z297" s="59" t="str">
        <f>IFERROR(VLOOKUP(Tabelle32[[#This Row],[Device ID]],BOM!$B$3:$BQ$35,30,FALSE),"")</f>
        <v>tpco-megw-vgw103.rtb.st-net.media.int</v>
      </c>
      <c r="AA297" s="59" t="str">
        <f>IFERROR(VLOOKUP(Tabelle32[[#This Row],[Device ID]],BOM!$B$3:$BQ$35,31,FALSE),"")</f>
        <v>10.120.236.54</v>
      </c>
      <c r="AB297" s="59" t="str">
        <f>IFERROR(VLOOKUP(Tabelle32[[#This Row],[Device ID]],BOM!$B$3:$BQ$35,32,FALSE),"")</f>
        <v>AVCoreB</v>
      </c>
      <c r="AC297" s="59" t="str">
        <f>IFERROR(VLOOKUP(Tabelle32[[#This Row],[Device ID]],BOM!$B$3:$BQ$35,33,FALSE),"")</f>
        <v>5_36_1</v>
      </c>
      <c r="AD297" s="59" t="str">
        <f>IFERROR(VLOOKUP(Tabelle32[[#This Row],[Device ID]],BOM!$B$3:$BQ$35,34,FALSE),"")</f>
        <v>tpco-megw-vgw103.st-net.media.int</v>
      </c>
      <c r="AE297" s="59" t="str">
        <f>IFERROR(VLOOKUP(Tabelle32[[#This Row],[Device ID]],BOM!$B$3:$BQ$35,35,FALSE),"")</f>
        <v>10.120.67.141</v>
      </c>
      <c r="AF297" s="59">
        <f>IFERROR(VLOOKUP(Tabelle32[[#This Row],[Device ID]],BOM!$B$3:$BQ$35,36,FALSE),"")</f>
        <v>0</v>
      </c>
      <c r="AG297" s="59">
        <f>IFERROR(VLOOKUP(Tabelle32[[#This Row],[Device ID]],BOM!$B$3:$BQ$35,37,FALSE),"")</f>
        <v>0</v>
      </c>
      <c r="AH297" s="59"/>
      <c r="AI297" s="59"/>
      <c r="AJ297" s="59"/>
      <c r="AK297" s="59"/>
      <c r="AL297" s="59" t="str">
        <f>IFERROR(VLOOKUP(Tabelle32[[#This Row],[Device ID]],BOM!$B$3:$BQ$35,42,FALSE),"")</f>
        <v>Imagine Communications SNP</v>
      </c>
      <c r="AM297" s="59" t="str">
        <f>IFERROR(VLOOKUP(Tabelle32[[#This Row],[Device ID]],BOM!$B$3:$BQ$35,43,FALSE),"")</f>
        <v>no</v>
      </c>
      <c r="AN297" s="59" t="str">
        <f>IFERROR(VLOOKUP(Tabelle32[[#This Row],[Device ID]],BOM!$B$3:$BQ$35,44,FALSE),"")</f>
        <v>yes</v>
      </c>
      <c r="AO297" s="59" t="str">
        <f>IFERROR(VLOOKUP(Tabelle32[[#This Row],[Device ID]],BOM!$B$3:$BQ$35,45,FALSE),"")</f>
        <v>no</v>
      </c>
      <c r="AP297" s="59" t="str">
        <f>IFERROR(CONCATENATE(Tabelle32[[#This Row],[Family
GFX-Unit]]," | ",Tabelle32[[#This Row],[Label 1
GFX-Unit]]," | ",Tabelle32[[#This Row],[Attached Device if Gateway]]),"")</f>
        <v>M3H InCh PGM | Ingest Ch27-ANC1 | IngSRV-07</v>
      </c>
      <c r="AQ297" s="59"/>
      <c r="AR297" s="90"/>
      <c r="AS297" s="90"/>
      <c r="AT297" s="90"/>
      <c r="AU297" s="90"/>
      <c r="AV297" s="90"/>
      <c r="AW297" s="90"/>
      <c r="AX297" s="90"/>
      <c r="AY297" s="90"/>
      <c r="AZ297" s="90"/>
      <c r="BA297" s="90"/>
      <c r="BB297" s="90"/>
      <c r="BC297" s="90"/>
      <c r="BD297" s="90"/>
      <c r="BE297" s="90"/>
      <c r="BF297" s="90"/>
      <c r="BG297" s="90" t="s">
        <v>97</v>
      </c>
      <c r="BH297" s="73" t="s">
        <v>199</v>
      </c>
      <c r="BI297" s="30" t="str">
        <f>IF(COUNTA(Tabelle32[[#This Row],[Type:Vid_1080i50]:[Type:Anc_Prot]])&gt;0,"x","")</f>
        <v>x</v>
      </c>
      <c r="BJ29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297" s="59"/>
      <c r="BL297" s="59"/>
      <c r="BM297" s="63"/>
      <c r="BN297" s="63"/>
      <c r="BO297" s="97" t="s">
        <v>2684</v>
      </c>
      <c r="BP297" s="97" t="s">
        <v>664</v>
      </c>
      <c r="BQ297" s="75">
        <f>LEN(Tabelle32[[#This Row],[Label 1
GFX-Unit]])</f>
        <v>16</v>
      </c>
      <c r="BR297" s="63"/>
      <c r="BS297" s="63"/>
      <c r="BT297" s="59"/>
      <c r="BU297" s="59"/>
      <c r="BV297" s="59" t="s">
        <v>202</v>
      </c>
      <c r="BW297" s="59" t="s">
        <v>203</v>
      </c>
      <c r="BX297" s="59" t="s">
        <v>665</v>
      </c>
      <c r="BY297" s="59">
        <v>15</v>
      </c>
    </row>
    <row r="298" spans="1:77" hidden="1" x14ac:dyDescent="0.2">
      <c r="A298" s="58" t="str">
        <f>CONCATENATE(Tabelle32[[#This Row],[Device ID]],".",Tabelle32[[#This Row],[Streamcounter]])</f>
        <v>392.15302</v>
      </c>
      <c r="B29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VGW-103_SDI15_ANCrec_0002</v>
      </c>
      <c r="C298" s="60"/>
      <c r="D298" s="61"/>
      <c r="E298" s="62"/>
      <c r="F298" s="59" t="str">
        <f>IFERROR(VLOOKUP(Tabelle32[[#This Row],[Device ID]],BOM!$B$3:$BQ$35,16,FALSE),"")</f>
        <v>IngSRV-07</v>
      </c>
      <c r="G298" s="63">
        <f>VLOOKUP(Tabelle32[[#This Row],[SDI Interface]],BOM!$A$4:$B$35,2,FALSE)</f>
        <v>392</v>
      </c>
      <c r="H298" s="59" t="str">
        <f>BOM!$C$4</f>
        <v>VGW-103</v>
      </c>
      <c r="I298" s="59" t="str">
        <f>IFERROR(VLOOKUP(Tabelle32[[#This Row],[Device ID]],BOM!$B$3:$BQ$35,12,FALSE),"")</f>
        <v>Videoserver</v>
      </c>
      <c r="J298" s="59" t="str">
        <f>IFERROR(VLOOKUP(Tabelle32[[#This Row],[Device ID]],BOM!$B$3:$BQ$35,13,FALSE),"")</f>
        <v>TC.U1.223 | MDC</v>
      </c>
      <c r="K298" s="59" t="str">
        <f>IFERROR(VLOOKUP(Tabelle32[[#This Row],[Device ID]],BOM!$B$3:$BQ$35,14,FALSE),"")</f>
        <v>Imagine Comunications</v>
      </c>
      <c r="L298" s="59" t="str">
        <f>IFERROR(VLOOKUP(Tabelle32[[#This Row],[Device ID]],BOM!$B$3:$BQ$35,16,FALSE),"")</f>
        <v>IngSRV-07</v>
      </c>
      <c r="M298" s="63" t="str">
        <f>IFERROR(VLOOKUP(Tabelle32[[#This Row],[Device ID]],BOM!$B$3:$BQ$35,17,FALSE),"")</f>
        <v>M3H</v>
      </c>
      <c r="N298" s="59" t="str">
        <f>IFERROR(VLOOKUP(Tabelle32[[#This Row],[Device ID]],BOM!$B$3:$BQ$35,18,FALSE),"")</f>
        <v>TC.03.225 | M3H</v>
      </c>
      <c r="O298" s="64"/>
      <c r="P298" s="64">
        <f>IFERROR(VLOOKUP(Tabelle32[[#This Row],[Device ID]],BOM!$B$3:$BO$50,20,FALSE),"")</f>
        <v>0</v>
      </c>
      <c r="Q298" s="64">
        <f>IFERROR(VLOOKUP(Tabelle32[[#This Row],[Device ID]],BOM!$B$3:$BO$50,21,FALSE),"")</f>
        <v>1</v>
      </c>
      <c r="R298" s="64">
        <f>IFERROR(VLOOKUP(Tabelle32[[#This Row],[Device ID]],BOM!$B$3:$BO$50,22,FALSE),"")</f>
        <v>0</v>
      </c>
      <c r="S298" s="64"/>
      <c r="T298" s="64"/>
      <c r="U298" s="59" t="str">
        <f>IFERROR(VLOOKUP(Tabelle32[[#This Row],[Device ID]],BOM!$B$3:$BQ$35,25,FALSE),"")</f>
        <v>Luis/Ivo</v>
      </c>
      <c r="V298" s="59" t="str">
        <f>IFERROR(VLOOKUP(Tabelle32[[#This Row],[Device ID]],BOM!$B$3:$BQ$35,26,FALSE),"")</f>
        <v>tpco-megw-vgw103.rta.st-net.media.int</v>
      </c>
      <c r="W298" s="59" t="str">
        <f>IFERROR(VLOOKUP(Tabelle32[[#This Row],[Device ID]],BOM!$B$3:$BQ$35,27,FALSE),"")</f>
        <v>10.120.236.50</v>
      </c>
      <c r="X298" s="59" t="str">
        <f>IFERROR(VLOOKUP(Tabelle32[[#This Row],[Device ID]],BOM!$B$3:$BQ$35,28,FALSE),"")</f>
        <v>AVCoreA</v>
      </c>
      <c r="Y298" s="59" t="str">
        <f>IFERROR(VLOOKUP(Tabelle32[[#This Row],[Device ID]],BOM!$B$3:$BQ$35,29,FALSE),"")</f>
        <v>5_36_1</v>
      </c>
      <c r="Z298" s="59" t="str">
        <f>IFERROR(VLOOKUP(Tabelle32[[#This Row],[Device ID]],BOM!$B$3:$BQ$35,30,FALSE),"")</f>
        <v>tpco-megw-vgw103.rtb.st-net.media.int</v>
      </c>
      <c r="AA298" s="59" t="str">
        <f>IFERROR(VLOOKUP(Tabelle32[[#This Row],[Device ID]],BOM!$B$3:$BQ$35,31,FALSE),"")</f>
        <v>10.120.236.54</v>
      </c>
      <c r="AB298" s="59" t="str">
        <f>IFERROR(VLOOKUP(Tabelle32[[#This Row],[Device ID]],BOM!$B$3:$BQ$35,32,FALSE),"")</f>
        <v>AVCoreB</v>
      </c>
      <c r="AC298" s="59" t="str">
        <f>IFERROR(VLOOKUP(Tabelle32[[#This Row],[Device ID]],BOM!$B$3:$BQ$35,33,FALSE),"")</f>
        <v>5_36_1</v>
      </c>
      <c r="AD298" s="59" t="str">
        <f>IFERROR(VLOOKUP(Tabelle32[[#This Row],[Device ID]],BOM!$B$3:$BQ$35,34,FALSE),"")</f>
        <v>tpco-megw-vgw103.st-net.media.int</v>
      </c>
      <c r="AE298" s="59" t="str">
        <f>IFERROR(VLOOKUP(Tabelle32[[#This Row],[Device ID]],BOM!$B$3:$BQ$35,35,FALSE),"")</f>
        <v>10.120.67.141</v>
      </c>
      <c r="AF298" s="59">
        <f>IFERROR(VLOOKUP(Tabelle32[[#This Row],[Device ID]],BOM!$B$3:$BQ$35,36,FALSE),"")</f>
        <v>0</v>
      </c>
      <c r="AG298" s="59">
        <f>IFERROR(VLOOKUP(Tabelle32[[#This Row],[Device ID]],BOM!$B$3:$BQ$35,37,FALSE),"")</f>
        <v>0</v>
      </c>
      <c r="AH298" s="59"/>
      <c r="AI298" s="59"/>
      <c r="AJ298" s="59"/>
      <c r="AK298" s="59"/>
      <c r="AL298" s="59" t="str">
        <f>IFERROR(VLOOKUP(Tabelle32[[#This Row],[Device ID]],BOM!$B$3:$BQ$35,42,FALSE),"")</f>
        <v>Imagine Communications SNP</v>
      </c>
      <c r="AM298" s="59" t="str">
        <f>IFERROR(VLOOKUP(Tabelle32[[#This Row],[Device ID]],BOM!$B$3:$BQ$35,43,FALSE),"")</f>
        <v>no</v>
      </c>
      <c r="AN298" s="59" t="str">
        <f>IFERROR(VLOOKUP(Tabelle32[[#This Row],[Device ID]],BOM!$B$3:$BQ$35,44,FALSE),"")</f>
        <v>yes</v>
      </c>
      <c r="AO298" s="59" t="str">
        <f>IFERROR(VLOOKUP(Tabelle32[[#This Row],[Device ID]],BOM!$B$3:$BQ$35,45,FALSE),"")</f>
        <v>no</v>
      </c>
      <c r="AP298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98" s="59"/>
      <c r="AR298" s="90"/>
      <c r="AS298" s="90"/>
      <c r="AT298" s="90"/>
      <c r="AU298" s="90"/>
      <c r="AV298" s="90"/>
      <c r="AW298" s="90"/>
      <c r="AX298" s="90"/>
      <c r="AY298" s="90"/>
      <c r="AZ298" s="90"/>
      <c r="BA298" s="90"/>
      <c r="BB298" s="90"/>
      <c r="BC298" s="90"/>
      <c r="BD298" s="90"/>
      <c r="BE298" s="90"/>
      <c r="BF298" s="90"/>
      <c r="BG298" s="90"/>
      <c r="BH298" s="73" t="s">
        <v>199</v>
      </c>
      <c r="BI298" s="30" t="str">
        <f>IF(COUNTA(Tabelle32[[#This Row],[Type:Vid_1080i50]:[Type:Anc_Prot]])&gt;0,"x","")</f>
        <v/>
      </c>
      <c r="BJ29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98" s="59"/>
      <c r="BL298" s="59"/>
      <c r="BM298" s="63"/>
      <c r="BN298" s="63"/>
      <c r="BO298" s="96"/>
      <c r="BP298" s="96"/>
      <c r="BQ298" s="75">
        <f>LEN(Tabelle32[[#This Row],[Label 1
GFX-Unit]])</f>
        <v>0</v>
      </c>
      <c r="BR298" s="63"/>
      <c r="BS298" s="63"/>
      <c r="BT298" s="59"/>
      <c r="BU298" s="59"/>
      <c r="BV298" s="59" t="s">
        <v>205</v>
      </c>
      <c r="BW298" s="59" t="s">
        <v>206</v>
      </c>
      <c r="BX298" s="59" t="s">
        <v>666</v>
      </c>
      <c r="BY298" s="59">
        <v>15</v>
      </c>
    </row>
    <row r="299" spans="1:77" hidden="1" x14ac:dyDescent="0.2">
      <c r="A299" s="58" t="str">
        <f>CONCATENATE(Tabelle32[[#This Row],[Device ID]],".",Tabelle32[[#This Row],[Streamcounter]])</f>
        <v>392.15303</v>
      </c>
      <c r="B29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VGW-103_SDI15_ANCrec_0003</v>
      </c>
      <c r="C299" s="60"/>
      <c r="D299" s="61"/>
      <c r="E299" s="62"/>
      <c r="F299" s="59" t="str">
        <f>IFERROR(VLOOKUP(Tabelle32[[#This Row],[Device ID]],BOM!$B$3:$BQ$35,16,FALSE),"")</f>
        <v>IngSRV-07</v>
      </c>
      <c r="G299" s="63">
        <f>VLOOKUP(Tabelle32[[#This Row],[SDI Interface]],BOM!$A$4:$B$35,2,FALSE)</f>
        <v>392</v>
      </c>
      <c r="H299" s="59" t="str">
        <f>BOM!$C$4</f>
        <v>VGW-103</v>
      </c>
      <c r="I299" s="59" t="str">
        <f>IFERROR(VLOOKUP(Tabelle32[[#This Row],[Device ID]],BOM!$B$3:$BQ$35,12,FALSE),"")</f>
        <v>Videoserver</v>
      </c>
      <c r="J299" s="59" t="str">
        <f>IFERROR(VLOOKUP(Tabelle32[[#This Row],[Device ID]],BOM!$B$3:$BQ$35,13,FALSE),"")</f>
        <v>TC.U1.223 | MDC</v>
      </c>
      <c r="K299" s="59" t="str">
        <f>IFERROR(VLOOKUP(Tabelle32[[#This Row],[Device ID]],BOM!$B$3:$BQ$35,14,FALSE),"")</f>
        <v>Imagine Comunications</v>
      </c>
      <c r="L299" s="59" t="str">
        <f>IFERROR(VLOOKUP(Tabelle32[[#This Row],[Device ID]],BOM!$B$3:$BQ$35,16,FALSE),"")</f>
        <v>IngSRV-07</v>
      </c>
      <c r="M299" s="63" t="str">
        <f>IFERROR(VLOOKUP(Tabelle32[[#This Row],[Device ID]],BOM!$B$3:$BQ$35,17,FALSE),"")</f>
        <v>M3H</v>
      </c>
      <c r="N299" s="59" t="str">
        <f>IFERROR(VLOOKUP(Tabelle32[[#This Row],[Device ID]],BOM!$B$3:$BQ$35,18,FALSE),"")</f>
        <v>TC.03.225 | M3H</v>
      </c>
      <c r="O299" s="64"/>
      <c r="P299" s="64">
        <f>IFERROR(VLOOKUP(Tabelle32[[#This Row],[Device ID]],BOM!$B$3:$BO$50,20,FALSE),"")</f>
        <v>0</v>
      </c>
      <c r="Q299" s="64">
        <f>IFERROR(VLOOKUP(Tabelle32[[#This Row],[Device ID]],BOM!$B$3:$BO$50,21,FALSE),"")</f>
        <v>1</v>
      </c>
      <c r="R299" s="64">
        <f>IFERROR(VLOOKUP(Tabelle32[[#This Row],[Device ID]],BOM!$B$3:$BO$50,22,FALSE),"")</f>
        <v>0</v>
      </c>
      <c r="S299" s="64"/>
      <c r="T299" s="64"/>
      <c r="U299" s="59" t="str">
        <f>IFERROR(VLOOKUP(Tabelle32[[#This Row],[Device ID]],BOM!$B$3:$BQ$35,25,FALSE),"")</f>
        <v>Luis/Ivo</v>
      </c>
      <c r="V299" s="59" t="str">
        <f>IFERROR(VLOOKUP(Tabelle32[[#This Row],[Device ID]],BOM!$B$3:$BQ$35,26,FALSE),"")</f>
        <v>tpco-megw-vgw103.rta.st-net.media.int</v>
      </c>
      <c r="W299" s="59" t="str">
        <f>IFERROR(VLOOKUP(Tabelle32[[#This Row],[Device ID]],BOM!$B$3:$BQ$35,27,FALSE),"")</f>
        <v>10.120.236.50</v>
      </c>
      <c r="X299" s="59" t="str">
        <f>IFERROR(VLOOKUP(Tabelle32[[#This Row],[Device ID]],BOM!$B$3:$BQ$35,28,FALSE),"")</f>
        <v>AVCoreA</v>
      </c>
      <c r="Y299" s="59" t="str">
        <f>IFERROR(VLOOKUP(Tabelle32[[#This Row],[Device ID]],BOM!$B$3:$BQ$35,29,FALSE),"")</f>
        <v>5_36_1</v>
      </c>
      <c r="Z299" s="59" t="str">
        <f>IFERROR(VLOOKUP(Tabelle32[[#This Row],[Device ID]],BOM!$B$3:$BQ$35,30,FALSE),"")</f>
        <v>tpco-megw-vgw103.rtb.st-net.media.int</v>
      </c>
      <c r="AA299" s="59" t="str">
        <f>IFERROR(VLOOKUP(Tabelle32[[#This Row],[Device ID]],BOM!$B$3:$BQ$35,31,FALSE),"")</f>
        <v>10.120.236.54</v>
      </c>
      <c r="AB299" s="59" t="str">
        <f>IFERROR(VLOOKUP(Tabelle32[[#This Row],[Device ID]],BOM!$B$3:$BQ$35,32,FALSE),"")</f>
        <v>AVCoreB</v>
      </c>
      <c r="AC299" s="59" t="str">
        <f>IFERROR(VLOOKUP(Tabelle32[[#This Row],[Device ID]],BOM!$B$3:$BQ$35,33,FALSE),"")</f>
        <v>5_36_1</v>
      </c>
      <c r="AD299" s="59" t="str">
        <f>IFERROR(VLOOKUP(Tabelle32[[#This Row],[Device ID]],BOM!$B$3:$BQ$35,34,FALSE),"")</f>
        <v>tpco-megw-vgw103.st-net.media.int</v>
      </c>
      <c r="AE299" s="59" t="str">
        <f>IFERROR(VLOOKUP(Tabelle32[[#This Row],[Device ID]],BOM!$B$3:$BQ$35,35,FALSE),"")</f>
        <v>10.120.67.141</v>
      </c>
      <c r="AF299" s="59">
        <f>IFERROR(VLOOKUP(Tabelle32[[#This Row],[Device ID]],BOM!$B$3:$BQ$35,36,FALSE),"")</f>
        <v>0</v>
      </c>
      <c r="AG299" s="59">
        <f>IFERROR(VLOOKUP(Tabelle32[[#This Row],[Device ID]],BOM!$B$3:$BQ$35,37,FALSE),"")</f>
        <v>0</v>
      </c>
      <c r="AH299" s="59"/>
      <c r="AI299" s="59"/>
      <c r="AJ299" s="59"/>
      <c r="AK299" s="59"/>
      <c r="AL299" s="59" t="str">
        <f>IFERROR(VLOOKUP(Tabelle32[[#This Row],[Device ID]],BOM!$B$3:$BQ$35,42,FALSE),"")</f>
        <v>Imagine Communications SNP</v>
      </c>
      <c r="AM299" s="59" t="str">
        <f>IFERROR(VLOOKUP(Tabelle32[[#This Row],[Device ID]],BOM!$B$3:$BQ$35,43,FALSE),"")</f>
        <v>no</v>
      </c>
      <c r="AN299" s="59" t="str">
        <f>IFERROR(VLOOKUP(Tabelle32[[#This Row],[Device ID]],BOM!$B$3:$BQ$35,44,FALSE),"")</f>
        <v>yes</v>
      </c>
      <c r="AO299" s="59" t="str">
        <f>IFERROR(VLOOKUP(Tabelle32[[#This Row],[Device ID]],BOM!$B$3:$BQ$35,45,FALSE),"")</f>
        <v>no</v>
      </c>
      <c r="AP299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299" s="59"/>
      <c r="AR299" s="90"/>
      <c r="AS299" s="90"/>
      <c r="AT299" s="90"/>
      <c r="AU299" s="90"/>
      <c r="AV299" s="90"/>
      <c r="AW299" s="90"/>
      <c r="AX299" s="90"/>
      <c r="AY299" s="90"/>
      <c r="AZ299" s="90"/>
      <c r="BA299" s="90"/>
      <c r="BB299" s="90"/>
      <c r="BC299" s="90"/>
      <c r="BD299" s="90"/>
      <c r="BE299" s="90"/>
      <c r="BF299" s="90"/>
      <c r="BG299" s="90"/>
      <c r="BH299" s="73" t="s">
        <v>199</v>
      </c>
      <c r="BI299" s="30" t="str">
        <f>IF(COUNTA(Tabelle32[[#This Row],[Type:Vid_1080i50]:[Type:Anc_Prot]])&gt;0,"x","")</f>
        <v/>
      </c>
      <c r="BJ29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299" s="59"/>
      <c r="BL299" s="59"/>
      <c r="BM299" s="63"/>
      <c r="BN299" s="63"/>
      <c r="BO299" s="96"/>
      <c r="BP299" s="96"/>
      <c r="BQ299" s="75">
        <f>LEN(Tabelle32[[#This Row],[Label 1
GFX-Unit]])</f>
        <v>0</v>
      </c>
      <c r="BR299" s="63"/>
      <c r="BS299" s="63"/>
      <c r="BT299" s="59"/>
      <c r="BU299" s="59"/>
      <c r="BV299" s="59" t="s">
        <v>208</v>
      </c>
      <c r="BW299" s="59" t="s">
        <v>209</v>
      </c>
      <c r="BX299" s="59" t="s">
        <v>667</v>
      </c>
      <c r="BY299" s="59">
        <v>15</v>
      </c>
    </row>
    <row r="300" spans="1:77" hidden="1" x14ac:dyDescent="0.2">
      <c r="A300" s="58" t="str">
        <f>CONCATENATE(Tabelle32[[#This Row],[Device ID]],".",Tabelle32[[#This Row],[Streamcounter]])</f>
        <v>392.15304</v>
      </c>
      <c r="B30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VGW-103_SDI15_ANCrec_0004</v>
      </c>
      <c r="C300" s="60"/>
      <c r="D300" s="61"/>
      <c r="E300" s="62"/>
      <c r="F300" s="59" t="str">
        <f>IFERROR(VLOOKUP(Tabelle32[[#This Row],[Device ID]],BOM!$B$3:$BQ$35,16,FALSE),"")</f>
        <v>IngSRV-07</v>
      </c>
      <c r="G300" s="63">
        <f>VLOOKUP(Tabelle32[[#This Row],[SDI Interface]],BOM!$A$4:$B$35,2,FALSE)</f>
        <v>392</v>
      </c>
      <c r="H300" s="59" t="str">
        <f>BOM!$C$4</f>
        <v>VGW-103</v>
      </c>
      <c r="I300" s="59" t="str">
        <f>IFERROR(VLOOKUP(Tabelle32[[#This Row],[Device ID]],BOM!$B$3:$BQ$35,12,FALSE),"")</f>
        <v>Videoserver</v>
      </c>
      <c r="J300" s="59" t="str">
        <f>IFERROR(VLOOKUP(Tabelle32[[#This Row],[Device ID]],BOM!$B$3:$BQ$35,13,FALSE),"")</f>
        <v>TC.U1.223 | MDC</v>
      </c>
      <c r="K300" s="59" t="str">
        <f>IFERROR(VLOOKUP(Tabelle32[[#This Row],[Device ID]],BOM!$B$3:$BQ$35,14,FALSE),"")</f>
        <v>Imagine Comunications</v>
      </c>
      <c r="L300" s="59" t="str">
        <f>IFERROR(VLOOKUP(Tabelle32[[#This Row],[Device ID]],BOM!$B$3:$BQ$35,16,FALSE),"")</f>
        <v>IngSRV-07</v>
      </c>
      <c r="M300" s="63" t="str">
        <f>IFERROR(VLOOKUP(Tabelle32[[#This Row],[Device ID]],BOM!$B$3:$BQ$35,17,FALSE),"")</f>
        <v>M3H</v>
      </c>
      <c r="N300" s="59" t="str">
        <f>IFERROR(VLOOKUP(Tabelle32[[#This Row],[Device ID]],BOM!$B$3:$BQ$35,18,FALSE),"")</f>
        <v>TC.03.225 | M3H</v>
      </c>
      <c r="O300" s="64"/>
      <c r="P300" s="64">
        <f>IFERROR(VLOOKUP(Tabelle32[[#This Row],[Device ID]],BOM!$B$3:$BO$50,20,FALSE),"")</f>
        <v>0</v>
      </c>
      <c r="Q300" s="64">
        <f>IFERROR(VLOOKUP(Tabelle32[[#This Row],[Device ID]],BOM!$B$3:$BO$50,21,FALSE),"")</f>
        <v>1</v>
      </c>
      <c r="R300" s="64">
        <f>IFERROR(VLOOKUP(Tabelle32[[#This Row],[Device ID]],BOM!$B$3:$BO$50,22,FALSE),"")</f>
        <v>0</v>
      </c>
      <c r="S300" s="64"/>
      <c r="T300" s="64"/>
      <c r="U300" s="59" t="str">
        <f>IFERROR(VLOOKUP(Tabelle32[[#This Row],[Device ID]],BOM!$B$3:$BQ$35,25,FALSE),"")</f>
        <v>Luis/Ivo</v>
      </c>
      <c r="V300" s="59" t="str">
        <f>IFERROR(VLOOKUP(Tabelle32[[#This Row],[Device ID]],BOM!$B$3:$BQ$35,26,FALSE),"")</f>
        <v>tpco-megw-vgw103.rta.st-net.media.int</v>
      </c>
      <c r="W300" s="59" t="str">
        <f>IFERROR(VLOOKUP(Tabelle32[[#This Row],[Device ID]],BOM!$B$3:$BQ$35,27,FALSE),"")</f>
        <v>10.120.236.50</v>
      </c>
      <c r="X300" s="59" t="str">
        <f>IFERROR(VLOOKUP(Tabelle32[[#This Row],[Device ID]],BOM!$B$3:$BQ$35,28,FALSE),"")</f>
        <v>AVCoreA</v>
      </c>
      <c r="Y300" s="59" t="str">
        <f>IFERROR(VLOOKUP(Tabelle32[[#This Row],[Device ID]],BOM!$B$3:$BQ$35,29,FALSE),"")</f>
        <v>5_36_1</v>
      </c>
      <c r="Z300" s="59" t="str">
        <f>IFERROR(VLOOKUP(Tabelle32[[#This Row],[Device ID]],BOM!$B$3:$BQ$35,30,FALSE),"")</f>
        <v>tpco-megw-vgw103.rtb.st-net.media.int</v>
      </c>
      <c r="AA300" s="59" t="str">
        <f>IFERROR(VLOOKUP(Tabelle32[[#This Row],[Device ID]],BOM!$B$3:$BQ$35,31,FALSE),"")</f>
        <v>10.120.236.54</v>
      </c>
      <c r="AB300" s="59" t="str">
        <f>IFERROR(VLOOKUP(Tabelle32[[#This Row],[Device ID]],BOM!$B$3:$BQ$35,32,FALSE),"")</f>
        <v>AVCoreB</v>
      </c>
      <c r="AC300" s="59" t="str">
        <f>IFERROR(VLOOKUP(Tabelle32[[#This Row],[Device ID]],BOM!$B$3:$BQ$35,33,FALSE),"")</f>
        <v>5_36_1</v>
      </c>
      <c r="AD300" s="59" t="str">
        <f>IFERROR(VLOOKUP(Tabelle32[[#This Row],[Device ID]],BOM!$B$3:$BQ$35,34,FALSE),"")</f>
        <v>tpco-megw-vgw103.st-net.media.int</v>
      </c>
      <c r="AE300" s="59" t="str">
        <f>IFERROR(VLOOKUP(Tabelle32[[#This Row],[Device ID]],BOM!$B$3:$BQ$35,35,FALSE),"")</f>
        <v>10.120.67.141</v>
      </c>
      <c r="AF300" s="59">
        <f>IFERROR(VLOOKUP(Tabelle32[[#This Row],[Device ID]],BOM!$B$3:$BQ$35,36,FALSE),"")</f>
        <v>0</v>
      </c>
      <c r="AG300" s="59">
        <f>IFERROR(VLOOKUP(Tabelle32[[#This Row],[Device ID]],BOM!$B$3:$BQ$35,37,FALSE),"")</f>
        <v>0</v>
      </c>
      <c r="AH300" s="59"/>
      <c r="AI300" s="59"/>
      <c r="AJ300" s="59"/>
      <c r="AK300" s="59"/>
      <c r="AL300" s="59" t="str">
        <f>IFERROR(VLOOKUP(Tabelle32[[#This Row],[Device ID]],BOM!$B$3:$BQ$35,42,FALSE),"")</f>
        <v>Imagine Communications SNP</v>
      </c>
      <c r="AM300" s="59" t="str">
        <f>IFERROR(VLOOKUP(Tabelle32[[#This Row],[Device ID]],BOM!$B$3:$BQ$35,43,FALSE),"")</f>
        <v>no</v>
      </c>
      <c r="AN300" s="59" t="str">
        <f>IFERROR(VLOOKUP(Tabelle32[[#This Row],[Device ID]],BOM!$B$3:$BQ$35,44,FALSE),"")</f>
        <v>yes</v>
      </c>
      <c r="AO300" s="59" t="str">
        <f>IFERROR(VLOOKUP(Tabelle32[[#This Row],[Device ID]],BOM!$B$3:$BQ$35,45,FALSE),"")</f>
        <v>no</v>
      </c>
      <c r="AP300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00" s="59"/>
      <c r="AR300" s="90"/>
      <c r="AS300" s="90"/>
      <c r="AT300" s="90"/>
      <c r="AU300" s="90"/>
      <c r="AV300" s="90"/>
      <c r="AW300" s="90"/>
      <c r="AX300" s="90"/>
      <c r="AY300" s="90"/>
      <c r="AZ300" s="90"/>
      <c r="BA300" s="90"/>
      <c r="BB300" s="90"/>
      <c r="BC300" s="90"/>
      <c r="BD300" s="90"/>
      <c r="BE300" s="90"/>
      <c r="BF300" s="90"/>
      <c r="BG300" s="90"/>
      <c r="BH300" s="73" t="s">
        <v>199</v>
      </c>
      <c r="BI300" s="30" t="str">
        <f>IF(COUNTA(Tabelle32[[#This Row],[Type:Vid_1080i50]:[Type:Anc_Prot]])&gt;0,"x","")</f>
        <v/>
      </c>
      <c r="BJ30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00" s="59"/>
      <c r="BL300" s="59"/>
      <c r="BM300" s="63"/>
      <c r="BN300" s="63"/>
      <c r="BO300" s="96"/>
      <c r="BP300" s="96"/>
      <c r="BQ300" s="75">
        <f>LEN(Tabelle32[[#This Row],[Label 1
GFX-Unit]])</f>
        <v>0</v>
      </c>
      <c r="BR300" s="63"/>
      <c r="BS300" s="63"/>
      <c r="BT300" s="59"/>
      <c r="BU300" s="59"/>
      <c r="BV300" s="59" t="s">
        <v>211</v>
      </c>
      <c r="BW300" s="59" t="s">
        <v>212</v>
      </c>
      <c r="BX300" s="59" t="s">
        <v>668</v>
      </c>
      <c r="BY300" s="59">
        <v>15</v>
      </c>
    </row>
    <row r="301" spans="1:77" x14ac:dyDescent="0.2">
      <c r="A301" s="58" t="str">
        <f>CONCATENATE(Tabelle32[[#This Row],[Device ID]],".",Tabelle32[[#This Row],[Streamcounter]])</f>
        <v>392.15201</v>
      </c>
      <c r="B30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VGW-103_SDI15_AUDrec_0001</v>
      </c>
      <c r="C301" s="60"/>
      <c r="D301" s="61"/>
      <c r="E301" s="62"/>
      <c r="F301" s="59" t="str">
        <f>IFERROR(VLOOKUP(Tabelle32[[#This Row],[Device ID]],BOM!$B$3:$BQ$35,16,FALSE),"")</f>
        <v>IngSRV-07</v>
      </c>
      <c r="G301" s="63">
        <f>VLOOKUP(Tabelle32[[#This Row],[SDI Interface]],BOM!$A$4:$B$35,2,FALSE)</f>
        <v>392</v>
      </c>
      <c r="H301" s="59" t="str">
        <f>BOM!$C$4</f>
        <v>VGW-103</v>
      </c>
      <c r="I301" s="59" t="str">
        <f>IFERROR(VLOOKUP(Tabelle32[[#This Row],[Device ID]],BOM!$B$3:$BQ$35,12,FALSE),"")</f>
        <v>Videoserver</v>
      </c>
      <c r="J301" s="59" t="str">
        <f>IFERROR(VLOOKUP(Tabelle32[[#This Row],[Device ID]],BOM!$B$3:$BQ$35,13,FALSE),"")</f>
        <v>TC.U1.223 | MDC</v>
      </c>
      <c r="K301" s="59" t="str">
        <f>IFERROR(VLOOKUP(Tabelle32[[#This Row],[Device ID]],BOM!$B$3:$BQ$35,14,FALSE),"")</f>
        <v>Imagine Comunications</v>
      </c>
      <c r="L301" s="59" t="str">
        <f>IFERROR(VLOOKUP(Tabelle32[[#This Row],[Device ID]],BOM!$B$3:$BQ$35,16,FALSE),"")</f>
        <v>IngSRV-07</v>
      </c>
      <c r="M301" s="63" t="str">
        <f>IFERROR(VLOOKUP(Tabelle32[[#This Row],[Device ID]],BOM!$B$3:$BQ$35,17,FALSE),"")</f>
        <v>M3H</v>
      </c>
      <c r="N301" s="59" t="str">
        <f>IFERROR(VLOOKUP(Tabelle32[[#This Row],[Device ID]],BOM!$B$3:$BQ$35,18,FALSE),"")</f>
        <v>TC.03.225 | M3H</v>
      </c>
      <c r="O301" s="64"/>
      <c r="P301" s="64">
        <f>IFERROR(VLOOKUP(Tabelle32[[#This Row],[Device ID]],BOM!$B$3:$BO$50,20,FALSE),"")</f>
        <v>0</v>
      </c>
      <c r="Q301" s="64">
        <f>IFERROR(VLOOKUP(Tabelle32[[#This Row],[Device ID]],BOM!$B$3:$BO$50,21,FALSE),"")</f>
        <v>1</v>
      </c>
      <c r="R301" s="64">
        <f>IFERROR(VLOOKUP(Tabelle32[[#This Row],[Device ID]],BOM!$B$3:$BO$50,22,FALSE),"")</f>
        <v>0</v>
      </c>
      <c r="S301" s="64"/>
      <c r="T301" s="64"/>
      <c r="U301" s="59" t="str">
        <f>IFERROR(VLOOKUP(Tabelle32[[#This Row],[Device ID]],BOM!$B$3:$BQ$35,25,FALSE),"")</f>
        <v>Luis/Ivo</v>
      </c>
      <c r="V301" s="59" t="str">
        <f>IFERROR(VLOOKUP(Tabelle32[[#This Row],[Device ID]],BOM!$B$3:$BQ$35,26,FALSE),"")</f>
        <v>tpco-megw-vgw103.rta.st-net.media.int</v>
      </c>
      <c r="W301" s="59" t="str">
        <f>IFERROR(VLOOKUP(Tabelle32[[#This Row],[Device ID]],BOM!$B$3:$BQ$35,27,FALSE),"")</f>
        <v>10.120.236.50</v>
      </c>
      <c r="X301" s="59" t="str">
        <f>IFERROR(VLOOKUP(Tabelle32[[#This Row],[Device ID]],BOM!$B$3:$BQ$35,28,FALSE),"")</f>
        <v>AVCoreA</v>
      </c>
      <c r="Y301" s="59" t="str">
        <f>IFERROR(VLOOKUP(Tabelle32[[#This Row],[Device ID]],BOM!$B$3:$BQ$35,29,FALSE),"")</f>
        <v>5_36_1</v>
      </c>
      <c r="Z301" s="59" t="str">
        <f>IFERROR(VLOOKUP(Tabelle32[[#This Row],[Device ID]],BOM!$B$3:$BQ$35,30,FALSE),"")</f>
        <v>tpco-megw-vgw103.rtb.st-net.media.int</v>
      </c>
      <c r="AA301" s="59" t="str">
        <f>IFERROR(VLOOKUP(Tabelle32[[#This Row],[Device ID]],BOM!$B$3:$BQ$35,31,FALSE),"")</f>
        <v>10.120.236.54</v>
      </c>
      <c r="AB301" s="59" t="str">
        <f>IFERROR(VLOOKUP(Tabelle32[[#This Row],[Device ID]],BOM!$B$3:$BQ$35,32,FALSE),"")</f>
        <v>AVCoreB</v>
      </c>
      <c r="AC301" s="59" t="str">
        <f>IFERROR(VLOOKUP(Tabelle32[[#This Row],[Device ID]],BOM!$B$3:$BQ$35,33,FALSE),"")</f>
        <v>5_36_1</v>
      </c>
      <c r="AD301" s="59" t="str">
        <f>IFERROR(VLOOKUP(Tabelle32[[#This Row],[Device ID]],BOM!$B$3:$BQ$35,34,FALSE),"")</f>
        <v>tpco-megw-vgw103.st-net.media.int</v>
      </c>
      <c r="AE301" s="59" t="str">
        <f>IFERROR(VLOOKUP(Tabelle32[[#This Row],[Device ID]],BOM!$B$3:$BQ$35,35,FALSE),"")</f>
        <v>10.120.67.141</v>
      </c>
      <c r="AF301" s="59">
        <f>IFERROR(VLOOKUP(Tabelle32[[#This Row],[Device ID]],BOM!$B$3:$BQ$35,36,FALSE),"")</f>
        <v>0</v>
      </c>
      <c r="AG301" s="59">
        <f>IFERROR(VLOOKUP(Tabelle32[[#This Row],[Device ID]],BOM!$B$3:$BQ$35,37,FALSE),"")</f>
        <v>0</v>
      </c>
      <c r="AH301" s="59"/>
      <c r="AI301" s="59"/>
      <c r="AJ301" s="59"/>
      <c r="AK301" s="59"/>
      <c r="AL301" s="59" t="str">
        <f>IFERROR(VLOOKUP(Tabelle32[[#This Row],[Device ID]],BOM!$B$3:$BQ$35,42,FALSE),"")</f>
        <v>Imagine Communications SNP</v>
      </c>
      <c r="AM301" s="59" t="str">
        <f>IFERROR(VLOOKUP(Tabelle32[[#This Row],[Device ID]],BOM!$B$3:$BQ$35,43,FALSE),"")</f>
        <v>no</v>
      </c>
      <c r="AN301" s="59" t="str">
        <f>IFERROR(VLOOKUP(Tabelle32[[#This Row],[Device ID]],BOM!$B$3:$BQ$35,44,FALSE),"")</f>
        <v>yes</v>
      </c>
      <c r="AO301" s="59" t="str">
        <f>IFERROR(VLOOKUP(Tabelle32[[#This Row],[Device ID]],BOM!$B$3:$BQ$35,45,FALSE),"")</f>
        <v>no</v>
      </c>
      <c r="AP301" s="59" t="str">
        <f>IFERROR(CONCATENATE(Tabelle32[[#This Row],[Family
GFX-Unit]]," | ",Tabelle32[[#This Row],[Label 1
GFX-Unit]]," | ",Tabelle32[[#This Row],[Attached Device if Gateway]]),"")</f>
        <v>M3H InCh PGM | Ingest Ch27-01 | IngSRV-07</v>
      </c>
      <c r="AQ301" s="59"/>
      <c r="AR301" s="92"/>
      <c r="AS301" s="92"/>
      <c r="AT301" s="92"/>
      <c r="AU301" s="92"/>
      <c r="AV301" s="92"/>
      <c r="AW301" s="92" t="s">
        <v>97</v>
      </c>
      <c r="AX301" s="92"/>
      <c r="AY301" s="92"/>
      <c r="AZ301" s="92" t="s">
        <v>97</v>
      </c>
      <c r="BA301" s="92"/>
      <c r="BB301" s="92" t="s">
        <v>97</v>
      </c>
      <c r="BC301" s="92" t="s">
        <v>97</v>
      </c>
      <c r="BD301" s="92"/>
      <c r="BE301" s="92"/>
      <c r="BF301" s="92"/>
      <c r="BG301" s="92"/>
      <c r="BH301" s="73" t="s">
        <v>199</v>
      </c>
      <c r="BI301" s="30" t="str">
        <f>IF(COUNTA(Tabelle32[[#This Row],[Type:Vid_1080i50]:[Type:Anc_Prot]])&gt;0,"x","")</f>
        <v>x</v>
      </c>
      <c r="BJ30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1" s="59"/>
      <c r="BL301" s="59"/>
      <c r="BM301" s="63"/>
      <c r="BN301" s="63"/>
      <c r="BO301" s="97" t="s">
        <v>2684</v>
      </c>
      <c r="BP301" s="97" t="s">
        <v>669</v>
      </c>
      <c r="BQ301" s="75">
        <f>LEN(Tabelle32[[#This Row],[Label 1
GFX-Unit]])</f>
        <v>14</v>
      </c>
      <c r="BR301" s="63"/>
      <c r="BS301" s="63"/>
      <c r="BT301" s="59"/>
      <c r="BU301" s="59"/>
      <c r="BV301" s="59" t="s">
        <v>214</v>
      </c>
      <c r="BW301" s="59" t="s">
        <v>215</v>
      </c>
      <c r="BX301" s="59" t="s">
        <v>670</v>
      </c>
      <c r="BY301" s="59">
        <v>15</v>
      </c>
    </row>
    <row r="302" spans="1:77" x14ac:dyDescent="0.2">
      <c r="A302" s="58" t="str">
        <f>CONCATENATE(Tabelle32[[#This Row],[Device ID]],".",Tabelle32[[#This Row],[Streamcounter]])</f>
        <v>392.15202</v>
      </c>
      <c r="B30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VGW-103_SDI15_AUDrec_0002</v>
      </c>
      <c r="C302" s="67"/>
      <c r="D302" s="61"/>
      <c r="E302" s="67"/>
      <c r="F302" s="59" t="str">
        <f>IFERROR(VLOOKUP(Tabelle32[[#This Row],[Device ID]],BOM!$B$3:$BQ$35,16,FALSE),"")</f>
        <v>IngSRV-07</v>
      </c>
      <c r="G302" s="63">
        <f>VLOOKUP(Tabelle32[[#This Row],[SDI Interface]],BOM!$A$4:$B$35,2,FALSE)</f>
        <v>392</v>
      </c>
      <c r="H302" s="59" t="str">
        <f>BOM!$C$4</f>
        <v>VGW-103</v>
      </c>
      <c r="I302" s="59" t="str">
        <f>IFERROR(VLOOKUP(Tabelle32[[#This Row],[Device ID]],BOM!$B$3:$BQ$35,12,FALSE),"")</f>
        <v>Videoserver</v>
      </c>
      <c r="J302" s="59" t="str">
        <f>IFERROR(VLOOKUP(Tabelle32[[#This Row],[Device ID]],BOM!$B$3:$BQ$35,13,FALSE),"")</f>
        <v>TC.U1.223 | MDC</v>
      </c>
      <c r="K302" s="59" t="str">
        <f>IFERROR(VLOOKUP(Tabelle32[[#This Row],[Device ID]],BOM!$B$3:$BQ$35,14,FALSE),"")</f>
        <v>Imagine Comunications</v>
      </c>
      <c r="L302" s="59" t="str">
        <f>IFERROR(VLOOKUP(Tabelle32[[#This Row],[Device ID]],BOM!$B$3:$BQ$35,16,FALSE),"")</f>
        <v>IngSRV-07</v>
      </c>
      <c r="M302" s="63" t="str">
        <f>IFERROR(VLOOKUP(Tabelle32[[#This Row],[Device ID]],BOM!$B$3:$BQ$35,17,FALSE),"")</f>
        <v>M3H</v>
      </c>
      <c r="N302" s="59" t="str">
        <f>IFERROR(VLOOKUP(Tabelle32[[#This Row],[Device ID]],BOM!$B$3:$BQ$35,18,FALSE),"")</f>
        <v>TC.03.225 | M3H</v>
      </c>
      <c r="O302" s="64"/>
      <c r="P302" s="64">
        <f>IFERROR(VLOOKUP(Tabelle32[[#This Row],[Device ID]],BOM!$B$3:$BO$50,20,FALSE),"")</f>
        <v>0</v>
      </c>
      <c r="Q302" s="64">
        <f>IFERROR(VLOOKUP(Tabelle32[[#This Row],[Device ID]],BOM!$B$3:$BO$50,21,FALSE),"")</f>
        <v>1</v>
      </c>
      <c r="R302" s="64">
        <f>IFERROR(VLOOKUP(Tabelle32[[#This Row],[Device ID]],BOM!$B$3:$BO$50,22,FALSE),"")</f>
        <v>0</v>
      </c>
      <c r="S302" s="64"/>
      <c r="T302" s="64"/>
      <c r="U302" s="59" t="str">
        <f>IFERROR(VLOOKUP(Tabelle32[[#This Row],[Device ID]],BOM!$B$3:$BQ$35,25,FALSE),"")</f>
        <v>Luis/Ivo</v>
      </c>
      <c r="V302" s="59" t="str">
        <f>IFERROR(VLOOKUP(Tabelle32[[#This Row],[Device ID]],BOM!$B$3:$BQ$35,26,FALSE),"")</f>
        <v>tpco-megw-vgw103.rta.st-net.media.int</v>
      </c>
      <c r="W302" s="59" t="str">
        <f>IFERROR(VLOOKUP(Tabelle32[[#This Row],[Device ID]],BOM!$B$3:$BQ$35,27,FALSE),"")</f>
        <v>10.120.236.50</v>
      </c>
      <c r="X302" s="59" t="str">
        <f>IFERROR(VLOOKUP(Tabelle32[[#This Row],[Device ID]],BOM!$B$3:$BQ$35,28,FALSE),"")</f>
        <v>AVCoreA</v>
      </c>
      <c r="Y302" s="59" t="str">
        <f>IFERROR(VLOOKUP(Tabelle32[[#This Row],[Device ID]],BOM!$B$3:$BQ$35,29,FALSE),"")</f>
        <v>5_36_1</v>
      </c>
      <c r="Z302" s="59" t="str">
        <f>IFERROR(VLOOKUP(Tabelle32[[#This Row],[Device ID]],BOM!$B$3:$BQ$35,30,FALSE),"")</f>
        <v>tpco-megw-vgw103.rtb.st-net.media.int</v>
      </c>
      <c r="AA302" s="59" t="str">
        <f>IFERROR(VLOOKUP(Tabelle32[[#This Row],[Device ID]],BOM!$B$3:$BQ$35,31,FALSE),"")</f>
        <v>10.120.236.54</v>
      </c>
      <c r="AB302" s="59" t="str">
        <f>IFERROR(VLOOKUP(Tabelle32[[#This Row],[Device ID]],BOM!$B$3:$BQ$35,32,FALSE),"")</f>
        <v>AVCoreB</v>
      </c>
      <c r="AC302" s="59" t="str">
        <f>IFERROR(VLOOKUP(Tabelle32[[#This Row],[Device ID]],BOM!$B$3:$BQ$35,33,FALSE),"")</f>
        <v>5_36_1</v>
      </c>
      <c r="AD302" s="59" t="str">
        <f>IFERROR(VLOOKUP(Tabelle32[[#This Row],[Device ID]],BOM!$B$3:$BQ$35,34,FALSE),"")</f>
        <v>tpco-megw-vgw103.st-net.media.int</v>
      </c>
      <c r="AE302" s="59" t="str">
        <f>IFERROR(VLOOKUP(Tabelle32[[#This Row],[Device ID]],BOM!$B$3:$BQ$35,35,FALSE),"")</f>
        <v>10.120.67.141</v>
      </c>
      <c r="AF302" s="59">
        <f>IFERROR(VLOOKUP(Tabelle32[[#This Row],[Device ID]],BOM!$B$3:$BQ$35,36,FALSE),"")</f>
        <v>0</v>
      </c>
      <c r="AG302" s="59">
        <f>IFERROR(VLOOKUP(Tabelle32[[#This Row],[Device ID]],BOM!$B$3:$BQ$35,37,FALSE),"")</f>
        <v>0</v>
      </c>
      <c r="AH302" s="59"/>
      <c r="AI302" s="59"/>
      <c r="AJ302" s="59"/>
      <c r="AK302" s="59"/>
      <c r="AL302" s="59" t="str">
        <f>IFERROR(VLOOKUP(Tabelle32[[#This Row],[Device ID]],BOM!$B$3:$BQ$35,42,FALSE),"")</f>
        <v>Imagine Communications SNP</v>
      </c>
      <c r="AM302" s="59" t="str">
        <f>IFERROR(VLOOKUP(Tabelle32[[#This Row],[Device ID]],BOM!$B$3:$BQ$35,43,FALSE),"")</f>
        <v>no</v>
      </c>
      <c r="AN302" s="59" t="str">
        <f>IFERROR(VLOOKUP(Tabelle32[[#This Row],[Device ID]],BOM!$B$3:$BQ$35,44,FALSE),"")</f>
        <v>yes</v>
      </c>
      <c r="AO302" s="59" t="str">
        <f>IFERROR(VLOOKUP(Tabelle32[[#This Row],[Device ID]],BOM!$B$3:$BQ$35,45,FALSE),"")</f>
        <v>no</v>
      </c>
      <c r="AP302" s="59" t="str">
        <f>IFERROR(CONCATENATE(Tabelle32[[#This Row],[Family
GFX-Unit]]," | ",Tabelle32[[#This Row],[Label 1
GFX-Unit]]," | ",Tabelle32[[#This Row],[Attached Device if Gateway]]),"")</f>
        <v>M3H InCh PGM | Ingest Ch27-02 | IngSRV-07</v>
      </c>
      <c r="AQ302" s="59"/>
      <c r="AR302" s="90"/>
      <c r="AS302" s="90"/>
      <c r="AT302" s="90"/>
      <c r="AU302" s="90"/>
      <c r="AV302" s="90"/>
      <c r="AW302" s="90" t="s">
        <v>97</v>
      </c>
      <c r="AX302" s="90"/>
      <c r="AY302" s="90"/>
      <c r="AZ302" s="90" t="s">
        <v>97</v>
      </c>
      <c r="BA302" s="90"/>
      <c r="BB302" s="90" t="s">
        <v>97</v>
      </c>
      <c r="BC302" s="90" t="s">
        <v>97</v>
      </c>
      <c r="BD302" s="90"/>
      <c r="BE302" s="90"/>
      <c r="BF302" s="90"/>
      <c r="BG302" s="90"/>
      <c r="BH302" s="73" t="s">
        <v>199</v>
      </c>
      <c r="BI302" s="30" t="str">
        <f>IF(COUNTA(Tabelle32[[#This Row],[Type:Vid_1080i50]:[Type:Anc_Prot]])&gt;0,"x","")</f>
        <v>x</v>
      </c>
      <c r="BJ30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2" s="59"/>
      <c r="BL302" s="59"/>
      <c r="BM302" s="63"/>
      <c r="BN302" s="63"/>
      <c r="BO302" s="97" t="s">
        <v>2684</v>
      </c>
      <c r="BP302" s="97" t="s">
        <v>671</v>
      </c>
      <c r="BQ302" s="75">
        <f>LEN(Tabelle32[[#This Row],[Label 1
GFX-Unit]])</f>
        <v>14</v>
      </c>
      <c r="BR302" s="63"/>
      <c r="BS302" s="63"/>
      <c r="BT302" s="59"/>
      <c r="BU302" s="59"/>
      <c r="BV302" s="59" t="s">
        <v>218</v>
      </c>
      <c r="BW302" s="59" t="s">
        <v>219</v>
      </c>
      <c r="BX302" s="59" t="s">
        <v>672</v>
      </c>
      <c r="BY302" s="59">
        <v>15</v>
      </c>
    </row>
    <row r="303" spans="1:77" x14ac:dyDescent="0.2">
      <c r="A303" s="58" t="str">
        <f>CONCATENATE(Tabelle32[[#This Row],[Device ID]],".",Tabelle32[[#This Row],[Streamcounter]])</f>
        <v>392.15203</v>
      </c>
      <c r="B30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VGW-103_SDI15_AUDrec_0003</v>
      </c>
      <c r="C303" s="67"/>
      <c r="D303" s="61"/>
      <c r="E303" s="67"/>
      <c r="F303" s="59" t="str">
        <f>IFERROR(VLOOKUP(Tabelle32[[#This Row],[Device ID]],BOM!$B$3:$BQ$35,16,FALSE),"")</f>
        <v>IngSRV-07</v>
      </c>
      <c r="G303" s="63">
        <f>VLOOKUP(Tabelle32[[#This Row],[SDI Interface]],BOM!$A$4:$B$35,2,FALSE)</f>
        <v>392</v>
      </c>
      <c r="H303" s="59" t="str">
        <f>BOM!$C$4</f>
        <v>VGW-103</v>
      </c>
      <c r="I303" s="59" t="str">
        <f>IFERROR(VLOOKUP(Tabelle32[[#This Row],[Device ID]],BOM!$B$3:$BQ$35,12,FALSE),"")</f>
        <v>Videoserver</v>
      </c>
      <c r="J303" s="59" t="str">
        <f>IFERROR(VLOOKUP(Tabelle32[[#This Row],[Device ID]],BOM!$B$3:$BQ$35,13,FALSE),"")</f>
        <v>TC.U1.223 | MDC</v>
      </c>
      <c r="K303" s="59" t="str">
        <f>IFERROR(VLOOKUP(Tabelle32[[#This Row],[Device ID]],BOM!$B$3:$BQ$35,14,FALSE),"")</f>
        <v>Imagine Comunications</v>
      </c>
      <c r="L303" s="59" t="str">
        <f>IFERROR(VLOOKUP(Tabelle32[[#This Row],[Device ID]],BOM!$B$3:$BQ$35,16,FALSE),"")</f>
        <v>IngSRV-07</v>
      </c>
      <c r="M303" s="63" t="str">
        <f>IFERROR(VLOOKUP(Tabelle32[[#This Row],[Device ID]],BOM!$B$3:$BQ$35,17,FALSE),"")</f>
        <v>M3H</v>
      </c>
      <c r="N303" s="59" t="str">
        <f>IFERROR(VLOOKUP(Tabelle32[[#This Row],[Device ID]],BOM!$B$3:$BQ$35,18,FALSE),"")</f>
        <v>TC.03.225 | M3H</v>
      </c>
      <c r="O303" s="64"/>
      <c r="P303" s="64">
        <f>IFERROR(VLOOKUP(Tabelle32[[#This Row],[Device ID]],BOM!$B$3:$BO$50,20,FALSE),"")</f>
        <v>0</v>
      </c>
      <c r="Q303" s="64">
        <f>IFERROR(VLOOKUP(Tabelle32[[#This Row],[Device ID]],BOM!$B$3:$BO$50,21,FALSE),"")</f>
        <v>1</v>
      </c>
      <c r="R303" s="64">
        <f>IFERROR(VLOOKUP(Tabelle32[[#This Row],[Device ID]],BOM!$B$3:$BO$50,22,FALSE),"")</f>
        <v>0</v>
      </c>
      <c r="S303" s="64"/>
      <c r="T303" s="64"/>
      <c r="U303" s="59" t="str">
        <f>IFERROR(VLOOKUP(Tabelle32[[#This Row],[Device ID]],BOM!$B$3:$BQ$35,25,FALSE),"")</f>
        <v>Luis/Ivo</v>
      </c>
      <c r="V303" s="59" t="str">
        <f>IFERROR(VLOOKUP(Tabelle32[[#This Row],[Device ID]],BOM!$B$3:$BQ$35,26,FALSE),"")</f>
        <v>tpco-megw-vgw103.rta.st-net.media.int</v>
      </c>
      <c r="W303" s="59" t="str">
        <f>IFERROR(VLOOKUP(Tabelle32[[#This Row],[Device ID]],BOM!$B$3:$BQ$35,27,FALSE),"")</f>
        <v>10.120.236.50</v>
      </c>
      <c r="X303" s="59" t="str">
        <f>IFERROR(VLOOKUP(Tabelle32[[#This Row],[Device ID]],BOM!$B$3:$BQ$35,28,FALSE),"")</f>
        <v>AVCoreA</v>
      </c>
      <c r="Y303" s="59" t="str">
        <f>IFERROR(VLOOKUP(Tabelle32[[#This Row],[Device ID]],BOM!$B$3:$BQ$35,29,FALSE),"")</f>
        <v>5_36_1</v>
      </c>
      <c r="Z303" s="59" t="str">
        <f>IFERROR(VLOOKUP(Tabelle32[[#This Row],[Device ID]],BOM!$B$3:$BQ$35,30,FALSE),"")</f>
        <v>tpco-megw-vgw103.rtb.st-net.media.int</v>
      </c>
      <c r="AA303" s="59" t="str">
        <f>IFERROR(VLOOKUP(Tabelle32[[#This Row],[Device ID]],BOM!$B$3:$BQ$35,31,FALSE),"")</f>
        <v>10.120.236.54</v>
      </c>
      <c r="AB303" s="59" t="str">
        <f>IFERROR(VLOOKUP(Tabelle32[[#This Row],[Device ID]],BOM!$B$3:$BQ$35,32,FALSE),"")</f>
        <v>AVCoreB</v>
      </c>
      <c r="AC303" s="59" t="str">
        <f>IFERROR(VLOOKUP(Tabelle32[[#This Row],[Device ID]],BOM!$B$3:$BQ$35,33,FALSE),"")</f>
        <v>5_36_1</v>
      </c>
      <c r="AD303" s="59" t="str">
        <f>IFERROR(VLOOKUP(Tabelle32[[#This Row],[Device ID]],BOM!$B$3:$BQ$35,34,FALSE),"")</f>
        <v>tpco-megw-vgw103.st-net.media.int</v>
      </c>
      <c r="AE303" s="59" t="str">
        <f>IFERROR(VLOOKUP(Tabelle32[[#This Row],[Device ID]],BOM!$B$3:$BQ$35,35,FALSE),"")</f>
        <v>10.120.67.141</v>
      </c>
      <c r="AF303" s="59">
        <f>IFERROR(VLOOKUP(Tabelle32[[#This Row],[Device ID]],BOM!$B$3:$BQ$35,36,FALSE),"")</f>
        <v>0</v>
      </c>
      <c r="AG303" s="59">
        <f>IFERROR(VLOOKUP(Tabelle32[[#This Row],[Device ID]],BOM!$B$3:$BQ$35,37,FALSE),"")</f>
        <v>0</v>
      </c>
      <c r="AH303" s="59"/>
      <c r="AI303" s="59"/>
      <c r="AJ303" s="59"/>
      <c r="AK303" s="59"/>
      <c r="AL303" s="59" t="str">
        <f>IFERROR(VLOOKUP(Tabelle32[[#This Row],[Device ID]],BOM!$B$3:$BQ$35,42,FALSE),"")</f>
        <v>Imagine Communications SNP</v>
      </c>
      <c r="AM303" s="59" t="str">
        <f>IFERROR(VLOOKUP(Tabelle32[[#This Row],[Device ID]],BOM!$B$3:$BQ$35,43,FALSE),"")</f>
        <v>no</v>
      </c>
      <c r="AN303" s="59" t="str">
        <f>IFERROR(VLOOKUP(Tabelle32[[#This Row],[Device ID]],BOM!$B$3:$BQ$35,44,FALSE),"")</f>
        <v>yes</v>
      </c>
      <c r="AO303" s="59" t="str">
        <f>IFERROR(VLOOKUP(Tabelle32[[#This Row],[Device ID]],BOM!$B$3:$BQ$35,45,FALSE),"")</f>
        <v>no</v>
      </c>
      <c r="AP303" s="59" t="str">
        <f>IFERROR(CONCATENATE(Tabelle32[[#This Row],[Family
GFX-Unit]]," | ",Tabelle32[[#This Row],[Label 1
GFX-Unit]]," | ",Tabelle32[[#This Row],[Attached Device if Gateway]]),"")</f>
        <v>M3H InCh PGM | Ingest Ch27-03 | IngSRV-07</v>
      </c>
      <c r="AQ303" s="59"/>
      <c r="AR303" s="90"/>
      <c r="AS303" s="90"/>
      <c r="AT303" s="90"/>
      <c r="AU303" s="90"/>
      <c r="AV303" s="90"/>
      <c r="AW303" s="90" t="s">
        <v>97</v>
      </c>
      <c r="AX303" s="90"/>
      <c r="AY303" s="90"/>
      <c r="AZ303" s="90" t="s">
        <v>97</v>
      </c>
      <c r="BA303" s="90"/>
      <c r="BB303" s="90" t="s">
        <v>97</v>
      </c>
      <c r="BC303" s="90" t="s">
        <v>97</v>
      </c>
      <c r="BD303" s="90"/>
      <c r="BE303" s="90"/>
      <c r="BF303" s="90"/>
      <c r="BG303" s="90"/>
      <c r="BH303" s="73" t="s">
        <v>199</v>
      </c>
      <c r="BI303" s="30" t="str">
        <f>IF(COUNTA(Tabelle32[[#This Row],[Type:Vid_1080i50]:[Type:Anc_Prot]])&gt;0,"x","")</f>
        <v>x</v>
      </c>
      <c r="BJ30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3" s="59"/>
      <c r="BL303" s="59"/>
      <c r="BM303" s="63"/>
      <c r="BN303" s="63"/>
      <c r="BO303" s="97" t="s">
        <v>2684</v>
      </c>
      <c r="BP303" s="97" t="s">
        <v>673</v>
      </c>
      <c r="BQ303" s="75">
        <f>LEN(Tabelle32[[#This Row],[Label 1
GFX-Unit]])</f>
        <v>14</v>
      </c>
      <c r="BR303" s="63"/>
      <c r="BS303" s="63"/>
      <c r="BT303" s="59"/>
      <c r="BU303" s="59"/>
      <c r="BV303" s="59" t="s">
        <v>222</v>
      </c>
      <c r="BW303" s="59" t="s">
        <v>223</v>
      </c>
      <c r="BX303" s="59" t="s">
        <v>674</v>
      </c>
      <c r="BY303" s="59">
        <v>15</v>
      </c>
    </row>
    <row r="304" spans="1:77" x14ac:dyDescent="0.2">
      <c r="A304" s="58" t="str">
        <f>CONCATENATE(Tabelle32[[#This Row],[Device ID]],".",Tabelle32[[#This Row],[Streamcounter]])</f>
        <v>392.15204</v>
      </c>
      <c r="B30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VGW-103_SDI15_AUDrec_0004</v>
      </c>
      <c r="C304" s="60"/>
      <c r="D304" s="61"/>
      <c r="E304" s="62"/>
      <c r="F304" s="59" t="str">
        <f>IFERROR(VLOOKUP(Tabelle32[[#This Row],[Device ID]],BOM!$B$3:$BQ$35,16,FALSE),"")</f>
        <v>IngSRV-07</v>
      </c>
      <c r="G304" s="63">
        <f>VLOOKUP(Tabelle32[[#This Row],[SDI Interface]],BOM!$A$4:$B$35,2,FALSE)</f>
        <v>392</v>
      </c>
      <c r="H304" s="59" t="str">
        <f>BOM!$C$4</f>
        <v>VGW-103</v>
      </c>
      <c r="I304" s="59" t="str">
        <f>IFERROR(VLOOKUP(Tabelle32[[#This Row],[Device ID]],BOM!$B$3:$BQ$35,12,FALSE),"")</f>
        <v>Videoserver</v>
      </c>
      <c r="J304" s="59" t="str">
        <f>IFERROR(VLOOKUP(Tabelle32[[#This Row],[Device ID]],BOM!$B$3:$BQ$35,13,FALSE),"")</f>
        <v>TC.U1.223 | MDC</v>
      </c>
      <c r="K304" s="59" t="str">
        <f>IFERROR(VLOOKUP(Tabelle32[[#This Row],[Device ID]],BOM!$B$3:$BQ$35,14,FALSE),"")</f>
        <v>Imagine Comunications</v>
      </c>
      <c r="L304" s="59" t="str">
        <f>IFERROR(VLOOKUP(Tabelle32[[#This Row],[Device ID]],BOM!$B$3:$BQ$35,16,FALSE),"")</f>
        <v>IngSRV-07</v>
      </c>
      <c r="M304" s="63" t="str">
        <f>IFERROR(VLOOKUP(Tabelle32[[#This Row],[Device ID]],BOM!$B$3:$BQ$35,17,FALSE),"")</f>
        <v>M3H</v>
      </c>
      <c r="N304" s="59" t="str">
        <f>IFERROR(VLOOKUP(Tabelle32[[#This Row],[Device ID]],BOM!$B$3:$BQ$35,18,FALSE),"")</f>
        <v>TC.03.225 | M3H</v>
      </c>
      <c r="O304" s="64"/>
      <c r="P304" s="64">
        <f>IFERROR(VLOOKUP(Tabelle32[[#This Row],[Device ID]],BOM!$B$3:$BO$50,20,FALSE),"")</f>
        <v>0</v>
      </c>
      <c r="Q304" s="64">
        <f>IFERROR(VLOOKUP(Tabelle32[[#This Row],[Device ID]],BOM!$B$3:$BO$50,21,FALSE),"")</f>
        <v>1</v>
      </c>
      <c r="R304" s="64">
        <f>IFERROR(VLOOKUP(Tabelle32[[#This Row],[Device ID]],BOM!$B$3:$BO$50,22,FALSE),"")</f>
        <v>0</v>
      </c>
      <c r="S304" s="64"/>
      <c r="T304" s="64"/>
      <c r="U304" s="59" t="str">
        <f>IFERROR(VLOOKUP(Tabelle32[[#This Row],[Device ID]],BOM!$B$3:$BQ$35,25,FALSE),"")</f>
        <v>Luis/Ivo</v>
      </c>
      <c r="V304" s="59" t="str">
        <f>IFERROR(VLOOKUP(Tabelle32[[#This Row],[Device ID]],BOM!$B$3:$BQ$35,26,FALSE),"")</f>
        <v>tpco-megw-vgw103.rta.st-net.media.int</v>
      </c>
      <c r="W304" s="59" t="str">
        <f>IFERROR(VLOOKUP(Tabelle32[[#This Row],[Device ID]],BOM!$B$3:$BQ$35,27,FALSE),"")</f>
        <v>10.120.236.50</v>
      </c>
      <c r="X304" s="59" t="str">
        <f>IFERROR(VLOOKUP(Tabelle32[[#This Row],[Device ID]],BOM!$B$3:$BQ$35,28,FALSE),"")</f>
        <v>AVCoreA</v>
      </c>
      <c r="Y304" s="59" t="str">
        <f>IFERROR(VLOOKUP(Tabelle32[[#This Row],[Device ID]],BOM!$B$3:$BQ$35,29,FALSE),"")</f>
        <v>5_36_1</v>
      </c>
      <c r="Z304" s="59" t="str">
        <f>IFERROR(VLOOKUP(Tabelle32[[#This Row],[Device ID]],BOM!$B$3:$BQ$35,30,FALSE),"")</f>
        <v>tpco-megw-vgw103.rtb.st-net.media.int</v>
      </c>
      <c r="AA304" s="59" t="str">
        <f>IFERROR(VLOOKUP(Tabelle32[[#This Row],[Device ID]],BOM!$B$3:$BQ$35,31,FALSE),"")</f>
        <v>10.120.236.54</v>
      </c>
      <c r="AB304" s="59" t="str">
        <f>IFERROR(VLOOKUP(Tabelle32[[#This Row],[Device ID]],BOM!$B$3:$BQ$35,32,FALSE),"")</f>
        <v>AVCoreB</v>
      </c>
      <c r="AC304" s="59" t="str">
        <f>IFERROR(VLOOKUP(Tabelle32[[#This Row],[Device ID]],BOM!$B$3:$BQ$35,33,FALSE),"")</f>
        <v>5_36_1</v>
      </c>
      <c r="AD304" s="59" t="str">
        <f>IFERROR(VLOOKUP(Tabelle32[[#This Row],[Device ID]],BOM!$B$3:$BQ$35,34,FALSE),"")</f>
        <v>tpco-megw-vgw103.st-net.media.int</v>
      </c>
      <c r="AE304" s="59" t="str">
        <f>IFERROR(VLOOKUP(Tabelle32[[#This Row],[Device ID]],BOM!$B$3:$BQ$35,35,FALSE),"")</f>
        <v>10.120.67.141</v>
      </c>
      <c r="AF304" s="59">
        <f>IFERROR(VLOOKUP(Tabelle32[[#This Row],[Device ID]],BOM!$B$3:$BQ$35,36,FALSE),"")</f>
        <v>0</v>
      </c>
      <c r="AG304" s="59">
        <f>IFERROR(VLOOKUP(Tabelle32[[#This Row],[Device ID]],BOM!$B$3:$BQ$35,37,FALSE),"")</f>
        <v>0</v>
      </c>
      <c r="AH304" s="59"/>
      <c r="AI304" s="59"/>
      <c r="AJ304" s="59"/>
      <c r="AK304" s="59"/>
      <c r="AL304" s="59" t="str">
        <f>IFERROR(VLOOKUP(Tabelle32[[#This Row],[Device ID]],BOM!$B$3:$BQ$35,42,FALSE),"")</f>
        <v>Imagine Communications SNP</v>
      </c>
      <c r="AM304" s="59" t="str">
        <f>IFERROR(VLOOKUP(Tabelle32[[#This Row],[Device ID]],BOM!$B$3:$BQ$35,43,FALSE),"")</f>
        <v>no</v>
      </c>
      <c r="AN304" s="59" t="str">
        <f>IFERROR(VLOOKUP(Tabelle32[[#This Row],[Device ID]],BOM!$B$3:$BQ$35,44,FALSE),"")</f>
        <v>yes</v>
      </c>
      <c r="AO304" s="59" t="str">
        <f>IFERROR(VLOOKUP(Tabelle32[[#This Row],[Device ID]],BOM!$B$3:$BQ$35,45,FALSE),"")</f>
        <v>no</v>
      </c>
      <c r="AP304" s="59" t="str">
        <f>IFERROR(CONCATENATE(Tabelle32[[#This Row],[Family
GFX-Unit]]," | ",Tabelle32[[#This Row],[Label 1
GFX-Unit]]," | ",Tabelle32[[#This Row],[Attached Device if Gateway]]),"")</f>
        <v>M3H InCh PGM | Ingest Ch27-04 | IngSRV-07</v>
      </c>
      <c r="AQ304" s="59"/>
      <c r="AR304" s="90"/>
      <c r="AS304" s="90"/>
      <c r="AT304" s="90"/>
      <c r="AU304" s="90"/>
      <c r="AV304" s="90"/>
      <c r="AW304" s="90" t="s">
        <v>97</v>
      </c>
      <c r="AX304" s="90"/>
      <c r="AY304" s="90"/>
      <c r="AZ304" s="90" t="s">
        <v>97</v>
      </c>
      <c r="BA304" s="90"/>
      <c r="BB304" s="90" t="s">
        <v>97</v>
      </c>
      <c r="BC304" s="90" t="s">
        <v>97</v>
      </c>
      <c r="BD304" s="90"/>
      <c r="BE304" s="90"/>
      <c r="BF304" s="90"/>
      <c r="BG304" s="90"/>
      <c r="BH304" s="73" t="s">
        <v>199</v>
      </c>
      <c r="BI304" s="30" t="str">
        <f>IF(COUNTA(Tabelle32[[#This Row],[Type:Vid_1080i50]:[Type:Anc_Prot]])&gt;0,"x","")</f>
        <v>x</v>
      </c>
      <c r="BJ30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4" s="59"/>
      <c r="BL304" s="59"/>
      <c r="BM304" s="63"/>
      <c r="BN304" s="63"/>
      <c r="BO304" s="97" t="s">
        <v>2684</v>
      </c>
      <c r="BP304" s="97" t="s">
        <v>675</v>
      </c>
      <c r="BQ304" s="75">
        <f>LEN(Tabelle32[[#This Row],[Label 1
GFX-Unit]])</f>
        <v>14</v>
      </c>
      <c r="BR304" s="63"/>
      <c r="BS304" s="63"/>
      <c r="BT304" s="59"/>
      <c r="BU304" s="59"/>
      <c r="BV304" s="59" t="s">
        <v>226</v>
      </c>
      <c r="BW304" s="59" t="s">
        <v>227</v>
      </c>
      <c r="BX304" s="59" t="s">
        <v>676</v>
      </c>
      <c r="BY304" s="59">
        <v>15</v>
      </c>
    </row>
    <row r="305" spans="1:77" x14ac:dyDescent="0.2">
      <c r="A305" s="58" t="str">
        <f>CONCATENATE(Tabelle32[[#This Row],[Device ID]],".",Tabelle32[[#This Row],[Streamcounter]])</f>
        <v>392.15205</v>
      </c>
      <c r="B30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VGW-103_SDI15_AUDrec_0005</v>
      </c>
      <c r="C305" s="60"/>
      <c r="D305" s="61"/>
      <c r="E305" s="62"/>
      <c r="F305" s="59" t="str">
        <f>IFERROR(VLOOKUP(Tabelle32[[#This Row],[Device ID]],BOM!$B$3:$BQ$35,16,FALSE),"")</f>
        <v>IngSRV-07</v>
      </c>
      <c r="G305" s="63">
        <f>VLOOKUP(Tabelle32[[#This Row],[SDI Interface]],BOM!$A$4:$B$35,2,FALSE)</f>
        <v>392</v>
      </c>
      <c r="H305" s="59" t="str">
        <f>BOM!$C$4</f>
        <v>VGW-103</v>
      </c>
      <c r="I305" s="59" t="str">
        <f>IFERROR(VLOOKUP(Tabelle32[[#This Row],[Device ID]],BOM!$B$3:$BQ$35,12,FALSE),"")</f>
        <v>Videoserver</v>
      </c>
      <c r="J305" s="59" t="str">
        <f>IFERROR(VLOOKUP(Tabelle32[[#This Row],[Device ID]],BOM!$B$3:$BQ$35,13,FALSE),"")</f>
        <v>TC.U1.223 | MDC</v>
      </c>
      <c r="K305" s="59" t="str">
        <f>IFERROR(VLOOKUP(Tabelle32[[#This Row],[Device ID]],BOM!$B$3:$BQ$35,14,FALSE),"")</f>
        <v>Imagine Comunications</v>
      </c>
      <c r="L305" s="59" t="str">
        <f>IFERROR(VLOOKUP(Tabelle32[[#This Row],[Device ID]],BOM!$B$3:$BQ$35,16,FALSE),"")</f>
        <v>IngSRV-07</v>
      </c>
      <c r="M305" s="63" t="str">
        <f>IFERROR(VLOOKUP(Tabelle32[[#This Row],[Device ID]],BOM!$B$3:$BQ$35,17,FALSE),"")</f>
        <v>M3H</v>
      </c>
      <c r="N305" s="59" t="str">
        <f>IFERROR(VLOOKUP(Tabelle32[[#This Row],[Device ID]],BOM!$B$3:$BQ$35,18,FALSE),"")</f>
        <v>TC.03.225 | M3H</v>
      </c>
      <c r="O305" s="64"/>
      <c r="P305" s="64">
        <f>IFERROR(VLOOKUP(Tabelle32[[#This Row],[Device ID]],BOM!$B$3:$BO$50,20,FALSE),"")</f>
        <v>0</v>
      </c>
      <c r="Q305" s="64">
        <f>IFERROR(VLOOKUP(Tabelle32[[#This Row],[Device ID]],BOM!$B$3:$BO$50,21,FALSE),"")</f>
        <v>1</v>
      </c>
      <c r="R305" s="64">
        <f>IFERROR(VLOOKUP(Tabelle32[[#This Row],[Device ID]],BOM!$B$3:$BO$50,22,FALSE),"")</f>
        <v>0</v>
      </c>
      <c r="S305" s="64"/>
      <c r="T305" s="64"/>
      <c r="U305" s="59" t="str">
        <f>IFERROR(VLOOKUP(Tabelle32[[#This Row],[Device ID]],BOM!$B$3:$BQ$35,25,FALSE),"")</f>
        <v>Luis/Ivo</v>
      </c>
      <c r="V305" s="59" t="str">
        <f>IFERROR(VLOOKUP(Tabelle32[[#This Row],[Device ID]],BOM!$B$3:$BQ$35,26,FALSE),"")</f>
        <v>tpco-megw-vgw103.rta.st-net.media.int</v>
      </c>
      <c r="W305" s="59" t="str">
        <f>IFERROR(VLOOKUP(Tabelle32[[#This Row],[Device ID]],BOM!$B$3:$BQ$35,27,FALSE),"")</f>
        <v>10.120.236.50</v>
      </c>
      <c r="X305" s="59" t="str">
        <f>IFERROR(VLOOKUP(Tabelle32[[#This Row],[Device ID]],BOM!$B$3:$BQ$35,28,FALSE),"")</f>
        <v>AVCoreA</v>
      </c>
      <c r="Y305" s="59" t="str">
        <f>IFERROR(VLOOKUP(Tabelle32[[#This Row],[Device ID]],BOM!$B$3:$BQ$35,29,FALSE),"")</f>
        <v>5_36_1</v>
      </c>
      <c r="Z305" s="59" t="str">
        <f>IFERROR(VLOOKUP(Tabelle32[[#This Row],[Device ID]],BOM!$B$3:$BQ$35,30,FALSE),"")</f>
        <v>tpco-megw-vgw103.rtb.st-net.media.int</v>
      </c>
      <c r="AA305" s="59" t="str">
        <f>IFERROR(VLOOKUP(Tabelle32[[#This Row],[Device ID]],BOM!$B$3:$BQ$35,31,FALSE),"")</f>
        <v>10.120.236.54</v>
      </c>
      <c r="AB305" s="59" t="str">
        <f>IFERROR(VLOOKUP(Tabelle32[[#This Row],[Device ID]],BOM!$B$3:$BQ$35,32,FALSE),"")</f>
        <v>AVCoreB</v>
      </c>
      <c r="AC305" s="59" t="str">
        <f>IFERROR(VLOOKUP(Tabelle32[[#This Row],[Device ID]],BOM!$B$3:$BQ$35,33,FALSE),"")</f>
        <v>5_36_1</v>
      </c>
      <c r="AD305" s="59" t="str">
        <f>IFERROR(VLOOKUP(Tabelle32[[#This Row],[Device ID]],BOM!$B$3:$BQ$35,34,FALSE),"")</f>
        <v>tpco-megw-vgw103.st-net.media.int</v>
      </c>
      <c r="AE305" s="59" t="str">
        <f>IFERROR(VLOOKUP(Tabelle32[[#This Row],[Device ID]],BOM!$B$3:$BQ$35,35,FALSE),"")</f>
        <v>10.120.67.141</v>
      </c>
      <c r="AF305" s="59">
        <f>IFERROR(VLOOKUP(Tabelle32[[#This Row],[Device ID]],BOM!$B$3:$BQ$35,36,FALSE),"")</f>
        <v>0</v>
      </c>
      <c r="AG305" s="59">
        <f>IFERROR(VLOOKUP(Tabelle32[[#This Row],[Device ID]],BOM!$B$3:$BQ$35,37,FALSE),"")</f>
        <v>0</v>
      </c>
      <c r="AH305" s="59"/>
      <c r="AI305" s="59"/>
      <c r="AJ305" s="59"/>
      <c r="AK305" s="59"/>
      <c r="AL305" s="59" t="str">
        <f>IFERROR(VLOOKUP(Tabelle32[[#This Row],[Device ID]],BOM!$B$3:$BQ$35,42,FALSE),"")</f>
        <v>Imagine Communications SNP</v>
      </c>
      <c r="AM305" s="59" t="str">
        <f>IFERROR(VLOOKUP(Tabelle32[[#This Row],[Device ID]],BOM!$B$3:$BQ$35,43,FALSE),"")</f>
        <v>no</v>
      </c>
      <c r="AN305" s="59" t="str">
        <f>IFERROR(VLOOKUP(Tabelle32[[#This Row],[Device ID]],BOM!$B$3:$BQ$35,44,FALSE),"")</f>
        <v>yes</v>
      </c>
      <c r="AO305" s="59" t="str">
        <f>IFERROR(VLOOKUP(Tabelle32[[#This Row],[Device ID]],BOM!$B$3:$BQ$35,45,FALSE),"")</f>
        <v>no</v>
      </c>
      <c r="AP305" s="59" t="str">
        <f>IFERROR(CONCATENATE(Tabelle32[[#This Row],[Family
GFX-Unit]]," | ",Tabelle32[[#This Row],[Label 1
GFX-Unit]]," | ",Tabelle32[[#This Row],[Attached Device if Gateway]]),"")</f>
        <v>M3H InCh PGM | Ingest Ch27-05 | IngSRV-07</v>
      </c>
      <c r="AQ305" s="59"/>
      <c r="AR305" s="90"/>
      <c r="AS305" s="90"/>
      <c r="AT305" s="90"/>
      <c r="AU305" s="90"/>
      <c r="AV305" s="90"/>
      <c r="AW305" s="90" t="s">
        <v>97</v>
      </c>
      <c r="AX305" s="90"/>
      <c r="AY305" s="90"/>
      <c r="AZ305" s="90" t="s">
        <v>97</v>
      </c>
      <c r="BA305" s="90"/>
      <c r="BB305" s="90" t="s">
        <v>97</v>
      </c>
      <c r="BC305" s="90" t="s">
        <v>97</v>
      </c>
      <c r="BD305" s="90"/>
      <c r="BE305" s="90"/>
      <c r="BF305" s="90"/>
      <c r="BG305" s="90"/>
      <c r="BH305" s="73" t="s">
        <v>199</v>
      </c>
      <c r="BI305" s="30" t="str">
        <f>IF(COUNTA(Tabelle32[[#This Row],[Type:Vid_1080i50]:[Type:Anc_Prot]])&gt;0,"x","")</f>
        <v>x</v>
      </c>
      <c r="BJ30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5" s="59"/>
      <c r="BL305" s="59"/>
      <c r="BM305" s="63"/>
      <c r="BN305" s="63"/>
      <c r="BO305" s="97" t="s">
        <v>2684</v>
      </c>
      <c r="BP305" s="97" t="s">
        <v>677</v>
      </c>
      <c r="BQ305" s="75">
        <f>LEN(Tabelle32[[#This Row],[Label 1
GFX-Unit]])</f>
        <v>14</v>
      </c>
      <c r="BR305" s="63"/>
      <c r="BS305" s="63"/>
      <c r="BT305" s="59"/>
      <c r="BU305" s="59"/>
      <c r="BV305" s="59" t="s">
        <v>230</v>
      </c>
      <c r="BW305" s="59" t="s">
        <v>231</v>
      </c>
      <c r="BX305" s="59" t="s">
        <v>678</v>
      </c>
      <c r="BY305" s="59">
        <v>15</v>
      </c>
    </row>
    <row r="306" spans="1:77" x14ac:dyDescent="0.2">
      <c r="A306" s="58" t="str">
        <f>CONCATENATE(Tabelle32[[#This Row],[Device ID]],".",Tabelle32[[#This Row],[Streamcounter]])</f>
        <v>392.15206</v>
      </c>
      <c r="B30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VGW-103_SDI15_AUDrec_0006</v>
      </c>
      <c r="C306" s="60"/>
      <c r="D306" s="61"/>
      <c r="E306" s="62"/>
      <c r="F306" s="59" t="str">
        <f>IFERROR(VLOOKUP(Tabelle32[[#This Row],[Device ID]],BOM!$B$3:$BQ$35,16,FALSE),"")</f>
        <v>IngSRV-07</v>
      </c>
      <c r="G306" s="63">
        <f>VLOOKUP(Tabelle32[[#This Row],[SDI Interface]],BOM!$A$4:$B$35,2,FALSE)</f>
        <v>392</v>
      </c>
      <c r="H306" s="59" t="str">
        <f>BOM!$C$4</f>
        <v>VGW-103</v>
      </c>
      <c r="I306" s="59" t="str">
        <f>IFERROR(VLOOKUP(Tabelle32[[#This Row],[Device ID]],BOM!$B$3:$BQ$35,12,FALSE),"")</f>
        <v>Videoserver</v>
      </c>
      <c r="J306" s="59" t="str">
        <f>IFERROR(VLOOKUP(Tabelle32[[#This Row],[Device ID]],BOM!$B$3:$BQ$35,13,FALSE),"")</f>
        <v>TC.U1.223 | MDC</v>
      </c>
      <c r="K306" s="59" t="str">
        <f>IFERROR(VLOOKUP(Tabelle32[[#This Row],[Device ID]],BOM!$B$3:$BQ$35,14,FALSE),"")</f>
        <v>Imagine Comunications</v>
      </c>
      <c r="L306" s="59" t="str">
        <f>IFERROR(VLOOKUP(Tabelle32[[#This Row],[Device ID]],BOM!$B$3:$BQ$35,16,FALSE),"")</f>
        <v>IngSRV-07</v>
      </c>
      <c r="M306" s="63" t="str">
        <f>IFERROR(VLOOKUP(Tabelle32[[#This Row],[Device ID]],BOM!$B$3:$BQ$35,17,FALSE),"")</f>
        <v>M3H</v>
      </c>
      <c r="N306" s="59" t="str">
        <f>IFERROR(VLOOKUP(Tabelle32[[#This Row],[Device ID]],BOM!$B$3:$BQ$35,18,FALSE),"")</f>
        <v>TC.03.225 | M3H</v>
      </c>
      <c r="O306" s="64"/>
      <c r="P306" s="64">
        <f>IFERROR(VLOOKUP(Tabelle32[[#This Row],[Device ID]],BOM!$B$3:$BO$50,20,FALSE),"")</f>
        <v>0</v>
      </c>
      <c r="Q306" s="64">
        <f>IFERROR(VLOOKUP(Tabelle32[[#This Row],[Device ID]],BOM!$B$3:$BO$50,21,FALSE),"")</f>
        <v>1</v>
      </c>
      <c r="R306" s="64">
        <f>IFERROR(VLOOKUP(Tabelle32[[#This Row],[Device ID]],BOM!$B$3:$BO$50,22,FALSE),"")</f>
        <v>0</v>
      </c>
      <c r="S306" s="64"/>
      <c r="T306" s="64"/>
      <c r="U306" s="59" t="str">
        <f>IFERROR(VLOOKUP(Tabelle32[[#This Row],[Device ID]],BOM!$B$3:$BQ$35,25,FALSE),"")</f>
        <v>Luis/Ivo</v>
      </c>
      <c r="V306" s="59" t="str">
        <f>IFERROR(VLOOKUP(Tabelle32[[#This Row],[Device ID]],BOM!$B$3:$BQ$35,26,FALSE),"")</f>
        <v>tpco-megw-vgw103.rta.st-net.media.int</v>
      </c>
      <c r="W306" s="59" t="str">
        <f>IFERROR(VLOOKUP(Tabelle32[[#This Row],[Device ID]],BOM!$B$3:$BQ$35,27,FALSE),"")</f>
        <v>10.120.236.50</v>
      </c>
      <c r="X306" s="59" t="str">
        <f>IFERROR(VLOOKUP(Tabelle32[[#This Row],[Device ID]],BOM!$B$3:$BQ$35,28,FALSE),"")</f>
        <v>AVCoreA</v>
      </c>
      <c r="Y306" s="59" t="str">
        <f>IFERROR(VLOOKUP(Tabelle32[[#This Row],[Device ID]],BOM!$B$3:$BQ$35,29,FALSE),"")</f>
        <v>5_36_1</v>
      </c>
      <c r="Z306" s="59" t="str">
        <f>IFERROR(VLOOKUP(Tabelle32[[#This Row],[Device ID]],BOM!$B$3:$BQ$35,30,FALSE),"")</f>
        <v>tpco-megw-vgw103.rtb.st-net.media.int</v>
      </c>
      <c r="AA306" s="59" t="str">
        <f>IFERROR(VLOOKUP(Tabelle32[[#This Row],[Device ID]],BOM!$B$3:$BQ$35,31,FALSE),"")</f>
        <v>10.120.236.54</v>
      </c>
      <c r="AB306" s="59" t="str">
        <f>IFERROR(VLOOKUP(Tabelle32[[#This Row],[Device ID]],BOM!$B$3:$BQ$35,32,FALSE),"")</f>
        <v>AVCoreB</v>
      </c>
      <c r="AC306" s="59" t="str">
        <f>IFERROR(VLOOKUP(Tabelle32[[#This Row],[Device ID]],BOM!$B$3:$BQ$35,33,FALSE),"")</f>
        <v>5_36_1</v>
      </c>
      <c r="AD306" s="59" t="str">
        <f>IFERROR(VLOOKUP(Tabelle32[[#This Row],[Device ID]],BOM!$B$3:$BQ$35,34,FALSE),"")</f>
        <v>tpco-megw-vgw103.st-net.media.int</v>
      </c>
      <c r="AE306" s="59" t="str">
        <f>IFERROR(VLOOKUP(Tabelle32[[#This Row],[Device ID]],BOM!$B$3:$BQ$35,35,FALSE),"")</f>
        <v>10.120.67.141</v>
      </c>
      <c r="AF306" s="59">
        <f>IFERROR(VLOOKUP(Tabelle32[[#This Row],[Device ID]],BOM!$B$3:$BQ$35,36,FALSE),"")</f>
        <v>0</v>
      </c>
      <c r="AG306" s="59">
        <f>IFERROR(VLOOKUP(Tabelle32[[#This Row],[Device ID]],BOM!$B$3:$BQ$35,37,FALSE),"")</f>
        <v>0</v>
      </c>
      <c r="AH306" s="59"/>
      <c r="AI306" s="59"/>
      <c r="AJ306" s="59"/>
      <c r="AK306" s="59"/>
      <c r="AL306" s="59" t="str">
        <f>IFERROR(VLOOKUP(Tabelle32[[#This Row],[Device ID]],BOM!$B$3:$BQ$35,42,FALSE),"")</f>
        <v>Imagine Communications SNP</v>
      </c>
      <c r="AM306" s="59" t="str">
        <f>IFERROR(VLOOKUP(Tabelle32[[#This Row],[Device ID]],BOM!$B$3:$BQ$35,43,FALSE),"")</f>
        <v>no</v>
      </c>
      <c r="AN306" s="59" t="str">
        <f>IFERROR(VLOOKUP(Tabelle32[[#This Row],[Device ID]],BOM!$B$3:$BQ$35,44,FALSE),"")</f>
        <v>yes</v>
      </c>
      <c r="AO306" s="59" t="str">
        <f>IFERROR(VLOOKUP(Tabelle32[[#This Row],[Device ID]],BOM!$B$3:$BQ$35,45,FALSE),"")</f>
        <v>no</v>
      </c>
      <c r="AP306" s="59" t="str">
        <f>IFERROR(CONCATENATE(Tabelle32[[#This Row],[Family
GFX-Unit]]," | ",Tabelle32[[#This Row],[Label 1
GFX-Unit]]," | ",Tabelle32[[#This Row],[Attached Device if Gateway]]),"")</f>
        <v>M3H InCh PGM | Ingest Ch27-06 | IngSRV-07</v>
      </c>
      <c r="AQ306" s="59"/>
      <c r="AR306" s="90"/>
      <c r="AS306" s="90"/>
      <c r="AT306" s="90"/>
      <c r="AU306" s="90"/>
      <c r="AV306" s="90"/>
      <c r="AW306" s="90" t="s">
        <v>97</v>
      </c>
      <c r="AX306" s="90"/>
      <c r="AY306" s="90"/>
      <c r="AZ306" s="90" t="s">
        <v>97</v>
      </c>
      <c r="BA306" s="90"/>
      <c r="BB306" s="90" t="s">
        <v>97</v>
      </c>
      <c r="BC306" s="90" t="s">
        <v>97</v>
      </c>
      <c r="BD306" s="90"/>
      <c r="BE306" s="90"/>
      <c r="BF306" s="90"/>
      <c r="BG306" s="90"/>
      <c r="BH306" s="73" t="s">
        <v>199</v>
      </c>
      <c r="BI306" s="30" t="str">
        <f>IF(COUNTA(Tabelle32[[#This Row],[Type:Vid_1080i50]:[Type:Anc_Prot]])&gt;0,"x","")</f>
        <v>x</v>
      </c>
      <c r="BJ30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6" s="59"/>
      <c r="BL306" s="59"/>
      <c r="BM306" s="63"/>
      <c r="BN306" s="63"/>
      <c r="BO306" s="97" t="s">
        <v>2684</v>
      </c>
      <c r="BP306" s="97" t="s">
        <v>679</v>
      </c>
      <c r="BQ306" s="75">
        <f>LEN(Tabelle32[[#This Row],[Label 1
GFX-Unit]])</f>
        <v>14</v>
      </c>
      <c r="BR306" s="63"/>
      <c r="BS306" s="63"/>
      <c r="BT306" s="59"/>
      <c r="BU306" s="59"/>
      <c r="BV306" s="59" t="s">
        <v>234</v>
      </c>
      <c r="BW306" s="59" t="s">
        <v>235</v>
      </c>
      <c r="BX306" s="59" t="s">
        <v>680</v>
      </c>
      <c r="BY306" s="59">
        <v>15</v>
      </c>
    </row>
    <row r="307" spans="1:77" x14ac:dyDescent="0.2">
      <c r="A307" s="58" t="str">
        <f>CONCATENATE(Tabelle32[[#This Row],[Device ID]],".",Tabelle32[[#This Row],[Streamcounter]])</f>
        <v>392.15207</v>
      </c>
      <c r="B30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VGW-103_SDI15_AUDrec_0007</v>
      </c>
      <c r="C307" s="60"/>
      <c r="D307" s="61"/>
      <c r="E307" s="62"/>
      <c r="F307" s="59" t="str">
        <f>IFERROR(VLOOKUP(Tabelle32[[#This Row],[Device ID]],BOM!$B$3:$BQ$35,16,FALSE),"")</f>
        <v>IngSRV-07</v>
      </c>
      <c r="G307" s="63">
        <f>VLOOKUP(Tabelle32[[#This Row],[SDI Interface]],BOM!$A$4:$B$35,2,FALSE)</f>
        <v>392</v>
      </c>
      <c r="H307" s="59" t="str">
        <f>BOM!$C$4</f>
        <v>VGW-103</v>
      </c>
      <c r="I307" s="59" t="str">
        <f>IFERROR(VLOOKUP(Tabelle32[[#This Row],[Device ID]],BOM!$B$3:$BQ$35,12,FALSE),"")</f>
        <v>Videoserver</v>
      </c>
      <c r="J307" s="59" t="str">
        <f>IFERROR(VLOOKUP(Tabelle32[[#This Row],[Device ID]],BOM!$B$3:$BQ$35,13,FALSE),"")</f>
        <v>TC.U1.223 | MDC</v>
      </c>
      <c r="K307" s="59" t="str">
        <f>IFERROR(VLOOKUP(Tabelle32[[#This Row],[Device ID]],BOM!$B$3:$BQ$35,14,FALSE),"")</f>
        <v>Imagine Comunications</v>
      </c>
      <c r="L307" s="59" t="str">
        <f>IFERROR(VLOOKUP(Tabelle32[[#This Row],[Device ID]],BOM!$B$3:$BQ$35,16,FALSE),"")</f>
        <v>IngSRV-07</v>
      </c>
      <c r="M307" s="63" t="str">
        <f>IFERROR(VLOOKUP(Tabelle32[[#This Row],[Device ID]],BOM!$B$3:$BQ$35,17,FALSE),"")</f>
        <v>M3H</v>
      </c>
      <c r="N307" s="59" t="str">
        <f>IFERROR(VLOOKUP(Tabelle32[[#This Row],[Device ID]],BOM!$B$3:$BQ$35,18,FALSE),"")</f>
        <v>TC.03.225 | M3H</v>
      </c>
      <c r="O307" s="64"/>
      <c r="P307" s="64">
        <f>IFERROR(VLOOKUP(Tabelle32[[#This Row],[Device ID]],BOM!$B$3:$BO$50,20,FALSE),"")</f>
        <v>0</v>
      </c>
      <c r="Q307" s="64">
        <f>IFERROR(VLOOKUP(Tabelle32[[#This Row],[Device ID]],BOM!$B$3:$BO$50,21,FALSE),"")</f>
        <v>1</v>
      </c>
      <c r="R307" s="64">
        <f>IFERROR(VLOOKUP(Tabelle32[[#This Row],[Device ID]],BOM!$B$3:$BO$50,22,FALSE),"")</f>
        <v>0</v>
      </c>
      <c r="S307" s="64"/>
      <c r="T307" s="64"/>
      <c r="U307" s="59" t="str">
        <f>IFERROR(VLOOKUP(Tabelle32[[#This Row],[Device ID]],BOM!$B$3:$BQ$35,25,FALSE),"")</f>
        <v>Luis/Ivo</v>
      </c>
      <c r="V307" s="59" t="str">
        <f>IFERROR(VLOOKUP(Tabelle32[[#This Row],[Device ID]],BOM!$B$3:$BQ$35,26,FALSE),"")</f>
        <v>tpco-megw-vgw103.rta.st-net.media.int</v>
      </c>
      <c r="W307" s="59" t="str">
        <f>IFERROR(VLOOKUP(Tabelle32[[#This Row],[Device ID]],BOM!$B$3:$BQ$35,27,FALSE),"")</f>
        <v>10.120.236.50</v>
      </c>
      <c r="X307" s="59" t="str">
        <f>IFERROR(VLOOKUP(Tabelle32[[#This Row],[Device ID]],BOM!$B$3:$BQ$35,28,FALSE),"")</f>
        <v>AVCoreA</v>
      </c>
      <c r="Y307" s="59" t="str">
        <f>IFERROR(VLOOKUP(Tabelle32[[#This Row],[Device ID]],BOM!$B$3:$BQ$35,29,FALSE),"")</f>
        <v>5_36_1</v>
      </c>
      <c r="Z307" s="59" t="str">
        <f>IFERROR(VLOOKUP(Tabelle32[[#This Row],[Device ID]],BOM!$B$3:$BQ$35,30,FALSE),"")</f>
        <v>tpco-megw-vgw103.rtb.st-net.media.int</v>
      </c>
      <c r="AA307" s="59" t="str">
        <f>IFERROR(VLOOKUP(Tabelle32[[#This Row],[Device ID]],BOM!$B$3:$BQ$35,31,FALSE),"")</f>
        <v>10.120.236.54</v>
      </c>
      <c r="AB307" s="59" t="str">
        <f>IFERROR(VLOOKUP(Tabelle32[[#This Row],[Device ID]],BOM!$B$3:$BQ$35,32,FALSE),"")</f>
        <v>AVCoreB</v>
      </c>
      <c r="AC307" s="59" t="str">
        <f>IFERROR(VLOOKUP(Tabelle32[[#This Row],[Device ID]],BOM!$B$3:$BQ$35,33,FALSE),"")</f>
        <v>5_36_1</v>
      </c>
      <c r="AD307" s="59" t="str">
        <f>IFERROR(VLOOKUP(Tabelle32[[#This Row],[Device ID]],BOM!$B$3:$BQ$35,34,FALSE),"")</f>
        <v>tpco-megw-vgw103.st-net.media.int</v>
      </c>
      <c r="AE307" s="59" t="str">
        <f>IFERROR(VLOOKUP(Tabelle32[[#This Row],[Device ID]],BOM!$B$3:$BQ$35,35,FALSE),"")</f>
        <v>10.120.67.141</v>
      </c>
      <c r="AF307" s="59">
        <f>IFERROR(VLOOKUP(Tabelle32[[#This Row],[Device ID]],BOM!$B$3:$BQ$35,36,FALSE),"")</f>
        <v>0</v>
      </c>
      <c r="AG307" s="59">
        <f>IFERROR(VLOOKUP(Tabelle32[[#This Row],[Device ID]],BOM!$B$3:$BQ$35,37,FALSE),"")</f>
        <v>0</v>
      </c>
      <c r="AH307" s="59"/>
      <c r="AI307" s="59"/>
      <c r="AJ307" s="59"/>
      <c r="AK307" s="59"/>
      <c r="AL307" s="59" t="str">
        <f>IFERROR(VLOOKUP(Tabelle32[[#This Row],[Device ID]],BOM!$B$3:$BQ$35,42,FALSE),"")</f>
        <v>Imagine Communications SNP</v>
      </c>
      <c r="AM307" s="59" t="str">
        <f>IFERROR(VLOOKUP(Tabelle32[[#This Row],[Device ID]],BOM!$B$3:$BQ$35,43,FALSE),"")</f>
        <v>no</v>
      </c>
      <c r="AN307" s="59" t="str">
        <f>IFERROR(VLOOKUP(Tabelle32[[#This Row],[Device ID]],BOM!$B$3:$BQ$35,44,FALSE),"")</f>
        <v>yes</v>
      </c>
      <c r="AO307" s="59" t="str">
        <f>IFERROR(VLOOKUP(Tabelle32[[#This Row],[Device ID]],BOM!$B$3:$BQ$35,45,FALSE),"")</f>
        <v>no</v>
      </c>
      <c r="AP307" s="59" t="str">
        <f>IFERROR(CONCATENATE(Tabelle32[[#This Row],[Family
GFX-Unit]]," | ",Tabelle32[[#This Row],[Label 1
GFX-Unit]]," | ",Tabelle32[[#This Row],[Attached Device if Gateway]]),"")</f>
        <v>M3H InCh PGM | Ingest Ch27-07 | IngSRV-07</v>
      </c>
      <c r="AQ307" s="59"/>
      <c r="AR307" s="90"/>
      <c r="AS307" s="90"/>
      <c r="AT307" s="90"/>
      <c r="AU307" s="90"/>
      <c r="AV307" s="90"/>
      <c r="AW307" s="90" t="s">
        <v>97</v>
      </c>
      <c r="AX307" s="90"/>
      <c r="AY307" s="90"/>
      <c r="AZ307" s="90" t="s">
        <v>97</v>
      </c>
      <c r="BA307" s="90"/>
      <c r="BB307" s="90" t="s">
        <v>97</v>
      </c>
      <c r="BC307" s="90" t="s">
        <v>97</v>
      </c>
      <c r="BD307" s="90"/>
      <c r="BE307" s="90"/>
      <c r="BF307" s="90"/>
      <c r="BG307" s="90"/>
      <c r="BH307" s="73" t="s">
        <v>199</v>
      </c>
      <c r="BI307" s="30" t="str">
        <f>IF(COUNTA(Tabelle32[[#This Row],[Type:Vid_1080i50]:[Type:Anc_Prot]])&gt;0,"x","")</f>
        <v>x</v>
      </c>
      <c r="BJ30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7" s="59"/>
      <c r="BL307" s="59"/>
      <c r="BM307" s="63"/>
      <c r="BN307" s="63"/>
      <c r="BO307" s="97" t="s">
        <v>2684</v>
      </c>
      <c r="BP307" s="97" t="s">
        <v>681</v>
      </c>
      <c r="BQ307" s="75">
        <f>LEN(Tabelle32[[#This Row],[Label 1
GFX-Unit]])</f>
        <v>14</v>
      </c>
      <c r="BR307" s="63"/>
      <c r="BS307" s="63"/>
      <c r="BT307" s="59"/>
      <c r="BU307" s="59"/>
      <c r="BV307" s="59" t="s">
        <v>238</v>
      </c>
      <c r="BW307" s="59" t="s">
        <v>239</v>
      </c>
      <c r="BX307" s="59" t="s">
        <v>682</v>
      </c>
      <c r="BY307" s="59">
        <v>15</v>
      </c>
    </row>
    <row r="308" spans="1:77" x14ac:dyDescent="0.2">
      <c r="A308" s="58" t="str">
        <f>CONCATENATE(Tabelle32[[#This Row],[Device ID]],".",Tabelle32[[#This Row],[Streamcounter]])</f>
        <v>392.15208</v>
      </c>
      <c r="B30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VGW-103_SDI15_AUDrec_0008</v>
      </c>
      <c r="C308" s="60"/>
      <c r="D308" s="61"/>
      <c r="E308" s="62"/>
      <c r="F308" s="59" t="str">
        <f>IFERROR(VLOOKUP(Tabelle32[[#This Row],[Device ID]],BOM!$B$3:$BQ$35,16,FALSE),"")</f>
        <v>IngSRV-07</v>
      </c>
      <c r="G308" s="63">
        <f>VLOOKUP(Tabelle32[[#This Row],[SDI Interface]],BOM!$A$4:$B$35,2,FALSE)</f>
        <v>392</v>
      </c>
      <c r="H308" s="59" t="str">
        <f>BOM!$C$4</f>
        <v>VGW-103</v>
      </c>
      <c r="I308" s="59" t="str">
        <f>IFERROR(VLOOKUP(Tabelle32[[#This Row],[Device ID]],BOM!$B$3:$BQ$35,12,FALSE),"")</f>
        <v>Videoserver</v>
      </c>
      <c r="J308" s="59" t="str">
        <f>IFERROR(VLOOKUP(Tabelle32[[#This Row],[Device ID]],BOM!$B$3:$BQ$35,13,FALSE),"")</f>
        <v>TC.U1.223 | MDC</v>
      </c>
      <c r="K308" s="59" t="str">
        <f>IFERROR(VLOOKUP(Tabelle32[[#This Row],[Device ID]],BOM!$B$3:$BQ$35,14,FALSE),"")</f>
        <v>Imagine Comunications</v>
      </c>
      <c r="L308" s="59" t="str">
        <f>IFERROR(VLOOKUP(Tabelle32[[#This Row],[Device ID]],BOM!$B$3:$BQ$35,16,FALSE),"")</f>
        <v>IngSRV-07</v>
      </c>
      <c r="M308" s="63" t="str">
        <f>IFERROR(VLOOKUP(Tabelle32[[#This Row],[Device ID]],BOM!$B$3:$BQ$35,17,FALSE),"")</f>
        <v>M3H</v>
      </c>
      <c r="N308" s="59" t="str">
        <f>IFERROR(VLOOKUP(Tabelle32[[#This Row],[Device ID]],BOM!$B$3:$BQ$35,18,FALSE),"")</f>
        <v>TC.03.225 | M3H</v>
      </c>
      <c r="O308" s="64"/>
      <c r="P308" s="64">
        <f>IFERROR(VLOOKUP(Tabelle32[[#This Row],[Device ID]],BOM!$B$3:$BO$50,20,FALSE),"")</f>
        <v>0</v>
      </c>
      <c r="Q308" s="64">
        <f>IFERROR(VLOOKUP(Tabelle32[[#This Row],[Device ID]],BOM!$B$3:$BO$50,21,FALSE),"")</f>
        <v>1</v>
      </c>
      <c r="R308" s="64">
        <f>IFERROR(VLOOKUP(Tabelle32[[#This Row],[Device ID]],BOM!$B$3:$BO$50,22,FALSE),"")</f>
        <v>0</v>
      </c>
      <c r="S308" s="64"/>
      <c r="T308" s="64"/>
      <c r="U308" s="59" t="str">
        <f>IFERROR(VLOOKUP(Tabelle32[[#This Row],[Device ID]],BOM!$B$3:$BQ$35,25,FALSE),"")</f>
        <v>Luis/Ivo</v>
      </c>
      <c r="V308" s="59" t="str">
        <f>IFERROR(VLOOKUP(Tabelle32[[#This Row],[Device ID]],BOM!$B$3:$BQ$35,26,FALSE),"")</f>
        <v>tpco-megw-vgw103.rta.st-net.media.int</v>
      </c>
      <c r="W308" s="59" t="str">
        <f>IFERROR(VLOOKUP(Tabelle32[[#This Row],[Device ID]],BOM!$B$3:$BQ$35,27,FALSE),"")</f>
        <v>10.120.236.50</v>
      </c>
      <c r="X308" s="59" t="str">
        <f>IFERROR(VLOOKUP(Tabelle32[[#This Row],[Device ID]],BOM!$B$3:$BQ$35,28,FALSE),"")</f>
        <v>AVCoreA</v>
      </c>
      <c r="Y308" s="59" t="str">
        <f>IFERROR(VLOOKUP(Tabelle32[[#This Row],[Device ID]],BOM!$B$3:$BQ$35,29,FALSE),"")</f>
        <v>5_36_1</v>
      </c>
      <c r="Z308" s="59" t="str">
        <f>IFERROR(VLOOKUP(Tabelle32[[#This Row],[Device ID]],BOM!$B$3:$BQ$35,30,FALSE),"")</f>
        <v>tpco-megw-vgw103.rtb.st-net.media.int</v>
      </c>
      <c r="AA308" s="59" t="str">
        <f>IFERROR(VLOOKUP(Tabelle32[[#This Row],[Device ID]],BOM!$B$3:$BQ$35,31,FALSE),"")</f>
        <v>10.120.236.54</v>
      </c>
      <c r="AB308" s="59" t="str">
        <f>IFERROR(VLOOKUP(Tabelle32[[#This Row],[Device ID]],BOM!$B$3:$BQ$35,32,FALSE),"")</f>
        <v>AVCoreB</v>
      </c>
      <c r="AC308" s="59" t="str">
        <f>IFERROR(VLOOKUP(Tabelle32[[#This Row],[Device ID]],BOM!$B$3:$BQ$35,33,FALSE),"")</f>
        <v>5_36_1</v>
      </c>
      <c r="AD308" s="59" t="str">
        <f>IFERROR(VLOOKUP(Tabelle32[[#This Row],[Device ID]],BOM!$B$3:$BQ$35,34,FALSE),"")</f>
        <v>tpco-megw-vgw103.st-net.media.int</v>
      </c>
      <c r="AE308" s="59" t="str">
        <f>IFERROR(VLOOKUP(Tabelle32[[#This Row],[Device ID]],BOM!$B$3:$BQ$35,35,FALSE),"")</f>
        <v>10.120.67.141</v>
      </c>
      <c r="AF308" s="59">
        <f>IFERROR(VLOOKUP(Tabelle32[[#This Row],[Device ID]],BOM!$B$3:$BQ$35,36,FALSE),"")</f>
        <v>0</v>
      </c>
      <c r="AG308" s="59">
        <f>IFERROR(VLOOKUP(Tabelle32[[#This Row],[Device ID]],BOM!$B$3:$BQ$35,37,FALSE),"")</f>
        <v>0</v>
      </c>
      <c r="AH308" s="59"/>
      <c r="AI308" s="59"/>
      <c r="AJ308" s="59"/>
      <c r="AK308" s="59"/>
      <c r="AL308" s="59" t="str">
        <f>IFERROR(VLOOKUP(Tabelle32[[#This Row],[Device ID]],BOM!$B$3:$BQ$35,42,FALSE),"")</f>
        <v>Imagine Communications SNP</v>
      </c>
      <c r="AM308" s="59" t="str">
        <f>IFERROR(VLOOKUP(Tabelle32[[#This Row],[Device ID]],BOM!$B$3:$BQ$35,43,FALSE),"")</f>
        <v>no</v>
      </c>
      <c r="AN308" s="59" t="str">
        <f>IFERROR(VLOOKUP(Tabelle32[[#This Row],[Device ID]],BOM!$B$3:$BQ$35,44,FALSE),"")</f>
        <v>yes</v>
      </c>
      <c r="AO308" s="59" t="str">
        <f>IFERROR(VLOOKUP(Tabelle32[[#This Row],[Device ID]],BOM!$B$3:$BQ$35,45,FALSE),"")</f>
        <v>no</v>
      </c>
      <c r="AP308" s="59" t="str">
        <f>IFERROR(CONCATENATE(Tabelle32[[#This Row],[Family
GFX-Unit]]," | ",Tabelle32[[#This Row],[Label 1
GFX-Unit]]," | ",Tabelle32[[#This Row],[Attached Device if Gateway]]),"")</f>
        <v>M3H InCh PGM | Ingest Ch27-08 | IngSRV-07</v>
      </c>
      <c r="AQ308" s="59"/>
      <c r="AR308" s="90"/>
      <c r="AS308" s="90"/>
      <c r="AT308" s="90"/>
      <c r="AU308" s="90"/>
      <c r="AV308" s="90"/>
      <c r="AW308" s="90" t="s">
        <v>97</v>
      </c>
      <c r="AX308" s="90"/>
      <c r="AY308" s="90"/>
      <c r="AZ308" s="90" t="s">
        <v>97</v>
      </c>
      <c r="BA308" s="90"/>
      <c r="BB308" s="90" t="s">
        <v>97</v>
      </c>
      <c r="BC308" s="90" t="s">
        <v>97</v>
      </c>
      <c r="BD308" s="90"/>
      <c r="BE308" s="90"/>
      <c r="BF308" s="90"/>
      <c r="BG308" s="90"/>
      <c r="BH308" s="73" t="s">
        <v>199</v>
      </c>
      <c r="BI308" s="30" t="str">
        <f>IF(COUNTA(Tabelle32[[#This Row],[Type:Vid_1080i50]:[Type:Anc_Prot]])&gt;0,"x","")</f>
        <v>x</v>
      </c>
      <c r="BJ30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8" s="59"/>
      <c r="BL308" s="59"/>
      <c r="BM308" s="63"/>
      <c r="BN308" s="63"/>
      <c r="BO308" s="97" t="s">
        <v>2684</v>
      </c>
      <c r="BP308" s="97" t="s">
        <v>683</v>
      </c>
      <c r="BQ308" s="75">
        <f>LEN(Tabelle32[[#This Row],[Label 1
GFX-Unit]])</f>
        <v>14</v>
      </c>
      <c r="BR308" s="63"/>
      <c r="BS308" s="63"/>
      <c r="BT308" s="59"/>
      <c r="BU308" s="59"/>
      <c r="BV308" s="59" t="s">
        <v>242</v>
      </c>
      <c r="BW308" s="59" t="s">
        <v>243</v>
      </c>
      <c r="BX308" s="59" t="s">
        <v>684</v>
      </c>
      <c r="BY308" s="59">
        <v>15</v>
      </c>
    </row>
    <row r="309" spans="1:77" x14ac:dyDescent="0.2">
      <c r="A309" s="58" t="str">
        <f>CONCATENATE(Tabelle32[[#This Row],[Device ID]],".",Tabelle32[[#This Row],[Streamcounter]])</f>
        <v>392.15209</v>
      </c>
      <c r="B30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VGW-103_SDI15_AUDrec_0009</v>
      </c>
      <c r="C309" s="60"/>
      <c r="D309" s="61"/>
      <c r="E309" s="62"/>
      <c r="F309" s="59" t="str">
        <f>IFERROR(VLOOKUP(Tabelle32[[#This Row],[Device ID]],BOM!$B$3:$BQ$35,16,FALSE),"")</f>
        <v>IngSRV-07</v>
      </c>
      <c r="G309" s="63">
        <f>VLOOKUP(Tabelle32[[#This Row],[SDI Interface]],BOM!$A$4:$B$35,2,FALSE)</f>
        <v>392</v>
      </c>
      <c r="H309" s="59" t="str">
        <f>BOM!$C$4</f>
        <v>VGW-103</v>
      </c>
      <c r="I309" s="59" t="str">
        <f>IFERROR(VLOOKUP(Tabelle32[[#This Row],[Device ID]],BOM!$B$3:$BQ$35,12,FALSE),"")</f>
        <v>Videoserver</v>
      </c>
      <c r="J309" s="59" t="str">
        <f>IFERROR(VLOOKUP(Tabelle32[[#This Row],[Device ID]],BOM!$B$3:$BQ$35,13,FALSE),"")</f>
        <v>TC.U1.223 | MDC</v>
      </c>
      <c r="K309" s="59" t="str">
        <f>IFERROR(VLOOKUP(Tabelle32[[#This Row],[Device ID]],BOM!$B$3:$BQ$35,14,FALSE),"")</f>
        <v>Imagine Comunications</v>
      </c>
      <c r="L309" s="59" t="str">
        <f>IFERROR(VLOOKUP(Tabelle32[[#This Row],[Device ID]],BOM!$B$3:$BQ$35,16,FALSE),"")</f>
        <v>IngSRV-07</v>
      </c>
      <c r="M309" s="63" t="str">
        <f>IFERROR(VLOOKUP(Tabelle32[[#This Row],[Device ID]],BOM!$B$3:$BQ$35,17,FALSE),"")</f>
        <v>M3H</v>
      </c>
      <c r="N309" s="59" t="str">
        <f>IFERROR(VLOOKUP(Tabelle32[[#This Row],[Device ID]],BOM!$B$3:$BQ$35,18,FALSE),"")</f>
        <v>TC.03.225 | M3H</v>
      </c>
      <c r="O309" s="64"/>
      <c r="P309" s="64">
        <f>IFERROR(VLOOKUP(Tabelle32[[#This Row],[Device ID]],BOM!$B$3:$BO$50,20,FALSE),"")</f>
        <v>0</v>
      </c>
      <c r="Q309" s="64">
        <f>IFERROR(VLOOKUP(Tabelle32[[#This Row],[Device ID]],BOM!$B$3:$BO$50,21,FALSE),"")</f>
        <v>1</v>
      </c>
      <c r="R309" s="64">
        <f>IFERROR(VLOOKUP(Tabelle32[[#This Row],[Device ID]],BOM!$B$3:$BO$50,22,FALSE),"")</f>
        <v>0</v>
      </c>
      <c r="S309" s="64"/>
      <c r="T309" s="64"/>
      <c r="U309" s="59" t="str">
        <f>IFERROR(VLOOKUP(Tabelle32[[#This Row],[Device ID]],BOM!$B$3:$BQ$35,25,FALSE),"")</f>
        <v>Luis/Ivo</v>
      </c>
      <c r="V309" s="59" t="str">
        <f>IFERROR(VLOOKUP(Tabelle32[[#This Row],[Device ID]],BOM!$B$3:$BQ$35,26,FALSE),"")</f>
        <v>tpco-megw-vgw103.rta.st-net.media.int</v>
      </c>
      <c r="W309" s="59" t="str">
        <f>IFERROR(VLOOKUP(Tabelle32[[#This Row],[Device ID]],BOM!$B$3:$BQ$35,27,FALSE),"")</f>
        <v>10.120.236.50</v>
      </c>
      <c r="X309" s="59" t="str">
        <f>IFERROR(VLOOKUP(Tabelle32[[#This Row],[Device ID]],BOM!$B$3:$BQ$35,28,FALSE),"")</f>
        <v>AVCoreA</v>
      </c>
      <c r="Y309" s="59" t="str">
        <f>IFERROR(VLOOKUP(Tabelle32[[#This Row],[Device ID]],BOM!$B$3:$BQ$35,29,FALSE),"")</f>
        <v>5_36_1</v>
      </c>
      <c r="Z309" s="59" t="str">
        <f>IFERROR(VLOOKUP(Tabelle32[[#This Row],[Device ID]],BOM!$B$3:$BQ$35,30,FALSE),"")</f>
        <v>tpco-megw-vgw103.rtb.st-net.media.int</v>
      </c>
      <c r="AA309" s="59" t="str">
        <f>IFERROR(VLOOKUP(Tabelle32[[#This Row],[Device ID]],BOM!$B$3:$BQ$35,31,FALSE),"")</f>
        <v>10.120.236.54</v>
      </c>
      <c r="AB309" s="59" t="str">
        <f>IFERROR(VLOOKUP(Tabelle32[[#This Row],[Device ID]],BOM!$B$3:$BQ$35,32,FALSE),"")</f>
        <v>AVCoreB</v>
      </c>
      <c r="AC309" s="59" t="str">
        <f>IFERROR(VLOOKUP(Tabelle32[[#This Row],[Device ID]],BOM!$B$3:$BQ$35,33,FALSE),"")</f>
        <v>5_36_1</v>
      </c>
      <c r="AD309" s="59" t="str">
        <f>IFERROR(VLOOKUP(Tabelle32[[#This Row],[Device ID]],BOM!$B$3:$BQ$35,34,FALSE),"")</f>
        <v>tpco-megw-vgw103.st-net.media.int</v>
      </c>
      <c r="AE309" s="59" t="str">
        <f>IFERROR(VLOOKUP(Tabelle32[[#This Row],[Device ID]],BOM!$B$3:$BQ$35,35,FALSE),"")</f>
        <v>10.120.67.141</v>
      </c>
      <c r="AF309" s="59">
        <f>IFERROR(VLOOKUP(Tabelle32[[#This Row],[Device ID]],BOM!$B$3:$BQ$35,36,FALSE),"")</f>
        <v>0</v>
      </c>
      <c r="AG309" s="59">
        <f>IFERROR(VLOOKUP(Tabelle32[[#This Row],[Device ID]],BOM!$B$3:$BQ$35,37,FALSE),"")</f>
        <v>0</v>
      </c>
      <c r="AH309" s="59"/>
      <c r="AI309" s="59"/>
      <c r="AJ309" s="59"/>
      <c r="AK309" s="59"/>
      <c r="AL309" s="59" t="str">
        <f>IFERROR(VLOOKUP(Tabelle32[[#This Row],[Device ID]],BOM!$B$3:$BQ$35,42,FALSE),"")</f>
        <v>Imagine Communications SNP</v>
      </c>
      <c r="AM309" s="59" t="str">
        <f>IFERROR(VLOOKUP(Tabelle32[[#This Row],[Device ID]],BOM!$B$3:$BQ$35,43,FALSE),"")</f>
        <v>no</v>
      </c>
      <c r="AN309" s="59" t="str">
        <f>IFERROR(VLOOKUP(Tabelle32[[#This Row],[Device ID]],BOM!$B$3:$BQ$35,44,FALSE),"")</f>
        <v>yes</v>
      </c>
      <c r="AO309" s="59" t="str">
        <f>IFERROR(VLOOKUP(Tabelle32[[#This Row],[Device ID]],BOM!$B$3:$BQ$35,45,FALSE),"")</f>
        <v>no</v>
      </c>
      <c r="AP309" s="59" t="str">
        <f>IFERROR(CONCATENATE(Tabelle32[[#This Row],[Family
GFX-Unit]]," | ",Tabelle32[[#This Row],[Label 1
GFX-Unit]]," | ",Tabelle32[[#This Row],[Attached Device if Gateway]]),"")</f>
        <v>M3H InCh PGM | Ingest Ch27-09 | IngSRV-07</v>
      </c>
      <c r="AQ309" s="59"/>
      <c r="AR309" s="90"/>
      <c r="AS309" s="90"/>
      <c r="AT309" s="90"/>
      <c r="AU309" s="90"/>
      <c r="AV309" s="90"/>
      <c r="AW309" s="90" t="s">
        <v>97</v>
      </c>
      <c r="AX309" s="90"/>
      <c r="AY309" s="90"/>
      <c r="AZ309" s="90" t="s">
        <v>97</v>
      </c>
      <c r="BA309" s="90"/>
      <c r="BB309" s="90" t="s">
        <v>97</v>
      </c>
      <c r="BC309" s="90" t="s">
        <v>97</v>
      </c>
      <c r="BD309" s="90"/>
      <c r="BE309" s="90"/>
      <c r="BF309" s="90"/>
      <c r="BG309" s="90"/>
      <c r="BH309" s="73" t="s">
        <v>199</v>
      </c>
      <c r="BI309" s="30" t="str">
        <f>IF(COUNTA(Tabelle32[[#This Row],[Type:Vid_1080i50]:[Type:Anc_Prot]])&gt;0,"x","")</f>
        <v>x</v>
      </c>
      <c r="BJ30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09" s="59"/>
      <c r="BL309" s="59"/>
      <c r="BM309" s="63"/>
      <c r="BN309" s="63"/>
      <c r="BO309" s="97" t="s">
        <v>2684</v>
      </c>
      <c r="BP309" s="97" t="s">
        <v>685</v>
      </c>
      <c r="BQ309" s="75">
        <f>LEN(Tabelle32[[#This Row],[Label 1
GFX-Unit]])</f>
        <v>14</v>
      </c>
      <c r="BR309" s="63"/>
      <c r="BS309" s="63"/>
      <c r="BT309" s="59"/>
      <c r="BU309" s="59"/>
      <c r="BV309" s="59" t="s">
        <v>245</v>
      </c>
      <c r="BW309" s="59" t="s">
        <v>246</v>
      </c>
      <c r="BX309" s="59" t="s">
        <v>686</v>
      </c>
      <c r="BY309" s="59">
        <v>15</v>
      </c>
    </row>
    <row r="310" spans="1:77" hidden="1" x14ac:dyDescent="0.2">
      <c r="A310" s="58" t="str">
        <f>CONCATENATE(Tabelle32[[#This Row],[Device ID]],".",Tabelle32[[#This Row],[Streamcounter]])</f>
        <v>392.15210</v>
      </c>
      <c r="B31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VGW-103_SDI15_AUDrec_0010</v>
      </c>
      <c r="C310" s="60"/>
      <c r="D310" s="61"/>
      <c r="E310" s="62"/>
      <c r="F310" s="59" t="str">
        <f>IFERROR(VLOOKUP(Tabelle32[[#This Row],[Device ID]],BOM!$B$3:$BQ$35,16,FALSE),"")</f>
        <v>IngSRV-07</v>
      </c>
      <c r="G310" s="63">
        <f>VLOOKUP(Tabelle32[[#This Row],[SDI Interface]],BOM!$A$4:$B$35,2,FALSE)</f>
        <v>392</v>
      </c>
      <c r="H310" s="59" t="str">
        <f>BOM!$C$4</f>
        <v>VGW-103</v>
      </c>
      <c r="I310" s="59" t="str">
        <f>IFERROR(VLOOKUP(Tabelle32[[#This Row],[Device ID]],BOM!$B$3:$BQ$35,12,FALSE),"")</f>
        <v>Videoserver</v>
      </c>
      <c r="J310" s="59" t="str">
        <f>IFERROR(VLOOKUP(Tabelle32[[#This Row],[Device ID]],BOM!$B$3:$BQ$35,13,FALSE),"")</f>
        <v>TC.U1.223 | MDC</v>
      </c>
      <c r="K310" s="59" t="str">
        <f>IFERROR(VLOOKUP(Tabelle32[[#This Row],[Device ID]],BOM!$B$3:$BQ$35,14,FALSE),"")</f>
        <v>Imagine Comunications</v>
      </c>
      <c r="L310" s="59" t="str">
        <f>IFERROR(VLOOKUP(Tabelle32[[#This Row],[Device ID]],BOM!$B$3:$BQ$35,16,FALSE),"")</f>
        <v>IngSRV-07</v>
      </c>
      <c r="M310" s="63" t="str">
        <f>IFERROR(VLOOKUP(Tabelle32[[#This Row],[Device ID]],BOM!$B$3:$BQ$35,17,FALSE),"")</f>
        <v>M3H</v>
      </c>
      <c r="N310" s="59" t="str">
        <f>IFERROR(VLOOKUP(Tabelle32[[#This Row],[Device ID]],BOM!$B$3:$BQ$35,18,FALSE),"")</f>
        <v>TC.03.225 | M3H</v>
      </c>
      <c r="O310" s="64"/>
      <c r="P310" s="64">
        <f>IFERROR(VLOOKUP(Tabelle32[[#This Row],[Device ID]],BOM!$B$3:$BO$50,20,FALSE),"")</f>
        <v>0</v>
      </c>
      <c r="Q310" s="64">
        <f>IFERROR(VLOOKUP(Tabelle32[[#This Row],[Device ID]],BOM!$B$3:$BO$50,21,FALSE),"")</f>
        <v>1</v>
      </c>
      <c r="R310" s="64">
        <f>IFERROR(VLOOKUP(Tabelle32[[#This Row],[Device ID]],BOM!$B$3:$BO$50,22,FALSE),"")</f>
        <v>0</v>
      </c>
      <c r="S310" s="64"/>
      <c r="T310" s="64"/>
      <c r="U310" s="59" t="str">
        <f>IFERROR(VLOOKUP(Tabelle32[[#This Row],[Device ID]],BOM!$B$3:$BQ$35,25,FALSE),"")</f>
        <v>Luis/Ivo</v>
      </c>
      <c r="V310" s="59" t="str">
        <f>IFERROR(VLOOKUP(Tabelle32[[#This Row],[Device ID]],BOM!$B$3:$BQ$35,26,FALSE),"")</f>
        <v>tpco-megw-vgw103.rta.st-net.media.int</v>
      </c>
      <c r="W310" s="59" t="str">
        <f>IFERROR(VLOOKUP(Tabelle32[[#This Row],[Device ID]],BOM!$B$3:$BQ$35,27,FALSE),"")</f>
        <v>10.120.236.50</v>
      </c>
      <c r="X310" s="59" t="str">
        <f>IFERROR(VLOOKUP(Tabelle32[[#This Row],[Device ID]],BOM!$B$3:$BQ$35,28,FALSE),"")</f>
        <v>AVCoreA</v>
      </c>
      <c r="Y310" s="59" t="str">
        <f>IFERROR(VLOOKUP(Tabelle32[[#This Row],[Device ID]],BOM!$B$3:$BQ$35,29,FALSE),"")</f>
        <v>5_36_1</v>
      </c>
      <c r="Z310" s="59" t="str">
        <f>IFERROR(VLOOKUP(Tabelle32[[#This Row],[Device ID]],BOM!$B$3:$BQ$35,30,FALSE),"")</f>
        <v>tpco-megw-vgw103.rtb.st-net.media.int</v>
      </c>
      <c r="AA310" s="59" t="str">
        <f>IFERROR(VLOOKUP(Tabelle32[[#This Row],[Device ID]],BOM!$B$3:$BQ$35,31,FALSE),"")</f>
        <v>10.120.236.54</v>
      </c>
      <c r="AB310" s="59" t="str">
        <f>IFERROR(VLOOKUP(Tabelle32[[#This Row],[Device ID]],BOM!$B$3:$BQ$35,32,FALSE),"")</f>
        <v>AVCoreB</v>
      </c>
      <c r="AC310" s="59" t="str">
        <f>IFERROR(VLOOKUP(Tabelle32[[#This Row],[Device ID]],BOM!$B$3:$BQ$35,33,FALSE),"")</f>
        <v>5_36_1</v>
      </c>
      <c r="AD310" s="59" t="str">
        <f>IFERROR(VLOOKUP(Tabelle32[[#This Row],[Device ID]],BOM!$B$3:$BQ$35,34,FALSE),"")</f>
        <v>tpco-megw-vgw103.st-net.media.int</v>
      </c>
      <c r="AE310" s="59" t="str">
        <f>IFERROR(VLOOKUP(Tabelle32[[#This Row],[Device ID]],BOM!$B$3:$BQ$35,35,FALSE),"")</f>
        <v>10.120.67.141</v>
      </c>
      <c r="AF310" s="59">
        <f>IFERROR(VLOOKUP(Tabelle32[[#This Row],[Device ID]],BOM!$B$3:$BQ$35,36,FALSE),"")</f>
        <v>0</v>
      </c>
      <c r="AG310" s="59">
        <f>IFERROR(VLOOKUP(Tabelle32[[#This Row],[Device ID]],BOM!$B$3:$BQ$35,37,FALSE),"")</f>
        <v>0</v>
      </c>
      <c r="AH310" s="59"/>
      <c r="AI310" s="59"/>
      <c r="AJ310" s="59"/>
      <c r="AK310" s="59"/>
      <c r="AL310" s="59" t="str">
        <f>IFERROR(VLOOKUP(Tabelle32[[#This Row],[Device ID]],BOM!$B$3:$BQ$35,42,FALSE),"")</f>
        <v>Imagine Communications SNP</v>
      </c>
      <c r="AM310" s="59" t="str">
        <f>IFERROR(VLOOKUP(Tabelle32[[#This Row],[Device ID]],BOM!$B$3:$BQ$35,43,FALSE),"")</f>
        <v>no</v>
      </c>
      <c r="AN310" s="59" t="str">
        <f>IFERROR(VLOOKUP(Tabelle32[[#This Row],[Device ID]],BOM!$B$3:$BQ$35,44,FALSE),"")</f>
        <v>yes</v>
      </c>
      <c r="AO310" s="59" t="str">
        <f>IFERROR(VLOOKUP(Tabelle32[[#This Row],[Device ID]],BOM!$B$3:$BQ$35,45,FALSE),"")</f>
        <v>no</v>
      </c>
      <c r="AP310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10" s="59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90"/>
      <c r="BC310" s="90"/>
      <c r="BD310" s="90"/>
      <c r="BE310" s="90"/>
      <c r="BF310" s="90"/>
      <c r="BG310" s="90"/>
      <c r="BH310" s="73" t="s">
        <v>199</v>
      </c>
      <c r="BI310" s="30" t="str">
        <f>IF(COUNTA(Tabelle32[[#This Row],[Type:Vid_1080i50]:[Type:Anc_Prot]])&gt;0,"x","")</f>
        <v/>
      </c>
      <c r="BJ31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10" s="59"/>
      <c r="BL310" s="59"/>
      <c r="BM310" s="63"/>
      <c r="BN310" s="63"/>
      <c r="BO310" s="96"/>
      <c r="BP310" s="96"/>
      <c r="BQ310" s="75">
        <f>LEN(Tabelle32[[#This Row],[Label 1
GFX-Unit]])</f>
        <v>0</v>
      </c>
      <c r="BR310" s="63"/>
      <c r="BS310" s="63"/>
      <c r="BT310" s="59"/>
      <c r="BU310" s="59"/>
      <c r="BV310" s="59" t="s">
        <v>248</v>
      </c>
      <c r="BW310" s="59" t="s">
        <v>249</v>
      </c>
      <c r="BX310" s="59" t="s">
        <v>687</v>
      </c>
      <c r="BY310" s="59">
        <v>15</v>
      </c>
    </row>
    <row r="311" spans="1:77" hidden="1" x14ac:dyDescent="0.2">
      <c r="A311" s="58" t="str">
        <f>CONCATENATE(Tabelle32[[#This Row],[Device ID]],".",Tabelle32[[#This Row],[Streamcounter]])</f>
        <v>392.15211</v>
      </c>
      <c r="B31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VGW-103_SDI15_AUDrec_0011</v>
      </c>
      <c r="C311" s="60"/>
      <c r="D311" s="61"/>
      <c r="E311" s="62"/>
      <c r="F311" s="59" t="str">
        <f>IFERROR(VLOOKUP(Tabelle32[[#This Row],[Device ID]],BOM!$B$3:$BQ$35,16,FALSE),"")</f>
        <v>IngSRV-07</v>
      </c>
      <c r="G311" s="63">
        <f>VLOOKUP(Tabelle32[[#This Row],[SDI Interface]],BOM!$A$4:$B$35,2,FALSE)</f>
        <v>392</v>
      </c>
      <c r="H311" s="59" t="str">
        <f>BOM!$C$4</f>
        <v>VGW-103</v>
      </c>
      <c r="I311" s="59" t="str">
        <f>IFERROR(VLOOKUP(Tabelle32[[#This Row],[Device ID]],BOM!$B$3:$BQ$35,12,FALSE),"")</f>
        <v>Videoserver</v>
      </c>
      <c r="J311" s="59" t="str">
        <f>IFERROR(VLOOKUP(Tabelle32[[#This Row],[Device ID]],BOM!$B$3:$BQ$35,13,FALSE),"")</f>
        <v>TC.U1.223 | MDC</v>
      </c>
      <c r="K311" s="59" t="str">
        <f>IFERROR(VLOOKUP(Tabelle32[[#This Row],[Device ID]],BOM!$B$3:$BQ$35,14,FALSE),"")</f>
        <v>Imagine Comunications</v>
      </c>
      <c r="L311" s="59" t="str">
        <f>IFERROR(VLOOKUP(Tabelle32[[#This Row],[Device ID]],BOM!$B$3:$BQ$35,16,FALSE),"")</f>
        <v>IngSRV-07</v>
      </c>
      <c r="M311" s="63" t="str">
        <f>IFERROR(VLOOKUP(Tabelle32[[#This Row],[Device ID]],BOM!$B$3:$BQ$35,17,FALSE),"")</f>
        <v>M3H</v>
      </c>
      <c r="N311" s="59" t="str">
        <f>IFERROR(VLOOKUP(Tabelle32[[#This Row],[Device ID]],BOM!$B$3:$BQ$35,18,FALSE),"")</f>
        <v>TC.03.225 | M3H</v>
      </c>
      <c r="O311" s="64"/>
      <c r="P311" s="64">
        <f>IFERROR(VLOOKUP(Tabelle32[[#This Row],[Device ID]],BOM!$B$3:$BO$50,20,FALSE),"")</f>
        <v>0</v>
      </c>
      <c r="Q311" s="64">
        <f>IFERROR(VLOOKUP(Tabelle32[[#This Row],[Device ID]],BOM!$B$3:$BO$50,21,FALSE),"")</f>
        <v>1</v>
      </c>
      <c r="R311" s="64">
        <f>IFERROR(VLOOKUP(Tabelle32[[#This Row],[Device ID]],BOM!$B$3:$BO$50,22,FALSE),"")</f>
        <v>0</v>
      </c>
      <c r="S311" s="64"/>
      <c r="T311" s="64"/>
      <c r="U311" s="59" t="str">
        <f>IFERROR(VLOOKUP(Tabelle32[[#This Row],[Device ID]],BOM!$B$3:$BQ$35,25,FALSE),"")</f>
        <v>Luis/Ivo</v>
      </c>
      <c r="V311" s="59" t="str">
        <f>IFERROR(VLOOKUP(Tabelle32[[#This Row],[Device ID]],BOM!$B$3:$BQ$35,26,FALSE),"")</f>
        <v>tpco-megw-vgw103.rta.st-net.media.int</v>
      </c>
      <c r="W311" s="59" t="str">
        <f>IFERROR(VLOOKUP(Tabelle32[[#This Row],[Device ID]],BOM!$B$3:$BQ$35,27,FALSE),"")</f>
        <v>10.120.236.50</v>
      </c>
      <c r="X311" s="59" t="str">
        <f>IFERROR(VLOOKUP(Tabelle32[[#This Row],[Device ID]],BOM!$B$3:$BQ$35,28,FALSE),"")</f>
        <v>AVCoreA</v>
      </c>
      <c r="Y311" s="59" t="str">
        <f>IFERROR(VLOOKUP(Tabelle32[[#This Row],[Device ID]],BOM!$B$3:$BQ$35,29,FALSE),"")</f>
        <v>5_36_1</v>
      </c>
      <c r="Z311" s="59" t="str">
        <f>IFERROR(VLOOKUP(Tabelle32[[#This Row],[Device ID]],BOM!$B$3:$BQ$35,30,FALSE),"")</f>
        <v>tpco-megw-vgw103.rtb.st-net.media.int</v>
      </c>
      <c r="AA311" s="59" t="str">
        <f>IFERROR(VLOOKUP(Tabelle32[[#This Row],[Device ID]],BOM!$B$3:$BQ$35,31,FALSE),"")</f>
        <v>10.120.236.54</v>
      </c>
      <c r="AB311" s="59" t="str">
        <f>IFERROR(VLOOKUP(Tabelle32[[#This Row],[Device ID]],BOM!$B$3:$BQ$35,32,FALSE),"")</f>
        <v>AVCoreB</v>
      </c>
      <c r="AC311" s="59" t="str">
        <f>IFERROR(VLOOKUP(Tabelle32[[#This Row],[Device ID]],BOM!$B$3:$BQ$35,33,FALSE),"")</f>
        <v>5_36_1</v>
      </c>
      <c r="AD311" s="59" t="str">
        <f>IFERROR(VLOOKUP(Tabelle32[[#This Row],[Device ID]],BOM!$B$3:$BQ$35,34,FALSE),"")</f>
        <v>tpco-megw-vgw103.st-net.media.int</v>
      </c>
      <c r="AE311" s="59" t="str">
        <f>IFERROR(VLOOKUP(Tabelle32[[#This Row],[Device ID]],BOM!$B$3:$BQ$35,35,FALSE),"")</f>
        <v>10.120.67.141</v>
      </c>
      <c r="AF311" s="59">
        <f>IFERROR(VLOOKUP(Tabelle32[[#This Row],[Device ID]],BOM!$B$3:$BQ$35,36,FALSE),"")</f>
        <v>0</v>
      </c>
      <c r="AG311" s="59">
        <f>IFERROR(VLOOKUP(Tabelle32[[#This Row],[Device ID]],BOM!$B$3:$BQ$35,37,FALSE),"")</f>
        <v>0</v>
      </c>
      <c r="AH311" s="59"/>
      <c r="AI311" s="59"/>
      <c r="AJ311" s="59"/>
      <c r="AK311" s="59"/>
      <c r="AL311" s="59" t="str">
        <f>IFERROR(VLOOKUP(Tabelle32[[#This Row],[Device ID]],BOM!$B$3:$BQ$35,42,FALSE),"")</f>
        <v>Imagine Communications SNP</v>
      </c>
      <c r="AM311" s="59" t="str">
        <f>IFERROR(VLOOKUP(Tabelle32[[#This Row],[Device ID]],BOM!$B$3:$BQ$35,43,FALSE),"")</f>
        <v>no</v>
      </c>
      <c r="AN311" s="59" t="str">
        <f>IFERROR(VLOOKUP(Tabelle32[[#This Row],[Device ID]],BOM!$B$3:$BQ$35,44,FALSE),"")</f>
        <v>yes</v>
      </c>
      <c r="AO311" s="59" t="str">
        <f>IFERROR(VLOOKUP(Tabelle32[[#This Row],[Device ID]],BOM!$B$3:$BQ$35,45,FALSE),"")</f>
        <v>no</v>
      </c>
      <c r="AP311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11" s="59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90"/>
      <c r="BC311" s="90"/>
      <c r="BD311" s="90"/>
      <c r="BE311" s="90"/>
      <c r="BF311" s="90"/>
      <c r="BG311" s="90"/>
      <c r="BH311" s="73" t="s">
        <v>199</v>
      </c>
      <c r="BI311" s="30" t="str">
        <f>IF(COUNTA(Tabelle32[[#This Row],[Type:Vid_1080i50]:[Type:Anc_Prot]])&gt;0,"x","")</f>
        <v/>
      </c>
      <c r="BJ31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11" s="59"/>
      <c r="BL311" s="59"/>
      <c r="BM311" s="63"/>
      <c r="BN311" s="63"/>
      <c r="BO311" s="96"/>
      <c r="BP311" s="96"/>
      <c r="BQ311" s="75">
        <f>LEN(Tabelle32[[#This Row],[Label 1
GFX-Unit]])</f>
        <v>0</v>
      </c>
      <c r="BR311" s="63"/>
      <c r="BS311" s="63"/>
      <c r="BT311" s="59"/>
      <c r="BU311" s="59"/>
      <c r="BV311" s="59" t="s">
        <v>251</v>
      </c>
      <c r="BW311" s="59" t="s">
        <v>252</v>
      </c>
      <c r="BX311" s="59" t="s">
        <v>688</v>
      </c>
      <c r="BY311" s="59">
        <v>15</v>
      </c>
    </row>
    <row r="312" spans="1:77" hidden="1" x14ac:dyDescent="0.2">
      <c r="A312" s="58" t="str">
        <f>CONCATENATE(Tabelle32[[#This Row],[Device ID]],".",Tabelle32[[#This Row],[Streamcounter]])</f>
        <v>392.15212</v>
      </c>
      <c r="B31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VGW-103_SDI15_AUDrec_0012</v>
      </c>
      <c r="C312" s="60"/>
      <c r="D312" s="61"/>
      <c r="E312" s="62"/>
      <c r="F312" s="59" t="str">
        <f>IFERROR(VLOOKUP(Tabelle32[[#This Row],[Device ID]],BOM!$B$3:$BQ$35,16,FALSE),"")</f>
        <v>IngSRV-07</v>
      </c>
      <c r="G312" s="63">
        <f>VLOOKUP(Tabelle32[[#This Row],[SDI Interface]],BOM!$A$4:$B$35,2,FALSE)</f>
        <v>392</v>
      </c>
      <c r="H312" s="59" t="str">
        <f>BOM!$C$4</f>
        <v>VGW-103</v>
      </c>
      <c r="I312" s="59" t="str">
        <f>IFERROR(VLOOKUP(Tabelle32[[#This Row],[Device ID]],BOM!$B$3:$BQ$35,12,FALSE),"")</f>
        <v>Videoserver</v>
      </c>
      <c r="J312" s="59" t="str">
        <f>IFERROR(VLOOKUP(Tabelle32[[#This Row],[Device ID]],BOM!$B$3:$BQ$35,13,FALSE),"")</f>
        <v>TC.U1.223 | MDC</v>
      </c>
      <c r="K312" s="59" t="str">
        <f>IFERROR(VLOOKUP(Tabelle32[[#This Row],[Device ID]],BOM!$B$3:$BQ$35,14,FALSE),"")</f>
        <v>Imagine Comunications</v>
      </c>
      <c r="L312" s="59" t="str">
        <f>IFERROR(VLOOKUP(Tabelle32[[#This Row],[Device ID]],BOM!$B$3:$BQ$35,16,FALSE),"")</f>
        <v>IngSRV-07</v>
      </c>
      <c r="M312" s="63" t="str">
        <f>IFERROR(VLOOKUP(Tabelle32[[#This Row],[Device ID]],BOM!$B$3:$BQ$35,17,FALSE),"")</f>
        <v>M3H</v>
      </c>
      <c r="N312" s="59" t="str">
        <f>IFERROR(VLOOKUP(Tabelle32[[#This Row],[Device ID]],BOM!$B$3:$BQ$35,18,FALSE),"")</f>
        <v>TC.03.225 | M3H</v>
      </c>
      <c r="O312" s="64"/>
      <c r="P312" s="64">
        <f>IFERROR(VLOOKUP(Tabelle32[[#This Row],[Device ID]],BOM!$B$3:$BO$50,20,FALSE),"")</f>
        <v>0</v>
      </c>
      <c r="Q312" s="64">
        <f>IFERROR(VLOOKUP(Tabelle32[[#This Row],[Device ID]],BOM!$B$3:$BO$50,21,FALSE),"")</f>
        <v>1</v>
      </c>
      <c r="R312" s="64">
        <f>IFERROR(VLOOKUP(Tabelle32[[#This Row],[Device ID]],BOM!$B$3:$BO$50,22,FALSE),"")</f>
        <v>0</v>
      </c>
      <c r="S312" s="64"/>
      <c r="T312" s="64"/>
      <c r="U312" s="59" t="str">
        <f>IFERROR(VLOOKUP(Tabelle32[[#This Row],[Device ID]],BOM!$B$3:$BQ$35,25,FALSE),"")</f>
        <v>Luis/Ivo</v>
      </c>
      <c r="V312" s="59" t="str">
        <f>IFERROR(VLOOKUP(Tabelle32[[#This Row],[Device ID]],BOM!$B$3:$BQ$35,26,FALSE),"")</f>
        <v>tpco-megw-vgw103.rta.st-net.media.int</v>
      </c>
      <c r="W312" s="59" t="str">
        <f>IFERROR(VLOOKUP(Tabelle32[[#This Row],[Device ID]],BOM!$B$3:$BQ$35,27,FALSE),"")</f>
        <v>10.120.236.50</v>
      </c>
      <c r="X312" s="59" t="str">
        <f>IFERROR(VLOOKUP(Tabelle32[[#This Row],[Device ID]],BOM!$B$3:$BQ$35,28,FALSE),"")</f>
        <v>AVCoreA</v>
      </c>
      <c r="Y312" s="59" t="str">
        <f>IFERROR(VLOOKUP(Tabelle32[[#This Row],[Device ID]],BOM!$B$3:$BQ$35,29,FALSE),"")</f>
        <v>5_36_1</v>
      </c>
      <c r="Z312" s="59" t="str">
        <f>IFERROR(VLOOKUP(Tabelle32[[#This Row],[Device ID]],BOM!$B$3:$BQ$35,30,FALSE),"")</f>
        <v>tpco-megw-vgw103.rtb.st-net.media.int</v>
      </c>
      <c r="AA312" s="59" t="str">
        <f>IFERROR(VLOOKUP(Tabelle32[[#This Row],[Device ID]],BOM!$B$3:$BQ$35,31,FALSE),"")</f>
        <v>10.120.236.54</v>
      </c>
      <c r="AB312" s="59" t="str">
        <f>IFERROR(VLOOKUP(Tabelle32[[#This Row],[Device ID]],BOM!$B$3:$BQ$35,32,FALSE),"")</f>
        <v>AVCoreB</v>
      </c>
      <c r="AC312" s="59" t="str">
        <f>IFERROR(VLOOKUP(Tabelle32[[#This Row],[Device ID]],BOM!$B$3:$BQ$35,33,FALSE),"")</f>
        <v>5_36_1</v>
      </c>
      <c r="AD312" s="59" t="str">
        <f>IFERROR(VLOOKUP(Tabelle32[[#This Row],[Device ID]],BOM!$B$3:$BQ$35,34,FALSE),"")</f>
        <v>tpco-megw-vgw103.st-net.media.int</v>
      </c>
      <c r="AE312" s="59" t="str">
        <f>IFERROR(VLOOKUP(Tabelle32[[#This Row],[Device ID]],BOM!$B$3:$BQ$35,35,FALSE),"")</f>
        <v>10.120.67.141</v>
      </c>
      <c r="AF312" s="59">
        <f>IFERROR(VLOOKUP(Tabelle32[[#This Row],[Device ID]],BOM!$B$3:$BQ$35,36,FALSE),"")</f>
        <v>0</v>
      </c>
      <c r="AG312" s="59">
        <f>IFERROR(VLOOKUP(Tabelle32[[#This Row],[Device ID]],BOM!$B$3:$BQ$35,37,FALSE),"")</f>
        <v>0</v>
      </c>
      <c r="AH312" s="59"/>
      <c r="AI312" s="59"/>
      <c r="AJ312" s="59"/>
      <c r="AK312" s="59"/>
      <c r="AL312" s="59" t="str">
        <f>IFERROR(VLOOKUP(Tabelle32[[#This Row],[Device ID]],BOM!$B$3:$BQ$35,42,FALSE),"")</f>
        <v>Imagine Communications SNP</v>
      </c>
      <c r="AM312" s="59" t="str">
        <f>IFERROR(VLOOKUP(Tabelle32[[#This Row],[Device ID]],BOM!$B$3:$BQ$35,43,FALSE),"")</f>
        <v>no</v>
      </c>
      <c r="AN312" s="59" t="str">
        <f>IFERROR(VLOOKUP(Tabelle32[[#This Row],[Device ID]],BOM!$B$3:$BQ$35,44,FALSE),"")</f>
        <v>yes</v>
      </c>
      <c r="AO312" s="59" t="str">
        <f>IFERROR(VLOOKUP(Tabelle32[[#This Row],[Device ID]],BOM!$B$3:$BQ$35,45,FALSE),"")</f>
        <v>no</v>
      </c>
      <c r="AP312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12" s="59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90"/>
      <c r="BC312" s="90"/>
      <c r="BD312" s="90"/>
      <c r="BE312" s="90"/>
      <c r="BF312" s="90"/>
      <c r="BG312" s="90"/>
      <c r="BH312" s="73" t="s">
        <v>199</v>
      </c>
      <c r="BI312" s="30" t="str">
        <f>IF(COUNTA(Tabelle32[[#This Row],[Type:Vid_1080i50]:[Type:Anc_Prot]])&gt;0,"x","")</f>
        <v/>
      </c>
      <c r="BJ31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12" s="59"/>
      <c r="BL312" s="59"/>
      <c r="BM312" s="63"/>
      <c r="BN312" s="63"/>
      <c r="BO312" s="96"/>
      <c r="BP312" s="96"/>
      <c r="BQ312" s="75">
        <f>LEN(Tabelle32[[#This Row],[Label 1
GFX-Unit]])</f>
        <v>0</v>
      </c>
      <c r="BR312" s="63"/>
      <c r="BS312" s="63"/>
      <c r="BT312" s="59"/>
      <c r="BU312" s="59"/>
      <c r="BV312" s="59" t="s">
        <v>254</v>
      </c>
      <c r="BW312" s="59" t="s">
        <v>255</v>
      </c>
      <c r="BX312" s="59" t="s">
        <v>689</v>
      </c>
      <c r="BY312" s="59">
        <v>15</v>
      </c>
    </row>
    <row r="313" spans="1:77" hidden="1" x14ac:dyDescent="0.2">
      <c r="A313" s="58" t="str">
        <f>CONCATENATE(Tabelle32[[#This Row],[Device ID]],".",Tabelle32[[#This Row],[Streamcounter]])</f>
        <v>392.15213</v>
      </c>
      <c r="B31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VGW-103_SDI15_AUDrec_0013</v>
      </c>
      <c r="C313" s="60"/>
      <c r="D313" s="61"/>
      <c r="E313" s="62"/>
      <c r="F313" s="59" t="str">
        <f>IFERROR(VLOOKUP(Tabelle32[[#This Row],[Device ID]],BOM!$B$3:$BQ$35,16,FALSE),"")</f>
        <v>IngSRV-07</v>
      </c>
      <c r="G313" s="63">
        <f>VLOOKUP(Tabelle32[[#This Row],[SDI Interface]],BOM!$A$4:$B$35,2,FALSE)</f>
        <v>392</v>
      </c>
      <c r="H313" s="59" t="str">
        <f>BOM!$C$4</f>
        <v>VGW-103</v>
      </c>
      <c r="I313" s="59" t="str">
        <f>IFERROR(VLOOKUP(Tabelle32[[#This Row],[Device ID]],BOM!$B$3:$BQ$35,12,FALSE),"")</f>
        <v>Videoserver</v>
      </c>
      <c r="J313" s="59" t="str">
        <f>IFERROR(VLOOKUP(Tabelle32[[#This Row],[Device ID]],BOM!$B$3:$BQ$35,13,FALSE),"")</f>
        <v>TC.U1.223 | MDC</v>
      </c>
      <c r="K313" s="59" t="str">
        <f>IFERROR(VLOOKUP(Tabelle32[[#This Row],[Device ID]],BOM!$B$3:$BQ$35,14,FALSE),"")</f>
        <v>Imagine Comunications</v>
      </c>
      <c r="L313" s="59" t="str">
        <f>IFERROR(VLOOKUP(Tabelle32[[#This Row],[Device ID]],BOM!$B$3:$BQ$35,16,FALSE),"")</f>
        <v>IngSRV-07</v>
      </c>
      <c r="M313" s="63" t="str">
        <f>IFERROR(VLOOKUP(Tabelle32[[#This Row],[Device ID]],BOM!$B$3:$BQ$35,17,FALSE),"")</f>
        <v>M3H</v>
      </c>
      <c r="N313" s="59" t="str">
        <f>IFERROR(VLOOKUP(Tabelle32[[#This Row],[Device ID]],BOM!$B$3:$BQ$35,18,FALSE),"")</f>
        <v>TC.03.225 | M3H</v>
      </c>
      <c r="O313" s="64"/>
      <c r="P313" s="64">
        <f>IFERROR(VLOOKUP(Tabelle32[[#This Row],[Device ID]],BOM!$B$3:$BO$50,20,FALSE),"")</f>
        <v>0</v>
      </c>
      <c r="Q313" s="64">
        <f>IFERROR(VLOOKUP(Tabelle32[[#This Row],[Device ID]],BOM!$B$3:$BO$50,21,FALSE),"")</f>
        <v>1</v>
      </c>
      <c r="R313" s="64">
        <f>IFERROR(VLOOKUP(Tabelle32[[#This Row],[Device ID]],BOM!$B$3:$BO$50,22,FALSE),"")</f>
        <v>0</v>
      </c>
      <c r="S313" s="64"/>
      <c r="T313" s="64"/>
      <c r="U313" s="59" t="str">
        <f>IFERROR(VLOOKUP(Tabelle32[[#This Row],[Device ID]],BOM!$B$3:$BQ$35,25,FALSE),"")</f>
        <v>Luis/Ivo</v>
      </c>
      <c r="V313" s="59" t="str">
        <f>IFERROR(VLOOKUP(Tabelle32[[#This Row],[Device ID]],BOM!$B$3:$BQ$35,26,FALSE),"")</f>
        <v>tpco-megw-vgw103.rta.st-net.media.int</v>
      </c>
      <c r="W313" s="59" t="str">
        <f>IFERROR(VLOOKUP(Tabelle32[[#This Row],[Device ID]],BOM!$B$3:$BQ$35,27,FALSE),"")</f>
        <v>10.120.236.50</v>
      </c>
      <c r="X313" s="59" t="str">
        <f>IFERROR(VLOOKUP(Tabelle32[[#This Row],[Device ID]],BOM!$B$3:$BQ$35,28,FALSE),"")</f>
        <v>AVCoreA</v>
      </c>
      <c r="Y313" s="59" t="str">
        <f>IFERROR(VLOOKUP(Tabelle32[[#This Row],[Device ID]],BOM!$B$3:$BQ$35,29,FALSE),"")</f>
        <v>5_36_1</v>
      </c>
      <c r="Z313" s="59" t="str">
        <f>IFERROR(VLOOKUP(Tabelle32[[#This Row],[Device ID]],BOM!$B$3:$BQ$35,30,FALSE),"")</f>
        <v>tpco-megw-vgw103.rtb.st-net.media.int</v>
      </c>
      <c r="AA313" s="59" t="str">
        <f>IFERROR(VLOOKUP(Tabelle32[[#This Row],[Device ID]],BOM!$B$3:$BQ$35,31,FALSE),"")</f>
        <v>10.120.236.54</v>
      </c>
      <c r="AB313" s="59" t="str">
        <f>IFERROR(VLOOKUP(Tabelle32[[#This Row],[Device ID]],BOM!$B$3:$BQ$35,32,FALSE),"")</f>
        <v>AVCoreB</v>
      </c>
      <c r="AC313" s="59" t="str">
        <f>IFERROR(VLOOKUP(Tabelle32[[#This Row],[Device ID]],BOM!$B$3:$BQ$35,33,FALSE),"")</f>
        <v>5_36_1</v>
      </c>
      <c r="AD313" s="59" t="str">
        <f>IFERROR(VLOOKUP(Tabelle32[[#This Row],[Device ID]],BOM!$B$3:$BQ$35,34,FALSE),"")</f>
        <v>tpco-megw-vgw103.st-net.media.int</v>
      </c>
      <c r="AE313" s="59" t="str">
        <f>IFERROR(VLOOKUP(Tabelle32[[#This Row],[Device ID]],BOM!$B$3:$BQ$35,35,FALSE),"")</f>
        <v>10.120.67.141</v>
      </c>
      <c r="AF313" s="59">
        <f>IFERROR(VLOOKUP(Tabelle32[[#This Row],[Device ID]],BOM!$B$3:$BQ$35,36,FALSE),"")</f>
        <v>0</v>
      </c>
      <c r="AG313" s="59">
        <f>IFERROR(VLOOKUP(Tabelle32[[#This Row],[Device ID]],BOM!$B$3:$BQ$35,37,FALSE),"")</f>
        <v>0</v>
      </c>
      <c r="AH313" s="59"/>
      <c r="AI313" s="59"/>
      <c r="AJ313" s="59"/>
      <c r="AK313" s="59"/>
      <c r="AL313" s="59" t="str">
        <f>IFERROR(VLOOKUP(Tabelle32[[#This Row],[Device ID]],BOM!$B$3:$BQ$35,42,FALSE),"")</f>
        <v>Imagine Communications SNP</v>
      </c>
      <c r="AM313" s="59" t="str">
        <f>IFERROR(VLOOKUP(Tabelle32[[#This Row],[Device ID]],BOM!$B$3:$BQ$35,43,FALSE),"")</f>
        <v>no</v>
      </c>
      <c r="AN313" s="59" t="str">
        <f>IFERROR(VLOOKUP(Tabelle32[[#This Row],[Device ID]],BOM!$B$3:$BQ$35,44,FALSE),"")</f>
        <v>yes</v>
      </c>
      <c r="AO313" s="59" t="str">
        <f>IFERROR(VLOOKUP(Tabelle32[[#This Row],[Device ID]],BOM!$B$3:$BQ$35,45,FALSE),"")</f>
        <v>no</v>
      </c>
      <c r="AP313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13" s="59"/>
      <c r="AR313" s="90"/>
      <c r="AS313" s="90"/>
      <c r="AT313" s="90"/>
      <c r="AU313" s="90"/>
      <c r="AV313" s="90"/>
      <c r="AW313" s="90"/>
      <c r="AX313" s="90"/>
      <c r="AY313" s="90"/>
      <c r="AZ313" s="90"/>
      <c r="BA313" s="90"/>
      <c r="BB313" s="90"/>
      <c r="BC313" s="90"/>
      <c r="BD313" s="90"/>
      <c r="BE313" s="90"/>
      <c r="BF313" s="90"/>
      <c r="BG313" s="90"/>
      <c r="BH313" s="73" t="s">
        <v>199</v>
      </c>
      <c r="BI313" s="30" t="str">
        <f>IF(COUNTA(Tabelle32[[#This Row],[Type:Vid_1080i50]:[Type:Anc_Prot]])&gt;0,"x","")</f>
        <v/>
      </c>
      <c r="BJ31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13" s="59"/>
      <c r="BL313" s="59"/>
      <c r="BM313" s="63"/>
      <c r="BN313" s="63"/>
      <c r="BO313" s="96"/>
      <c r="BP313" s="96"/>
      <c r="BQ313" s="75">
        <f>LEN(Tabelle32[[#This Row],[Label 1
GFX-Unit]])</f>
        <v>0</v>
      </c>
      <c r="BR313" s="63"/>
      <c r="BS313" s="63"/>
      <c r="BT313" s="59"/>
      <c r="BU313" s="59"/>
      <c r="BV313" s="59" t="s">
        <v>257</v>
      </c>
      <c r="BW313" s="59" t="s">
        <v>258</v>
      </c>
      <c r="BX313" s="59" t="s">
        <v>690</v>
      </c>
      <c r="BY313" s="59">
        <v>15</v>
      </c>
    </row>
    <row r="314" spans="1:77" hidden="1" x14ac:dyDescent="0.2">
      <c r="A314" s="58" t="str">
        <f>CONCATENATE(Tabelle32[[#This Row],[Device ID]],".",Tabelle32[[#This Row],[Streamcounter]])</f>
        <v>392.15214</v>
      </c>
      <c r="B31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VGW-103_SDI15_AUDrec_0014</v>
      </c>
      <c r="C314" s="60"/>
      <c r="D314" s="61"/>
      <c r="E314" s="62"/>
      <c r="F314" s="59" t="str">
        <f>IFERROR(VLOOKUP(Tabelle32[[#This Row],[Device ID]],BOM!$B$3:$BQ$35,16,FALSE),"")</f>
        <v>IngSRV-07</v>
      </c>
      <c r="G314" s="63">
        <f>VLOOKUP(Tabelle32[[#This Row],[SDI Interface]],BOM!$A$4:$B$35,2,FALSE)</f>
        <v>392</v>
      </c>
      <c r="H314" s="59" t="str">
        <f>BOM!$C$4</f>
        <v>VGW-103</v>
      </c>
      <c r="I314" s="59" t="str">
        <f>IFERROR(VLOOKUP(Tabelle32[[#This Row],[Device ID]],BOM!$B$3:$BQ$35,12,FALSE),"")</f>
        <v>Videoserver</v>
      </c>
      <c r="J314" s="59" t="str">
        <f>IFERROR(VLOOKUP(Tabelle32[[#This Row],[Device ID]],BOM!$B$3:$BQ$35,13,FALSE),"")</f>
        <v>TC.U1.223 | MDC</v>
      </c>
      <c r="K314" s="59" t="str">
        <f>IFERROR(VLOOKUP(Tabelle32[[#This Row],[Device ID]],BOM!$B$3:$BQ$35,14,FALSE),"")</f>
        <v>Imagine Comunications</v>
      </c>
      <c r="L314" s="59" t="str">
        <f>IFERROR(VLOOKUP(Tabelle32[[#This Row],[Device ID]],BOM!$B$3:$BQ$35,16,FALSE),"")</f>
        <v>IngSRV-07</v>
      </c>
      <c r="M314" s="63" t="str">
        <f>IFERROR(VLOOKUP(Tabelle32[[#This Row],[Device ID]],BOM!$B$3:$BQ$35,17,FALSE),"")</f>
        <v>M3H</v>
      </c>
      <c r="N314" s="59" t="str">
        <f>IFERROR(VLOOKUP(Tabelle32[[#This Row],[Device ID]],BOM!$B$3:$BQ$35,18,FALSE),"")</f>
        <v>TC.03.225 | M3H</v>
      </c>
      <c r="O314" s="64"/>
      <c r="P314" s="64">
        <f>IFERROR(VLOOKUP(Tabelle32[[#This Row],[Device ID]],BOM!$B$3:$BO$50,20,FALSE),"")</f>
        <v>0</v>
      </c>
      <c r="Q314" s="64">
        <f>IFERROR(VLOOKUP(Tabelle32[[#This Row],[Device ID]],BOM!$B$3:$BO$50,21,FALSE),"")</f>
        <v>1</v>
      </c>
      <c r="R314" s="64">
        <f>IFERROR(VLOOKUP(Tabelle32[[#This Row],[Device ID]],BOM!$B$3:$BO$50,22,FALSE),"")</f>
        <v>0</v>
      </c>
      <c r="S314" s="64"/>
      <c r="T314" s="64"/>
      <c r="U314" s="59" t="str">
        <f>IFERROR(VLOOKUP(Tabelle32[[#This Row],[Device ID]],BOM!$B$3:$BQ$35,25,FALSE),"")</f>
        <v>Luis/Ivo</v>
      </c>
      <c r="V314" s="59" t="str">
        <f>IFERROR(VLOOKUP(Tabelle32[[#This Row],[Device ID]],BOM!$B$3:$BQ$35,26,FALSE),"")</f>
        <v>tpco-megw-vgw103.rta.st-net.media.int</v>
      </c>
      <c r="W314" s="59" t="str">
        <f>IFERROR(VLOOKUP(Tabelle32[[#This Row],[Device ID]],BOM!$B$3:$BQ$35,27,FALSE),"")</f>
        <v>10.120.236.50</v>
      </c>
      <c r="X314" s="59" t="str">
        <f>IFERROR(VLOOKUP(Tabelle32[[#This Row],[Device ID]],BOM!$B$3:$BQ$35,28,FALSE),"")</f>
        <v>AVCoreA</v>
      </c>
      <c r="Y314" s="59" t="str">
        <f>IFERROR(VLOOKUP(Tabelle32[[#This Row],[Device ID]],BOM!$B$3:$BQ$35,29,FALSE),"")</f>
        <v>5_36_1</v>
      </c>
      <c r="Z314" s="59" t="str">
        <f>IFERROR(VLOOKUP(Tabelle32[[#This Row],[Device ID]],BOM!$B$3:$BQ$35,30,FALSE),"")</f>
        <v>tpco-megw-vgw103.rtb.st-net.media.int</v>
      </c>
      <c r="AA314" s="59" t="str">
        <f>IFERROR(VLOOKUP(Tabelle32[[#This Row],[Device ID]],BOM!$B$3:$BQ$35,31,FALSE),"")</f>
        <v>10.120.236.54</v>
      </c>
      <c r="AB314" s="59" t="str">
        <f>IFERROR(VLOOKUP(Tabelle32[[#This Row],[Device ID]],BOM!$B$3:$BQ$35,32,FALSE),"")</f>
        <v>AVCoreB</v>
      </c>
      <c r="AC314" s="59" t="str">
        <f>IFERROR(VLOOKUP(Tabelle32[[#This Row],[Device ID]],BOM!$B$3:$BQ$35,33,FALSE),"")</f>
        <v>5_36_1</v>
      </c>
      <c r="AD314" s="59" t="str">
        <f>IFERROR(VLOOKUP(Tabelle32[[#This Row],[Device ID]],BOM!$B$3:$BQ$35,34,FALSE),"")</f>
        <v>tpco-megw-vgw103.st-net.media.int</v>
      </c>
      <c r="AE314" s="59" t="str">
        <f>IFERROR(VLOOKUP(Tabelle32[[#This Row],[Device ID]],BOM!$B$3:$BQ$35,35,FALSE),"")</f>
        <v>10.120.67.141</v>
      </c>
      <c r="AF314" s="59">
        <f>IFERROR(VLOOKUP(Tabelle32[[#This Row],[Device ID]],BOM!$B$3:$BQ$35,36,FALSE),"")</f>
        <v>0</v>
      </c>
      <c r="AG314" s="59">
        <f>IFERROR(VLOOKUP(Tabelle32[[#This Row],[Device ID]],BOM!$B$3:$BQ$35,37,FALSE),"")</f>
        <v>0</v>
      </c>
      <c r="AH314" s="59"/>
      <c r="AI314" s="59"/>
      <c r="AJ314" s="59"/>
      <c r="AK314" s="59"/>
      <c r="AL314" s="59" t="str">
        <f>IFERROR(VLOOKUP(Tabelle32[[#This Row],[Device ID]],BOM!$B$3:$BQ$35,42,FALSE),"")</f>
        <v>Imagine Communications SNP</v>
      </c>
      <c r="AM314" s="59" t="str">
        <f>IFERROR(VLOOKUP(Tabelle32[[#This Row],[Device ID]],BOM!$B$3:$BQ$35,43,FALSE),"")</f>
        <v>no</v>
      </c>
      <c r="AN314" s="59" t="str">
        <f>IFERROR(VLOOKUP(Tabelle32[[#This Row],[Device ID]],BOM!$B$3:$BQ$35,44,FALSE),"")</f>
        <v>yes</v>
      </c>
      <c r="AO314" s="59" t="str">
        <f>IFERROR(VLOOKUP(Tabelle32[[#This Row],[Device ID]],BOM!$B$3:$BQ$35,45,FALSE),"")</f>
        <v>no</v>
      </c>
      <c r="AP314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14" s="59"/>
      <c r="AR314" s="90"/>
      <c r="AS314" s="90"/>
      <c r="AT314" s="90"/>
      <c r="AU314" s="90"/>
      <c r="AV314" s="90"/>
      <c r="AW314" s="90"/>
      <c r="AX314" s="90"/>
      <c r="AY314" s="90"/>
      <c r="AZ314" s="90"/>
      <c r="BA314" s="90"/>
      <c r="BB314" s="90"/>
      <c r="BC314" s="90"/>
      <c r="BD314" s="90"/>
      <c r="BE314" s="90"/>
      <c r="BF314" s="90"/>
      <c r="BG314" s="90"/>
      <c r="BH314" s="73" t="s">
        <v>199</v>
      </c>
      <c r="BI314" s="30" t="str">
        <f>IF(COUNTA(Tabelle32[[#This Row],[Type:Vid_1080i50]:[Type:Anc_Prot]])&gt;0,"x","")</f>
        <v/>
      </c>
      <c r="BJ31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14" s="59"/>
      <c r="BL314" s="59"/>
      <c r="BM314" s="63"/>
      <c r="BN314" s="63"/>
      <c r="BO314" s="96"/>
      <c r="BP314" s="96"/>
      <c r="BQ314" s="75">
        <f>LEN(Tabelle32[[#This Row],[Label 1
GFX-Unit]])</f>
        <v>0</v>
      </c>
      <c r="BR314" s="63"/>
      <c r="BS314" s="63"/>
      <c r="BT314" s="59"/>
      <c r="BU314" s="59"/>
      <c r="BV314" s="59" t="s">
        <v>260</v>
      </c>
      <c r="BW314" s="59" t="s">
        <v>261</v>
      </c>
      <c r="BX314" s="59" t="s">
        <v>691</v>
      </c>
      <c r="BY314" s="59">
        <v>15</v>
      </c>
    </row>
    <row r="315" spans="1:77" x14ac:dyDescent="0.2">
      <c r="A315" s="58" t="str">
        <f>CONCATENATE(Tabelle32[[#This Row],[Device ID]],".",Tabelle32[[#This Row],[Streamcounter]])</f>
        <v>392.15215</v>
      </c>
      <c r="B31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VGW-103_SDI15_AUDrec_0015</v>
      </c>
      <c r="C315" s="60"/>
      <c r="D315" s="61"/>
      <c r="E315" s="62"/>
      <c r="F315" s="59" t="str">
        <f>IFERROR(VLOOKUP(Tabelle32[[#This Row],[Device ID]],BOM!$B$3:$BQ$35,16,FALSE),"")</f>
        <v>IngSRV-07</v>
      </c>
      <c r="G315" s="63">
        <f>VLOOKUP(Tabelle32[[#This Row],[SDI Interface]],BOM!$A$4:$B$35,2,FALSE)</f>
        <v>392</v>
      </c>
      <c r="H315" s="59" t="str">
        <f>BOM!$C$4</f>
        <v>VGW-103</v>
      </c>
      <c r="I315" s="59" t="str">
        <f>IFERROR(VLOOKUP(Tabelle32[[#This Row],[Device ID]],BOM!$B$3:$BQ$35,12,FALSE),"")</f>
        <v>Videoserver</v>
      </c>
      <c r="J315" s="59" t="str">
        <f>IFERROR(VLOOKUP(Tabelle32[[#This Row],[Device ID]],BOM!$B$3:$BQ$35,13,FALSE),"")</f>
        <v>TC.U1.223 | MDC</v>
      </c>
      <c r="K315" s="59" t="str">
        <f>IFERROR(VLOOKUP(Tabelle32[[#This Row],[Device ID]],BOM!$B$3:$BQ$35,14,FALSE),"")</f>
        <v>Imagine Comunications</v>
      </c>
      <c r="L315" s="59" t="str">
        <f>IFERROR(VLOOKUP(Tabelle32[[#This Row],[Device ID]],BOM!$B$3:$BQ$35,16,FALSE),"")</f>
        <v>IngSRV-07</v>
      </c>
      <c r="M315" s="63" t="str">
        <f>IFERROR(VLOOKUP(Tabelle32[[#This Row],[Device ID]],BOM!$B$3:$BQ$35,17,FALSE),"")</f>
        <v>M3H</v>
      </c>
      <c r="N315" s="59" t="str">
        <f>IFERROR(VLOOKUP(Tabelle32[[#This Row],[Device ID]],BOM!$B$3:$BQ$35,18,FALSE),"")</f>
        <v>TC.03.225 | M3H</v>
      </c>
      <c r="O315" s="64"/>
      <c r="P315" s="64">
        <f>IFERROR(VLOOKUP(Tabelle32[[#This Row],[Device ID]],BOM!$B$3:$BO$50,20,FALSE),"")</f>
        <v>0</v>
      </c>
      <c r="Q315" s="64">
        <f>IFERROR(VLOOKUP(Tabelle32[[#This Row],[Device ID]],BOM!$B$3:$BO$50,21,FALSE),"")</f>
        <v>1</v>
      </c>
      <c r="R315" s="64">
        <f>IFERROR(VLOOKUP(Tabelle32[[#This Row],[Device ID]],BOM!$B$3:$BO$50,22,FALSE),"")</f>
        <v>0</v>
      </c>
      <c r="S315" s="64"/>
      <c r="T315" s="64"/>
      <c r="U315" s="59" t="str">
        <f>IFERROR(VLOOKUP(Tabelle32[[#This Row],[Device ID]],BOM!$B$3:$BQ$35,25,FALSE),"")</f>
        <v>Luis/Ivo</v>
      </c>
      <c r="V315" s="59" t="str">
        <f>IFERROR(VLOOKUP(Tabelle32[[#This Row],[Device ID]],BOM!$B$3:$BQ$35,26,FALSE),"")</f>
        <v>tpco-megw-vgw103.rta.st-net.media.int</v>
      </c>
      <c r="W315" s="59" t="str">
        <f>IFERROR(VLOOKUP(Tabelle32[[#This Row],[Device ID]],BOM!$B$3:$BQ$35,27,FALSE),"")</f>
        <v>10.120.236.50</v>
      </c>
      <c r="X315" s="59" t="str">
        <f>IFERROR(VLOOKUP(Tabelle32[[#This Row],[Device ID]],BOM!$B$3:$BQ$35,28,FALSE),"")</f>
        <v>AVCoreA</v>
      </c>
      <c r="Y315" s="59" t="str">
        <f>IFERROR(VLOOKUP(Tabelle32[[#This Row],[Device ID]],BOM!$B$3:$BQ$35,29,FALSE),"")</f>
        <v>5_36_1</v>
      </c>
      <c r="Z315" s="59" t="str">
        <f>IFERROR(VLOOKUP(Tabelle32[[#This Row],[Device ID]],BOM!$B$3:$BQ$35,30,FALSE),"")</f>
        <v>tpco-megw-vgw103.rtb.st-net.media.int</v>
      </c>
      <c r="AA315" s="59" t="str">
        <f>IFERROR(VLOOKUP(Tabelle32[[#This Row],[Device ID]],BOM!$B$3:$BQ$35,31,FALSE),"")</f>
        <v>10.120.236.54</v>
      </c>
      <c r="AB315" s="59" t="str">
        <f>IFERROR(VLOOKUP(Tabelle32[[#This Row],[Device ID]],BOM!$B$3:$BQ$35,32,FALSE),"")</f>
        <v>AVCoreB</v>
      </c>
      <c r="AC315" s="59" t="str">
        <f>IFERROR(VLOOKUP(Tabelle32[[#This Row],[Device ID]],BOM!$B$3:$BQ$35,33,FALSE),"")</f>
        <v>5_36_1</v>
      </c>
      <c r="AD315" s="59" t="str">
        <f>IFERROR(VLOOKUP(Tabelle32[[#This Row],[Device ID]],BOM!$B$3:$BQ$35,34,FALSE),"")</f>
        <v>tpco-megw-vgw103.st-net.media.int</v>
      </c>
      <c r="AE315" s="59" t="str">
        <f>IFERROR(VLOOKUP(Tabelle32[[#This Row],[Device ID]],BOM!$B$3:$BQ$35,35,FALSE),"")</f>
        <v>10.120.67.141</v>
      </c>
      <c r="AF315" s="59">
        <f>IFERROR(VLOOKUP(Tabelle32[[#This Row],[Device ID]],BOM!$B$3:$BQ$35,36,FALSE),"")</f>
        <v>0</v>
      </c>
      <c r="AG315" s="59">
        <f>IFERROR(VLOOKUP(Tabelle32[[#This Row],[Device ID]],BOM!$B$3:$BQ$35,37,FALSE),"")</f>
        <v>0</v>
      </c>
      <c r="AH315" s="59"/>
      <c r="AI315" s="59"/>
      <c r="AJ315" s="59"/>
      <c r="AK315" s="59"/>
      <c r="AL315" s="59" t="str">
        <f>IFERROR(VLOOKUP(Tabelle32[[#This Row],[Device ID]],BOM!$B$3:$BQ$35,42,FALSE),"")</f>
        <v>Imagine Communications SNP</v>
      </c>
      <c r="AM315" s="59" t="str">
        <f>IFERROR(VLOOKUP(Tabelle32[[#This Row],[Device ID]],BOM!$B$3:$BQ$35,43,FALSE),"")</f>
        <v>no</v>
      </c>
      <c r="AN315" s="59" t="str">
        <f>IFERROR(VLOOKUP(Tabelle32[[#This Row],[Device ID]],BOM!$B$3:$BQ$35,44,FALSE),"")</f>
        <v>yes</v>
      </c>
      <c r="AO315" s="59" t="str">
        <f>IFERROR(VLOOKUP(Tabelle32[[#This Row],[Device ID]],BOM!$B$3:$BQ$35,45,FALSE),"")</f>
        <v>no</v>
      </c>
      <c r="AP315" s="59" t="str">
        <f>IFERROR(CONCATENATE(Tabelle32[[#This Row],[Family
GFX-Unit]]," | ",Tabelle32[[#This Row],[Label 1
GFX-Unit]]," | ",Tabelle32[[#This Row],[Attached Device if Gateway]]),"")</f>
        <v>M3H InCh PGM | Ingest Ch27-15 | IngSRV-07</v>
      </c>
      <c r="AQ315" s="59"/>
      <c r="AR315" s="90"/>
      <c r="AS315" s="90"/>
      <c r="AT315" s="90"/>
      <c r="AU315" s="90"/>
      <c r="AV315" s="90"/>
      <c r="AW315" s="90" t="s">
        <v>97</v>
      </c>
      <c r="AX315" s="90"/>
      <c r="AY315" s="90"/>
      <c r="AZ315" s="90" t="s">
        <v>97</v>
      </c>
      <c r="BA315" s="90"/>
      <c r="BB315" s="90" t="s">
        <v>97</v>
      </c>
      <c r="BC315" s="90" t="s">
        <v>97</v>
      </c>
      <c r="BD315" s="90" t="s">
        <v>97</v>
      </c>
      <c r="BE315" s="90"/>
      <c r="BF315" s="90"/>
      <c r="BG315" s="90"/>
      <c r="BH315" s="73" t="s">
        <v>199</v>
      </c>
      <c r="BI315" s="30" t="str">
        <f>IF(COUNTA(Tabelle32[[#This Row],[Type:Vid_1080i50]:[Type:Anc_Prot]])&gt;0,"x","")</f>
        <v>x</v>
      </c>
      <c r="BJ31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315" s="59"/>
      <c r="BL315" s="59"/>
      <c r="BM315" s="63"/>
      <c r="BN315" s="63"/>
      <c r="BO315" s="97" t="s">
        <v>2684</v>
      </c>
      <c r="BP315" s="97" t="s">
        <v>692</v>
      </c>
      <c r="BQ315" s="75">
        <f>LEN(Tabelle32[[#This Row],[Label 1
GFX-Unit]])</f>
        <v>14</v>
      </c>
      <c r="BR315" s="63"/>
      <c r="BS315" s="63"/>
      <c r="BT315" s="59"/>
      <c r="BU315" s="59"/>
      <c r="BV315" s="59" t="s">
        <v>264</v>
      </c>
      <c r="BW315" s="59" t="s">
        <v>265</v>
      </c>
      <c r="BX315" s="59" t="s">
        <v>693</v>
      </c>
      <c r="BY315" s="59">
        <v>15</v>
      </c>
    </row>
    <row r="316" spans="1:77" x14ac:dyDescent="0.2">
      <c r="A316" s="58" t="str">
        <f>CONCATENATE(Tabelle32[[#This Row],[Device ID]],".",Tabelle32[[#This Row],[Streamcounter]])</f>
        <v>392.15216</v>
      </c>
      <c r="B31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VGW-103_SDI15_AUDrec_0016</v>
      </c>
      <c r="C316" s="60"/>
      <c r="D316" s="61"/>
      <c r="E316" s="62"/>
      <c r="F316" s="59" t="str">
        <f>IFERROR(VLOOKUP(Tabelle32[[#This Row],[Device ID]],BOM!$B$3:$BQ$35,16,FALSE),"")</f>
        <v>IngSRV-07</v>
      </c>
      <c r="G316" s="63">
        <f>VLOOKUP(Tabelle32[[#This Row],[SDI Interface]],BOM!$A$4:$B$35,2,FALSE)</f>
        <v>392</v>
      </c>
      <c r="H316" s="59" t="str">
        <f>BOM!$C$4</f>
        <v>VGW-103</v>
      </c>
      <c r="I316" s="59" t="str">
        <f>IFERROR(VLOOKUP(Tabelle32[[#This Row],[Device ID]],BOM!$B$3:$BQ$35,12,FALSE),"")</f>
        <v>Videoserver</v>
      </c>
      <c r="J316" s="59" t="str">
        <f>IFERROR(VLOOKUP(Tabelle32[[#This Row],[Device ID]],BOM!$B$3:$BQ$35,13,FALSE),"")</f>
        <v>TC.U1.223 | MDC</v>
      </c>
      <c r="K316" s="59" t="str">
        <f>IFERROR(VLOOKUP(Tabelle32[[#This Row],[Device ID]],BOM!$B$3:$BQ$35,14,FALSE),"")</f>
        <v>Imagine Comunications</v>
      </c>
      <c r="L316" s="59" t="str">
        <f>IFERROR(VLOOKUP(Tabelle32[[#This Row],[Device ID]],BOM!$B$3:$BQ$35,16,FALSE),"")</f>
        <v>IngSRV-07</v>
      </c>
      <c r="M316" s="63" t="str">
        <f>IFERROR(VLOOKUP(Tabelle32[[#This Row],[Device ID]],BOM!$B$3:$BQ$35,17,FALSE),"")</f>
        <v>M3H</v>
      </c>
      <c r="N316" s="59" t="str">
        <f>IFERROR(VLOOKUP(Tabelle32[[#This Row],[Device ID]],BOM!$B$3:$BQ$35,18,FALSE),"")</f>
        <v>TC.03.225 | M3H</v>
      </c>
      <c r="O316" s="64"/>
      <c r="P316" s="64">
        <f>IFERROR(VLOOKUP(Tabelle32[[#This Row],[Device ID]],BOM!$B$3:$BO$50,20,FALSE),"")</f>
        <v>0</v>
      </c>
      <c r="Q316" s="64">
        <f>IFERROR(VLOOKUP(Tabelle32[[#This Row],[Device ID]],BOM!$B$3:$BO$50,21,FALSE),"")</f>
        <v>1</v>
      </c>
      <c r="R316" s="64">
        <f>IFERROR(VLOOKUP(Tabelle32[[#This Row],[Device ID]],BOM!$B$3:$BO$50,22,FALSE),"")</f>
        <v>0</v>
      </c>
      <c r="S316" s="64"/>
      <c r="T316" s="64"/>
      <c r="U316" s="59" t="str">
        <f>IFERROR(VLOOKUP(Tabelle32[[#This Row],[Device ID]],BOM!$B$3:$BQ$35,25,FALSE),"")</f>
        <v>Luis/Ivo</v>
      </c>
      <c r="V316" s="59" t="str">
        <f>IFERROR(VLOOKUP(Tabelle32[[#This Row],[Device ID]],BOM!$B$3:$BQ$35,26,FALSE),"")</f>
        <v>tpco-megw-vgw103.rta.st-net.media.int</v>
      </c>
      <c r="W316" s="59" t="str">
        <f>IFERROR(VLOOKUP(Tabelle32[[#This Row],[Device ID]],BOM!$B$3:$BQ$35,27,FALSE),"")</f>
        <v>10.120.236.50</v>
      </c>
      <c r="X316" s="59" t="str">
        <f>IFERROR(VLOOKUP(Tabelle32[[#This Row],[Device ID]],BOM!$B$3:$BQ$35,28,FALSE),"")</f>
        <v>AVCoreA</v>
      </c>
      <c r="Y316" s="59" t="str">
        <f>IFERROR(VLOOKUP(Tabelle32[[#This Row],[Device ID]],BOM!$B$3:$BQ$35,29,FALSE),"")</f>
        <v>5_36_1</v>
      </c>
      <c r="Z316" s="59" t="str">
        <f>IFERROR(VLOOKUP(Tabelle32[[#This Row],[Device ID]],BOM!$B$3:$BQ$35,30,FALSE),"")</f>
        <v>tpco-megw-vgw103.rtb.st-net.media.int</v>
      </c>
      <c r="AA316" s="59" t="str">
        <f>IFERROR(VLOOKUP(Tabelle32[[#This Row],[Device ID]],BOM!$B$3:$BQ$35,31,FALSE),"")</f>
        <v>10.120.236.54</v>
      </c>
      <c r="AB316" s="59" t="str">
        <f>IFERROR(VLOOKUP(Tabelle32[[#This Row],[Device ID]],BOM!$B$3:$BQ$35,32,FALSE),"")</f>
        <v>AVCoreB</v>
      </c>
      <c r="AC316" s="59" t="str">
        <f>IFERROR(VLOOKUP(Tabelle32[[#This Row],[Device ID]],BOM!$B$3:$BQ$35,33,FALSE),"")</f>
        <v>5_36_1</v>
      </c>
      <c r="AD316" s="59" t="str">
        <f>IFERROR(VLOOKUP(Tabelle32[[#This Row],[Device ID]],BOM!$B$3:$BQ$35,34,FALSE),"")</f>
        <v>tpco-megw-vgw103.st-net.media.int</v>
      </c>
      <c r="AE316" s="59" t="str">
        <f>IFERROR(VLOOKUP(Tabelle32[[#This Row],[Device ID]],BOM!$B$3:$BQ$35,35,FALSE),"")</f>
        <v>10.120.67.141</v>
      </c>
      <c r="AF316" s="59">
        <f>IFERROR(VLOOKUP(Tabelle32[[#This Row],[Device ID]],BOM!$B$3:$BQ$35,36,FALSE),"")</f>
        <v>0</v>
      </c>
      <c r="AG316" s="59">
        <f>IFERROR(VLOOKUP(Tabelle32[[#This Row],[Device ID]],BOM!$B$3:$BQ$35,37,FALSE),"")</f>
        <v>0</v>
      </c>
      <c r="AH316" s="59"/>
      <c r="AI316" s="59"/>
      <c r="AJ316" s="59"/>
      <c r="AK316" s="59"/>
      <c r="AL316" s="59" t="str">
        <f>IFERROR(VLOOKUP(Tabelle32[[#This Row],[Device ID]],BOM!$B$3:$BQ$35,42,FALSE),"")</f>
        <v>Imagine Communications SNP</v>
      </c>
      <c r="AM316" s="59" t="str">
        <f>IFERROR(VLOOKUP(Tabelle32[[#This Row],[Device ID]],BOM!$B$3:$BQ$35,43,FALSE),"")</f>
        <v>no</v>
      </c>
      <c r="AN316" s="59" t="str">
        <f>IFERROR(VLOOKUP(Tabelle32[[#This Row],[Device ID]],BOM!$B$3:$BQ$35,44,FALSE),"")</f>
        <v>yes</v>
      </c>
      <c r="AO316" s="59" t="str">
        <f>IFERROR(VLOOKUP(Tabelle32[[#This Row],[Device ID]],BOM!$B$3:$BQ$35,45,FALSE),"")</f>
        <v>no</v>
      </c>
      <c r="AP316" s="59" t="str">
        <f>IFERROR(CONCATENATE(Tabelle32[[#This Row],[Family
GFX-Unit]]," | ",Tabelle32[[#This Row],[Label 1
GFX-Unit]]," | ",Tabelle32[[#This Row],[Attached Device if Gateway]]),"")</f>
        <v>M3H InCh PGM | Ingest Ch27-16 | IngSRV-07</v>
      </c>
      <c r="AQ316" s="59"/>
      <c r="AR316" s="90"/>
      <c r="AS316" s="90"/>
      <c r="AT316" s="90"/>
      <c r="AU316" s="90"/>
      <c r="AV316" s="90"/>
      <c r="AW316" s="90" t="s">
        <v>97</v>
      </c>
      <c r="AX316" s="90"/>
      <c r="AY316" s="90"/>
      <c r="AZ316" s="90" t="s">
        <v>97</v>
      </c>
      <c r="BA316" s="90"/>
      <c r="BB316" s="90" t="s">
        <v>97</v>
      </c>
      <c r="BC316" s="90" t="s">
        <v>97</v>
      </c>
      <c r="BD316" s="90" t="s">
        <v>97</v>
      </c>
      <c r="BE316" s="90"/>
      <c r="BF316" s="90"/>
      <c r="BG316" s="90"/>
      <c r="BH316" s="73" t="s">
        <v>199</v>
      </c>
      <c r="BI316" s="30" t="str">
        <f>IF(COUNTA(Tabelle32[[#This Row],[Type:Vid_1080i50]:[Type:Anc_Prot]])&gt;0,"x","")</f>
        <v>x</v>
      </c>
      <c r="BJ31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316" s="59"/>
      <c r="BL316" s="59"/>
      <c r="BM316" s="63"/>
      <c r="BN316" s="63"/>
      <c r="BO316" s="97" t="s">
        <v>2684</v>
      </c>
      <c r="BP316" s="97" t="s">
        <v>694</v>
      </c>
      <c r="BQ316" s="75">
        <f>LEN(Tabelle32[[#This Row],[Label 1
GFX-Unit]])</f>
        <v>14</v>
      </c>
      <c r="BR316" s="63"/>
      <c r="BS316" s="63"/>
      <c r="BT316" s="59"/>
      <c r="BU316" s="59"/>
      <c r="BV316" s="59" t="s">
        <v>268</v>
      </c>
      <c r="BW316" s="59" t="s">
        <v>269</v>
      </c>
      <c r="BX316" s="59" t="s">
        <v>695</v>
      </c>
      <c r="BY316" s="59">
        <v>15</v>
      </c>
    </row>
    <row r="317" spans="1:77" x14ac:dyDescent="0.2">
      <c r="A317" s="58" t="str">
        <f>CONCATENATE(Tabelle32[[#This Row],[Device ID]],".",Tabelle32[[#This Row],[Streamcounter]])</f>
        <v>392.15101</v>
      </c>
      <c r="B31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VGW-103_SDI15_VIDrec_0001</v>
      </c>
      <c r="C317" s="60"/>
      <c r="D317" s="61"/>
      <c r="E317" s="62"/>
      <c r="F317" s="59" t="str">
        <f>IFERROR(VLOOKUP(Tabelle32[[#This Row],[Device ID]],BOM!$B$3:$BQ$35,16,FALSE),"")</f>
        <v>IngSRV-07</v>
      </c>
      <c r="G317" s="63">
        <f>VLOOKUP(Tabelle32[[#This Row],[SDI Interface]],BOM!$A$4:$B$35,2,FALSE)</f>
        <v>392</v>
      </c>
      <c r="H317" s="59" t="str">
        <f>BOM!$C$4</f>
        <v>VGW-103</v>
      </c>
      <c r="I317" s="59" t="str">
        <f>IFERROR(VLOOKUP(Tabelle32[[#This Row],[Device ID]],BOM!$B$3:$BQ$35,12,FALSE),"")</f>
        <v>Videoserver</v>
      </c>
      <c r="J317" s="59" t="str">
        <f>IFERROR(VLOOKUP(Tabelle32[[#This Row],[Device ID]],BOM!$B$3:$BQ$35,13,FALSE),"")</f>
        <v>TC.U1.223 | MDC</v>
      </c>
      <c r="K317" s="59" t="str">
        <f>IFERROR(VLOOKUP(Tabelle32[[#This Row],[Device ID]],BOM!$B$3:$BQ$35,14,FALSE),"")</f>
        <v>Imagine Comunications</v>
      </c>
      <c r="L317" s="59" t="str">
        <f>IFERROR(VLOOKUP(Tabelle32[[#This Row],[Device ID]],BOM!$B$3:$BQ$35,16,FALSE),"")</f>
        <v>IngSRV-07</v>
      </c>
      <c r="M317" s="63" t="str">
        <f>IFERROR(VLOOKUP(Tabelle32[[#This Row],[Device ID]],BOM!$B$3:$BQ$35,17,FALSE),"")</f>
        <v>M3H</v>
      </c>
      <c r="N317" s="59" t="str">
        <f>IFERROR(VLOOKUP(Tabelle32[[#This Row],[Device ID]],BOM!$B$3:$BQ$35,18,FALSE),"")</f>
        <v>TC.03.225 | M3H</v>
      </c>
      <c r="O317" s="64"/>
      <c r="P317" s="64">
        <f>IFERROR(VLOOKUP(Tabelle32[[#This Row],[Device ID]],BOM!$B$3:$BO$50,20,FALSE),"")</f>
        <v>0</v>
      </c>
      <c r="Q317" s="64">
        <f>IFERROR(VLOOKUP(Tabelle32[[#This Row],[Device ID]],BOM!$B$3:$BO$50,21,FALSE),"")</f>
        <v>1</v>
      </c>
      <c r="R317" s="64">
        <f>IFERROR(VLOOKUP(Tabelle32[[#This Row],[Device ID]],BOM!$B$3:$BO$50,22,FALSE),"")</f>
        <v>0</v>
      </c>
      <c r="S317" s="64"/>
      <c r="T317" s="64"/>
      <c r="U317" s="59" t="str">
        <f>IFERROR(VLOOKUP(Tabelle32[[#This Row],[Device ID]],BOM!$B$3:$BQ$35,25,FALSE),"")</f>
        <v>Luis/Ivo</v>
      </c>
      <c r="V317" s="59" t="str">
        <f>IFERROR(VLOOKUP(Tabelle32[[#This Row],[Device ID]],BOM!$B$3:$BQ$35,26,FALSE),"")</f>
        <v>tpco-megw-vgw103.rta.st-net.media.int</v>
      </c>
      <c r="W317" s="59" t="str">
        <f>IFERROR(VLOOKUP(Tabelle32[[#This Row],[Device ID]],BOM!$B$3:$BQ$35,27,FALSE),"")</f>
        <v>10.120.236.50</v>
      </c>
      <c r="X317" s="59" t="str">
        <f>IFERROR(VLOOKUP(Tabelle32[[#This Row],[Device ID]],BOM!$B$3:$BQ$35,28,FALSE),"")</f>
        <v>AVCoreA</v>
      </c>
      <c r="Y317" s="59" t="str">
        <f>IFERROR(VLOOKUP(Tabelle32[[#This Row],[Device ID]],BOM!$B$3:$BQ$35,29,FALSE),"")</f>
        <v>5_36_1</v>
      </c>
      <c r="Z317" s="59" t="str">
        <f>IFERROR(VLOOKUP(Tabelle32[[#This Row],[Device ID]],BOM!$B$3:$BQ$35,30,FALSE),"")</f>
        <v>tpco-megw-vgw103.rtb.st-net.media.int</v>
      </c>
      <c r="AA317" s="59" t="str">
        <f>IFERROR(VLOOKUP(Tabelle32[[#This Row],[Device ID]],BOM!$B$3:$BQ$35,31,FALSE),"")</f>
        <v>10.120.236.54</v>
      </c>
      <c r="AB317" s="59" t="str">
        <f>IFERROR(VLOOKUP(Tabelle32[[#This Row],[Device ID]],BOM!$B$3:$BQ$35,32,FALSE),"")</f>
        <v>AVCoreB</v>
      </c>
      <c r="AC317" s="59" t="str">
        <f>IFERROR(VLOOKUP(Tabelle32[[#This Row],[Device ID]],BOM!$B$3:$BQ$35,33,FALSE),"")</f>
        <v>5_36_1</v>
      </c>
      <c r="AD317" s="59" t="str">
        <f>IFERROR(VLOOKUP(Tabelle32[[#This Row],[Device ID]],BOM!$B$3:$BQ$35,34,FALSE),"")</f>
        <v>tpco-megw-vgw103.st-net.media.int</v>
      </c>
      <c r="AE317" s="59" t="str">
        <f>IFERROR(VLOOKUP(Tabelle32[[#This Row],[Device ID]],BOM!$B$3:$BQ$35,35,FALSE),"")</f>
        <v>10.120.67.141</v>
      </c>
      <c r="AF317" s="59">
        <f>IFERROR(VLOOKUP(Tabelle32[[#This Row],[Device ID]],BOM!$B$3:$BQ$35,36,FALSE),"")</f>
        <v>0</v>
      </c>
      <c r="AG317" s="59">
        <f>IFERROR(VLOOKUP(Tabelle32[[#This Row],[Device ID]],BOM!$B$3:$BQ$35,37,FALSE),"")</f>
        <v>0</v>
      </c>
      <c r="AH317" s="59"/>
      <c r="AI317" s="59"/>
      <c r="AJ317" s="59"/>
      <c r="AK317" s="59"/>
      <c r="AL317" s="59" t="str">
        <f>IFERROR(VLOOKUP(Tabelle32[[#This Row],[Device ID]],BOM!$B$3:$BQ$35,42,FALSE),"")</f>
        <v>Imagine Communications SNP</v>
      </c>
      <c r="AM317" s="59" t="str">
        <f>IFERROR(VLOOKUP(Tabelle32[[#This Row],[Device ID]],BOM!$B$3:$BQ$35,43,FALSE),"")</f>
        <v>no</v>
      </c>
      <c r="AN317" s="59" t="str">
        <f>IFERROR(VLOOKUP(Tabelle32[[#This Row],[Device ID]],BOM!$B$3:$BQ$35,44,FALSE),"")</f>
        <v>yes</v>
      </c>
      <c r="AO317" s="59" t="str">
        <f>IFERROR(VLOOKUP(Tabelle32[[#This Row],[Device ID]],BOM!$B$3:$BQ$35,45,FALSE),"")</f>
        <v>no</v>
      </c>
      <c r="AP317" s="59" t="str">
        <f>IFERROR(CONCATENATE(Tabelle32[[#This Row],[Family
GFX-Unit]]," | ",Tabelle32[[#This Row],[Label 1
GFX-Unit]]," | ",Tabelle32[[#This Row],[Attached Device if Gateway]]),"")</f>
        <v>M3H InCh PGM | Ingest Ch27 | IngSRV-07</v>
      </c>
      <c r="AQ317" s="59"/>
      <c r="AR317" s="90" t="s">
        <v>97</v>
      </c>
      <c r="AS317" s="90" t="s">
        <v>97</v>
      </c>
      <c r="AT317" s="90" t="s">
        <v>97</v>
      </c>
      <c r="AU317" s="90"/>
      <c r="AV317" s="90" t="s">
        <v>97</v>
      </c>
      <c r="AW317" s="90"/>
      <c r="AX317" s="90"/>
      <c r="AY317" s="90"/>
      <c r="AZ317" s="90"/>
      <c r="BA317" s="90"/>
      <c r="BB317" s="90"/>
      <c r="BC317" s="90"/>
      <c r="BD317" s="90"/>
      <c r="BE317" s="90"/>
      <c r="BF317" s="90"/>
      <c r="BG317" s="90"/>
      <c r="BH317" s="73" t="s">
        <v>199</v>
      </c>
      <c r="BI317" s="30" t="str">
        <f>IF(COUNTA(Tabelle32[[#This Row],[Type:Vid_1080i50]:[Type:Anc_Prot]])&gt;0,"x","")</f>
        <v>x</v>
      </c>
      <c r="BJ31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317" s="59"/>
      <c r="BL317" s="59"/>
      <c r="BM317" s="63"/>
      <c r="BN317" s="63"/>
      <c r="BO317" s="97" t="s">
        <v>2684</v>
      </c>
      <c r="BP317" s="97" t="s">
        <v>696</v>
      </c>
      <c r="BQ317" s="75">
        <f>LEN(Tabelle32[[#This Row],[Label 1
GFX-Unit]])</f>
        <v>11</v>
      </c>
      <c r="BR317" s="63"/>
      <c r="BS317" s="63"/>
      <c r="BT317" s="59"/>
      <c r="BU317" s="59"/>
      <c r="BV317" s="59" t="s">
        <v>272</v>
      </c>
      <c r="BW317" s="59" t="s">
        <v>273</v>
      </c>
      <c r="BX317" s="59" t="s">
        <v>697</v>
      </c>
      <c r="BY317" s="59">
        <v>15</v>
      </c>
    </row>
    <row r="318" spans="1:77" x14ac:dyDescent="0.2">
      <c r="A318" s="58" t="str">
        <f>CONCATENATE(Tabelle32[[#This Row],[Device ID]],".",Tabelle32[[#This Row],[Streamcounter]])</f>
        <v>393.16301</v>
      </c>
      <c r="B31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VGW-103_SDI16_ANCrec_0001</v>
      </c>
      <c r="C318" s="60"/>
      <c r="D318" s="61"/>
      <c r="E318" s="62"/>
      <c r="F318" s="59" t="str">
        <f>IFERROR(VLOOKUP(Tabelle32[[#This Row],[Device ID]],BOM!$B$3:$BQ$35,16,FALSE),"")</f>
        <v>IngSRV-07</v>
      </c>
      <c r="G318" s="63">
        <f>VLOOKUP(Tabelle32[[#This Row],[SDI Interface]],BOM!$A$4:$B$35,2,FALSE)</f>
        <v>393</v>
      </c>
      <c r="H318" s="59" t="str">
        <f>BOM!$C$4</f>
        <v>VGW-103</v>
      </c>
      <c r="I318" s="59" t="str">
        <f>IFERROR(VLOOKUP(Tabelle32[[#This Row],[Device ID]],BOM!$B$3:$BQ$35,12,FALSE),"")</f>
        <v>Videoserver</v>
      </c>
      <c r="J318" s="59" t="str">
        <f>IFERROR(VLOOKUP(Tabelle32[[#This Row],[Device ID]],BOM!$B$3:$BQ$35,13,FALSE),"")</f>
        <v>TC.U1.223 | MDC</v>
      </c>
      <c r="K318" s="59" t="str">
        <f>IFERROR(VLOOKUP(Tabelle32[[#This Row],[Device ID]],BOM!$B$3:$BQ$35,14,FALSE),"")</f>
        <v>Imagine Comunications</v>
      </c>
      <c r="L318" s="59" t="str">
        <f>IFERROR(VLOOKUP(Tabelle32[[#This Row],[Device ID]],BOM!$B$3:$BQ$35,16,FALSE),"")</f>
        <v>IngSRV-07</v>
      </c>
      <c r="M318" s="63" t="str">
        <f>IFERROR(VLOOKUP(Tabelle32[[#This Row],[Device ID]],BOM!$B$3:$BQ$35,17,FALSE),"")</f>
        <v>M3H</v>
      </c>
      <c r="N318" s="59" t="str">
        <f>IFERROR(VLOOKUP(Tabelle32[[#This Row],[Device ID]],BOM!$B$3:$BQ$35,18,FALSE),"")</f>
        <v>TC.03.225 | M3H</v>
      </c>
      <c r="O318" s="64"/>
      <c r="P318" s="64">
        <f>IFERROR(VLOOKUP(Tabelle32[[#This Row],[Device ID]],BOM!$B$3:$BO$50,20,FALSE),"")</f>
        <v>0</v>
      </c>
      <c r="Q318" s="64">
        <f>IFERROR(VLOOKUP(Tabelle32[[#This Row],[Device ID]],BOM!$B$3:$BO$50,21,FALSE),"")</f>
        <v>1</v>
      </c>
      <c r="R318" s="64">
        <f>IFERROR(VLOOKUP(Tabelle32[[#This Row],[Device ID]],BOM!$B$3:$BO$50,22,FALSE),"")</f>
        <v>0</v>
      </c>
      <c r="S318" s="64"/>
      <c r="T318" s="64"/>
      <c r="U318" s="59" t="str">
        <f>IFERROR(VLOOKUP(Tabelle32[[#This Row],[Device ID]],BOM!$B$3:$BQ$35,25,FALSE),"")</f>
        <v>Luis/Ivo</v>
      </c>
      <c r="V318" s="59" t="str">
        <f>IFERROR(VLOOKUP(Tabelle32[[#This Row],[Device ID]],BOM!$B$3:$BQ$35,26,FALSE),"")</f>
        <v>tpco-megw-vgw103.rta.st-net.media.int</v>
      </c>
      <c r="W318" s="59" t="str">
        <f>IFERROR(VLOOKUP(Tabelle32[[#This Row],[Device ID]],BOM!$B$3:$BQ$35,27,FALSE),"")</f>
        <v>10.120.236.50</v>
      </c>
      <c r="X318" s="59" t="str">
        <f>IFERROR(VLOOKUP(Tabelle32[[#This Row],[Device ID]],BOM!$B$3:$BQ$35,28,FALSE),"")</f>
        <v>AVCoreA</v>
      </c>
      <c r="Y318" s="59" t="str">
        <f>IFERROR(VLOOKUP(Tabelle32[[#This Row],[Device ID]],BOM!$B$3:$BQ$35,29,FALSE),"")</f>
        <v>5_36_1</v>
      </c>
      <c r="Z318" s="59" t="str">
        <f>IFERROR(VLOOKUP(Tabelle32[[#This Row],[Device ID]],BOM!$B$3:$BQ$35,30,FALSE),"")</f>
        <v>tpco-megw-vgw103.rtb.st-net.media.int</v>
      </c>
      <c r="AA318" s="59" t="str">
        <f>IFERROR(VLOOKUP(Tabelle32[[#This Row],[Device ID]],BOM!$B$3:$BQ$35,31,FALSE),"")</f>
        <v>10.120.236.54</v>
      </c>
      <c r="AB318" s="59" t="str">
        <f>IFERROR(VLOOKUP(Tabelle32[[#This Row],[Device ID]],BOM!$B$3:$BQ$35,32,FALSE),"")</f>
        <v>AVCoreB</v>
      </c>
      <c r="AC318" s="59" t="str">
        <f>IFERROR(VLOOKUP(Tabelle32[[#This Row],[Device ID]],BOM!$B$3:$BQ$35,33,FALSE),"")</f>
        <v>5_36_1</v>
      </c>
      <c r="AD318" s="59" t="str">
        <f>IFERROR(VLOOKUP(Tabelle32[[#This Row],[Device ID]],BOM!$B$3:$BQ$35,34,FALSE),"")</f>
        <v>tpco-megw-vgw103.st-net.media.int</v>
      </c>
      <c r="AE318" s="59" t="str">
        <f>IFERROR(VLOOKUP(Tabelle32[[#This Row],[Device ID]],BOM!$B$3:$BQ$35,35,FALSE),"")</f>
        <v>10.120.67.141</v>
      </c>
      <c r="AF318" s="59">
        <f>IFERROR(VLOOKUP(Tabelle32[[#This Row],[Device ID]],BOM!$B$3:$BQ$35,36,FALSE),"")</f>
        <v>0</v>
      </c>
      <c r="AG318" s="59">
        <f>IFERROR(VLOOKUP(Tabelle32[[#This Row],[Device ID]],BOM!$B$3:$BQ$35,37,FALSE),"")</f>
        <v>0</v>
      </c>
      <c r="AH318" s="59"/>
      <c r="AI318" s="59"/>
      <c r="AJ318" s="59"/>
      <c r="AK318" s="59"/>
      <c r="AL318" s="59" t="str">
        <f>IFERROR(VLOOKUP(Tabelle32[[#This Row],[Device ID]],BOM!$B$3:$BQ$35,42,FALSE),"")</f>
        <v>Imagine Communications SNP</v>
      </c>
      <c r="AM318" s="59" t="str">
        <f>IFERROR(VLOOKUP(Tabelle32[[#This Row],[Device ID]],BOM!$B$3:$BQ$35,43,FALSE),"")</f>
        <v>no</v>
      </c>
      <c r="AN318" s="59" t="str">
        <f>IFERROR(VLOOKUP(Tabelle32[[#This Row],[Device ID]],BOM!$B$3:$BQ$35,44,FALSE),"")</f>
        <v>yes</v>
      </c>
      <c r="AO318" s="59" t="str">
        <f>IFERROR(VLOOKUP(Tabelle32[[#This Row],[Device ID]],BOM!$B$3:$BQ$35,45,FALSE),"")</f>
        <v>no</v>
      </c>
      <c r="AP318" s="59" t="str">
        <f>IFERROR(CONCATENATE(Tabelle32[[#This Row],[Family
GFX-Unit]]," | ",Tabelle32[[#This Row],[Label 1
GFX-Unit]]," | ",Tabelle32[[#This Row],[Attached Device if Gateway]]),"")</f>
        <v>M3H InCh ARCHIV | Ingest Ch28-ANC1 | IngSRV-07</v>
      </c>
      <c r="AQ318" s="59"/>
      <c r="AR318" s="90"/>
      <c r="AS318" s="90"/>
      <c r="AT318" s="90"/>
      <c r="AU318" s="90"/>
      <c r="AV318" s="90"/>
      <c r="AW318" s="90"/>
      <c r="AX318" s="90"/>
      <c r="AY318" s="90"/>
      <c r="AZ318" s="90"/>
      <c r="BA318" s="90"/>
      <c r="BB318" s="90"/>
      <c r="BC318" s="90"/>
      <c r="BD318" s="90"/>
      <c r="BE318" s="90"/>
      <c r="BF318" s="90"/>
      <c r="BG318" s="90" t="s">
        <v>97</v>
      </c>
      <c r="BH318" s="73" t="s">
        <v>199</v>
      </c>
      <c r="BI318" s="30" t="str">
        <f>IF(COUNTA(Tabelle32[[#This Row],[Type:Vid_1080i50]:[Type:Anc_Prot]])&gt;0,"x","")</f>
        <v>x</v>
      </c>
      <c r="BJ31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318" s="59"/>
      <c r="BL318" s="59"/>
      <c r="BM318" s="63"/>
      <c r="BN318" s="63"/>
      <c r="BO318" s="93" t="s">
        <v>2905</v>
      </c>
      <c r="BP318" s="97" t="s">
        <v>698</v>
      </c>
      <c r="BQ318" s="75">
        <f>LEN(Tabelle32[[#This Row],[Label 1
GFX-Unit]])</f>
        <v>16</v>
      </c>
      <c r="BR318" s="63"/>
      <c r="BS318" s="63"/>
      <c r="BT318" s="59"/>
      <c r="BU318" s="59"/>
      <c r="BV318" s="59" t="s">
        <v>202</v>
      </c>
      <c r="BW318" s="59" t="s">
        <v>203</v>
      </c>
      <c r="BX318" s="59" t="s">
        <v>699</v>
      </c>
      <c r="BY318" s="59">
        <v>16</v>
      </c>
    </row>
    <row r="319" spans="1:77" hidden="1" x14ac:dyDescent="0.2">
      <c r="A319" s="58" t="str">
        <f>CONCATENATE(Tabelle32[[#This Row],[Device ID]],".",Tabelle32[[#This Row],[Streamcounter]])</f>
        <v>393.16302</v>
      </c>
      <c r="B31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VGW-103_SDI16_ANCrec_0002</v>
      </c>
      <c r="C319" s="60"/>
      <c r="D319" s="61"/>
      <c r="E319" s="62"/>
      <c r="F319" s="59" t="str">
        <f>IFERROR(VLOOKUP(Tabelle32[[#This Row],[Device ID]],BOM!$B$3:$BQ$35,16,FALSE),"")</f>
        <v>IngSRV-07</v>
      </c>
      <c r="G319" s="63">
        <f>VLOOKUP(Tabelle32[[#This Row],[SDI Interface]],BOM!$A$4:$B$35,2,FALSE)</f>
        <v>393</v>
      </c>
      <c r="H319" s="59" t="str">
        <f>BOM!$C$4</f>
        <v>VGW-103</v>
      </c>
      <c r="I319" s="59" t="str">
        <f>IFERROR(VLOOKUP(Tabelle32[[#This Row],[Device ID]],BOM!$B$3:$BQ$35,12,FALSE),"")</f>
        <v>Videoserver</v>
      </c>
      <c r="J319" s="59" t="str">
        <f>IFERROR(VLOOKUP(Tabelle32[[#This Row],[Device ID]],BOM!$B$3:$BQ$35,13,FALSE),"")</f>
        <v>TC.U1.223 | MDC</v>
      </c>
      <c r="K319" s="59" t="str">
        <f>IFERROR(VLOOKUP(Tabelle32[[#This Row],[Device ID]],BOM!$B$3:$BQ$35,14,FALSE),"")</f>
        <v>Imagine Comunications</v>
      </c>
      <c r="L319" s="59" t="str">
        <f>IFERROR(VLOOKUP(Tabelle32[[#This Row],[Device ID]],BOM!$B$3:$BQ$35,16,FALSE),"")</f>
        <v>IngSRV-07</v>
      </c>
      <c r="M319" s="63" t="str">
        <f>IFERROR(VLOOKUP(Tabelle32[[#This Row],[Device ID]],BOM!$B$3:$BQ$35,17,FALSE),"")</f>
        <v>M3H</v>
      </c>
      <c r="N319" s="59" t="str">
        <f>IFERROR(VLOOKUP(Tabelle32[[#This Row],[Device ID]],BOM!$B$3:$BQ$35,18,FALSE),"")</f>
        <v>TC.03.225 | M3H</v>
      </c>
      <c r="O319" s="64"/>
      <c r="P319" s="64">
        <f>IFERROR(VLOOKUP(Tabelle32[[#This Row],[Device ID]],BOM!$B$3:$BO$50,20,FALSE),"")</f>
        <v>0</v>
      </c>
      <c r="Q319" s="64">
        <f>IFERROR(VLOOKUP(Tabelle32[[#This Row],[Device ID]],BOM!$B$3:$BO$50,21,FALSE),"")</f>
        <v>1</v>
      </c>
      <c r="R319" s="64">
        <f>IFERROR(VLOOKUP(Tabelle32[[#This Row],[Device ID]],BOM!$B$3:$BO$50,22,FALSE),"")</f>
        <v>0</v>
      </c>
      <c r="S319" s="64"/>
      <c r="T319" s="64"/>
      <c r="U319" s="59" t="str">
        <f>IFERROR(VLOOKUP(Tabelle32[[#This Row],[Device ID]],BOM!$B$3:$BQ$35,25,FALSE),"")</f>
        <v>Luis/Ivo</v>
      </c>
      <c r="V319" s="59" t="str">
        <f>IFERROR(VLOOKUP(Tabelle32[[#This Row],[Device ID]],BOM!$B$3:$BQ$35,26,FALSE),"")</f>
        <v>tpco-megw-vgw103.rta.st-net.media.int</v>
      </c>
      <c r="W319" s="59" t="str">
        <f>IFERROR(VLOOKUP(Tabelle32[[#This Row],[Device ID]],BOM!$B$3:$BQ$35,27,FALSE),"")</f>
        <v>10.120.236.50</v>
      </c>
      <c r="X319" s="59" t="str">
        <f>IFERROR(VLOOKUP(Tabelle32[[#This Row],[Device ID]],BOM!$B$3:$BQ$35,28,FALSE),"")</f>
        <v>AVCoreA</v>
      </c>
      <c r="Y319" s="59" t="str">
        <f>IFERROR(VLOOKUP(Tabelle32[[#This Row],[Device ID]],BOM!$B$3:$BQ$35,29,FALSE),"")</f>
        <v>5_36_1</v>
      </c>
      <c r="Z319" s="59" t="str">
        <f>IFERROR(VLOOKUP(Tabelle32[[#This Row],[Device ID]],BOM!$B$3:$BQ$35,30,FALSE),"")</f>
        <v>tpco-megw-vgw103.rtb.st-net.media.int</v>
      </c>
      <c r="AA319" s="59" t="str">
        <f>IFERROR(VLOOKUP(Tabelle32[[#This Row],[Device ID]],BOM!$B$3:$BQ$35,31,FALSE),"")</f>
        <v>10.120.236.54</v>
      </c>
      <c r="AB319" s="59" t="str">
        <f>IFERROR(VLOOKUP(Tabelle32[[#This Row],[Device ID]],BOM!$B$3:$BQ$35,32,FALSE),"")</f>
        <v>AVCoreB</v>
      </c>
      <c r="AC319" s="59" t="str">
        <f>IFERROR(VLOOKUP(Tabelle32[[#This Row],[Device ID]],BOM!$B$3:$BQ$35,33,FALSE),"")</f>
        <v>5_36_1</v>
      </c>
      <c r="AD319" s="59" t="str">
        <f>IFERROR(VLOOKUP(Tabelle32[[#This Row],[Device ID]],BOM!$B$3:$BQ$35,34,FALSE),"")</f>
        <v>tpco-megw-vgw103.st-net.media.int</v>
      </c>
      <c r="AE319" s="59" t="str">
        <f>IFERROR(VLOOKUP(Tabelle32[[#This Row],[Device ID]],BOM!$B$3:$BQ$35,35,FALSE),"")</f>
        <v>10.120.67.141</v>
      </c>
      <c r="AF319" s="59">
        <f>IFERROR(VLOOKUP(Tabelle32[[#This Row],[Device ID]],BOM!$B$3:$BQ$35,36,FALSE),"")</f>
        <v>0</v>
      </c>
      <c r="AG319" s="59">
        <f>IFERROR(VLOOKUP(Tabelle32[[#This Row],[Device ID]],BOM!$B$3:$BQ$35,37,FALSE),"")</f>
        <v>0</v>
      </c>
      <c r="AH319" s="59"/>
      <c r="AI319" s="59"/>
      <c r="AJ319" s="59"/>
      <c r="AK319" s="59"/>
      <c r="AL319" s="59" t="str">
        <f>IFERROR(VLOOKUP(Tabelle32[[#This Row],[Device ID]],BOM!$B$3:$BQ$35,42,FALSE),"")</f>
        <v>Imagine Communications SNP</v>
      </c>
      <c r="AM319" s="59" t="str">
        <f>IFERROR(VLOOKUP(Tabelle32[[#This Row],[Device ID]],BOM!$B$3:$BQ$35,43,FALSE),"")</f>
        <v>no</v>
      </c>
      <c r="AN319" s="59" t="str">
        <f>IFERROR(VLOOKUP(Tabelle32[[#This Row],[Device ID]],BOM!$B$3:$BQ$35,44,FALSE),"")</f>
        <v>yes</v>
      </c>
      <c r="AO319" s="59" t="str">
        <f>IFERROR(VLOOKUP(Tabelle32[[#This Row],[Device ID]],BOM!$B$3:$BQ$35,45,FALSE),"")</f>
        <v>no</v>
      </c>
      <c r="AP319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19" s="59"/>
      <c r="AR319" s="90"/>
      <c r="AS319" s="90"/>
      <c r="AT319" s="90"/>
      <c r="AU319" s="90"/>
      <c r="AV319" s="90"/>
      <c r="AW319" s="90"/>
      <c r="AX319" s="90"/>
      <c r="AY319" s="90"/>
      <c r="AZ319" s="90"/>
      <c r="BA319" s="90"/>
      <c r="BB319" s="90"/>
      <c r="BC319" s="90"/>
      <c r="BD319" s="90"/>
      <c r="BE319" s="90"/>
      <c r="BF319" s="90"/>
      <c r="BG319" s="90"/>
      <c r="BH319" s="73" t="s">
        <v>199</v>
      </c>
      <c r="BI319" s="30" t="str">
        <f>IF(COUNTA(Tabelle32[[#This Row],[Type:Vid_1080i50]:[Type:Anc_Prot]])&gt;0,"x","")</f>
        <v/>
      </c>
      <c r="BJ31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19" s="59"/>
      <c r="BL319" s="59"/>
      <c r="BM319" s="63"/>
      <c r="BN319" s="63"/>
      <c r="BO319" s="96"/>
      <c r="BP319" s="96"/>
      <c r="BQ319" s="75">
        <f>LEN(Tabelle32[[#This Row],[Label 1
GFX-Unit]])</f>
        <v>0</v>
      </c>
      <c r="BR319" s="63"/>
      <c r="BS319" s="63"/>
      <c r="BT319" s="59"/>
      <c r="BU319" s="59"/>
      <c r="BV319" s="59" t="s">
        <v>205</v>
      </c>
      <c r="BW319" s="59" t="s">
        <v>206</v>
      </c>
      <c r="BX319" s="59" t="s">
        <v>700</v>
      </c>
      <c r="BY319" s="59">
        <v>16</v>
      </c>
    </row>
    <row r="320" spans="1:77" hidden="1" x14ac:dyDescent="0.2">
      <c r="A320" s="58" t="str">
        <f>CONCATENATE(Tabelle32[[#This Row],[Device ID]],".",Tabelle32[[#This Row],[Streamcounter]])</f>
        <v>393.16303</v>
      </c>
      <c r="B32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VGW-103_SDI16_ANCrec_0003</v>
      </c>
      <c r="C320" s="60"/>
      <c r="D320" s="61"/>
      <c r="E320" s="62"/>
      <c r="F320" s="59" t="str">
        <f>IFERROR(VLOOKUP(Tabelle32[[#This Row],[Device ID]],BOM!$B$3:$BQ$35,16,FALSE),"")</f>
        <v>IngSRV-07</v>
      </c>
      <c r="G320" s="63">
        <f>VLOOKUP(Tabelle32[[#This Row],[SDI Interface]],BOM!$A$4:$B$35,2,FALSE)</f>
        <v>393</v>
      </c>
      <c r="H320" s="59" t="str">
        <f>BOM!$C$4</f>
        <v>VGW-103</v>
      </c>
      <c r="I320" s="59" t="str">
        <f>IFERROR(VLOOKUP(Tabelle32[[#This Row],[Device ID]],BOM!$B$3:$BQ$35,12,FALSE),"")</f>
        <v>Videoserver</v>
      </c>
      <c r="J320" s="59" t="str">
        <f>IFERROR(VLOOKUP(Tabelle32[[#This Row],[Device ID]],BOM!$B$3:$BQ$35,13,FALSE),"")</f>
        <v>TC.U1.223 | MDC</v>
      </c>
      <c r="K320" s="59" t="str">
        <f>IFERROR(VLOOKUP(Tabelle32[[#This Row],[Device ID]],BOM!$B$3:$BQ$35,14,FALSE),"")</f>
        <v>Imagine Comunications</v>
      </c>
      <c r="L320" s="59" t="str">
        <f>IFERROR(VLOOKUP(Tabelle32[[#This Row],[Device ID]],BOM!$B$3:$BQ$35,16,FALSE),"")</f>
        <v>IngSRV-07</v>
      </c>
      <c r="M320" s="63" t="str">
        <f>IFERROR(VLOOKUP(Tabelle32[[#This Row],[Device ID]],BOM!$B$3:$BQ$35,17,FALSE),"")</f>
        <v>M3H</v>
      </c>
      <c r="N320" s="59" t="str">
        <f>IFERROR(VLOOKUP(Tabelle32[[#This Row],[Device ID]],BOM!$B$3:$BQ$35,18,FALSE),"")</f>
        <v>TC.03.225 | M3H</v>
      </c>
      <c r="O320" s="64"/>
      <c r="P320" s="64">
        <f>IFERROR(VLOOKUP(Tabelle32[[#This Row],[Device ID]],BOM!$B$3:$BO$50,20,FALSE),"")</f>
        <v>0</v>
      </c>
      <c r="Q320" s="64">
        <f>IFERROR(VLOOKUP(Tabelle32[[#This Row],[Device ID]],BOM!$B$3:$BO$50,21,FALSE),"")</f>
        <v>1</v>
      </c>
      <c r="R320" s="64">
        <f>IFERROR(VLOOKUP(Tabelle32[[#This Row],[Device ID]],BOM!$B$3:$BO$50,22,FALSE),"")</f>
        <v>0</v>
      </c>
      <c r="S320" s="64"/>
      <c r="T320" s="64"/>
      <c r="U320" s="59" t="str">
        <f>IFERROR(VLOOKUP(Tabelle32[[#This Row],[Device ID]],BOM!$B$3:$BQ$35,25,FALSE),"")</f>
        <v>Luis/Ivo</v>
      </c>
      <c r="V320" s="59" t="str">
        <f>IFERROR(VLOOKUP(Tabelle32[[#This Row],[Device ID]],BOM!$B$3:$BQ$35,26,FALSE),"")</f>
        <v>tpco-megw-vgw103.rta.st-net.media.int</v>
      </c>
      <c r="W320" s="59" t="str">
        <f>IFERROR(VLOOKUP(Tabelle32[[#This Row],[Device ID]],BOM!$B$3:$BQ$35,27,FALSE),"")</f>
        <v>10.120.236.50</v>
      </c>
      <c r="X320" s="59" t="str">
        <f>IFERROR(VLOOKUP(Tabelle32[[#This Row],[Device ID]],BOM!$B$3:$BQ$35,28,FALSE),"")</f>
        <v>AVCoreA</v>
      </c>
      <c r="Y320" s="59" t="str">
        <f>IFERROR(VLOOKUP(Tabelle32[[#This Row],[Device ID]],BOM!$B$3:$BQ$35,29,FALSE),"")</f>
        <v>5_36_1</v>
      </c>
      <c r="Z320" s="59" t="str">
        <f>IFERROR(VLOOKUP(Tabelle32[[#This Row],[Device ID]],BOM!$B$3:$BQ$35,30,FALSE),"")</f>
        <v>tpco-megw-vgw103.rtb.st-net.media.int</v>
      </c>
      <c r="AA320" s="59" t="str">
        <f>IFERROR(VLOOKUP(Tabelle32[[#This Row],[Device ID]],BOM!$B$3:$BQ$35,31,FALSE),"")</f>
        <v>10.120.236.54</v>
      </c>
      <c r="AB320" s="59" t="str">
        <f>IFERROR(VLOOKUP(Tabelle32[[#This Row],[Device ID]],BOM!$B$3:$BQ$35,32,FALSE),"")</f>
        <v>AVCoreB</v>
      </c>
      <c r="AC320" s="59" t="str">
        <f>IFERROR(VLOOKUP(Tabelle32[[#This Row],[Device ID]],BOM!$B$3:$BQ$35,33,FALSE),"")</f>
        <v>5_36_1</v>
      </c>
      <c r="AD320" s="59" t="str">
        <f>IFERROR(VLOOKUP(Tabelle32[[#This Row],[Device ID]],BOM!$B$3:$BQ$35,34,FALSE),"")</f>
        <v>tpco-megw-vgw103.st-net.media.int</v>
      </c>
      <c r="AE320" s="59" t="str">
        <f>IFERROR(VLOOKUP(Tabelle32[[#This Row],[Device ID]],BOM!$B$3:$BQ$35,35,FALSE),"")</f>
        <v>10.120.67.141</v>
      </c>
      <c r="AF320" s="59">
        <f>IFERROR(VLOOKUP(Tabelle32[[#This Row],[Device ID]],BOM!$B$3:$BQ$35,36,FALSE),"")</f>
        <v>0</v>
      </c>
      <c r="AG320" s="59">
        <f>IFERROR(VLOOKUP(Tabelle32[[#This Row],[Device ID]],BOM!$B$3:$BQ$35,37,FALSE),"")</f>
        <v>0</v>
      </c>
      <c r="AH320" s="59"/>
      <c r="AI320" s="59"/>
      <c r="AJ320" s="59"/>
      <c r="AK320" s="59"/>
      <c r="AL320" s="59" t="str">
        <f>IFERROR(VLOOKUP(Tabelle32[[#This Row],[Device ID]],BOM!$B$3:$BQ$35,42,FALSE),"")</f>
        <v>Imagine Communications SNP</v>
      </c>
      <c r="AM320" s="59" t="str">
        <f>IFERROR(VLOOKUP(Tabelle32[[#This Row],[Device ID]],BOM!$B$3:$BQ$35,43,FALSE),"")</f>
        <v>no</v>
      </c>
      <c r="AN320" s="59" t="str">
        <f>IFERROR(VLOOKUP(Tabelle32[[#This Row],[Device ID]],BOM!$B$3:$BQ$35,44,FALSE),"")</f>
        <v>yes</v>
      </c>
      <c r="AO320" s="59" t="str">
        <f>IFERROR(VLOOKUP(Tabelle32[[#This Row],[Device ID]],BOM!$B$3:$BQ$35,45,FALSE),"")</f>
        <v>no</v>
      </c>
      <c r="AP320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20" s="59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  <c r="BF320" s="90"/>
      <c r="BG320" s="90"/>
      <c r="BH320" s="73" t="s">
        <v>199</v>
      </c>
      <c r="BI320" s="30" t="str">
        <f>IF(COUNTA(Tabelle32[[#This Row],[Type:Vid_1080i50]:[Type:Anc_Prot]])&gt;0,"x","")</f>
        <v/>
      </c>
      <c r="BJ32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20" s="59"/>
      <c r="BL320" s="59"/>
      <c r="BM320" s="63"/>
      <c r="BN320" s="63"/>
      <c r="BO320" s="96"/>
      <c r="BP320" s="96"/>
      <c r="BQ320" s="75">
        <f>LEN(Tabelle32[[#This Row],[Label 1
GFX-Unit]])</f>
        <v>0</v>
      </c>
      <c r="BR320" s="63"/>
      <c r="BS320" s="63"/>
      <c r="BT320" s="59"/>
      <c r="BU320" s="59"/>
      <c r="BV320" s="59" t="s">
        <v>208</v>
      </c>
      <c r="BW320" s="59" t="s">
        <v>209</v>
      </c>
      <c r="BX320" s="59" t="s">
        <v>701</v>
      </c>
      <c r="BY320" s="59">
        <v>16</v>
      </c>
    </row>
    <row r="321" spans="1:77" hidden="1" x14ac:dyDescent="0.2">
      <c r="A321" s="58" t="str">
        <f>CONCATENATE(Tabelle32[[#This Row],[Device ID]],".",Tabelle32[[#This Row],[Streamcounter]])</f>
        <v>393.16304</v>
      </c>
      <c r="B32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VGW-103_SDI16_ANCrec_0004</v>
      </c>
      <c r="C321" s="60"/>
      <c r="D321" s="61"/>
      <c r="E321" s="62"/>
      <c r="F321" s="59" t="str">
        <f>IFERROR(VLOOKUP(Tabelle32[[#This Row],[Device ID]],BOM!$B$3:$BQ$35,16,FALSE),"")</f>
        <v>IngSRV-07</v>
      </c>
      <c r="G321" s="63">
        <f>VLOOKUP(Tabelle32[[#This Row],[SDI Interface]],BOM!$A$4:$B$35,2,FALSE)</f>
        <v>393</v>
      </c>
      <c r="H321" s="59" t="str">
        <f>BOM!$C$4</f>
        <v>VGW-103</v>
      </c>
      <c r="I321" s="59" t="str">
        <f>IFERROR(VLOOKUP(Tabelle32[[#This Row],[Device ID]],BOM!$B$3:$BQ$35,12,FALSE),"")</f>
        <v>Videoserver</v>
      </c>
      <c r="J321" s="59" t="str">
        <f>IFERROR(VLOOKUP(Tabelle32[[#This Row],[Device ID]],BOM!$B$3:$BQ$35,13,FALSE),"")</f>
        <v>TC.U1.223 | MDC</v>
      </c>
      <c r="K321" s="59" t="str">
        <f>IFERROR(VLOOKUP(Tabelle32[[#This Row],[Device ID]],BOM!$B$3:$BQ$35,14,FALSE),"")</f>
        <v>Imagine Comunications</v>
      </c>
      <c r="L321" s="59" t="str">
        <f>IFERROR(VLOOKUP(Tabelle32[[#This Row],[Device ID]],BOM!$B$3:$BQ$35,16,FALSE),"")</f>
        <v>IngSRV-07</v>
      </c>
      <c r="M321" s="63" t="str">
        <f>IFERROR(VLOOKUP(Tabelle32[[#This Row],[Device ID]],BOM!$B$3:$BQ$35,17,FALSE),"")</f>
        <v>M3H</v>
      </c>
      <c r="N321" s="59" t="str">
        <f>IFERROR(VLOOKUP(Tabelle32[[#This Row],[Device ID]],BOM!$B$3:$BQ$35,18,FALSE),"")</f>
        <v>TC.03.225 | M3H</v>
      </c>
      <c r="O321" s="64"/>
      <c r="P321" s="64">
        <f>IFERROR(VLOOKUP(Tabelle32[[#This Row],[Device ID]],BOM!$B$3:$BO$50,20,FALSE),"")</f>
        <v>0</v>
      </c>
      <c r="Q321" s="64">
        <f>IFERROR(VLOOKUP(Tabelle32[[#This Row],[Device ID]],BOM!$B$3:$BO$50,21,FALSE),"")</f>
        <v>1</v>
      </c>
      <c r="R321" s="64">
        <f>IFERROR(VLOOKUP(Tabelle32[[#This Row],[Device ID]],BOM!$B$3:$BO$50,22,FALSE),"")</f>
        <v>0</v>
      </c>
      <c r="S321" s="64"/>
      <c r="T321" s="64"/>
      <c r="U321" s="59" t="str">
        <f>IFERROR(VLOOKUP(Tabelle32[[#This Row],[Device ID]],BOM!$B$3:$BQ$35,25,FALSE),"")</f>
        <v>Luis/Ivo</v>
      </c>
      <c r="V321" s="59" t="str">
        <f>IFERROR(VLOOKUP(Tabelle32[[#This Row],[Device ID]],BOM!$B$3:$BQ$35,26,FALSE),"")</f>
        <v>tpco-megw-vgw103.rta.st-net.media.int</v>
      </c>
      <c r="W321" s="59" t="str">
        <f>IFERROR(VLOOKUP(Tabelle32[[#This Row],[Device ID]],BOM!$B$3:$BQ$35,27,FALSE),"")</f>
        <v>10.120.236.50</v>
      </c>
      <c r="X321" s="59" t="str">
        <f>IFERROR(VLOOKUP(Tabelle32[[#This Row],[Device ID]],BOM!$B$3:$BQ$35,28,FALSE),"")</f>
        <v>AVCoreA</v>
      </c>
      <c r="Y321" s="59" t="str">
        <f>IFERROR(VLOOKUP(Tabelle32[[#This Row],[Device ID]],BOM!$B$3:$BQ$35,29,FALSE),"")</f>
        <v>5_36_1</v>
      </c>
      <c r="Z321" s="59" t="str">
        <f>IFERROR(VLOOKUP(Tabelle32[[#This Row],[Device ID]],BOM!$B$3:$BQ$35,30,FALSE),"")</f>
        <v>tpco-megw-vgw103.rtb.st-net.media.int</v>
      </c>
      <c r="AA321" s="59" t="str">
        <f>IFERROR(VLOOKUP(Tabelle32[[#This Row],[Device ID]],BOM!$B$3:$BQ$35,31,FALSE),"")</f>
        <v>10.120.236.54</v>
      </c>
      <c r="AB321" s="59" t="str">
        <f>IFERROR(VLOOKUP(Tabelle32[[#This Row],[Device ID]],BOM!$B$3:$BQ$35,32,FALSE),"")</f>
        <v>AVCoreB</v>
      </c>
      <c r="AC321" s="59" t="str">
        <f>IFERROR(VLOOKUP(Tabelle32[[#This Row],[Device ID]],BOM!$B$3:$BQ$35,33,FALSE),"")</f>
        <v>5_36_1</v>
      </c>
      <c r="AD321" s="59" t="str">
        <f>IFERROR(VLOOKUP(Tabelle32[[#This Row],[Device ID]],BOM!$B$3:$BQ$35,34,FALSE),"")</f>
        <v>tpco-megw-vgw103.st-net.media.int</v>
      </c>
      <c r="AE321" s="59" t="str">
        <f>IFERROR(VLOOKUP(Tabelle32[[#This Row],[Device ID]],BOM!$B$3:$BQ$35,35,FALSE),"")</f>
        <v>10.120.67.141</v>
      </c>
      <c r="AF321" s="59">
        <f>IFERROR(VLOOKUP(Tabelle32[[#This Row],[Device ID]],BOM!$B$3:$BQ$35,36,FALSE),"")</f>
        <v>0</v>
      </c>
      <c r="AG321" s="59">
        <f>IFERROR(VLOOKUP(Tabelle32[[#This Row],[Device ID]],BOM!$B$3:$BQ$35,37,FALSE),"")</f>
        <v>0</v>
      </c>
      <c r="AH321" s="59"/>
      <c r="AI321" s="59"/>
      <c r="AJ321" s="59"/>
      <c r="AK321" s="59"/>
      <c r="AL321" s="59" t="str">
        <f>IFERROR(VLOOKUP(Tabelle32[[#This Row],[Device ID]],BOM!$B$3:$BQ$35,42,FALSE),"")</f>
        <v>Imagine Communications SNP</v>
      </c>
      <c r="AM321" s="59" t="str">
        <f>IFERROR(VLOOKUP(Tabelle32[[#This Row],[Device ID]],BOM!$B$3:$BQ$35,43,FALSE),"")</f>
        <v>no</v>
      </c>
      <c r="AN321" s="59" t="str">
        <f>IFERROR(VLOOKUP(Tabelle32[[#This Row],[Device ID]],BOM!$B$3:$BQ$35,44,FALSE),"")</f>
        <v>yes</v>
      </c>
      <c r="AO321" s="59" t="str">
        <f>IFERROR(VLOOKUP(Tabelle32[[#This Row],[Device ID]],BOM!$B$3:$BQ$35,45,FALSE),"")</f>
        <v>no</v>
      </c>
      <c r="AP321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21" s="59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  <c r="BB321" s="90"/>
      <c r="BC321" s="90"/>
      <c r="BD321" s="90"/>
      <c r="BE321" s="90"/>
      <c r="BF321" s="90"/>
      <c r="BG321" s="90"/>
      <c r="BH321" s="73" t="s">
        <v>199</v>
      </c>
      <c r="BI321" s="30" t="str">
        <f>IF(COUNTA(Tabelle32[[#This Row],[Type:Vid_1080i50]:[Type:Anc_Prot]])&gt;0,"x","")</f>
        <v/>
      </c>
      <c r="BJ32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21" s="59"/>
      <c r="BL321" s="59"/>
      <c r="BM321" s="63"/>
      <c r="BN321" s="63"/>
      <c r="BO321" s="96"/>
      <c r="BP321" s="96"/>
      <c r="BQ321" s="75">
        <f>LEN(Tabelle32[[#This Row],[Label 1
GFX-Unit]])</f>
        <v>0</v>
      </c>
      <c r="BR321" s="63"/>
      <c r="BS321" s="63"/>
      <c r="BT321" s="59"/>
      <c r="BU321" s="59"/>
      <c r="BV321" s="59" t="s">
        <v>211</v>
      </c>
      <c r="BW321" s="59" t="s">
        <v>212</v>
      </c>
      <c r="BX321" s="59" t="s">
        <v>702</v>
      </c>
      <c r="BY321" s="59">
        <v>16</v>
      </c>
    </row>
    <row r="322" spans="1:77" x14ac:dyDescent="0.2">
      <c r="A322" s="58" t="str">
        <f>CONCATENATE(Tabelle32[[#This Row],[Device ID]],".",Tabelle32[[#This Row],[Streamcounter]])</f>
        <v>393.16201</v>
      </c>
      <c r="B32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VGW-103_SDI16_AUDrec_0001</v>
      </c>
      <c r="C322" s="60"/>
      <c r="D322" s="61"/>
      <c r="E322" s="62"/>
      <c r="F322" s="59" t="str">
        <f>IFERROR(VLOOKUP(Tabelle32[[#This Row],[Device ID]],BOM!$B$3:$BQ$35,16,FALSE),"")</f>
        <v>IngSRV-07</v>
      </c>
      <c r="G322" s="63">
        <f>VLOOKUP(Tabelle32[[#This Row],[SDI Interface]],BOM!$A$4:$B$35,2,FALSE)</f>
        <v>393</v>
      </c>
      <c r="H322" s="59" t="str">
        <f>BOM!$C$4</f>
        <v>VGW-103</v>
      </c>
      <c r="I322" s="59" t="str">
        <f>IFERROR(VLOOKUP(Tabelle32[[#This Row],[Device ID]],BOM!$B$3:$BQ$35,12,FALSE),"")</f>
        <v>Videoserver</v>
      </c>
      <c r="J322" s="59" t="str">
        <f>IFERROR(VLOOKUP(Tabelle32[[#This Row],[Device ID]],BOM!$B$3:$BQ$35,13,FALSE),"")</f>
        <v>TC.U1.223 | MDC</v>
      </c>
      <c r="K322" s="59" t="str">
        <f>IFERROR(VLOOKUP(Tabelle32[[#This Row],[Device ID]],BOM!$B$3:$BQ$35,14,FALSE),"")</f>
        <v>Imagine Comunications</v>
      </c>
      <c r="L322" s="59" t="str">
        <f>IFERROR(VLOOKUP(Tabelle32[[#This Row],[Device ID]],BOM!$B$3:$BQ$35,16,FALSE),"")</f>
        <v>IngSRV-07</v>
      </c>
      <c r="M322" s="63" t="str">
        <f>IFERROR(VLOOKUP(Tabelle32[[#This Row],[Device ID]],BOM!$B$3:$BQ$35,17,FALSE),"")</f>
        <v>M3H</v>
      </c>
      <c r="N322" s="59" t="str">
        <f>IFERROR(VLOOKUP(Tabelle32[[#This Row],[Device ID]],BOM!$B$3:$BQ$35,18,FALSE),"")</f>
        <v>TC.03.225 | M3H</v>
      </c>
      <c r="O322" s="64"/>
      <c r="P322" s="64">
        <f>IFERROR(VLOOKUP(Tabelle32[[#This Row],[Device ID]],BOM!$B$3:$BO$50,20,FALSE),"")</f>
        <v>0</v>
      </c>
      <c r="Q322" s="64">
        <f>IFERROR(VLOOKUP(Tabelle32[[#This Row],[Device ID]],BOM!$B$3:$BO$50,21,FALSE),"")</f>
        <v>1</v>
      </c>
      <c r="R322" s="64">
        <f>IFERROR(VLOOKUP(Tabelle32[[#This Row],[Device ID]],BOM!$B$3:$BO$50,22,FALSE),"")</f>
        <v>0</v>
      </c>
      <c r="S322" s="64"/>
      <c r="T322" s="64"/>
      <c r="U322" s="59" t="str">
        <f>IFERROR(VLOOKUP(Tabelle32[[#This Row],[Device ID]],BOM!$B$3:$BQ$35,25,FALSE),"")</f>
        <v>Luis/Ivo</v>
      </c>
      <c r="V322" s="59" t="str">
        <f>IFERROR(VLOOKUP(Tabelle32[[#This Row],[Device ID]],BOM!$B$3:$BQ$35,26,FALSE),"")</f>
        <v>tpco-megw-vgw103.rta.st-net.media.int</v>
      </c>
      <c r="W322" s="59" t="str">
        <f>IFERROR(VLOOKUP(Tabelle32[[#This Row],[Device ID]],BOM!$B$3:$BQ$35,27,FALSE),"")</f>
        <v>10.120.236.50</v>
      </c>
      <c r="X322" s="59" t="str">
        <f>IFERROR(VLOOKUP(Tabelle32[[#This Row],[Device ID]],BOM!$B$3:$BQ$35,28,FALSE),"")</f>
        <v>AVCoreA</v>
      </c>
      <c r="Y322" s="59" t="str">
        <f>IFERROR(VLOOKUP(Tabelle32[[#This Row],[Device ID]],BOM!$B$3:$BQ$35,29,FALSE),"")</f>
        <v>5_36_1</v>
      </c>
      <c r="Z322" s="59" t="str">
        <f>IFERROR(VLOOKUP(Tabelle32[[#This Row],[Device ID]],BOM!$B$3:$BQ$35,30,FALSE),"")</f>
        <v>tpco-megw-vgw103.rtb.st-net.media.int</v>
      </c>
      <c r="AA322" s="59" t="str">
        <f>IFERROR(VLOOKUP(Tabelle32[[#This Row],[Device ID]],BOM!$B$3:$BQ$35,31,FALSE),"")</f>
        <v>10.120.236.54</v>
      </c>
      <c r="AB322" s="59" t="str">
        <f>IFERROR(VLOOKUP(Tabelle32[[#This Row],[Device ID]],BOM!$B$3:$BQ$35,32,FALSE),"")</f>
        <v>AVCoreB</v>
      </c>
      <c r="AC322" s="59" t="str">
        <f>IFERROR(VLOOKUP(Tabelle32[[#This Row],[Device ID]],BOM!$B$3:$BQ$35,33,FALSE),"")</f>
        <v>5_36_1</v>
      </c>
      <c r="AD322" s="59" t="str">
        <f>IFERROR(VLOOKUP(Tabelle32[[#This Row],[Device ID]],BOM!$B$3:$BQ$35,34,FALSE),"")</f>
        <v>tpco-megw-vgw103.st-net.media.int</v>
      </c>
      <c r="AE322" s="59" t="str">
        <f>IFERROR(VLOOKUP(Tabelle32[[#This Row],[Device ID]],BOM!$B$3:$BQ$35,35,FALSE),"")</f>
        <v>10.120.67.141</v>
      </c>
      <c r="AF322" s="59">
        <f>IFERROR(VLOOKUP(Tabelle32[[#This Row],[Device ID]],BOM!$B$3:$BQ$35,36,FALSE),"")</f>
        <v>0</v>
      </c>
      <c r="AG322" s="59">
        <f>IFERROR(VLOOKUP(Tabelle32[[#This Row],[Device ID]],BOM!$B$3:$BQ$35,37,FALSE),"")</f>
        <v>0</v>
      </c>
      <c r="AH322" s="59"/>
      <c r="AI322" s="59"/>
      <c r="AJ322" s="59"/>
      <c r="AK322" s="59"/>
      <c r="AL322" s="59" t="str">
        <f>IFERROR(VLOOKUP(Tabelle32[[#This Row],[Device ID]],BOM!$B$3:$BQ$35,42,FALSE),"")</f>
        <v>Imagine Communications SNP</v>
      </c>
      <c r="AM322" s="59" t="str">
        <f>IFERROR(VLOOKUP(Tabelle32[[#This Row],[Device ID]],BOM!$B$3:$BQ$35,43,FALSE),"")</f>
        <v>no</v>
      </c>
      <c r="AN322" s="59" t="str">
        <f>IFERROR(VLOOKUP(Tabelle32[[#This Row],[Device ID]],BOM!$B$3:$BQ$35,44,FALSE),"")</f>
        <v>yes</v>
      </c>
      <c r="AO322" s="59" t="str">
        <f>IFERROR(VLOOKUP(Tabelle32[[#This Row],[Device ID]],BOM!$B$3:$BQ$35,45,FALSE),"")</f>
        <v>no</v>
      </c>
      <c r="AP322" s="59" t="str">
        <f>IFERROR(CONCATENATE(Tabelle32[[#This Row],[Family
GFX-Unit]]," | ",Tabelle32[[#This Row],[Label 1
GFX-Unit]]," | ",Tabelle32[[#This Row],[Attached Device if Gateway]]),"")</f>
        <v>M3H InCh ARCHIV | Ingest Ch28-01 | IngSRV-07</v>
      </c>
      <c r="AQ322" s="59"/>
      <c r="AR322" s="90"/>
      <c r="AS322" s="90"/>
      <c r="AT322" s="90"/>
      <c r="AU322" s="90"/>
      <c r="AV322" s="90"/>
      <c r="AW322" s="90" t="s">
        <v>97</v>
      </c>
      <c r="AX322" s="90"/>
      <c r="AY322" s="90"/>
      <c r="AZ322" s="90" t="s">
        <v>97</v>
      </c>
      <c r="BA322" s="90"/>
      <c r="BB322" s="90" t="s">
        <v>97</v>
      </c>
      <c r="BC322" s="90" t="s">
        <v>97</v>
      </c>
      <c r="BD322" s="90"/>
      <c r="BE322" s="90"/>
      <c r="BF322" s="90"/>
      <c r="BG322" s="90"/>
      <c r="BH322" s="73" t="s">
        <v>199</v>
      </c>
      <c r="BI322" s="30" t="str">
        <f>IF(COUNTA(Tabelle32[[#This Row],[Type:Vid_1080i50]:[Type:Anc_Prot]])&gt;0,"x","")</f>
        <v>x</v>
      </c>
      <c r="BJ32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22" s="59"/>
      <c r="BL322" s="59"/>
      <c r="BM322" s="63"/>
      <c r="BN322" s="63"/>
      <c r="BO322" s="93" t="s">
        <v>2905</v>
      </c>
      <c r="BP322" s="97" t="s">
        <v>703</v>
      </c>
      <c r="BQ322" s="75">
        <f>LEN(Tabelle32[[#This Row],[Label 1
GFX-Unit]])</f>
        <v>14</v>
      </c>
      <c r="BR322" s="63"/>
      <c r="BS322" s="63"/>
      <c r="BT322" s="59"/>
      <c r="BU322" s="59"/>
      <c r="BV322" s="59" t="s">
        <v>214</v>
      </c>
      <c r="BW322" s="59" t="s">
        <v>215</v>
      </c>
      <c r="BX322" s="59" t="s">
        <v>704</v>
      </c>
      <c r="BY322" s="59">
        <v>16</v>
      </c>
    </row>
    <row r="323" spans="1:77" x14ac:dyDescent="0.2">
      <c r="A323" s="58" t="str">
        <f>CONCATENATE(Tabelle32[[#This Row],[Device ID]],".",Tabelle32[[#This Row],[Streamcounter]])</f>
        <v>393.16202</v>
      </c>
      <c r="B32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VGW-103_SDI16_AUDrec_0002</v>
      </c>
      <c r="C323" s="67"/>
      <c r="D323" s="61"/>
      <c r="E323" s="67"/>
      <c r="F323" s="59" t="str">
        <f>IFERROR(VLOOKUP(Tabelle32[[#This Row],[Device ID]],BOM!$B$3:$BQ$35,16,FALSE),"")</f>
        <v>IngSRV-07</v>
      </c>
      <c r="G323" s="63">
        <f>VLOOKUP(Tabelle32[[#This Row],[SDI Interface]],BOM!$A$4:$B$35,2,FALSE)</f>
        <v>393</v>
      </c>
      <c r="H323" s="59" t="str">
        <f>BOM!$C$4</f>
        <v>VGW-103</v>
      </c>
      <c r="I323" s="59" t="str">
        <f>IFERROR(VLOOKUP(Tabelle32[[#This Row],[Device ID]],BOM!$B$3:$BQ$35,12,FALSE),"")</f>
        <v>Videoserver</v>
      </c>
      <c r="J323" s="59" t="str">
        <f>IFERROR(VLOOKUP(Tabelle32[[#This Row],[Device ID]],BOM!$B$3:$BQ$35,13,FALSE),"")</f>
        <v>TC.U1.223 | MDC</v>
      </c>
      <c r="K323" s="59" t="str">
        <f>IFERROR(VLOOKUP(Tabelle32[[#This Row],[Device ID]],BOM!$B$3:$BQ$35,14,FALSE),"")</f>
        <v>Imagine Comunications</v>
      </c>
      <c r="L323" s="59" t="str">
        <f>IFERROR(VLOOKUP(Tabelle32[[#This Row],[Device ID]],BOM!$B$3:$BQ$35,16,FALSE),"")</f>
        <v>IngSRV-07</v>
      </c>
      <c r="M323" s="63" t="str">
        <f>IFERROR(VLOOKUP(Tabelle32[[#This Row],[Device ID]],BOM!$B$3:$BQ$35,17,FALSE),"")</f>
        <v>M3H</v>
      </c>
      <c r="N323" s="59" t="str">
        <f>IFERROR(VLOOKUP(Tabelle32[[#This Row],[Device ID]],BOM!$B$3:$BQ$35,18,FALSE),"")</f>
        <v>TC.03.225 | M3H</v>
      </c>
      <c r="O323" s="64"/>
      <c r="P323" s="64">
        <f>IFERROR(VLOOKUP(Tabelle32[[#This Row],[Device ID]],BOM!$B$3:$BO$50,20,FALSE),"")</f>
        <v>0</v>
      </c>
      <c r="Q323" s="64">
        <f>IFERROR(VLOOKUP(Tabelle32[[#This Row],[Device ID]],BOM!$B$3:$BO$50,21,FALSE),"")</f>
        <v>1</v>
      </c>
      <c r="R323" s="64">
        <f>IFERROR(VLOOKUP(Tabelle32[[#This Row],[Device ID]],BOM!$B$3:$BO$50,22,FALSE),"")</f>
        <v>0</v>
      </c>
      <c r="S323" s="64"/>
      <c r="T323" s="64"/>
      <c r="U323" s="59" t="str">
        <f>IFERROR(VLOOKUP(Tabelle32[[#This Row],[Device ID]],BOM!$B$3:$BQ$35,25,FALSE),"")</f>
        <v>Luis/Ivo</v>
      </c>
      <c r="V323" s="59" t="str">
        <f>IFERROR(VLOOKUP(Tabelle32[[#This Row],[Device ID]],BOM!$B$3:$BQ$35,26,FALSE),"")</f>
        <v>tpco-megw-vgw103.rta.st-net.media.int</v>
      </c>
      <c r="W323" s="59" t="str">
        <f>IFERROR(VLOOKUP(Tabelle32[[#This Row],[Device ID]],BOM!$B$3:$BQ$35,27,FALSE),"")</f>
        <v>10.120.236.50</v>
      </c>
      <c r="X323" s="59" t="str">
        <f>IFERROR(VLOOKUP(Tabelle32[[#This Row],[Device ID]],BOM!$B$3:$BQ$35,28,FALSE),"")</f>
        <v>AVCoreA</v>
      </c>
      <c r="Y323" s="59" t="str">
        <f>IFERROR(VLOOKUP(Tabelle32[[#This Row],[Device ID]],BOM!$B$3:$BQ$35,29,FALSE),"")</f>
        <v>5_36_1</v>
      </c>
      <c r="Z323" s="59" t="str">
        <f>IFERROR(VLOOKUP(Tabelle32[[#This Row],[Device ID]],BOM!$B$3:$BQ$35,30,FALSE),"")</f>
        <v>tpco-megw-vgw103.rtb.st-net.media.int</v>
      </c>
      <c r="AA323" s="59" t="str">
        <f>IFERROR(VLOOKUP(Tabelle32[[#This Row],[Device ID]],BOM!$B$3:$BQ$35,31,FALSE),"")</f>
        <v>10.120.236.54</v>
      </c>
      <c r="AB323" s="59" t="str">
        <f>IFERROR(VLOOKUP(Tabelle32[[#This Row],[Device ID]],BOM!$B$3:$BQ$35,32,FALSE),"")</f>
        <v>AVCoreB</v>
      </c>
      <c r="AC323" s="59" t="str">
        <f>IFERROR(VLOOKUP(Tabelle32[[#This Row],[Device ID]],BOM!$B$3:$BQ$35,33,FALSE),"")</f>
        <v>5_36_1</v>
      </c>
      <c r="AD323" s="59" t="str">
        <f>IFERROR(VLOOKUP(Tabelle32[[#This Row],[Device ID]],BOM!$B$3:$BQ$35,34,FALSE),"")</f>
        <v>tpco-megw-vgw103.st-net.media.int</v>
      </c>
      <c r="AE323" s="59" t="str">
        <f>IFERROR(VLOOKUP(Tabelle32[[#This Row],[Device ID]],BOM!$B$3:$BQ$35,35,FALSE),"")</f>
        <v>10.120.67.141</v>
      </c>
      <c r="AF323" s="59">
        <f>IFERROR(VLOOKUP(Tabelle32[[#This Row],[Device ID]],BOM!$B$3:$BQ$35,36,FALSE),"")</f>
        <v>0</v>
      </c>
      <c r="AG323" s="59">
        <f>IFERROR(VLOOKUP(Tabelle32[[#This Row],[Device ID]],BOM!$B$3:$BQ$35,37,FALSE),"")</f>
        <v>0</v>
      </c>
      <c r="AH323" s="59"/>
      <c r="AI323" s="59"/>
      <c r="AJ323" s="59"/>
      <c r="AK323" s="59"/>
      <c r="AL323" s="59" t="str">
        <f>IFERROR(VLOOKUP(Tabelle32[[#This Row],[Device ID]],BOM!$B$3:$BQ$35,42,FALSE),"")</f>
        <v>Imagine Communications SNP</v>
      </c>
      <c r="AM323" s="59" t="str">
        <f>IFERROR(VLOOKUP(Tabelle32[[#This Row],[Device ID]],BOM!$B$3:$BQ$35,43,FALSE),"")</f>
        <v>no</v>
      </c>
      <c r="AN323" s="59" t="str">
        <f>IFERROR(VLOOKUP(Tabelle32[[#This Row],[Device ID]],BOM!$B$3:$BQ$35,44,FALSE),"")</f>
        <v>yes</v>
      </c>
      <c r="AO323" s="59" t="str">
        <f>IFERROR(VLOOKUP(Tabelle32[[#This Row],[Device ID]],BOM!$B$3:$BQ$35,45,FALSE),"")</f>
        <v>no</v>
      </c>
      <c r="AP323" s="59" t="str">
        <f>IFERROR(CONCATENATE(Tabelle32[[#This Row],[Family
GFX-Unit]]," | ",Tabelle32[[#This Row],[Label 1
GFX-Unit]]," | ",Tabelle32[[#This Row],[Attached Device if Gateway]]),"")</f>
        <v>M3H InCh ARCHIV | Ingest Ch28-02 | IngSRV-07</v>
      </c>
      <c r="AQ323" s="59"/>
      <c r="AR323" s="90"/>
      <c r="AS323" s="90"/>
      <c r="AT323" s="90"/>
      <c r="AU323" s="90"/>
      <c r="AV323" s="90"/>
      <c r="AW323" s="90" t="s">
        <v>97</v>
      </c>
      <c r="AX323" s="90"/>
      <c r="AY323" s="90"/>
      <c r="AZ323" s="90" t="s">
        <v>97</v>
      </c>
      <c r="BA323" s="90"/>
      <c r="BB323" s="90" t="s">
        <v>97</v>
      </c>
      <c r="BC323" s="90" t="s">
        <v>97</v>
      </c>
      <c r="BD323" s="90"/>
      <c r="BE323" s="90"/>
      <c r="BF323" s="90"/>
      <c r="BG323" s="90"/>
      <c r="BH323" s="73" t="s">
        <v>199</v>
      </c>
      <c r="BI323" s="30" t="str">
        <f>IF(COUNTA(Tabelle32[[#This Row],[Type:Vid_1080i50]:[Type:Anc_Prot]])&gt;0,"x","")</f>
        <v>x</v>
      </c>
      <c r="BJ32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23" s="59"/>
      <c r="BL323" s="59"/>
      <c r="BM323" s="63"/>
      <c r="BN323" s="63"/>
      <c r="BO323" s="93" t="s">
        <v>2905</v>
      </c>
      <c r="BP323" s="97" t="s">
        <v>705</v>
      </c>
      <c r="BQ323" s="75">
        <f>LEN(Tabelle32[[#This Row],[Label 1
GFX-Unit]])</f>
        <v>14</v>
      </c>
      <c r="BR323" s="63"/>
      <c r="BS323" s="63"/>
      <c r="BT323" s="59"/>
      <c r="BU323" s="59"/>
      <c r="BV323" s="59" t="s">
        <v>218</v>
      </c>
      <c r="BW323" s="59" t="s">
        <v>219</v>
      </c>
      <c r="BX323" s="59" t="s">
        <v>706</v>
      </c>
      <c r="BY323" s="59">
        <v>16</v>
      </c>
    </row>
    <row r="324" spans="1:77" x14ac:dyDescent="0.2">
      <c r="A324" s="58" t="str">
        <f>CONCATENATE(Tabelle32[[#This Row],[Device ID]],".",Tabelle32[[#This Row],[Streamcounter]])</f>
        <v>393.16203</v>
      </c>
      <c r="B32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VGW-103_SDI16_AUDrec_0003</v>
      </c>
      <c r="C324" s="67"/>
      <c r="D324" s="61"/>
      <c r="E324" s="67"/>
      <c r="F324" s="59" t="str">
        <f>IFERROR(VLOOKUP(Tabelle32[[#This Row],[Device ID]],BOM!$B$3:$BQ$35,16,FALSE),"")</f>
        <v>IngSRV-07</v>
      </c>
      <c r="G324" s="63">
        <f>VLOOKUP(Tabelle32[[#This Row],[SDI Interface]],BOM!$A$4:$B$35,2,FALSE)</f>
        <v>393</v>
      </c>
      <c r="H324" s="59" t="str">
        <f>BOM!$C$4</f>
        <v>VGW-103</v>
      </c>
      <c r="I324" s="59" t="str">
        <f>IFERROR(VLOOKUP(Tabelle32[[#This Row],[Device ID]],BOM!$B$3:$BQ$35,12,FALSE),"")</f>
        <v>Videoserver</v>
      </c>
      <c r="J324" s="59" t="str">
        <f>IFERROR(VLOOKUP(Tabelle32[[#This Row],[Device ID]],BOM!$B$3:$BQ$35,13,FALSE),"")</f>
        <v>TC.U1.223 | MDC</v>
      </c>
      <c r="K324" s="59" t="str">
        <f>IFERROR(VLOOKUP(Tabelle32[[#This Row],[Device ID]],BOM!$B$3:$BQ$35,14,FALSE),"")</f>
        <v>Imagine Comunications</v>
      </c>
      <c r="L324" s="59" t="str">
        <f>IFERROR(VLOOKUP(Tabelle32[[#This Row],[Device ID]],BOM!$B$3:$BQ$35,16,FALSE),"")</f>
        <v>IngSRV-07</v>
      </c>
      <c r="M324" s="63" t="str">
        <f>IFERROR(VLOOKUP(Tabelle32[[#This Row],[Device ID]],BOM!$B$3:$BQ$35,17,FALSE),"")</f>
        <v>M3H</v>
      </c>
      <c r="N324" s="59" t="str">
        <f>IFERROR(VLOOKUP(Tabelle32[[#This Row],[Device ID]],BOM!$B$3:$BQ$35,18,FALSE),"")</f>
        <v>TC.03.225 | M3H</v>
      </c>
      <c r="O324" s="64"/>
      <c r="P324" s="64">
        <f>IFERROR(VLOOKUP(Tabelle32[[#This Row],[Device ID]],BOM!$B$3:$BO$50,20,FALSE),"")</f>
        <v>0</v>
      </c>
      <c r="Q324" s="64">
        <f>IFERROR(VLOOKUP(Tabelle32[[#This Row],[Device ID]],BOM!$B$3:$BO$50,21,FALSE),"")</f>
        <v>1</v>
      </c>
      <c r="R324" s="64">
        <f>IFERROR(VLOOKUP(Tabelle32[[#This Row],[Device ID]],BOM!$B$3:$BO$50,22,FALSE),"")</f>
        <v>0</v>
      </c>
      <c r="S324" s="64"/>
      <c r="T324" s="64"/>
      <c r="U324" s="59" t="str">
        <f>IFERROR(VLOOKUP(Tabelle32[[#This Row],[Device ID]],BOM!$B$3:$BQ$35,25,FALSE),"")</f>
        <v>Luis/Ivo</v>
      </c>
      <c r="V324" s="59" t="str">
        <f>IFERROR(VLOOKUP(Tabelle32[[#This Row],[Device ID]],BOM!$B$3:$BQ$35,26,FALSE),"")</f>
        <v>tpco-megw-vgw103.rta.st-net.media.int</v>
      </c>
      <c r="W324" s="59" t="str">
        <f>IFERROR(VLOOKUP(Tabelle32[[#This Row],[Device ID]],BOM!$B$3:$BQ$35,27,FALSE),"")</f>
        <v>10.120.236.50</v>
      </c>
      <c r="X324" s="59" t="str">
        <f>IFERROR(VLOOKUP(Tabelle32[[#This Row],[Device ID]],BOM!$B$3:$BQ$35,28,FALSE),"")</f>
        <v>AVCoreA</v>
      </c>
      <c r="Y324" s="59" t="str">
        <f>IFERROR(VLOOKUP(Tabelle32[[#This Row],[Device ID]],BOM!$B$3:$BQ$35,29,FALSE),"")</f>
        <v>5_36_1</v>
      </c>
      <c r="Z324" s="59" t="str">
        <f>IFERROR(VLOOKUP(Tabelle32[[#This Row],[Device ID]],BOM!$B$3:$BQ$35,30,FALSE),"")</f>
        <v>tpco-megw-vgw103.rtb.st-net.media.int</v>
      </c>
      <c r="AA324" s="59" t="str">
        <f>IFERROR(VLOOKUP(Tabelle32[[#This Row],[Device ID]],BOM!$B$3:$BQ$35,31,FALSE),"")</f>
        <v>10.120.236.54</v>
      </c>
      <c r="AB324" s="59" t="str">
        <f>IFERROR(VLOOKUP(Tabelle32[[#This Row],[Device ID]],BOM!$B$3:$BQ$35,32,FALSE),"")</f>
        <v>AVCoreB</v>
      </c>
      <c r="AC324" s="59" t="str">
        <f>IFERROR(VLOOKUP(Tabelle32[[#This Row],[Device ID]],BOM!$B$3:$BQ$35,33,FALSE),"")</f>
        <v>5_36_1</v>
      </c>
      <c r="AD324" s="59" t="str">
        <f>IFERROR(VLOOKUP(Tabelle32[[#This Row],[Device ID]],BOM!$B$3:$BQ$35,34,FALSE),"")</f>
        <v>tpco-megw-vgw103.st-net.media.int</v>
      </c>
      <c r="AE324" s="59" t="str">
        <f>IFERROR(VLOOKUP(Tabelle32[[#This Row],[Device ID]],BOM!$B$3:$BQ$35,35,FALSE),"")</f>
        <v>10.120.67.141</v>
      </c>
      <c r="AF324" s="59">
        <f>IFERROR(VLOOKUP(Tabelle32[[#This Row],[Device ID]],BOM!$B$3:$BQ$35,36,FALSE),"")</f>
        <v>0</v>
      </c>
      <c r="AG324" s="59">
        <f>IFERROR(VLOOKUP(Tabelle32[[#This Row],[Device ID]],BOM!$B$3:$BQ$35,37,FALSE),"")</f>
        <v>0</v>
      </c>
      <c r="AH324" s="59"/>
      <c r="AI324" s="59"/>
      <c r="AJ324" s="59"/>
      <c r="AK324" s="59"/>
      <c r="AL324" s="59" t="str">
        <f>IFERROR(VLOOKUP(Tabelle32[[#This Row],[Device ID]],BOM!$B$3:$BQ$35,42,FALSE),"")</f>
        <v>Imagine Communications SNP</v>
      </c>
      <c r="AM324" s="59" t="str">
        <f>IFERROR(VLOOKUP(Tabelle32[[#This Row],[Device ID]],BOM!$B$3:$BQ$35,43,FALSE),"")</f>
        <v>no</v>
      </c>
      <c r="AN324" s="59" t="str">
        <f>IFERROR(VLOOKUP(Tabelle32[[#This Row],[Device ID]],BOM!$B$3:$BQ$35,44,FALSE),"")</f>
        <v>yes</v>
      </c>
      <c r="AO324" s="59" t="str">
        <f>IFERROR(VLOOKUP(Tabelle32[[#This Row],[Device ID]],BOM!$B$3:$BQ$35,45,FALSE),"")</f>
        <v>no</v>
      </c>
      <c r="AP324" s="59" t="str">
        <f>IFERROR(CONCATENATE(Tabelle32[[#This Row],[Family
GFX-Unit]]," | ",Tabelle32[[#This Row],[Label 1
GFX-Unit]]," | ",Tabelle32[[#This Row],[Attached Device if Gateway]]),"")</f>
        <v>M3H InCh ARCHIV | Ingest Ch28-03 | IngSRV-07</v>
      </c>
      <c r="AQ324" s="59"/>
      <c r="AR324" s="90"/>
      <c r="AS324" s="90"/>
      <c r="AT324" s="90"/>
      <c r="AU324" s="90"/>
      <c r="AV324" s="90"/>
      <c r="AW324" s="90" t="s">
        <v>97</v>
      </c>
      <c r="AX324" s="90"/>
      <c r="AY324" s="90"/>
      <c r="AZ324" s="90" t="s">
        <v>97</v>
      </c>
      <c r="BA324" s="90"/>
      <c r="BB324" s="90" t="s">
        <v>97</v>
      </c>
      <c r="BC324" s="90" t="s">
        <v>97</v>
      </c>
      <c r="BD324" s="90"/>
      <c r="BE324" s="90"/>
      <c r="BF324" s="90"/>
      <c r="BG324" s="90"/>
      <c r="BH324" s="73" t="s">
        <v>199</v>
      </c>
      <c r="BI324" s="30" t="str">
        <f>IF(COUNTA(Tabelle32[[#This Row],[Type:Vid_1080i50]:[Type:Anc_Prot]])&gt;0,"x","")</f>
        <v>x</v>
      </c>
      <c r="BJ32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24" s="59"/>
      <c r="BL324" s="59"/>
      <c r="BM324" s="63"/>
      <c r="BN324" s="63"/>
      <c r="BO324" s="93" t="s">
        <v>2905</v>
      </c>
      <c r="BP324" s="97" t="s">
        <v>707</v>
      </c>
      <c r="BQ324" s="75">
        <f>LEN(Tabelle32[[#This Row],[Label 1
GFX-Unit]])</f>
        <v>14</v>
      </c>
      <c r="BR324" s="63"/>
      <c r="BS324" s="63"/>
      <c r="BT324" s="59"/>
      <c r="BU324" s="59"/>
      <c r="BV324" s="59" t="s">
        <v>222</v>
      </c>
      <c r="BW324" s="59" t="s">
        <v>223</v>
      </c>
      <c r="BX324" s="59" t="s">
        <v>708</v>
      </c>
      <c r="BY324" s="59">
        <v>16</v>
      </c>
    </row>
    <row r="325" spans="1:77" x14ac:dyDescent="0.2">
      <c r="A325" s="58" t="str">
        <f>CONCATENATE(Tabelle32[[#This Row],[Device ID]],".",Tabelle32[[#This Row],[Streamcounter]])</f>
        <v>393.16204</v>
      </c>
      <c r="B32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VGW-103_SDI16_AUDrec_0004</v>
      </c>
      <c r="C325" s="60"/>
      <c r="D325" s="61"/>
      <c r="E325" s="62"/>
      <c r="F325" s="59" t="str">
        <f>IFERROR(VLOOKUP(Tabelle32[[#This Row],[Device ID]],BOM!$B$3:$BQ$35,16,FALSE),"")</f>
        <v>IngSRV-07</v>
      </c>
      <c r="G325" s="63">
        <f>VLOOKUP(Tabelle32[[#This Row],[SDI Interface]],BOM!$A$4:$B$35,2,FALSE)</f>
        <v>393</v>
      </c>
      <c r="H325" s="59" t="str">
        <f>BOM!$C$4</f>
        <v>VGW-103</v>
      </c>
      <c r="I325" s="59" t="str">
        <f>IFERROR(VLOOKUP(Tabelle32[[#This Row],[Device ID]],BOM!$B$3:$BQ$35,12,FALSE),"")</f>
        <v>Videoserver</v>
      </c>
      <c r="J325" s="59" t="str">
        <f>IFERROR(VLOOKUP(Tabelle32[[#This Row],[Device ID]],BOM!$B$3:$BQ$35,13,FALSE),"")</f>
        <v>TC.U1.223 | MDC</v>
      </c>
      <c r="K325" s="59" t="str">
        <f>IFERROR(VLOOKUP(Tabelle32[[#This Row],[Device ID]],BOM!$B$3:$BQ$35,14,FALSE),"")</f>
        <v>Imagine Comunications</v>
      </c>
      <c r="L325" s="59" t="str">
        <f>IFERROR(VLOOKUP(Tabelle32[[#This Row],[Device ID]],BOM!$B$3:$BQ$35,16,FALSE),"")</f>
        <v>IngSRV-07</v>
      </c>
      <c r="M325" s="63" t="str">
        <f>IFERROR(VLOOKUP(Tabelle32[[#This Row],[Device ID]],BOM!$B$3:$BQ$35,17,FALSE),"")</f>
        <v>M3H</v>
      </c>
      <c r="N325" s="59" t="str">
        <f>IFERROR(VLOOKUP(Tabelle32[[#This Row],[Device ID]],BOM!$B$3:$BQ$35,18,FALSE),"")</f>
        <v>TC.03.225 | M3H</v>
      </c>
      <c r="O325" s="64"/>
      <c r="P325" s="64">
        <f>IFERROR(VLOOKUP(Tabelle32[[#This Row],[Device ID]],BOM!$B$3:$BO$50,20,FALSE),"")</f>
        <v>0</v>
      </c>
      <c r="Q325" s="64">
        <f>IFERROR(VLOOKUP(Tabelle32[[#This Row],[Device ID]],BOM!$B$3:$BO$50,21,FALSE),"")</f>
        <v>1</v>
      </c>
      <c r="R325" s="64">
        <f>IFERROR(VLOOKUP(Tabelle32[[#This Row],[Device ID]],BOM!$B$3:$BO$50,22,FALSE),"")</f>
        <v>0</v>
      </c>
      <c r="S325" s="64"/>
      <c r="T325" s="64"/>
      <c r="U325" s="59" t="str">
        <f>IFERROR(VLOOKUP(Tabelle32[[#This Row],[Device ID]],BOM!$B$3:$BQ$35,25,FALSE),"")</f>
        <v>Luis/Ivo</v>
      </c>
      <c r="V325" s="59" t="str">
        <f>IFERROR(VLOOKUP(Tabelle32[[#This Row],[Device ID]],BOM!$B$3:$BQ$35,26,FALSE),"")</f>
        <v>tpco-megw-vgw103.rta.st-net.media.int</v>
      </c>
      <c r="W325" s="59" t="str">
        <f>IFERROR(VLOOKUP(Tabelle32[[#This Row],[Device ID]],BOM!$B$3:$BQ$35,27,FALSE),"")</f>
        <v>10.120.236.50</v>
      </c>
      <c r="X325" s="59" t="str">
        <f>IFERROR(VLOOKUP(Tabelle32[[#This Row],[Device ID]],BOM!$B$3:$BQ$35,28,FALSE),"")</f>
        <v>AVCoreA</v>
      </c>
      <c r="Y325" s="59" t="str">
        <f>IFERROR(VLOOKUP(Tabelle32[[#This Row],[Device ID]],BOM!$B$3:$BQ$35,29,FALSE),"")</f>
        <v>5_36_1</v>
      </c>
      <c r="Z325" s="59" t="str">
        <f>IFERROR(VLOOKUP(Tabelle32[[#This Row],[Device ID]],BOM!$B$3:$BQ$35,30,FALSE),"")</f>
        <v>tpco-megw-vgw103.rtb.st-net.media.int</v>
      </c>
      <c r="AA325" s="59" t="str">
        <f>IFERROR(VLOOKUP(Tabelle32[[#This Row],[Device ID]],BOM!$B$3:$BQ$35,31,FALSE),"")</f>
        <v>10.120.236.54</v>
      </c>
      <c r="AB325" s="59" t="str">
        <f>IFERROR(VLOOKUP(Tabelle32[[#This Row],[Device ID]],BOM!$B$3:$BQ$35,32,FALSE),"")</f>
        <v>AVCoreB</v>
      </c>
      <c r="AC325" s="59" t="str">
        <f>IFERROR(VLOOKUP(Tabelle32[[#This Row],[Device ID]],BOM!$B$3:$BQ$35,33,FALSE),"")</f>
        <v>5_36_1</v>
      </c>
      <c r="AD325" s="59" t="str">
        <f>IFERROR(VLOOKUP(Tabelle32[[#This Row],[Device ID]],BOM!$B$3:$BQ$35,34,FALSE),"")</f>
        <v>tpco-megw-vgw103.st-net.media.int</v>
      </c>
      <c r="AE325" s="59" t="str">
        <f>IFERROR(VLOOKUP(Tabelle32[[#This Row],[Device ID]],BOM!$B$3:$BQ$35,35,FALSE),"")</f>
        <v>10.120.67.141</v>
      </c>
      <c r="AF325" s="59">
        <f>IFERROR(VLOOKUP(Tabelle32[[#This Row],[Device ID]],BOM!$B$3:$BQ$35,36,FALSE),"")</f>
        <v>0</v>
      </c>
      <c r="AG325" s="59">
        <f>IFERROR(VLOOKUP(Tabelle32[[#This Row],[Device ID]],BOM!$B$3:$BQ$35,37,FALSE),"")</f>
        <v>0</v>
      </c>
      <c r="AH325" s="59"/>
      <c r="AI325" s="59"/>
      <c r="AJ325" s="59"/>
      <c r="AK325" s="59"/>
      <c r="AL325" s="59" t="str">
        <f>IFERROR(VLOOKUP(Tabelle32[[#This Row],[Device ID]],BOM!$B$3:$BQ$35,42,FALSE),"")</f>
        <v>Imagine Communications SNP</v>
      </c>
      <c r="AM325" s="59" t="str">
        <f>IFERROR(VLOOKUP(Tabelle32[[#This Row],[Device ID]],BOM!$B$3:$BQ$35,43,FALSE),"")</f>
        <v>no</v>
      </c>
      <c r="AN325" s="59" t="str">
        <f>IFERROR(VLOOKUP(Tabelle32[[#This Row],[Device ID]],BOM!$B$3:$BQ$35,44,FALSE),"")</f>
        <v>yes</v>
      </c>
      <c r="AO325" s="59" t="str">
        <f>IFERROR(VLOOKUP(Tabelle32[[#This Row],[Device ID]],BOM!$B$3:$BQ$35,45,FALSE),"")</f>
        <v>no</v>
      </c>
      <c r="AP325" s="59" t="str">
        <f>IFERROR(CONCATENATE(Tabelle32[[#This Row],[Family
GFX-Unit]]," | ",Tabelle32[[#This Row],[Label 1
GFX-Unit]]," | ",Tabelle32[[#This Row],[Attached Device if Gateway]]),"")</f>
        <v>M3H InCh ARCHIV | Ingest Ch28-04 | IngSRV-07</v>
      </c>
      <c r="AQ325" s="59"/>
      <c r="AR325" s="90"/>
      <c r="AS325" s="90"/>
      <c r="AT325" s="90"/>
      <c r="AU325" s="90"/>
      <c r="AV325" s="90"/>
      <c r="AW325" s="90" t="s">
        <v>97</v>
      </c>
      <c r="AX325" s="90"/>
      <c r="AY325" s="90"/>
      <c r="AZ325" s="90" t="s">
        <v>97</v>
      </c>
      <c r="BA325" s="90"/>
      <c r="BB325" s="90" t="s">
        <v>97</v>
      </c>
      <c r="BC325" s="90" t="s">
        <v>97</v>
      </c>
      <c r="BD325" s="90"/>
      <c r="BE325" s="90"/>
      <c r="BF325" s="90"/>
      <c r="BG325" s="90"/>
      <c r="BH325" s="73" t="s">
        <v>199</v>
      </c>
      <c r="BI325" s="30" t="str">
        <f>IF(COUNTA(Tabelle32[[#This Row],[Type:Vid_1080i50]:[Type:Anc_Prot]])&gt;0,"x","")</f>
        <v>x</v>
      </c>
      <c r="BJ32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25" s="59"/>
      <c r="BL325" s="59"/>
      <c r="BM325" s="63"/>
      <c r="BN325" s="63"/>
      <c r="BO325" s="93" t="s">
        <v>2905</v>
      </c>
      <c r="BP325" s="97" t="s">
        <v>709</v>
      </c>
      <c r="BQ325" s="75">
        <f>LEN(Tabelle32[[#This Row],[Label 1
GFX-Unit]])</f>
        <v>14</v>
      </c>
      <c r="BR325" s="63"/>
      <c r="BS325" s="63"/>
      <c r="BT325" s="59"/>
      <c r="BU325" s="59"/>
      <c r="BV325" s="59" t="s">
        <v>226</v>
      </c>
      <c r="BW325" s="59" t="s">
        <v>227</v>
      </c>
      <c r="BX325" s="59" t="s">
        <v>710</v>
      </c>
      <c r="BY325" s="59">
        <v>16</v>
      </c>
    </row>
    <row r="326" spans="1:77" x14ac:dyDescent="0.2">
      <c r="A326" s="58" t="str">
        <f>CONCATENATE(Tabelle32[[#This Row],[Device ID]],".",Tabelle32[[#This Row],[Streamcounter]])</f>
        <v>393.16205</v>
      </c>
      <c r="B32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VGW-103_SDI16_AUDrec_0005</v>
      </c>
      <c r="C326" s="60"/>
      <c r="D326" s="61"/>
      <c r="E326" s="62"/>
      <c r="F326" s="59" t="str">
        <f>IFERROR(VLOOKUP(Tabelle32[[#This Row],[Device ID]],BOM!$B$3:$BQ$35,16,FALSE),"")</f>
        <v>IngSRV-07</v>
      </c>
      <c r="G326" s="63">
        <f>VLOOKUP(Tabelle32[[#This Row],[SDI Interface]],BOM!$A$4:$B$35,2,FALSE)</f>
        <v>393</v>
      </c>
      <c r="H326" s="59" t="str">
        <f>BOM!$C$4</f>
        <v>VGW-103</v>
      </c>
      <c r="I326" s="59" t="str">
        <f>IFERROR(VLOOKUP(Tabelle32[[#This Row],[Device ID]],BOM!$B$3:$BQ$35,12,FALSE),"")</f>
        <v>Videoserver</v>
      </c>
      <c r="J326" s="59" t="str">
        <f>IFERROR(VLOOKUP(Tabelle32[[#This Row],[Device ID]],BOM!$B$3:$BQ$35,13,FALSE),"")</f>
        <v>TC.U1.223 | MDC</v>
      </c>
      <c r="K326" s="59" t="str">
        <f>IFERROR(VLOOKUP(Tabelle32[[#This Row],[Device ID]],BOM!$B$3:$BQ$35,14,FALSE),"")</f>
        <v>Imagine Comunications</v>
      </c>
      <c r="L326" s="59" t="str">
        <f>IFERROR(VLOOKUP(Tabelle32[[#This Row],[Device ID]],BOM!$B$3:$BQ$35,16,FALSE),"")</f>
        <v>IngSRV-07</v>
      </c>
      <c r="M326" s="63" t="str">
        <f>IFERROR(VLOOKUP(Tabelle32[[#This Row],[Device ID]],BOM!$B$3:$BQ$35,17,FALSE),"")</f>
        <v>M3H</v>
      </c>
      <c r="N326" s="59" t="str">
        <f>IFERROR(VLOOKUP(Tabelle32[[#This Row],[Device ID]],BOM!$B$3:$BQ$35,18,FALSE),"")</f>
        <v>TC.03.225 | M3H</v>
      </c>
      <c r="O326" s="64"/>
      <c r="P326" s="64">
        <f>IFERROR(VLOOKUP(Tabelle32[[#This Row],[Device ID]],BOM!$B$3:$BO$50,20,FALSE),"")</f>
        <v>0</v>
      </c>
      <c r="Q326" s="64">
        <f>IFERROR(VLOOKUP(Tabelle32[[#This Row],[Device ID]],BOM!$B$3:$BO$50,21,FALSE),"")</f>
        <v>1</v>
      </c>
      <c r="R326" s="64">
        <f>IFERROR(VLOOKUP(Tabelle32[[#This Row],[Device ID]],BOM!$B$3:$BO$50,22,FALSE),"")</f>
        <v>0</v>
      </c>
      <c r="S326" s="64"/>
      <c r="T326" s="64"/>
      <c r="U326" s="59" t="str">
        <f>IFERROR(VLOOKUP(Tabelle32[[#This Row],[Device ID]],BOM!$B$3:$BQ$35,25,FALSE),"")</f>
        <v>Luis/Ivo</v>
      </c>
      <c r="V326" s="59" t="str">
        <f>IFERROR(VLOOKUP(Tabelle32[[#This Row],[Device ID]],BOM!$B$3:$BQ$35,26,FALSE),"")</f>
        <v>tpco-megw-vgw103.rta.st-net.media.int</v>
      </c>
      <c r="W326" s="59" t="str">
        <f>IFERROR(VLOOKUP(Tabelle32[[#This Row],[Device ID]],BOM!$B$3:$BQ$35,27,FALSE),"")</f>
        <v>10.120.236.50</v>
      </c>
      <c r="X326" s="59" t="str">
        <f>IFERROR(VLOOKUP(Tabelle32[[#This Row],[Device ID]],BOM!$B$3:$BQ$35,28,FALSE),"")</f>
        <v>AVCoreA</v>
      </c>
      <c r="Y326" s="59" t="str">
        <f>IFERROR(VLOOKUP(Tabelle32[[#This Row],[Device ID]],BOM!$B$3:$BQ$35,29,FALSE),"")</f>
        <v>5_36_1</v>
      </c>
      <c r="Z326" s="59" t="str">
        <f>IFERROR(VLOOKUP(Tabelle32[[#This Row],[Device ID]],BOM!$B$3:$BQ$35,30,FALSE),"")</f>
        <v>tpco-megw-vgw103.rtb.st-net.media.int</v>
      </c>
      <c r="AA326" s="59" t="str">
        <f>IFERROR(VLOOKUP(Tabelle32[[#This Row],[Device ID]],BOM!$B$3:$BQ$35,31,FALSE),"")</f>
        <v>10.120.236.54</v>
      </c>
      <c r="AB326" s="59" t="str">
        <f>IFERROR(VLOOKUP(Tabelle32[[#This Row],[Device ID]],BOM!$B$3:$BQ$35,32,FALSE),"")</f>
        <v>AVCoreB</v>
      </c>
      <c r="AC326" s="59" t="str">
        <f>IFERROR(VLOOKUP(Tabelle32[[#This Row],[Device ID]],BOM!$B$3:$BQ$35,33,FALSE),"")</f>
        <v>5_36_1</v>
      </c>
      <c r="AD326" s="59" t="str">
        <f>IFERROR(VLOOKUP(Tabelle32[[#This Row],[Device ID]],BOM!$B$3:$BQ$35,34,FALSE),"")</f>
        <v>tpco-megw-vgw103.st-net.media.int</v>
      </c>
      <c r="AE326" s="59" t="str">
        <f>IFERROR(VLOOKUP(Tabelle32[[#This Row],[Device ID]],BOM!$B$3:$BQ$35,35,FALSE),"")</f>
        <v>10.120.67.141</v>
      </c>
      <c r="AF326" s="59">
        <f>IFERROR(VLOOKUP(Tabelle32[[#This Row],[Device ID]],BOM!$B$3:$BQ$35,36,FALSE),"")</f>
        <v>0</v>
      </c>
      <c r="AG326" s="59">
        <f>IFERROR(VLOOKUP(Tabelle32[[#This Row],[Device ID]],BOM!$B$3:$BQ$35,37,FALSE),"")</f>
        <v>0</v>
      </c>
      <c r="AH326" s="59"/>
      <c r="AI326" s="59"/>
      <c r="AJ326" s="59"/>
      <c r="AK326" s="59"/>
      <c r="AL326" s="59" t="str">
        <f>IFERROR(VLOOKUP(Tabelle32[[#This Row],[Device ID]],BOM!$B$3:$BQ$35,42,FALSE),"")</f>
        <v>Imagine Communications SNP</v>
      </c>
      <c r="AM326" s="59" t="str">
        <f>IFERROR(VLOOKUP(Tabelle32[[#This Row],[Device ID]],BOM!$B$3:$BQ$35,43,FALSE),"")</f>
        <v>no</v>
      </c>
      <c r="AN326" s="59" t="str">
        <f>IFERROR(VLOOKUP(Tabelle32[[#This Row],[Device ID]],BOM!$B$3:$BQ$35,44,FALSE),"")</f>
        <v>yes</v>
      </c>
      <c r="AO326" s="59" t="str">
        <f>IFERROR(VLOOKUP(Tabelle32[[#This Row],[Device ID]],BOM!$B$3:$BQ$35,45,FALSE),"")</f>
        <v>no</v>
      </c>
      <c r="AP326" s="59" t="str">
        <f>IFERROR(CONCATENATE(Tabelle32[[#This Row],[Family
GFX-Unit]]," | ",Tabelle32[[#This Row],[Label 1
GFX-Unit]]," | ",Tabelle32[[#This Row],[Attached Device if Gateway]]),"")</f>
        <v>M3H InCh ARCHIV | Ingest Ch28-05 | IngSRV-07</v>
      </c>
      <c r="AQ326" s="59"/>
      <c r="AR326" s="90"/>
      <c r="AS326" s="90"/>
      <c r="AT326" s="90"/>
      <c r="AU326" s="90"/>
      <c r="AV326" s="90"/>
      <c r="AW326" s="90" t="s">
        <v>97</v>
      </c>
      <c r="AX326" s="90"/>
      <c r="AY326" s="90"/>
      <c r="AZ326" s="90" t="s">
        <v>97</v>
      </c>
      <c r="BA326" s="90"/>
      <c r="BB326" s="90" t="s">
        <v>97</v>
      </c>
      <c r="BC326" s="90" t="s">
        <v>97</v>
      </c>
      <c r="BD326" s="90"/>
      <c r="BE326" s="90"/>
      <c r="BF326" s="90"/>
      <c r="BG326" s="90"/>
      <c r="BH326" s="73" t="s">
        <v>199</v>
      </c>
      <c r="BI326" s="30" t="str">
        <f>IF(COUNTA(Tabelle32[[#This Row],[Type:Vid_1080i50]:[Type:Anc_Prot]])&gt;0,"x","")</f>
        <v>x</v>
      </c>
      <c r="BJ32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26" s="59"/>
      <c r="BL326" s="59"/>
      <c r="BM326" s="63"/>
      <c r="BN326" s="63"/>
      <c r="BO326" s="93" t="s">
        <v>2905</v>
      </c>
      <c r="BP326" s="97" t="s">
        <v>711</v>
      </c>
      <c r="BQ326" s="75">
        <f>LEN(Tabelle32[[#This Row],[Label 1
GFX-Unit]])</f>
        <v>14</v>
      </c>
      <c r="BR326" s="63"/>
      <c r="BS326" s="63"/>
      <c r="BT326" s="59"/>
      <c r="BU326" s="59"/>
      <c r="BV326" s="59" t="s">
        <v>230</v>
      </c>
      <c r="BW326" s="59" t="s">
        <v>231</v>
      </c>
      <c r="BX326" s="59" t="s">
        <v>712</v>
      </c>
      <c r="BY326" s="59">
        <v>16</v>
      </c>
    </row>
    <row r="327" spans="1:77" x14ac:dyDescent="0.2">
      <c r="A327" s="58" t="str">
        <f>CONCATENATE(Tabelle32[[#This Row],[Device ID]],".",Tabelle32[[#This Row],[Streamcounter]])</f>
        <v>393.16206</v>
      </c>
      <c r="B32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VGW-103_SDI16_AUDrec_0006</v>
      </c>
      <c r="C327" s="60"/>
      <c r="D327" s="61"/>
      <c r="E327" s="62"/>
      <c r="F327" s="59" t="str">
        <f>IFERROR(VLOOKUP(Tabelle32[[#This Row],[Device ID]],BOM!$B$3:$BQ$35,16,FALSE),"")</f>
        <v>IngSRV-07</v>
      </c>
      <c r="G327" s="63">
        <f>VLOOKUP(Tabelle32[[#This Row],[SDI Interface]],BOM!$A$4:$B$35,2,FALSE)</f>
        <v>393</v>
      </c>
      <c r="H327" s="59" t="str">
        <f>BOM!$C$4</f>
        <v>VGW-103</v>
      </c>
      <c r="I327" s="59" t="str">
        <f>IFERROR(VLOOKUP(Tabelle32[[#This Row],[Device ID]],BOM!$B$3:$BQ$35,12,FALSE),"")</f>
        <v>Videoserver</v>
      </c>
      <c r="J327" s="59" t="str">
        <f>IFERROR(VLOOKUP(Tabelle32[[#This Row],[Device ID]],BOM!$B$3:$BQ$35,13,FALSE),"")</f>
        <v>TC.U1.223 | MDC</v>
      </c>
      <c r="K327" s="59" t="str">
        <f>IFERROR(VLOOKUP(Tabelle32[[#This Row],[Device ID]],BOM!$B$3:$BQ$35,14,FALSE),"")</f>
        <v>Imagine Comunications</v>
      </c>
      <c r="L327" s="59" t="str">
        <f>IFERROR(VLOOKUP(Tabelle32[[#This Row],[Device ID]],BOM!$B$3:$BQ$35,16,FALSE),"")</f>
        <v>IngSRV-07</v>
      </c>
      <c r="M327" s="63" t="str">
        <f>IFERROR(VLOOKUP(Tabelle32[[#This Row],[Device ID]],BOM!$B$3:$BQ$35,17,FALSE),"")</f>
        <v>M3H</v>
      </c>
      <c r="N327" s="59" t="str">
        <f>IFERROR(VLOOKUP(Tabelle32[[#This Row],[Device ID]],BOM!$B$3:$BQ$35,18,FALSE),"")</f>
        <v>TC.03.225 | M3H</v>
      </c>
      <c r="O327" s="64"/>
      <c r="P327" s="64">
        <f>IFERROR(VLOOKUP(Tabelle32[[#This Row],[Device ID]],BOM!$B$3:$BO$50,20,FALSE),"")</f>
        <v>0</v>
      </c>
      <c r="Q327" s="64">
        <f>IFERROR(VLOOKUP(Tabelle32[[#This Row],[Device ID]],BOM!$B$3:$BO$50,21,FALSE),"")</f>
        <v>1</v>
      </c>
      <c r="R327" s="64">
        <f>IFERROR(VLOOKUP(Tabelle32[[#This Row],[Device ID]],BOM!$B$3:$BO$50,22,FALSE),"")</f>
        <v>0</v>
      </c>
      <c r="S327" s="64"/>
      <c r="T327" s="64"/>
      <c r="U327" s="59" t="str">
        <f>IFERROR(VLOOKUP(Tabelle32[[#This Row],[Device ID]],BOM!$B$3:$BQ$35,25,FALSE),"")</f>
        <v>Luis/Ivo</v>
      </c>
      <c r="V327" s="59" t="str">
        <f>IFERROR(VLOOKUP(Tabelle32[[#This Row],[Device ID]],BOM!$B$3:$BQ$35,26,FALSE),"")</f>
        <v>tpco-megw-vgw103.rta.st-net.media.int</v>
      </c>
      <c r="W327" s="59" t="str">
        <f>IFERROR(VLOOKUP(Tabelle32[[#This Row],[Device ID]],BOM!$B$3:$BQ$35,27,FALSE),"")</f>
        <v>10.120.236.50</v>
      </c>
      <c r="X327" s="59" t="str">
        <f>IFERROR(VLOOKUP(Tabelle32[[#This Row],[Device ID]],BOM!$B$3:$BQ$35,28,FALSE),"")</f>
        <v>AVCoreA</v>
      </c>
      <c r="Y327" s="59" t="str">
        <f>IFERROR(VLOOKUP(Tabelle32[[#This Row],[Device ID]],BOM!$B$3:$BQ$35,29,FALSE),"")</f>
        <v>5_36_1</v>
      </c>
      <c r="Z327" s="59" t="str">
        <f>IFERROR(VLOOKUP(Tabelle32[[#This Row],[Device ID]],BOM!$B$3:$BQ$35,30,FALSE),"")</f>
        <v>tpco-megw-vgw103.rtb.st-net.media.int</v>
      </c>
      <c r="AA327" s="59" t="str">
        <f>IFERROR(VLOOKUP(Tabelle32[[#This Row],[Device ID]],BOM!$B$3:$BQ$35,31,FALSE),"")</f>
        <v>10.120.236.54</v>
      </c>
      <c r="AB327" s="59" t="str">
        <f>IFERROR(VLOOKUP(Tabelle32[[#This Row],[Device ID]],BOM!$B$3:$BQ$35,32,FALSE),"")</f>
        <v>AVCoreB</v>
      </c>
      <c r="AC327" s="59" t="str">
        <f>IFERROR(VLOOKUP(Tabelle32[[#This Row],[Device ID]],BOM!$B$3:$BQ$35,33,FALSE),"")</f>
        <v>5_36_1</v>
      </c>
      <c r="AD327" s="59" t="str">
        <f>IFERROR(VLOOKUP(Tabelle32[[#This Row],[Device ID]],BOM!$B$3:$BQ$35,34,FALSE),"")</f>
        <v>tpco-megw-vgw103.st-net.media.int</v>
      </c>
      <c r="AE327" s="59" t="str">
        <f>IFERROR(VLOOKUP(Tabelle32[[#This Row],[Device ID]],BOM!$B$3:$BQ$35,35,FALSE),"")</f>
        <v>10.120.67.141</v>
      </c>
      <c r="AF327" s="59">
        <f>IFERROR(VLOOKUP(Tabelle32[[#This Row],[Device ID]],BOM!$B$3:$BQ$35,36,FALSE),"")</f>
        <v>0</v>
      </c>
      <c r="AG327" s="59">
        <f>IFERROR(VLOOKUP(Tabelle32[[#This Row],[Device ID]],BOM!$B$3:$BQ$35,37,FALSE),"")</f>
        <v>0</v>
      </c>
      <c r="AH327" s="59"/>
      <c r="AI327" s="59"/>
      <c r="AJ327" s="59"/>
      <c r="AK327" s="59"/>
      <c r="AL327" s="59" t="str">
        <f>IFERROR(VLOOKUP(Tabelle32[[#This Row],[Device ID]],BOM!$B$3:$BQ$35,42,FALSE),"")</f>
        <v>Imagine Communications SNP</v>
      </c>
      <c r="AM327" s="59" t="str">
        <f>IFERROR(VLOOKUP(Tabelle32[[#This Row],[Device ID]],BOM!$B$3:$BQ$35,43,FALSE),"")</f>
        <v>no</v>
      </c>
      <c r="AN327" s="59" t="str">
        <f>IFERROR(VLOOKUP(Tabelle32[[#This Row],[Device ID]],BOM!$B$3:$BQ$35,44,FALSE),"")</f>
        <v>yes</v>
      </c>
      <c r="AO327" s="59" t="str">
        <f>IFERROR(VLOOKUP(Tabelle32[[#This Row],[Device ID]],BOM!$B$3:$BQ$35,45,FALSE),"")</f>
        <v>no</v>
      </c>
      <c r="AP327" s="59" t="str">
        <f>IFERROR(CONCATENATE(Tabelle32[[#This Row],[Family
GFX-Unit]]," | ",Tabelle32[[#This Row],[Label 1
GFX-Unit]]," | ",Tabelle32[[#This Row],[Attached Device if Gateway]]),"")</f>
        <v>M3H InCh ARCHIV | Ingest Ch28-06 | IngSRV-07</v>
      </c>
      <c r="AQ327" s="59"/>
      <c r="AR327" s="90"/>
      <c r="AS327" s="90"/>
      <c r="AT327" s="90"/>
      <c r="AU327" s="90"/>
      <c r="AV327" s="90"/>
      <c r="AW327" s="90" t="s">
        <v>97</v>
      </c>
      <c r="AX327" s="90"/>
      <c r="AY327" s="90"/>
      <c r="AZ327" s="90" t="s">
        <v>97</v>
      </c>
      <c r="BA327" s="90"/>
      <c r="BB327" s="90" t="s">
        <v>97</v>
      </c>
      <c r="BC327" s="90" t="s">
        <v>97</v>
      </c>
      <c r="BD327" s="90"/>
      <c r="BE327" s="90"/>
      <c r="BF327" s="90"/>
      <c r="BG327" s="90"/>
      <c r="BH327" s="73" t="s">
        <v>199</v>
      </c>
      <c r="BI327" s="30" t="str">
        <f>IF(COUNTA(Tabelle32[[#This Row],[Type:Vid_1080i50]:[Type:Anc_Prot]])&gt;0,"x","")</f>
        <v>x</v>
      </c>
      <c r="BJ32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27" s="59"/>
      <c r="BL327" s="59"/>
      <c r="BM327" s="63"/>
      <c r="BN327" s="63"/>
      <c r="BO327" s="93" t="s">
        <v>2905</v>
      </c>
      <c r="BP327" s="97" t="s">
        <v>713</v>
      </c>
      <c r="BQ327" s="75">
        <f>LEN(Tabelle32[[#This Row],[Label 1
GFX-Unit]])</f>
        <v>14</v>
      </c>
      <c r="BR327" s="63"/>
      <c r="BS327" s="63"/>
      <c r="BT327" s="59"/>
      <c r="BU327" s="59"/>
      <c r="BV327" s="59" t="s">
        <v>234</v>
      </c>
      <c r="BW327" s="59" t="s">
        <v>235</v>
      </c>
      <c r="BX327" s="59" t="s">
        <v>714</v>
      </c>
      <c r="BY327" s="59">
        <v>16</v>
      </c>
    </row>
    <row r="328" spans="1:77" x14ac:dyDescent="0.2">
      <c r="A328" s="58" t="str">
        <f>CONCATENATE(Tabelle32[[#This Row],[Device ID]],".",Tabelle32[[#This Row],[Streamcounter]])</f>
        <v>393.16207</v>
      </c>
      <c r="B32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VGW-103_SDI16_AUDrec_0007</v>
      </c>
      <c r="C328" s="60"/>
      <c r="D328" s="61"/>
      <c r="E328" s="62"/>
      <c r="F328" s="59" t="str">
        <f>IFERROR(VLOOKUP(Tabelle32[[#This Row],[Device ID]],BOM!$B$3:$BQ$35,16,FALSE),"")</f>
        <v>IngSRV-07</v>
      </c>
      <c r="G328" s="63">
        <f>VLOOKUP(Tabelle32[[#This Row],[SDI Interface]],BOM!$A$4:$B$35,2,FALSE)</f>
        <v>393</v>
      </c>
      <c r="H328" s="59" t="str">
        <f>BOM!$C$4</f>
        <v>VGW-103</v>
      </c>
      <c r="I328" s="59" t="str">
        <f>IFERROR(VLOOKUP(Tabelle32[[#This Row],[Device ID]],BOM!$B$3:$BQ$35,12,FALSE),"")</f>
        <v>Videoserver</v>
      </c>
      <c r="J328" s="59" t="str">
        <f>IFERROR(VLOOKUP(Tabelle32[[#This Row],[Device ID]],BOM!$B$3:$BQ$35,13,FALSE),"")</f>
        <v>TC.U1.223 | MDC</v>
      </c>
      <c r="K328" s="59" t="str">
        <f>IFERROR(VLOOKUP(Tabelle32[[#This Row],[Device ID]],BOM!$B$3:$BQ$35,14,FALSE),"")</f>
        <v>Imagine Comunications</v>
      </c>
      <c r="L328" s="59" t="str">
        <f>IFERROR(VLOOKUP(Tabelle32[[#This Row],[Device ID]],BOM!$B$3:$BQ$35,16,FALSE),"")</f>
        <v>IngSRV-07</v>
      </c>
      <c r="M328" s="63" t="str">
        <f>IFERROR(VLOOKUP(Tabelle32[[#This Row],[Device ID]],BOM!$B$3:$BQ$35,17,FALSE),"")</f>
        <v>M3H</v>
      </c>
      <c r="N328" s="59" t="str">
        <f>IFERROR(VLOOKUP(Tabelle32[[#This Row],[Device ID]],BOM!$B$3:$BQ$35,18,FALSE),"")</f>
        <v>TC.03.225 | M3H</v>
      </c>
      <c r="O328" s="64"/>
      <c r="P328" s="64">
        <f>IFERROR(VLOOKUP(Tabelle32[[#This Row],[Device ID]],BOM!$B$3:$BO$50,20,FALSE),"")</f>
        <v>0</v>
      </c>
      <c r="Q328" s="64">
        <f>IFERROR(VLOOKUP(Tabelle32[[#This Row],[Device ID]],BOM!$B$3:$BO$50,21,FALSE),"")</f>
        <v>1</v>
      </c>
      <c r="R328" s="64">
        <f>IFERROR(VLOOKUP(Tabelle32[[#This Row],[Device ID]],BOM!$B$3:$BO$50,22,FALSE),"")</f>
        <v>0</v>
      </c>
      <c r="S328" s="64"/>
      <c r="T328" s="64"/>
      <c r="U328" s="59" t="str">
        <f>IFERROR(VLOOKUP(Tabelle32[[#This Row],[Device ID]],BOM!$B$3:$BQ$35,25,FALSE),"")</f>
        <v>Luis/Ivo</v>
      </c>
      <c r="V328" s="59" t="str">
        <f>IFERROR(VLOOKUP(Tabelle32[[#This Row],[Device ID]],BOM!$B$3:$BQ$35,26,FALSE),"")</f>
        <v>tpco-megw-vgw103.rta.st-net.media.int</v>
      </c>
      <c r="W328" s="59" t="str">
        <f>IFERROR(VLOOKUP(Tabelle32[[#This Row],[Device ID]],BOM!$B$3:$BQ$35,27,FALSE),"")</f>
        <v>10.120.236.50</v>
      </c>
      <c r="X328" s="59" t="str">
        <f>IFERROR(VLOOKUP(Tabelle32[[#This Row],[Device ID]],BOM!$B$3:$BQ$35,28,FALSE),"")</f>
        <v>AVCoreA</v>
      </c>
      <c r="Y328" s="59" t="str">
        <f>IFERROR(VLOOKUP(Tabelle32[[#This Row],[Device ID]],BOM!$B$3:$BQ$35,29,FALSE),"")</f>
        <v>5_36_1</v>
      </c>
      <c r="Z328" s="59" t="str">
        <f>IFERROR(VLOOKUP(Tabelle32[[#This Row],[Device ID]],BOM!$B$3:$BQ$35,30,FALSE),"")</f>
        <v>tpco-megw-vgw103.rtb.st-net.media.int</v>
      </c>
      <c r="AA328" s="59" t="str">
        <f>IFERROR(VLOOKUP(Tabelle32[[#This Row],[Device ID]],BOM!$B$3:$BQ$35,31,FALSE),"")</f>
        <v>10.120.236.54</v>
      </c>
      <c r="AB328" s="59" t="str">
        <f>IFERROR(VLOOKUP(Tabelle32[[#This Row],[Device ID]],BOM!$B$3:$BQ$35,32,FALSE),"")</f>
        <v>AVCoreB</v>
      </c>
      <c r="AC328" s="59" t="str">
        <f>IFERROR(VLOOKUP(Tabelle32[[#This Row],[Device ID]],BOM!$B$3:$BQ$35,33,FALSE),"")</f>
        <v>5_36_1</v>
      </c>
      <c r="AD328" s="59" t="str">
        <f>IFERROR(VLOOKUP(Tabelle32[[#This Row],[Device ID]],BOM!$B$3:$BQ$35,34,FALSE),"")</f>
        <v>tpco-megw-vgw103.st-net.media.int</v>
      </c>
      <c r="AE328" s="59" t="str">
        <f>IFERROR(VLOOKUP(Tabelle32[[#This Row],[Device ID]],BOM!$B$3:$BQ$35,35,FALSE),"")</f>
        <v>10.120.67.141</v>
      </c>
      <c r="AF328" s="59">
        <f>IFERROR(VLOOKUP(Tabelle32[[#This Row],[Device ID]],BOM!$B$3:$BQ$35,36,FALSE),"")</f>
        <v>0</v>
      </c>
      <c r="AG328" s="59">
        <f>IFERROR(VLOOKUP(Tabelle32[[#This Row],[Device ID]],BOM!$B$3:$BQ$35,37,FALSE),"")</f>
        <v>0</v>
      </c>
      <c r="AH328" s="59"/>
      <c r="AI328" s="59"/>
      <c r="AJ328" s="59"/>
      <c r="AK328" s="59"/>
      <c r="AL328" s="59" t="str">
        <f>IFERROR(VLOOKUP(Tabelle32[[#This Row],[Device ID]],BOM!$B$3:$BQ$35,42,FALSE),"")</f>
        <v>Imagine Communications SNP</v>
      </c>
      <c r="AM328" s="59" t="str">
        <f>IFERROR(VLOOKUP(Tabelle32[[#This Row],[Device ID]],BOM!$B$3:$BQ$35,43,FALSE),"")</f>
        <v>no</v>
      </c>
      <c r="AN328" s="59" t="str">
        <f>IFERROR(VLOOKUP(Tabelle32[[#This Row],[Device ID]],BOM!$B$3:$BQ$35,44,FALSE),"")</f>
        <v>yes</v>
      </c>
      <c r="AO328" s="59" t="str">
        <f>IFERROR(VLOOKUP(Tabelle32[[#This Row],[Device ID]],BOM!$B$3:$BQ$35,45,FALSE),"")</f>
        <v>no</v>
      </c>
      <c r="AP328" s="59" t="str">
        <f>IFERROR(CONCATENATE(Tabelle32[[#This Row],[Family
GFX-Unit]]," | ",Tabelle32[[#This Row],[Label 1
GFX-Unit]]," | ",Tabelle32[[#This Row],[Attached Device if Gateway]]),"")</f>
        <v>M3H InCh ARCHIV | Ingest Ch28-07 | IngSRV-07</v>
      </c>
      <c r="AQ328" s="59"/>
      <c r="AR328" s="90"/>
      <c r="AS328" s="90"/>
      <c r="AT328" s="90"/>
      <c r="AU328" s="90"/>
      <c r="AV328" s="90"/>
      <c r="AW328" s="90" t="s">
        <v>97</v>
      </c>
      <c r="AX328" s="90"/>
      <c r="AY328" s="90"/>
      <c r="AZ328" s="90" t="s">
        <v>97</v>
      </c>
      <c r="BA328" s="90"/>
      <c r="BB328" s="90" t="s">
        <v>97</v>
      </c>
      <c r="BC328" s="90" t="s">
        <v>97</v>
      </c>
      <c r="BD328" s="90"/>
      <c r="BE328" s="90"/>
      <c r="BF328" s="90"/>
      <c r="BG328" s="90"/>
      <c r="BH328" s="73" t="s">
        <v>199</v>
      </c>
      <c r="BI328" s="30" t="str">
        <f>IF(COUNTA(Tabelle32[[#This Row],[Type:Vid_1080i50]:[Type:Anc_Prot]])&gt;0,"x","")</f>
        <v>x</v>
      </c>
      <c r="BJ32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28" s="59"/>
      <c r="BL328" s="59"/>
      <c r="BM328" s="63"/>
      <c r="BN328" s="63"/>
      <c r="BO328" s="93" t="s">
        <v>2905</v>
      </c>
      <c r="BP328" s="97" t="s">
        <v>715</v>
      </c>
      <c r="BQ328" s="75">
        <f>LEN(Tabelle32[[#This Row],[Label 1
GFX-Unit]])</f>
        <v>14</v>
      </c>
      <c r="BR328" s="63"/>
      <c r="BS328" s="63"/>
      <c r="BT328" s="59"/>
      <c r="BU328" s="59"/>
      <c r="BV328" s="59" t="s">
        <v>238</v>
      </c>
      <c r="BW328" s="59" t="s">
        <v>239</v>
      </c>
      <c r="BX328" s="59" t="s">
        <v>716</v>
      </c>
      <c r="BY328" s="59">
        <v>16</v>
      </c>
    </row>
    <row r="329" spans="1:77" x14ac:dyDescent="0.2">
      <c r="A329" s="58" t="str">
        <f>CONCATENATE(Tabelle32[[#This Row],[Device ID]],".",Tabelle32[[#This Row],[Streamcounter]])</f>
        <v>393.16208</v>
      </c>
      <c r="B32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VGW-103_SDI16_AUDrec_0008</v>
      </c>
      <c r="C329" s="60"/>
      <c r="D329" s="61"/>
      <c r="E329" s="62"/>
      <c r="F329" s="59" t="str">
        <f>IFERROR(VLOOKUP(Tabelle32[[#This Row],[Device ID]],BOM!$B$3:$BQ$35,16,FALSE),"")</f>
        <v>IngSRV-07</v>
      </c>
      <c r="G329" s="63">
        <f>VLOOKUP(Tabelle32[[#This Row],[SDI Interface]],BOM!$A$4:$B$35,2,FALSE)</f>
        <v>393</v>
      </c>
      <c r="H329" s="59" t="str">
        <f>BOM!$C$4</f>
        <v>VGW-103</v>
      </c>
      <c r="I329" s="59" t="str">
        <f>IFERROR(VLOOKUP(Tabelle32[[#This Row],[Device ID]],BOM!$B$3:$BQ$35,12,FALSE),"")</f>
        <v>Videoserver</v>
      </c>
      <c r="J329" s="59" t="str">
        <f>IFERROR(VLOOKUP(Tabelle32[[#This Row],[Device ID]],BOM!$B$3:$BQ$35,13,FALSE),"")</f>
        <v>TC.U1.223 | MDC</v>
      </c>
      <c r="K329" s="59" t="str">
        <f>IFERROR(VLOOKUP(Tabelle32[[#This Row],[Device ID]],BOM!$B$3:$BQ$35,14,FALSE),"")</f>
        <v>Imagine Comunications</v>
      </c>
      <c r="L329" s="59" t="str">
        <f>IFERROR(VLOOKUP(Tabelle32[[#This Row],[Device ID]],BOM!$B$3:$BQ$35,16,FALSE),"")</f>
        <v>IngSRV-07</v>
      </c>
      <c r="M329" s="63" t="str">
        <f>IFERROR(VLOOKUP(Tabelle32[[#This Row],[Device ID]],BOM!$B$3:$BQ$35,17,FALSE),"")</f>
        <v>M3H</v>
      </c>
      <c r="N329" s="59" t="str">
        <f>IFERROR(VLOOKUP(Tabelle32[[#This Row],[Device ID]],BOM!$B$3:$BQ$35,18,FALSE),"")</f>
        <v>TC.03.225 | M3H</v>
      </c>
      <c r="O329" s="64"/>
      <c r="P329" s="64">
        <f>IFERROR(VLOOKUP(Tabelle32[[#This Row],[Device ID]],BOM!$B$3:$BO$50,20,FALSE),"")</f>
        <v>0</v>
      </c>
      <c r="Q329" s="64">
        <f>IFERROR(VLOOKUP(Tabelle32[[#This Row],[Device ID]],BOM!$B$3:$BO$50,21,FALSE),"")</f>
        <v>1</v>
      </c>
      <c r="R329" s="64">
        <f>IFERROR(VLOOKUP(Tabelle32[[#This Row],[Device ID]],BOM!$B$3:$BO$50,22,FALSE),"")</f>
        <v>0</v>
      </c>
      <c r="S329" s="64"/>
      <c r="T329" s="64"/>
      <c r="U329" s="59" t="str">
        <f>IFERROR(VLOOKUP(Tabelle32[[#This Row],[Device ID]],BOM!$B$3:$BQ$35,25,FALSE),"")</f>
        <v>Luis/Ivo</v>
      </c>
      <c r="V329" s="59" t="str">
        <f>IFERROR(VLOOKUP(Tabelle32[[#This Row],[Device ID]],BOM!$B$3:$BQ$35,26,FALSE),"")</f>
        <v>tpco-megw-vgw103.rta.st-net.media.int</v>
      </c>
      <c r="W329" s="59" t="str">
        <f>IFERROR(VLOOKUP(Tabelle32[[#This Row],[Device ID]],BOM!$B$3:$BQ$35,27,FALSE),"")</f>
        <v>10.120.236.50</v>
      </c>
      <c r="X329" s="59" t="str">
        <f>IFERROR(VLOOKUP(Tabelle32[[#This Row],[Device ID]],BOM!$B$3:$BQ$35,28,FALSE),"")</f>
        <v>AVCoreA</v>
      </c>
      <c r="Y329" s="59" t="str">
        <f>IFERROR(VLOOKUP(Tabelle32[[#This Row],[Device ID]],BOM!$B$3:$BQ$35,29,FALSE),"")</f>
        <v>5_36_1</v>
      </c>
      <c r="Z329" s="59" t="str">
        <f>IFERROR(VLOOKUP(Tabelle32[[#This Row],[Device ID]],BOM!$B$3:$BQ$35,30,FALSE),"")</f>
        <v>tpco-megw-vgw103.rtb.st-net.media.int</v>
      </c>
      <c r="AA329" s="59" t="str">
        <f>IFERROR(VLOOKUP(Tabelle32[[#This Row],[Device ID]],BOM!$B$3:$BQ$35,31,FALSE),"")</f>
        <v>10.120.236.54</v>
      </c>
      <c r="AB329" s="59" t="str">
        <f>IFERROR(VLOOKUP(Tabelle32[[#This Row],[Device ID]],BOM!$B$3:$BQ$35,32,FALSE),"")</f>
        <v>AVCoreB</v>
      </c>
      <c r="AC329" s="59" t="str">
        <f>IFERROR(VLOOKUP(Tabelle32[[#This Row],[Device ID]],BOM!$B$3:$BQ$35,33,FALSE),"")</f>
        <v>5_36_1</v>
      </c>
      <c r="AD329" s="59" t="str">
        <f>IFERROR(VLOOKUP(Tabelle32[[#This Row],[Device ID]],BOM!$B$3:$BQ$35,34,FALSE),"")</f>
        <v>tpco-megw-vgw103.st-net.media.int</v>
      </c>
      <c r="AE329" s="59" t="str">
        <f>IFERROR(VLOOKUP(Tabelle32[[#This Row],[Device ID]],BOM!$B$3:$BQ$35,35,FALSE),"")</f>
        <v>10.120.67.141</v>
      </c>
      <c r="AF329" s="59">
        <f>IFERROR(VLOOKUP(Tabelle32[[#This Row],[Device ID]],BOM!$B$3:$BQ$35,36,FALSE),"")</f>
        <v>0</v>
      </c>
      <c r="AG329" s="59">
        <f>IFERROR(VLOOKUP(Tabelle32[[#This Row],[Device ID]],BOM!$B$3:$BQ$35,37,FALSE),"")</f>
        <v>0</v>
      </c>
      <c r="AH329" s="59"/>
      <c r="AI329" s="59"/>
      <c r="AJ329" s="59"/>
      <c r="AK329" s="59"/>
      <c r="AL329" s="59" t="str">
        <f>IFERROR(VLOOKUP(Tabelle32[[#This Row],[Device ID]],BOM!$B$3:$BQ$35,42,FALSE),"")</f>
        <v>Imagine Communications SNP</v>
      </c>
      <c r="AM329" s="59" t="str">
        <f>IFERROR(VLOOKUP(Tabelle32[[#This Row],[Device ID]],BOM!$B$3:$BQ$35,43,FALSE),"")</f>
        <v>no</v>
      </c>
      <c r="AN329" s="59" t="str">
        <f>IFERROR(VLOOKUP(Tabelle32[[#This Row],[Device ID]],BOM!$B$3:$BQ$35,44,FALSE),"")</f>
        <v>yes</v>
      </c>
      <c r="AO329" s="59" t="str">
        <f>IFERROR(VLOOKUP(Tabelle32[[#This Row],[Device ID]],BOM!$B$3:$BQ$35,45,FALSE),"")</f>
        <v>no</v>
      </c>
      <c r="AP329" s="59" t="str">
        <f>IFERROR(CONCATENATE(Tabelle32[[#This Row],[Family
GFX-Unit]]," | ",Tabelle32[[#This Row],[Label 1
GFX-Unit]]," | ",Tabelle32[[#This Row],[Attached Device if Gateway]]),"")</f>
        <v>M3H InCh ARCHIV | Ingest Ch28-08 | IngSRV-07</v>
      </c>
      <c r="AQ329" s="59"/>
      <c r="AR329" s="90"/>
      <c r="AS329" s="90"/>
      <c r="AT329" s="90"/>
      <c r="AU329" s="90"/>
      <c r="AV329" s="90"/>
      <c r="AW329" s="90" t="s">
        <v>97</v>
      </c>
      <c r="AX329" s="90"/>
      <c r="AY329" s="90"/>
      <c r="AZ329" s="90" t="s">
        <v>97</v>
      </c>
      <c r="BA329" s="90"/>
      <c r="BB329" s="90" t="s">
        <v>97</v>
      </c>
      <c r="BC329" s="90" t="s">
        <v>97</v>
      </c>
      <c r="BD329" s="90"/>
      <c r="BE329" s="90"/>
      <c r="BF329" s="90"/>
      <c r="BG329" s="90"/>
      <c r="BH329" s="73" t="s">
        <v>199</v>
      </c>
      <c r="BI329" s="30" t="str">
        <f>IF(COUNTA(Tabelle32[[#This Row],[Type:Vid_1080i50]:[Type:Anc_Prot]])&gt;0,"x","")</f>
        <v>x</v>
      </c>
      <c r="BJ32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29" s="59"/>
      <c r="BL329" s="59"/>
      <c r="BM329" s="63"/>
      <c r="BN329" s="63"/>
      <c r="BO329" s="93" t="s">
        <v>2905</v>
      </c>
      <c r="BP329" s="97" t="s">
        <v>717</v>
      </c>
      <c r="BQ329" s="75">
        <f>LEN(Tabelle32[[#This Row],[Label 1
GFX-Unit]])</f>
        <v>14</v>
      </c>
      <c r="BR329" s="63"/>
      <c r="BS329" s="63"/>
      <c r="BT329" s="59"/>
      <c r="BU329" s="59"/>
      <c r="BV329" s="59" t="s">
        <v>242</v>
      </c>
      <c r="BW329" s="59" t="s">
        <v>243</v>
      </c>
      <c r="BX329" s="59" t="s">
        <v>718</v>
      </c>
      <c r="BY329" s="59">
        <v>16</v>
      </c>
    </row>
    <row r="330" spans="1:77" x14ac:dyDescent="0.2">
      <c r="A330" s="58" t="str">
        <f>CONCATENATE(Tabelle32[[#This Row],[Device ID]],".",Tabelle32[[#This Row],[Streamcounter]])</f>
        <v>393.16209</v>
      </c>
      <c r="B33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VGW-103_SDI16_AUDrec_0009</v>
      </c>
      <c r="C330" s="60"/>
      <c r="D330" s="61"/>
      <c r="E330" s="62"/>
      <c r="F330" s="59" t="str">
        <f>IFERROR(VLOOKUP(Tabelle32[[#This Row],[Device ID]],BOM!$B$3:$BQ$35,16,FALSE),"")</f>
        <v>IngSRV-07</v>
      </c>
      <c r="G330" s="63">
        <f>VLOOKUP(Tabelle32[[#This Row],[SDI Interface]],BOM!$A$4:$B$35,2,FALSE)</f>
        <v>393</v>
      </c>
      <c r="H330" s="59" t="str">
        <f>BOM!$C$4</f>
        <v>VGW-103</v>
      </c>
      <c r="I330" s="59" t="str">
        <f>IFERROR(VLOOKUP(Tabelle32[[#This Row],[Device ID]],BOM!$B$3:$BQ$35,12,FALSE),"")</f>
        <v>Videoserver</v>
      </c>
      <c r="J330" s="59" t="str">
        <f>IFERROR(VLOOKUP(Tabelle32[[#This Row],[Device ID]],BOM!$B$3:$BQ$35,13,FALSE),"")</f>
        <v>TC.U1.223 | MDC</v>
      </c>
      <c r="K330" s="59" t="str">
        <f>IFERROR(VLOOKUP(Tabelle32[[#This Row],[Device ID]],BOM!$B$3:$BQ$35,14,FALSE),"")</f>
        <v>Imagine Comunications</v>
      </c>
      <c r="L330" s="59" t="str">
        <f>IFERROR(VLOOKUP(Tabelle32[[#This Row],[Device ID]],BOM!$B$3:$BQ$35,16,FALSE),"")</f>
        <v>IngSRV-07</v>
      </c>
      <c r="M330" s="63" t="str">
        <f>IFERROR(VLOOKUP(Tabelle32[[#This Row],[Device ID]],BOM!$B$3:$BQ$35,17,FALSE),"")</f>
        <v>M3H</v>
      </c>
      <c r="N330" s="59" t="str">
        <f>IFERROR(VLOOKUP(Tabelle32[[#This Row],[Device ID]],BOM!$B$3:$BQ$35,18,FALSE),"")</f>
        <v>TC.03.225 | M3H</v>
      </c>
      <c r="O330" s="64"/>
      <c r="P330" s="64">
        <f>IFERROR(VLOOKUP(Tabelle32[[#This Row],[Device ID]],BOM!$B$3:$BO$50,20,FALSE),"")</f>
        <v>0</v>
      </c>
      <c r="Q330" s="64">
        <f>IFERROR(VLOOKUP(Tabelle32[[#This Row],[Device ID]],BOM!$B$3:$BO$50,21,FALSE),"")</f>
        <v>1</v>
      </c>
      <c r="R330" s="64">
        <f>IFERROR(VLOOKUP(Tabelle32[[#This Row],[Device ID]],BOM!$B$3:$BO$50,22,FALSE),"")</f>
        <v>0</v>
      </c>
      <c r="S330" s="64"/>
      <c r="T330" s="64"/>
      <c r="U330" s="59" t="str">
        <f>IFERROR(VLOOKUP(Tabelle32[[#This Row],[Device ID]],BOM!$B$3:$BQ$35,25,FALSE),"")</f>
        <v>Luis/Ivo</v>
      </c>
      <c r="V330" s="59" t="str">
        <f>IFERROR(VLOOKUP(Tabelle32[[#This Row],[Device ID]],BOM!$B$3:$BQ$35,26,FALSE),"")</f>
        <v>tpco-megw-vgw103.rta.st-net.media.int</v>
      </c>
      <c r="W330" s="59" t="str">
        <f>IFERROR(VLOOKUP(Tabelle32[[#This Row],[Device ID]],BOM!$B$3:$BQ$35,27,FALSE),"")</f>
        <v>10.120.236.50</v>
      </c>
      <c r="X330" s="59" t="str">
        <f>IFERROR(VLOOKUP(Tabelle32[[#This Row],[Device ID]],BOM!$B$3:$BQ$35,28,FALSE),"")</f>
        <v>AVCoreA</v>
      </c>
      <c r="Y330" s="59" t="str">
        <f>IFERROR(VLOOKUP(Tabelle32[[#This Row],[Device ID]],BOM!$B$3:$BQ$35,29,FALSE),"")</f>
        <v>5_36_1</v>
      </c>
      <c r="Z330" s="59" t="str">
        <f>IFERROR(VLOOKUP(Tabelle32[[#This Row],[Device ID]],BOM!$B$3:$BQ$35,30,FALSE),"")</f>
        <v>tpco-megw-vgw103.rtb.st-net.media.int</v>
      </c>
      <c r="AA330" s="59" t="str">
        <f>IFERROR(VLOOKUP(Tabelle32[[#This Row],[Device ID]],BOM!$B$3:$BQ$35,31,FALSE),"")</f>
        <v>10.120.236.54</v>
      </c>
      <c r="AB330" s="59" t="str">
        <f>IFERROR(VLOOKUP(Tabelle32[[#This Row],[Device ID]],BOM!$B$3:$BQ$35,32,FALSE),"")</f>
        <v>AVCoreB</v>
      </c>
      <c r="AC330" s="59" t="str">
        <f>IFERROR(VLOOKUP(Tabelle32[[#This Row],[Device ID]],BOM!$B$3:$BQ$35,33,FALSE),"")</f>
        <v>5_36_1</v>
      </c>
      <c r="AD330" s="59" t="str">
        <f>IFERROR(VLOOKUP(Tabelle32[[#This Row],[Device ID]],BOM!$B$3:$BQ$35,34,FALSE),"")</f>
        <v>tpco-megw-vgw103.st-net.media.int</v>
      </c>
      <c r="AE330" s="59" t="str">
        <f>IFERROR(VLOOKUP(Tabelle32[[#This Row],[Device ID]],BOM!$B$3:$BQ$35,35,FALSE),"")</f>
        <v>10.120.67.141</v>
      </c>
      <c r="AF330" s="59">
        <f>IFERROR(VLOOKUP(Tabelle32[[#This Row],[Device ID]],BOM!$B$3:$BQ$35,36,FALSE),"")</f>
        <v>0</v>
      </c>
      <c r="AG330" s="59">
        <f>IFERROR(VLOOKUP(Tabelle32[[#This Row],[Device ID]],BOM!$B$3:$BQ$35,37,FALSE),"")</f>
        <v>0</v>
      </c>
      <c r="AH330" s="59"/>
      <c r="AI330" s="59"/>
      <c r="AJ330" s="59"/>
      <c r="AK330" s="59"/>
      <c r="AL330" s="59" t="str">
        <f>IFERROR(VLOOKUP(Tabelle32[[#This Row],[Device ID]],BOM!$B$3:$BQ$35,42,FALSE),"")</f>
        <v>Imagine Communications SNP</v>
      </c>
      <c r="AM330" s="59" t="str">
        <f>IFERROR(VLOOKUP(Tabelle32[[#This Row],[Device ID]],BOM!$B$3:$BQ$35,43,FALSE),"")</f>
        <v>no</v>
      </c>
      <c r="AN330" s="59" t="str">
        <f>IFERROR(VLOOKUP(Tabelle32[[#This Row],[Device ID]],BOM!$B$3:$BQ$35,44,FALSE),"")</f>
        <v>yes</v>
      </c>
      <c r="AO330" s="59" t="str">
        <f>IFERROR(VLOOKUP(Tabelle32[[#This Row],[Device ID]],BOM!$B$3:$BQ$35,45,FALSE),"")</f>
        <v>no</v>
      </c>
      <c r="AP330" s="59" t="str">
        <f>IFERROR(CONCATENATE(Tabelle32[[#This Row],[Family
GFX-Unit]]," | ",Tabelle32[[#This Row],[Label 1
GFX-Unit]]," | ",Tabelle32[[#This Row],[Attached Device if Gateway]]),"")</f>
        <v>M3H InCh ARCHIV | Ingest Ch28-09 | IngSRV-07</v>
      </c>
      <c r="AQ330" s="59"/>
      <c r="AR330" s="90"/>
      <c r="AS330" s="90"/>
      <c r="AT330" s="90"/>
      <c r="AU330" s="90"/>
      <c r="AV330" s="90"/>
      <c r="AW330" s="90" t="s">
        <v>97</v>
      </c>
      <c r="AX330" s="90"/>
      <c r="AY330" s="90"/>
      <c r="AZ330" s="90" t="s">
        <v>97</v>
      </c>
      <c r="BA330" s="90"/>
      <c r="BB330" s="90" t="s">
        <v>97</v>
      </c>
      <c r="BC330" s="90" t="s">
        <v>97</v>
      </c>
      <c r="BD330" s="90"/>
      <c r="BE330" s="90"/>
      <c r="BF330" s="90"/>
      <c r="BG330" s="90"/>
      <c r="BH330" s="73" t="s">
        <v>199</v>
      </c>
      <c r="BI330" s="30" t="str">
        <f>IF(COUNTA(Tabelle32[[#This Row],[Type:Vid_1080i50]:[Type:Anc_Prot]])&gt;0,"x","")</f>
        <v>x</v>
      </c>
      <c r="BJ33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330" s="59"/>
      <c r="BL330" s="59"/>
      <c r="BM330" s="63"/>
      <c r="BN330" s="63"/>
      <c r="BO330" s="93" t="s">
        <v>2905</v>
      </c>
      <c r="BP330" s="97" t="s">
        <v>719</v>
      </c>
      <c r="BQ330" s="75">
        <f>LEN(Tabelle32[[#This Row],[Label 1
GFX-Unit]])</f>
        <v>14</v>
      </c>
      <c r="BR330" s="63"/>
      <c r="BS330" s="63"/>
      <c r="BT330" s="59"/>
      <c r="BU330" s="59"/>
      <c r="BV330" s="59" t="s">
        <v>245</v>
      </c>
      <c r="BW330" s="59" t="s">
        <v>246</v>
      </c>
      <c r="BX330" s="59" t="s">
        <v>720</v>
      </c>
      <c r="BY330" s="59">
        <v>16</v>
      </c>
    </row>
    <row r="331" spans="1:77" hidden="1" x14ac:dyDescent="0.2">
      <c r="A331" s="58" t="str">
        <f>CONCATENATE(Tabelle32[[#This Row],[Device ID]],".",Tabelle32[[#This Row],[Streamcounter]])</f>
        <v>393.16210</v>
      </c>
      <c r="B33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VGW-103_SDI16_AUDrec_0010</v>
      </c>
      <c r="C331" s="60"/>
      <c r="D331" s="61"/>
      <c r="E331" s="62"/>
      <c r="F331" s="59" t="str">
        <f>IFERROR(VLOOKUP(Tabelle32[[#This Row],[Device ID]],BOM!$B$3:$BQ$35,16,FALSE),"")</f>
        <v>IngSRV-07</v>
      </c>
      <c r="G331" s="63">
        <f>VLOOKUP(Tabelle32[[#This Row],[SDI Interface]],BOM!$A$4:$B$35,2,FALSE)</f>
        <v>393</v>
      </c>
      <c r="H331" s="59" t="str">
        <f>BOM!$C$4</f>
        <v>VGW-103</v>
      </c>
      <c r="I331" s="59" t="str">
        <f>IFERROR(VLOOKUP(Tabelle32[[#This Row],[Device ID]],BOM!$B$3:$BQ$35,12,FALSE),"")</f>
        <v>Videoserver</v>
      </c>
      <c r="J331" s="59" t="str">
        <f>IFERROR(VLOOKUP(Tabelle32[[#This Row],[Device ID]],BOM!$B$3:$BQ$35,13,FALSE),"")</f>
        <v>TC.U1.223 | MDC</v>
      </c>
      <c r="K331" s="59" t="str">
        <f>IFERROR(VLOOKUP(Tabelle32[[#This Row],[Device ID]],BOM!$B$3:$BQ$35,14,FALSE),"")</f>
        <v>Imagine Comunications</v>
      </c>
      <c r="L331" s="59" t="str">
        <f>IFERROR(VLOOKUP(Tabelle32[[#This Row],[Device ID]],BOM!$B$3:$BQ$35,16,FALSE),"")</f>
        <v>IngSRV-07</v>
      </c>
      <c r="M331" s="63" t="str">
        <f>IFERROR(VLOOKUP(Tabelle32[[#This Row],[Device ID]],BOM!$B$3:$BQ$35,17,FALSE),"")</f>
        <v>M3H</v>
      </c>
      <c r="N331" s="59" t="str">
        <f>IFERROR(VLOOKUP(Tabelle32[[#This Row],[Device ID]],BOM!$B$3:$BQ$35,18,FALSE),"")</f>
        <v>TC.03.225 | M3H</v>
      </c>
      <c r="O331" s="64"/>
      <c r="P331" s="64">
        <f>IFERROR(VLOOKUP(Tabelle32[[#This Row],[Device ID]],BOM!$B$3:$BO$50,20,FALSE),"")</f>
        <v>0</v>
      </c>
      <c r="Q331" s="64">
        <f>IFERROR(VLOOKUP(Tabelle32[[#This Row],[Device ID]],BOM!$B$3:$BO$50,21,FALSE),"")</f>
        <v>1</v>
      </c>
      <c r="R331" s="64">
        <f>IFERROR(VLOOKUP(Tabelle32[[#This Row],[Device ID]],BOM!$B$3:$BO$50,22,FALSE),"")</f>
        <v>0</v>
      </c>
      <c r="S331" s="64"/>
      <c r="T331" s="64"/>
      <c r="U331" s="59" t="str">
        <f>IFERROR(VLOOKUP(Tabelle32[[#This Row],[Device ID]],BOM!$B$3:$BQ$35,25,FALSE),"")</f>
        <v>Luis/Ivo</v>
      </c>
      <c r="V331" s="59" t="str">
        <f>IFERROR(VLOOKUP(Tabelle32[[#This Row],[Device ID]],BOM!$B$3:$BQ$35,26,FALSE),"")</f>
        <v>tpco-megw-vgw103.rta.st-net.media.int</v>
      </c>
      <c r="W331" s="59" t="str">
        <f>IFERROR(VLOOKUP(Tabelle32[[#This Row],[Device ID]],BOM!$B$3:$BQ$35,27,FALSE),"")</f>
        <v>10.120.236.50</v>
      </c>
      <c r="X331" s="59" t="str">
        <f>IFERROR(VLOOKUP(Tabelle32[[#This Row],[Device ID]],BOM!$B$3:$BQ$35,28,FALSE),"")</f>
        <v>AVCoreA</v>
      </c>
      <c r="Y331" s="59" t="str">
        <f>IFERROR(VLOOKUP(Tabelle32[[#This Row],[Device ID]],BOM!$B$3:$BQ$35,29,FALSE),"")</f>
        <v>5_36_1</v>
      </c>
      <c r="Z331" s="59" t="str">
        <f>IFERROR(VLOOKUP(Tabelle32[[#This Row],[Device ID]],BOM!$B$3:$BQ$35,30,FALSE),"")</f>
        <v>tpco-megw-vgw103.rtb.st-net.media.int</v>
      </c>
      <c r="AA331" s="59" t="str">
        <f>IFERROR(VLOOKUP(Tabelle32[[#This Row],[Device ID]],BOM!$B$3:$BQ$35,31,FALSE),"")</f>
        <v>10.120.236.54</v>
      </c>
      <c r="AB331" s="59" t="str">
        <f>IFERROR(VLOOKUP(Tabelle32[[#This Row],[Device ID]],BOM!$B$3:$BQ$35,32,FALSE),"")</f>
        <v>AVCoreB</v>
      </c>
      <c r="AC331" s="59" t="str">
        <f>IFERROR(VLOOKUP(Tabelle32[[#This Row],[Device ID]],BOM!$B$3:$BQ$35,33,FALSE),"")</f>
        <v>5_36_1</v>
      </c>
      <c r="AD331" s="59" t="str">
        <f>IFERROR(VLOOKUP(Tabelle32[[#This Row],[Device ID]],BOM!$B$3:$BQ$35,34,FALSE),"")</f>
        <v>tpco-megw-vgw103.st-net.media.int</v>
      </c>
      <c r="AE331" s="59" t="str">
        <f>IFERROR(VLOOKUP(Tabelle32[[#This Row],[Device ID]],BOM!$B$3:$BQ$35,35,FALSE),"")</f>
        <v>10.120.67.141</v>
      </c>
      <c r="AF331" s="59">
        <f>IFERROR(VLOOKUP(Tabelle32[[#This Row],[Device ID]],BOM!$B$3:$BQ$35,36,FALSE),"")</f>
        <v>0</v>
      </c>
      <c r="AG331" s="59">
        <f>IFERROR(VLOOKUP(Tabelle32[[#This Row],[Device ID]],BOM!$B$3:$BQ$35,37,FALSE),"")</f>
        <v>0</v>
      </c>
      <c r="AH331" s="59"/>
      <c r="AI331" s="59"/>
      <c r="AJ331" s="59"/>
      <c r="AK331" s="59"/>
      <c r="AL331" s="59" t="str">
        <f>IFERROR(VLOOKUP(Tabelle32[[#This Row],[Device ID]],BOM!$B$3:$BQ$35,42,FALSE),"")</f>
        <v>Imagine Communications SNP</v>
      </c>
      <c r="AM331" s="59" t="str">
        <f>IFERROR(VLOOKUP(Tabelle32[[#This Row],[Device ID]],BOM!$B$3:$BQ$35,43,FALSE),"")</f>
        <v>no</v>
      </c>
      <c r="AN331" s="59" t="str">
        <f>IFERROR(VLOOKUP(Tabelle32[[#This Row],[Device ID]],BOM!$B$3:$BQ$35,44,FALSE),"")</f>
        <v>yes</v>
      </c>
      <c r="AO331" s="59" t="str">
        <f>IFERROR(VLOOKUP(Tabelle32[[#This Row],[Device ID]],BOM!$B$3:$BQ$35,45,FALSE),"")</f>
        <v>no</v>
      </c>
      <c r="AP331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31" s="59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  <c r="BB331" s="90"/>
      <c r="BC331" s="90"/>
      <c r="BD331" s="90"/>
      <c r="BE331" s="90"/>
      <c r="BF331" s="90"/>
      <c r="BG331" s="90"/>
      <c r="BH331" s="73" t="s">
        <v>199</v>
      </c>
      <c r="BI331" s="30" t="str">
        <f>IF(COUNTA(Tabelle32[[#This Row],[Type:Vid_1080i50]:[Type:Anc_Prot]])&gt;0,"x","")</f>
        <v/>
      </c>
      <c r="BJ33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31" s="59"/>
      <c r="BL331" s="59"/>
      <c r="BM331" s="63"/>
      <c r="BN331" s="63"/>
      <c r="BO331" s="96"/>
      <c r="BP331" s="96"/>
      <c r="BQ331" s="75">
        <f>LEN(Tabelle32[[#This Row],[Label 1
GFX-Unit]])</f>
        <v>0</v>
      </c>
      <c r="BR331" s="63"/>
      <c r="BS331" s="63"/>
      <c r="BT331" s="59"/>
      <c r="BU331" s="59"/>
      <c r="BV331" s="59" t="s">
        <v>248</v>
      </c>
      <c r="BW331" s="59" t="s">
        <v>249</v>
      </c>
      <c r="BX331" s="59" t="s">
        <v>721</v>
      </c>
      <c r="BY331" s="59">
        <v>16</v>
      </c>
    </row>
    <row r="332" spans="1:77" hidden="1" x14ac:dyDescent="0.2">
      <c r="A332" s="58" t="str">
        <f>CONCATENATE(Tabelle32[[#This Row],[Device ID]],".",Tabelle32[[#This Row],[Streamcounter]])</f>
        <v>393.16211</v>
      </c>
      <c r="B33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VGW-103_SDI16_AUDrec_0011</v>
      </c>
      <c r="C332" s="60"/>
      <c r="D332" s="61"/>
      <c r="E332" s="62"/>
      <c r="F332" s="59" t="str">
        <f>IFERROR(VLOOKUP(Tabelle32[[#This Row],[Device ID]],BOM!$B$3:$BQ$35,16,FALSE),"")</f>
        <v>IngSRV-07</v>
      </c>
      <c r="G332" s="63">
        <f>VLOOKUP(Tabelle32[[#This Row],[SDI Interface]],BOM!$A$4:$B$35,2,FALSE)</f>
        <v>393</v>
      </c>
      <c r="H332" s="59" t="str">
        <f>BOM!$C$4</f>
        <v>VGW-103</v>
      </c>
      <c r="I332" s="59" t="str">
        <f>IFERROR(VLOOKUP(Tabelle32[[#This Row],[Device ID]],BOM!$B$3:$BQ$35,12,FALSE),"")</f>
        <v>Videoserver</v>
      </c>
      <c r="J332" s="59" t="str">
        <f>IFERROR(VLOOKUP(Tabelle32[[#This Row],[Device ID]],BOM!$B$3:$BQ$35,13,FALSE),"")</f>
        <v>TC.U1.223 | MDC</v>
      </c>
      <c r="K332" s="59" t="str">
        <f>IFERROR(VLOOKUP(Tabelle32[[#This Row],[Device ID]],BOM!$B$3:$BQ$35,14,FALSE),"")</f>
        <v>Imagine Comunications</v>
      </c>
      <c r="L332" s="59" t="str">
        <f>IFERROR(VLOOKUP(Tabelle32[[#This Row],[Device ID]],BOM!$B$3:$BQ$35,16,FALSE),"")</f>
        <v>IngSRV-07</v>
      </c>
      <c r="M332" s="63" t="str">
        <f>IFERROR(VLOOKUP(Tabelle32[[#This Row],[Device ID]],BOM!$B$3:$BQ$35,17,FALSE),"")</f>
        <v>M3H</v>
      </c>
      <c r="N332" s="59" t="str">
        <f>IFERROR(VLOOKUP(Tabelle32[[#This Row],[Device ID]],BOM!$B$3:$BQ$35,18,FALSE),"")</f>
        <v>TC.03.225 | M3H</v>
      </c>
      <c r="O332" s="64"/>
      <c r="P332" s="64">
        <f>IFERROR(VLOOKUP(Tabelle32[[#This Row],[Device ID]],BOM!$B$3:$BO$50,20,FALSE),"")</f>
        <v>0</v>
      </c>
      <c r="Q332" s="64">
        <f>IFERROR(VLOOKUP(Tabelle32[[#This Row],[Device ID]],BOM!$B$3:$BO$50,21,FALSE),"")</f>
        <v>1</v>
      </c>
      <c r="R332" s="64">
        <f>IFERROR(VLOOKUP(Tabelle32[[#This Row],[Device ID]],BOM!$B$3:$BO$50,22,FALSE),"")</f>
        <v>0</v>
      </c>
      <c r="S332" s="64"/>
      <c r="T332" s="64"/>
      <c r="U332" s="59" t="str">
        <f>IFERROR(VLOOKUP(Tabelle32[[#This Row],[Device ID]],BOM!$B$3:$BQ$35,25,FALSE),"")</f>
        <v>Luis/Ivo</v>
      </c>
      <c r="V332" s="59" t="str">
        <f>IFERROR(VLOOKUP(Tabelle32[[#This Row],[Device ID]],BOM!$B$3:$BQ$35,26,FALSE),"")</f>
        <v>tpco-megw-vgw103.rta.st-net.media.int</v>
      </c>
      <c r="W332" s="59" t="str">
        <f>IFERROR(VLOOKUP(Tabelle32[[#This Row],[Device ID]],BOM!$B$3:$BQ$35,27,FALSE),"")</f>
        <v>10.120.236.50</v>
      </c>
      <c r="X332" s="59" t="str">
        <f>IFERROR(VLOOKUP(Tabelle32[[#This Row],[Device ID]],BOM!$B$3:$BQ$35,28,FALSE),"")</f>
        <v>AVCoreA</v>
      </c>
      <c r="Y332" s="59" t="str">
        <f>IFERROR(VLOOKUP(Tabelle32[[#This Row],[Device ID]],BOM!$B$3:$BQ$35,29,FALSE),"")</f>
        <v>5_36_1</v>
      </c>
      <c r="Z332" s="59" t="str">
        <f>IFERROR(VLOOKUP(Tabelle32[[#This Row],[Device ID]],BOM!$B$3:$BQ$35,30,FALSE),"")</f>
        <v>tpco-megw-vgw103.rtb.st-net.media.int</v>
      </c>
      <c r="AA332" s="59" t="str">
        <f>IFERROR(VLOOKUP(Tabelle32[[#This Row],[Device ID]],BOM!$B$3:$BQ$35,31,FALSE),"")</f>
        <v>10.120.236.54</v>
      </c>
      <c r="AB332" s="59" t="str">
        <f>IFERROR(VLOOKUP(Tabelle32[[#This Row],[Device ID]],BOM!$B$3:$BQ$35,32,FALSE),"")</f>
        <v>AVCoreB</v>
      </c>
      <c r="AC332" s="59" t="str">
        <f>IFERROR(VLOOKUP(Tabelle32[[#This Row],[Device ID]],BOM!$B$3:$BQ$35,33,FALSE),"")</f>
        <v>5_36_1</v>
      </c>
      <c r="AD332" s="59" t="str">
        <f>IFERROR(VLOOKUP(Tabelle32[[#This Row],[Device ID]],BOM!$B$3:$BQ$35,34,FALSE),"")</f>
        <v>tpco-megw-vgw103.st-net.media.int</v>
      </c>
      <c r="AE332" s="59" t="str">
        <f>IFERROR(VLOOKUP(Tabelle32[[#This Row],[Device ID]],BOM!$B$3:$BQ$35,35,FALSE),"")</f>
        <v>10.120.67.141</v>
      </c>
      <c r="AF332" s="59">
        <f>IFERROR(VLOOKUP(Tabelle32[[#This Row],[Device ID]],BOM!$B$3:$BQ$35,36,FALSE),"")</f>
        <v>0</v>
      </c>
      <c r="AG332" s="59">
        <f>IFERROR(VLOOKUP(Tabelle32[[#This Row],[Device ID]],BOM!$B$3:$BQ$35,37,FALSE),"")</f>
        <v>0</v>
      </c>
      <c r="AH332" s="59"/>
      <c r="AI332" s="59"/>
      <c r="AJ332" s="59"/>
      <c r="AK332" s="59"/>
      <c r="AL332" s="59" t="str">
        <f>IFERROR(VLOOKUP(Tabelle32[[#This Row],[Device ID]],BOM!$B$3:$BQ$35,42,FALSE),"")</f>
        <v>Imagine Communications SNP</v>
      </c>
      <c r="AM332" s="59" t="str">
        <f>IFERROR(VLOOKUP(Tabelle32[[#This Row],[Device ID]],BOM!$B$3:$BQ$35,43,FALSE),"")</f>
        <v>no</v>
      </c>
      <c r="AN332" s="59" t="str">
        <f>IFERROR(VLOOKUP(Tabelle32[[#This Row],[Device ID]],BOM!$B$3:$BQ$35,44,FALSE),"")</f>
        <v>yes</v>
      </c>
      <c r="AO332" s="59" t="str">
        <f>IFERROR(VLOOKUP(Tabelle32[[#This Row],[Device ID]],BOM!$B$3:$BQ$35,45,FALSE),"")</f>
        <v>no</v>
      </c>
      <c r="AP332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32" s="59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  <c r="BB332" s="90"/>
      <c r="BC332" s="90"/>
      <c r="BD332" s="90"/>
      <c r="BE332" s="90"/>
      <c r="BF332" s="90"/>
      <c r="BG332" s="90"/>
      <c r="BH332" s="73" t="s">
        <v>199</v>
      </c>
      <c r="BI332" s="30" t="str">
        <f>IF(COUNTA(Tabelle32[[#This Row],[Type:Vid_1080i50]:[Type:Anc_Prot]])&gt;0,"x","")</f>
        <v/>
      </c>
      <c r="BJ33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32" s="59"/>
      <c r="BL332" s="59"/>
      <c r="BM332" s="63"/>
      <c r="BN332" s="63"/>
      <c r="BO332" s="96"/>
      <c r="BP332" s="96"/>
      <c r="BQ332" s="75">
        <f>LEN(Tabelle32[[#This Row],[Label 1
GFX-Unit]])</f>
        <v>0</v>
      </c>
      <c r="BR332" s="63"/>
      <c r="BS332" s="63"/>
      <c r="BT332" s="59"/>
      <c r="BU332" s="59"/>
      <c r="BV332" s="59" t="s">
        <v>251</v>
      </c>
      <c r="BW332" s="59" t="s">
        <v>252</v>
      </c>
      <c r="BX332" s="59" t="s">
        <v>722</v>
      </c>
      <c r="BY332" s="59">
        <v>16</v>
      </c>
    </row>
    <row r="333" spans="1:77" hidden="1" x14ac:dyDescent="0.2">
      <c r="A333" s="58" t="str">
        <f>CONCATENATE(Tabelle32[[#This Row],[Device ID]],".",Tabelle32[[#This Row],[Streamcounter]])</f>
        <v>393.16212</v>
      </c>
      <c r="B33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VGW-103_SDI16_AUDrec_0012</v>
      </c>
      <c r="C333" s="60"/>
      <c r="D333" s="61"/>
      <c r="E333" s="62"/>
      <c r="F333" s="59" t="str">
        <f>IFERROR(VLOOKUP(Tabelle32[[#This Row],[Device ID]],BOM!$B$3:$BQ$35,16,FALSE),"")</f>
        <v>IngSRV-07</v>
      </c>
      <c r="G333" s="63">
        <f>VLOOKUP(Tabelle32[[#This Row],[SDI Interface]],BOM!$A$4:$B$35,2,FALSE)</f>
        <v>393</v>
      </c>
      <c r="H333" s="59" t="str">
        <f>BOM!$C$4</f>
        <v>VGW-103</v>
      </c>
      <c r="I333" s="59" t="str">
        <f>IFERROR(VLOOKUP(Tabelle32[[#This Row],[Device ID]],BOM!$B$3:$BQ$35,12,FALSE),"")</f>
        <v>Videoserver</v>
      </c>
      <c r="J333" s="59" t="str">
        <f>IFERROR(VLOOKUP(Tabelle32[[#This Row],[Device ID]],BOM!$B$3:$BQ$35,13,FALSE),"")</f>
        <v>TC.U1.223 | MDC</v>
      </c>
      <c r="K333" s="59" t="str">
        <f>IFERROR(VLOOKUP(Tabelle32[[#This Row],[Device ID]],BOM!$B$3:$BQ$35,14,FALSE),"")</f>
        <v>Imagine Comunications</v>
      </c>
      <c r="L333" s="59" t="str">
        <f>IFERROR(VLOOKUP(Tabelle32[[#This Row],[Device ID]],BOM!$B$3:$BQ$35,16,FALSE),"")</f>
        <v>IngSRV-07</v>
      </c>
      <c r="M333" s="63" t="str">
        <f>IFERROR(VLOOKUP(Tabelle32[[#This Row],[Device ID]],BOM!$B$3:$BQ$35,17,FALSE),"")</f>
        <v>M3H</v>
      </c>
      <c r="N333" s="59" t="str">
        <f>IFERROR(VLOOKUP(Tabelle32[[#This Row],[Device ID]],BOM!$B$3:$BQ$35,18,FALSE),"")</f>
        <v>TC.03.225 | M3H</v>
      </c>
      <c r="O333" s="64"/>
      <c r="P333" s="64">
        <f>IFERROR(VLOOKUP(Tabelle32[[#This Row],[Device ID]],BOM!$B$3:$BO$50,20,FALSE),"")</f>
        <v>0</v>
      </c>
      <c r="Q333" s="64">
        <f>IFERROR(VLOOKUP(Tabelle32[[#This Row],[Device ID]],BOM!$B$3:$BO$50,21,FALSE),"")</f>
        <v>1</v>
      </c>
      <c r="R333" s="64">
        <f>IFERROR(VLOOKUP(Tabelle32[[#This Row],[Device ID]],BOM!$B$3:$BO$50,22,FALSE),"")</f>
        <v>0</v>
      </c>
      <c r="S333" s="64"/>
      <c r="T333" s="64"/>
      <c r="U333" s="59" t="str">
        <f>IFERROR(VLOOKUP(Tabelle32[[#This Row],[Device ID]],BOM!$B$3:$BQ$35,25,FALSE),"")</f>
        <v>Luis/Ivo</v>
      </c>
      <c r="V333" s="59" t="str">
        <f>IFERROR(VLOOKUP(Tabelle32[[#This Row],[Device ID]],BOM!$B$3:$BQ$35,26,FALSE),"")</f>
        <v>tpco-megw-vgw103.rta.st-net.media.int</v>
      </c>
      <c r="W333" s="59" t="str">
        <f>IFERROR(VLOOKUP(Tabelle32[[#This Row],[Device ID]],BOM!$B$3:$BQ$35,27,FALSE),"")</f>
        <v>10.120.236.50</v>
      </c>
      <c r="X333" s="59" t="str">
        <f>IFERROR(VLOOKUP(Tabelle32[[#This Row],[Device ID]],BOM!$B$3:$BQ$35,28,FALSE),"")</f>
        <v>AVCoreA</v>
      </c>
      <c r="Y333" s="59" t="str">
        <f>IFERROR(VLOOKUP(Tabelle32[[#This Row],[Device ID]],BOM!$B$3:$BQ$35,29,FALSE),"")</f>
        <v>5_36_1</v>
      </c>
      <c r="Z333" s="59" t="str">
        <f>IFERROR(VLOOKUP(Tabelle32[[#This Row],[Device ID]],BOM!$B$3:$BQ$35,30,FALSE),"")</f>
        <v>tpco-megw-vgw103.rtb.st-net.media.int</v>
      </c>
      <c r="AA333" s="59" t="str">
        <f>IFERROR(VLOOKUP(Tabelle32[[#This Row],[Device ID]],BOM!$B$3:$BQ$35,31,FALSE),"")</f>
        <v>10.120.236.54</v>
      </c>
      <c r="AB333" s="59" t="str">
        <f>IFERROR(VLOOKUP(Tabelle32[[#This Row],[Device ID]],BOM!$B$3:$BQ$35,32,FALSE),"")</f>
        <v>AVCoreB</v>
      </c>
      <c r="AC333" s="59" t="str">
        <f>IFERROR(VLOOKUP(Tabelle32[[#This Row],[Device ID]],BOM!$B$3:$BQ$35,33,FALSE),"")</f>
        <v>5_36_1</v>
      </c>
      <c r="AD333" s="59" t="str">
        <f>IFERROR(VLOOKUP(Tabelle32[[#This Row],[Device ID]],BOM!$B$3:$BQ$35,34,FALSE),"")</f>
        <v>tpco-megw-vgw103.st-net.media.int</v>
      </c>
      <c r="AE333" s="59" t="str">
        <f>IFERROR(VLOOKUP(Tabelle32[[#This Row],[Device ID]],BOM!$B$3:$BQ$35,35,FALSE),"")</f>
        <v>10.120.67.141</v>
      </c>
      <c r="AF333" s="59">
        <f>IFERROR(VLOOKUP(Tabelle32[[#This Row],[Device ID]],BOM!$B$3:$BQ$35,36,FALSE),"")</f>
        <v>0</v>
      </c>
      <c r="AG333" s="59">
        <f>IFERROR(VLOOKUP(Tabelle32[[#This Row],[Device ID]],BOM!$B$3:$BQ$35,37,FALSE),"")</f>
        <v>0</v>
      </c>
      <c r="AH333" s="59"/>
      <c r="AI333" s="59"/>
      <c r="AJ333" s="59"/>
      <c r="AK333" s="59"/>
      <c r="AL333" s="59" t="str">
        <f>IFERROR(VLOOKUP(Tabelle32[[#This Row],[Device ID]],BOM!$B$3:$BQ$35,42,FALSE),"")</f>
        <v>Imagine Communications SNP</v>
      </c>
      <c r="AM333" s="59" t="str">
        <f>IFERROR(VLOOKUP(Tabelle32[[#This Row],[Device ID]],BOM!$B$3:$BQ$35,43,FALSE),"")</f>
        <v>no</v>
      </c>
      <c r="AN333" s="59" t="str">
        <f>IFERROR(VLOOKUP(Tabelle32[[#This Row],[Device ID]],BOM!$B$3:$BQ$35,44,FALSE),"")</f>
        <v>yes</v>
      </c>
      <c r="AO333" s="59" t="str">
        <f>IFERROR(VLOOKUP(Tabelle32[[#This Row],[Device ID]],BOM!$B$3:$BQ$35,45,FALSE),"")</f>
        <v>no</v>
      </c>
      <c r="AP333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33" s="59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  <c r="BB333" s="90"/>
      <c r="BC333" s="90"/>
      <c r="BD333" s="90"/>
      <c r="BE333" s="90"/>
      <c r="BF333" s="90"/>
      <c r="BG333" s="90"/>
      <c r="BH333" s="73" t="s">
        <v>199</v>
      </c>
      <c r="BI333" s="30" t="str">
        <f>IF(COUNTA(Tabelle32[[#This Row],[Type:Vid_1080i50]:[Type:Anc_Prot]])&gt;0,"x","")</f>
        <v/>
      </c>
      <c r="BJ33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33" s="59"/>
      <c r="BL333" s="59"/>
      <c r="BM333" s="63"/>
      <c r="BN333" s="63"/>
      <c r="BO333" s="96"/>
      <c r="BP333" s="96"/>
      <c r="BQ333" s="75">
        <f>LEN(Tabelle32[[#This Row],[Label 1
GFX-Unit]])</f>
        <v>0</v>
      </c>
      <c r="BR333" s="63"/>
      <c r="BS333" s="63"/>
      <c r="BT333" s="59"/>
      <c r="BU333" s="59"/>
      <c r="BV333" s="59" t="s">
        <v>254</v>
      </c>
      <c r="BW333" s="59" t="s">
        <v>255</v>
      </c>
      <c r="BX333" s="59" t="s">
        <v>723</v>
      </c>
      <c r="BY333" s="59">
        <v>16</v>
      </c>
    </row>
    <row r="334" spans="1:77" hidden="1" x14ac:dyDescent="0.2">
      <c r="A334" s="58" t="str">
        <f>CONCATENATE(Tabelle32[[#This Row],[Device ID]],".",Tabelle32[[#This Row],[Streamcounter]])</f>
        <v>393.16213</v>
      </c>
      <c r="B33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VGW-103_SDI16_AUDrec_0013</v>
      </c>
      <c r="C334" s="60"/>
      <c r="D334" s="61"/>
      <c r="E334" s="62"/>
      <c r="F334" s="59" t="str">
        <f>IFERROR(VLOOKUP(Tabelle32[[#This Row],[Device ID]],BOM!$B$3:$BQ$35,16,FALSE),"")</f>
        <v>IngSRV-07</v>
      </c>
      <c r="G334" s="63">
        <f>VLOOKUP(Tabelle32[[#This Row],[SDI Interface]],BOM!$A$4:$B$35,2,FALSE)</f>
        <v>393</v>
      </c>
      <c r="H334" s="59" t="str">
        <f>BOM!$C$4</f>
        <v>VGW-103</v>
      </c>
      <c r="I334" s="59" t="str">
        <f>IFERROR(VLOOKUP(Tabelle32[[#This Row],[Device ID]],BOM!$B$3:$BQ$35,12,FALSE),"")</f>
        <v>Videoserver</v>
      </c>
      <c r="J334" s="59" t="str">
        <f>IFERROR(VLOOKUP(Tabelle32[[#This Row],[Device ID]],BOM!$B$3:$BQ$35,13,FALSE),"")</f>
        <v>TC.U1.223 | MDC</v>
      </c>
      <c r="K334" s="59" t="str">
        <f>IFERROR(VLOOKUP(Tabelle32[[#This Row],[Device ID]],BOM!$B$3:$BQ$35,14,FALSE),"")</f>
        <v>Imagine Comunications</v>
      </c>
      <c r="L334" s="59" t="str">
        <f>IFERROR(VLOOKUP(Tabelle32[[#This Row],[Device ID]],BOM!$B$3:$BQ$35,16,FALSE),"")</f>
        <v>IngSRV-07</v>
      </c>
      <c r="M334" s="63" t="str">
        <f>IFERROR(VLOOKUP(Tabelle32[[#This Row],[Device ID]],BOM!$B$3:$BQ$35,17,FALSE),"")</f>
        <v>M3H</v>
      </c>
      <c r="N334" s="59" t="str">
        <f>IFERROR(VLOOKUP(Tabelle32[[#This Row],[Device ID]],BOM!$B$3:$BQ$35,18,FALSE),"")</f>
        <v>TC.03.225 | M3H</v>
      </c>
      <c r="O334" s="64"/>
      <c r="P334" s="64">
        <f>IFERROR(VLOOKUP(Tabelle32[[#This Row],[Device ID]],BOM!$B$3:$BO$50,20,FALSE),"")</f>
        <v>0</v>
      </c>
      <c r="Q334" s="64">
        <f>IFERROR(VLOOKUP(Tabelle32[[#This Row],[Device ID]],BOM!$B$3:$BO$50,21,FALSE),"")</f>
        <v>1</v>
      </c>
      <c r="R334" s="64">
        <f>IFERROR(VLOOKUP(Tabelle32[[#This Row],[Device ID]],BOM!$B$3:$BO$50,22,FALSE),"")</f>
        <v>0</v>
      </c>
      <c r="S334" s="64"/>
      <c r="T334" s="64"/>
      <c r="U334" s="59" t="str">
        <f>IFERROR(VLOOKUP(Tabelle32[[#This Row],[Device ID]],BOM!$B$3:$BQ$35,25,FALSE),"")</f>
        <v>Luis/Ivo</v>
      </c>
      <c r="V334" s="59" t="str">
        <f>IFERROR(VLOOKUP(Tabelle32[[#This Row],[Device ID]],BOM!$B$3:$BQ$35,26,FALSE),"")</f>
        <v>tpco-megw-vgw103.rta.st-net.media.int</v>
      </c>
      <c r="W334" s="59" t="str">
        <f>IFERROR(VLOOKUP(Tabelle32[[#This Row],[Device ID]],BOM!$B$3:$BQ$35,27,FALSE),"")</f>
        <v>10.120.236.50</v>
      </c>
      <c r="X334" s="59" t="str">
        <f>IFERROR(VLOOKUP(Tabelle32[[#This Row],[Device ID]],BOM!$B$3:$BQ$35,28,FALSE),"")</f>
        <v>AVCoreA</v>
      </c>
      <c r="Y334" s="59" t="str">
        <f>IFERROR(VLOOKUP(Tabelle32[[#This Row],[Device ID]],BOM!$B$3:$BQ$35,29,FALSE),"")</f>
        <v>5_36_1</v>
      </c>
      <c r="Z334" s="59" t="str">
        <f>IFERROR(VLOOKUP(Tabelle32[[#This Row],[Device ID]],BOM!$B$3:$BQ$35,30,FALSE),"")</f>
        <v>tpco-megw-vgw103.rtb.st-net.media.int</v>
      </c>
      <c r="AA334" s="59" t="str">
        <f>IFERROR(VLOOKUP(Tabelle32[[#This Row],[Device ID]],BOM!$B$3:$BQ$35,31,FALSE),"")</f>
        <v>10.120.236.54</v>
      </c>
      <c r="AB334" s="59" t="str">
        <f>IFERROR(VLOOKUP(Tabelle32[[#This Row],[Device ID]],BOM!$B$3:$BQ$35,32,FALSE),"")</f>
        <v>AVCoreB</v>
      </c>
      <c r="AC334" s="59" t="str">
        <f>IFERROR(VLOOKUP(Tabelle32[[#This Row],[Device ID]],BOM!$B$3:$BQ$35,33,FALSE),"")</f>
        <v>5_36_1</v>
      </c>
      <c r="AD334" s="59" t="str">
        <f>IFERROR(VLOOKUP(Tabelle32[[#This Row],[Device ID]],BOM!$B$3:$BQ$35,34,FALSE),"")</f>
        <v>tpco-megw-vgw103.st-net.media.int</v>
      </c>
      <c r="AE334" s="59" t="str">
        <f>IFERROR(VLOOKUP(Tabelle32[[#This Row],[Device ID]],BOM!$B$3:$BQ$35,35,FALSE),"")</f>
        <v>10.120.67.141</v>
      </c>
      <c r="AF334" s="59">
        <f>IFERROR(VLOOKUP(Tabelle32[[#This Row],[Device ID]],BOM!$B$3:$BQ$35,36,FALSE),"")</f>
        <v>0</v>
      </c>
      <c r="AG334" s="59">
        <f>IFERROR(VLOOKUP(Tabelle32[[#This Row],[Device ID]],BOM!$B$3:$BQ$35,37,FALSE),"")</f>
        <v>0</v>
      </c>
      <c r="AH334" s="59"/>
      <c r="AI334" s="59"/>
      <c r="AJ334" s="59"/>
      <c r="AK334" s="59"/>
      <c r="AL334" s="59" t="str">
        <f>IFERROR(VLOOKUP(Tabelle32[[#This Row],[Device ID]],BOM!$B$3:$BQ$35,42,FALSE),"")</f>
        <v>Imagine Communications SNP</v>
      </c>
      <c r="AM334" s="59" t="str">
        <f>IFERROR(VLOOKUP(Tabelle32[[#This Row],[Device ID]],BOM!$B$3:$BQ$35,43,FALSE),"")</f>
        <v>no</v>
      </c>
      <c r="AN334" s="59" t="str">
        <f>IFERROR(VLOOKUP(Tabelle32[[#This Row],[Device ID]],BOM!$B$3:$BQ$35,44,FALSE),"")</f>
        <v>yes</v>
      </c>
      <c r="AO334" s="59" t="str">
        <f>IFERROR(VLOOKUP(Tabelle32[[#This Row],[Device ID]],BOM!$B$3:$BQ$35,45,FALSE),"")</f>
        <v>no</v>
      </c>
      <c r="AP334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34" s="59"/>
      <c r="AR334" s="90"/>
      <c r="AS334" s="90"/>
      <c r="AT334" s="90"/>
      <c r="AU334" s="90"/>
      <c r="AV334" s="90"/>
      <c r="AW334" s="90"/>
      <c r="AX334" s="90"/>
      <c r="AY334" s="90"/>
      <c r="AZ334" s="90"/>
      <c r="BA334" s="90"/>
      <c r="BB334" s="90"/>
      <c r="BC334" s="90"/>
      <c r="BD334" s="90"/>
      <c r="BE334" s="90"/>
      <c r="BF334" s="90"/>
      <c r="BG334" s="90"/>
      <c r="BH334" s="73" t="s">
        <v>199</v>
      </c>
      <c r="BI334" s="30" t="str">
        <f>IF(COUNTA(Tabelle32[[#This Row],[Type:Vid_1080i50]:[Type:Anc_Prot]])&gt;0,"x","")</f>
        <v/>
      </c>
      <c r="BJ33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34" s="59"/>
      <c r="BL334" s="59"/>
      <c r="BM334" s="63"/>
      <c r="BN334" s="63"/>
      <c r="BO334" s="96"/>
      <c r="BP334" s="96"/>
      <c r="BQ334" s="75">
        <f>LEN(Tabelle32[[#This Row],[Label 1
GFX-Unit]])</f>
        <v>0</v>
      </c>
      <c r="BR334" s="63"/>
      <c r="BS334" s="63"/>
      <c r="BT334" s="59"/>
      <c r="BU334" s="59"/>
      <c r="BV334" s="59" t="s">
        <v>257</v>
      </c>
      <c r="BW334" s="59" t="s">
        <v>258</v>
      </c>
      <c r="BX334" s="59" t="s">
        <v>724</v>
      </c>
      <c r="BY334" s="59">
        <v>16</v>
      </c>
    </row>
    <row r="335" spans="1:77" hidden="1" x14ac:dyDescent="0.2">
      <c r="A335" s="58" t="str">
        <f>CONCATENATE(Tabelle32[[#This Row],[Device ID]],".",Tabelle32[[#This Row],[Streamcounter]])</f>
        <v>393.16214</v>
      </c>
      <c r="B33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VGW-103_SDI16_AUDrec_0014</v>
      </c>
      <c r="C335" s="60"/>
      <c r="D335" s="61"/>
      <c r="E335" s="62"/>
      <c r="F335" s="59" t="str">
        <f>IFERROR(VLOOKUP(Tabelle32[[#This Row],[Device ID]],BOM!$B$3:$BQ$35,16,FALSE),"")</f>
        <v>IngSRV-07</v>
      </c>
      <c r="G335" s="63">
        <f>VLOOKUP(Tabelle32[[#This Row],[SDI Interface]],BOM!$A$4:$B$35,2,FALSE)</f>
        <v>393</v>
      </c>
      <c r="H335" s="59" t="str">
        <f>BOM!$C$4</f>
        <v>VGW-103</v>
      </c>
      <c r="I335" s="59" t="str">
        <f>IFERROR(VLOOKUP(Tabelle32[[#This Row],[Device ID]],BOM!$B$3:$BQ$35,12,FALSE),"")</f>
        <v>Videoserver</v>
      </c>
      <c r="J335" s="59" t="str">
        <f>IFERROR(VLOOKUP(Tabelle32[[#This Row],[Device ID]],BOM!$B$3:$BQ$35,13,FALSE),"")</f>
        <v>TC.U1.223 | MDC</v>
      </c>
      <c r="K335" s="59" t="str">
        <f>IFERROR(VLOOKUP(Tabelle32[[#This Row],[Device ID]],BOM!$B$3:$BQ$35,14,FALSE),"")</f>
        <v>Imagine Comunications</v>
      </c>
      <c r="L335" s="59" t="str">
        <f>IFERROR(VLOOKUP(Tabelle32[[#This Row],[Device ID]],BOM!$B$3:$BQ$35,16,FALSE),"")</f>
        <v>IngSRV-07</v>
      </c>
      <c r="M335" s="63" t="str">
        <f>IFERROR(VLOOKUP(Tabelle32[[#This Row],[Device ID]],BOM!$B$3:$BQ$35,17,FALSE),"")</f>
        <v>M3H</v>
      </c>
      <c r="N335" s="59" t="str">
        <f>IFERROR(VLOOKUP(Tabelle32[[#This Row],[Device ID]],BOM!$B$3:$BQ$35,18,FALSE),"")</f>
        <v>TC.03.225 | M3H</v>
      </c>
      <c r="O335" s="64"/>
      <c r="P335" s="64">
        <f>IFERROR(VLOOKUP(Tabelle32[[#This Row],[Device ID]],BOM!$B$3:$BO$50,20,FALSE),"")</f>
        <v>0</v>
      </c>
      <c r="Q335" s="64">
        <f>IFERROR(VLOOKUP(Tabelle32[[#This Row],[Device ID]],BOM!$B$3:$BO$50,21,FALSE),"")</f>
        <v>1</v>
      </c>
      <c r="R335" s="64">
        <f>IFERROR(VLOOKUP(Tabelle32[[#This Row],[Device ID]],BOM!$B$3:$BO$50,22,FALSE),"")</f>
        <v>0</v>
      </c>
      <c r="S335" s="64"/>
      <c r="T335" s="64"/>
      <c r="U335" s="59" t="str">
        <f>IFERROR(VLOOKUP(Tabelle32[[#This Row],[Device ID]],BOM!$B$3:$BQ$35,25,FALSE),"")</f>
        <v>Luis/Ivo</v>
      </c>
      <c r="V335" s="59" t="str">
        <f>IFERROR(VLOOKUP(Tabelle32[[#This Row],[Device ID]],BOM!$B$3:$BQ$35,26,FALSE),"")</f>
        <v>tpco-megw-vgw103.rta.st-net.media.int</v>
      </c>
      <c r="W335" s="59" t="str">
        <f>IFERROR(VLOOKUP(Tabelle32[[#This Row],[Device ID]],BOM!$B$3:$BQ$35,27,FALSE),"")</f>
        <v>10.120.236.50</v>
      </c>
      <c r="X335" s="59" t="str">
        <f>IFERROR(VLOOKUP(Tabelle32[[#This Row],[Device ID]],BOM!$B$3:$BQ$35,28,FALSE),"")</f>
        <v>AVCoreA</v>
      </c>
      <c r="Y335" s="59" t="str">
        <f>IFERROR(VLOOKUP(Tabelle32[[#This Row],[Device ID]],BOM!$B$3:$BQ$35,29,FALSE),"")</f>
        <v>5_36_1</v>
      </c>
      <c r="Z335" s="59" t="str">
        <f>IFERROR(VLOOKUP(Tabelle32[[#This Row],[Device ID]],BOM!$B$3:$BQ$35,30,FALSE),"")</f>
        <v>tpco-megw-vgw103.rtb.st-net.media.int</v>
      </c>
      <c r="AA335" s="59" t="str">
        <f>IFERROR(VLOOKUP(Tabelle32[[#This Row],[Device ID]],BOM!$B$3:$BQ$35,31,FALSE),"")</f>
        <v>10.120.236.54</v>
      </c>
      <c r="AB335" s="59" t="str">
        <f>IFERROR(VLOOKUP(Tabelle32[[#This Row],[Device ID]],BOM!$B$3:$BQ$35,32,FALSE),"")</f>
        <v>AVCoreB</v>
      </c>
      <c r="AC335" s="59" t="str">
        <f>IFERROR(VLOOKUP(Tabelle32[[#This Row],[Device ID]],BOM!$B$3:$BQ$35,33,FALSE),"")</f>
        <v>5_36_1</v>
      </c>
      <c r="AD335" s="59" t="str">
        <f>IFERROR(VLOOKUP(Tabelle32[[#This Row],[Device ID]],BOM!$B$3:$BQ$35,34,FALSE),"")</f>
        <v>tpco-megw-vgw103.st-net.media.int</v>
      </c>
      <c r="AE335" s="59" t="str">
        <f>IFERROR(VLOOKUP(Tabelle32[[#This Row],[Device ID]],BOM!$B$3:$BQ$35,35,FALSE),"")</f>
        <v>10.120.67.141</v>
      </c>
      <c r="AF335" s="59">
        <f>IFERROR(VLOOKUP(Tabelle32[[#This Row],[Device ID]],BOM!$B$3:$BQ$35,36,FALSE),"")</f>
        <v>0</v>
      </c>
      <c r="AG335" s="59">
        <f>IFERROR(VLOOKUP(Tabelle32[[#This Row],[Device ID]],BOM!$B$3:$BQ$35,37,FALSE),"")</f>
        <v>0</v>
      </c>
      <c r="AH335" s="59"/>
      <c r="AI335" s="59"/>
      <c r="AJ335" s="59"/>
      <c r="AK335" s="59"/>
      <c r="AL335" s="59" t="str">
        <f>IFERROR(VLOOKUP(Tabelle32[[#This Row],[Device ID]],BOM!$B$3:$BQ$35,42,FALSE),"")</f>
        <v>Imagine Communications SNP</v>
      </c>
      <c r="AM335" s="59" t="str">
        <f>IFERROR(VLOOKUP(Tabelle32[[#This Row],[Device ID]],BOM!$B$3:$BQ$35,43,FALSE),"")</f>
        <v>no</v>
      </c>
      <c r="AN335" s="59" t="str">
        <f>IFERROR(VLOOKUP(Tabelle32[[#This Row],[Device ID]],BOM!$B$3:$BQ$35,44,FALSE),"")</f>
        <v>yes</v>
      </c>
      <c r="AO335" s="59" t="str">
        <f>IFERROR(VLOOKUP(Tabelle32[[#This Row],[Device ID]],BOM!$B$3:$BQ$35,45,FALSE),"")</f>
        <v>no</v>
      </c>
      <c r="AP335" s="59" t="str">
        <f>IFERROR(CONCATENATE(Tabelle32[[#This Row],[Family
GFX-Unit]]," | ",Tabelle32[[#This Row],[Label 1
GFX-Unit]]," | ",Tabelle32[[#This Row],[Attached Device if Gateway]]),"")</f>
        <v xml:space="preserve"> |  | IngSRV-07</v>
      </c>
      <c r="AQ335" s="59"/>
      <c r="AR335" s="90"/>
      <c r="AS335" s="90"/>
      <c r="AT335" s="90"/>
      <c r="AU335" s="90"/>
      <c r="AV335" s="90"/>
      <c r="AW335" s="90"/>
      <c r="AX335" s="90"/>
      <c r="AY335" s="90"/>
      <c r="AZ335" s="90"/>
      <c r="BA335" s="90"/>
      <c r="BB335" s="90"/>
      <c r="BC335" s="90"/>
      <c r="BD335" s="90"/>
      <c r="BE335" s="90"/>
      <c r="BF335" s="90"/>
      <c r="BG335" s="90"/>
      <c r="BH335" s="73" t="s">
        <v>199</v>
      </c>
      <c r="BI335" s="30" t="str">
        <f>IF(COUNTA(Tabelle32[[#This Row],[Type:Vid_1080i50]:[Type:Anc_Prot]])&gt;0,"x","")</f>
        <v/>
      </c>
      <c r="BJ33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35" s="59"/>
      <c r="BL335" s="59"/>
      <c r="BM335" s="63"/>
      <c r="BN335" s="63"/>
      <c r="BO335" s="96"/>
      <c r="BP335" s="96"/>
      <c r="BQ335" s="75">
        <f>LEN(Tabelle32[[#This Row],[Label 1
GFX-Unit]])</f>
        <v>0</v>
      </c>
      <c r="BR335" s="63"/>
      <c r="BS335" s="63"/>
      <c r="BT335" s="59"/>
      <c r="BU335" s="59"/>
      <c r="BV335" s="59" t="s">
        <v>260</v>
      </c>
      <c r="BW335" s="59" t="s">
        <v>261</v>
      </c>
      <c r="BX335" s="59" t="s">
        <v>725</v>
      </c>
      <c r="BY335" s="59">
        <v>16</v>
      </c>
    </row>
    <row r="336" spans="1:77" x14ac:dyDescent="0.2">
      <c r="A336" s="58" t="str">
        <f>CONCATENATE(Tabelle32[[#This Row],[Device ID]],".",Tabelle32[[#This Row],[Streamcounter]])</f>
        <v>393.16215</v>
      </c>
      <c r="B33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VGW-103_SDI16_AUDrec_0015</v>
      </c>
      <c r="C336" s="60"/>
      <c r="D336" s="61"/>
      <c r="E336" s="62"/>
      <c r="F336" s="59" t="str">
        <f>IFERROR(VLOOKUP(Tabelle32[[#This Row],[Device ID]],BOM!$B$3:$BQ$35,16,FALSE),"")</f>
        <v>IngSRV-07</v>
      </c>
      <c r="G336" s="63">
        <f>VLOOKUP(Tabelle32[[#This Row],[SDI Interface]],BOM!$A$4:$B$35,2,FALSE)</f>
        <v>393</v>
      </c>
      <c r="H336" s="59" t="str">
        <f>BOM!$C$4</f>
        <v>VGW-103</v>
      </c>
      <c r="I336" s="59" t="str">
        <f>IFERROR(VLOOKUP(Tabelle32[[#This Row],[Device ID]],BOM!$B$3:$BQ$35,12,FALSE),"")</f>
        <v>Videoserver</v>
      </c>
      <c r="J336" s="59" t="str">
        <f>IFERROR(VLOOKUP(Tabelle32[[#This Row],[Device ID]],BOM!$B$3:$BQ$35,13,FALSE),"")</f>
        <v>TC.U1.223 | MDC</v>
      </c>
      <c r="K336" s="59" t="str">
        <f>IFERROR(VLOOKUP(Tabelle32[[#This Row],[Device ID]],BOM!$B$3:$BQ$35,14,FALSE),"")</f>
        <v>Imagine Comunications</v>
      </c>
      <c r="L336" s="59" t="str">
        <f>IFERROR(VLOOKUP(Tabelle32[[#This Row],[Device ID]],BOM!$B$3:$BQ$35,16,FALSE),"")</f>
        <v>IngSRV-07</v>
      </c>
      <c r="M336" s="63" t="str">
        <f>IFERROR(VLOOKUP(Tabelle32[[#This Row],[Device ID]],BOM!$B$3:$BQ$35,17,FALSE),"")</f>
        <v>M3H</v>
      </c>
      <c r="N336" s="59" t="str">
        <f>IFERROR(VLOOKUP(Tabelle32[[#This Row],[Device ID]],BOM!$B$3:$BQ$35,18,FALSE),"")</f>
        <v>TC.03.225 | M3H</v>
      </c>
      <c r="O336" s="64"/>
      <c r="P336" s="64">
        <f>IFERROR(VLOOKUP(Tabelle32[[#This Row],[Device ID]],BOM!$B$3:$BO$50,20,FALSE),"")</f>
        <v>0</v>
      </c>
      <c r="Q336" s="64">
        <f>IFERROR(VLOOKUP(Tabelle32[[#This Row],[Device ID]],BOM!$B$3:$BO$50,21,FALSE),"")</f>
        <v>1</v>
      </c>
      <c r="R336" s="64">
        <f>IFERROR(VLOOKUP(Tabelle32[[#This Row],[Device ID]],BOM!$B$3:$BO$50,22,FALSE),"")</f>
        <v>0</v>
      </c>
      <c r="S336" s="64"/>
      <c r="T336" s="64"/>
      <c r="U336" s="59" t="str">
        <f>IFERROR(VLOOKUP(Tabelle32[[#This Row],[Device ID]],BOM!$B$3:$BQ$35,25,FALSE),"")</f>
        <v>Luis/Ivo</v>
      </c>
      <c r="V336" s="59" t="str">
        <f>IFERROR(VLOOKUP(Tabelle32[[#This Row],[Device ID]],BOM!$B$3:$BQ$35,26,FALSE),"")</f>
        <v>tpco-megw-vgw103.rta.st-net.media.int</v>
      </c>
      <c r="W336" s="59" t="str">
        <f>IFERROR(VLOOKUP(Tabelle32[[#This Row],[Device ID]],BOM!$B$3:$BQ$35,27,FALSE),"")</f>
        <v>10.120.236.50</v>
      </c>
      <c r="X336" s="59" t="str">
        <f>IFERROR(VLOOKUP(Tabelle32[[#This Row],[Device ID]],BOM!$B$3:$BQ$35,28,FALSE),"")</f>
        <v>AVCoreA</v>
      </c>
      <c r="Y336" s="59" t="str">
        <f>IFERROR(VLOOKUP(Tabelle32[[#This Row],[Device ID]],BOM!$B$3:$BQ$35,29,FALSE),"")</f>
        <v>5_36_1</v>
      </c>
      <c r="Z336" s="59" t="str">
        <f>IFERROR(VLOOKUP(Tabelle32[[#This Row],[Device ID]],BOM!$B$3:$BQ$35,30,FALSE),"")</f>
        <v>tpco-megw-vgw103.rtb.st-net.media.int</v>
      </c>
      <c r="AA336" s="59" t="str">
        <f>IFERROR(VLOOKUP(Tabelle32[[#This Row],[Device ID]],BOM!$B$3:$BQ$35,31,FALSE),"")</f>
        <v>10.120.236.54</v>
      </c>
      <c r="AB336" s="59" t="str">
        <f>IFERROR(VLOOKUP(Tabelle32[[#This Row],[Device ID]],BOM!$B$3:$BQ$35,32,FALSE),"")</f>
        <v>AVCoreB</v>
      </c>
      <c r="AC336" s="59" t="str">
        <f>IFERROR(VLOOKUP(Tabelle32[[#This Row],[Device ID]],BOM!$B$3:$BQ$35,33,FALSE),"")</f>
        <v>5_36_1</v>
      </c>
      <c r="AD336" s="59" t="str">
        <f>IFERROR(VLOOKUP(Tabelle32[[#This Row],[Device ID]],BOM!$B$3:$BQ$35,34,FALSE),"")</f>
        <v>tpco-megw-vgw103.st-net.media.int</v>
      </c>
      <c r="AE336" s="59" t="str">
        <f>IFERROR(VLOOKUP(Tabelle32[[#This Row],[Device ID]],BOM!$B$3:$BQ$35,35,FALSE),"")</f>
        <v>10.120.67.141</v>
      </c>
      <c r="AF336" s="59">
        <f>IFERROR(VLOOKUP(Tabelle32[[#This Row],[Device ID]],BOM!$B$3:$BQ$35,36,FALSE),"")</f>
        <v>0</v>
      </c>
      <c r="AG336" s="59">
        <f>IFERROR(VLOOKUP(Tabelle32[[#This Row],[Device ID]],BOM!$B$3:$BQ$35,37,FALSE),"")</f>
        <v>0</v>
      </c>
      <c r="AH336" s="59"/>
      <c r="AI336" s="59"/>
      <c r="AJ336" s="59"/>
      <c r="AK336" s="59"/>
      <c r="AL336" s="59" t="str">
        <f>IFERROR(VLOOKUP(Tabelle32[[#This Row],[Device ID]],BOM!$B$3:$BQ$35,42,FALSE),"")</f>
        <v>Imagine Communications SNP</v>
      </c>
      <c r="AM336" s="59" t="str">
        <f>IFERROR(VLOOKUP(Tabelle32[[#This Row],[Device ID]],BOM!$B$3:$BQ$35,43,FALSE),"")</f>
        <v>no</v>
      </c>
      <c r="AN336" s="59" t="str">
        <f>IFERROR(VLOOKUP(Tabelle32[[#This Row],[Device ID]],BOM!$B$3:$BQ$35,44,FALSE),"")</f>
        <v>yes</v>
      </c>
      <c r="AO336" s="59" t="str">
        <f>IFERROR(VLOOKUP(Tabelle32[[#This Row],[Device ID]],BOM!$B$3:$BQ$35,45,FALSE),"")</f>
        <v>no</v>
      </c>
      <c r="AP336" s="59" t="str">
        <f>IFERROR(CONCATENATE(Tabelle32[[#This Row],[Family
GFX-Unit]]," | ",Tabelle32[[#This Row],[Label 1
GFX-Unit]]," | ",Tabelle32[[#This Row],[Attached Device if Gateway]]),"")</f>
        <v>M3H InCh ARCHIV | Ingest Ch28-15 | IngSRV-07</v>
      </c>
      <c r="AQ336" s="59"/>
      <c r="AR336" s="90"/>
      <c r="AS336" s="90"/>
      <c r="AT336" s="90"/>
      <c r="AU336" s="90"/>
      <c r="AV336" s="90"/>
      <c r="AW336" s="90" t="s">
        <v>97</v>
      </c>
      <c r="AX336" s="90"/>
      <c r="AY336" s="90"/>
      <c r="AZ336" s="90" t="s">
        <v>97</v>
      </c>
      <c r="BA336" s="90"/>
      <c r="BB336" s="90" t="s">
        <v>97</v>
      </c>
      <c r="BC336" s="90" t="s">
        <v>97</v>
      </c>
      <c r="BD336" s="90" t="s">
        <v>97</v>
      </c>
      <c r="BE336" s="90"/>
      <c r="BF336" s="90"/>
      <c r="BG336" s="90"/>
      <c r="BH336" s="73" t="s">
        <v>199</v>
      </c>
      <c r="BI336" s="30" t="str">
        <f>IF(COUNTA(Tabelle32[[#This Row],[Type:Vid_1080i50]:[Type:Anc_Prot]])&gt;0,"x","")</f>
        <v>x</v>
      </c>
      <c r="BJ33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336" s="59"/>
      <c r="BL336" s="59"/>
      <c r="BM336" s="63"/>
      <c r="BN336" s="63"/>
      <c r="BO336" s="93" t="s">
        <v>2905</v>
      </c>
      <c r="BP336" s="97" t="s">
        <v>726</v>
      </c>
      <c r="BQ336" s="75">
        <f>LEN(Tabelle32[[#This Row],[Label 1
GFX-Unit]])</f>
        <v>14</v>
      </c>
      <c r="BR336" s="63"/>
      <c r="BS336" s="63"/>
      <c r="BT336" s="59"/>
      <c r="BU336" s="59"/>
      <c r="BV336" s="59" t="s">
        <v>264</v>
      </c>
      <c r="BW336" s="59" t="s">
        <v>265</v>
      </c>
      <c r="BX336" s="59" t="s">
        <v>727</v>
      </c>
      <c r="BY336" s="59">
        <v>16</v>
      </c>
    </row>
    <row r="337" spans="1:77" x14ac:dyDescent="0.2">
      <c r="A337" s="58" t="str">
        <f>CONCATENATE(Tabelle32[[#This Row],[Device ID]],".",Tabelle32[[#This Row],[Streamcounter]])</f>
        <v>393.16216</v>
      </c>
      <c r="B33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VGW-103_SDI16_AUDrec_0016</v>
      </c>
      <c r="C337" s="60"/>
      <c r="D337" s="61"/>
      <c r="E337" s="62"/>
      <c r="F337" s="59" t="str">
        <f>IFERROR(VLOOKUP(Tabelle32[[#This Row],[Device ID]],BOM!$B$3:$BQ$35,16,FALSE),"")</f>
        <v>IngSRV-07</v>
      </c>
      <c r="G337" s="63">
        <f>VLOOKUP(Tabelle32[[#This Row],[SDI Interface]],BOM!$A$4:$B$35,2,FALSE)</f>
        <v>393</v>
      </c>
      <c r="H337" s="59" t="str">
        <f>BOM!$C$4</f>
        <v>VGW-103</v>
      </c>
      <c r="I337" s="59" t="str">
        <f>IFERROR(VLOOKUP(Tabelle32[[#This Row],[Device ID]],BOM!$B$3:$BQ$35,12,FALSE),"")</f>
        <v>Videoserver</v>
      </c>
      <c r="J337" s="59" t="str">
        <f>IFERROR(VLOOKUP(Tabelle32[[#This Row],[Device ID]],BOM!$B$3:$BQ$35,13,FALSE),"")</f>
        <v>TC.U1.223 | MDC</v>
      </c>
      <c r="K337" s="59" t="str">
        <f>IFERROR(VLOOKUP(Tabelle32[[#This Row],[Device ID]],BOM!$B$3:$BQ$35,14,FALSE),"")</f>
        <v>Imagine Comunications</v>
      </c>
      <c r="L337" s="59" t="str">
        <f>IFERROR(VLOOKUP(Tabelle32[[#This Row],[Device ID]],BOM!$B$3:$BQ$35,16,FALSE),"")</f>
        <v>IngSRV-07</v>
      </c>
      <c r="M337" s="63" t="str">
        <f>IFERROR(VLOOKUP(Tabelle32[[#This Row],[Device ID]],BOM!$B$3:$BQ$35,17,FALSE),"")</f>
        <v>M3H</v>
      </c>
      <c r="N337" s="59" t="str">
        <f>IFERROR(VLOOKUP(Tabelle32[[#This Row],[Device ID]],BOM!$B$3:$BQ$35,18,FALSE),"")</f>
        <v>TC.03.225 | M3H</v>
      </c>
      <c r="O337" s="64"/>
      <c r="P337" s="64">
        <f>IFERROR(VLOOKUP(Tabelle32[[#This Row],[Device ID]],BOM!$B$3:$BO$50,20,FALSE),"")</f>
        <v>0</v>
      </c>
      <c r="Q337" s="64">
        <f>IFERROR(VLOOKUP(Tabelle32[[#This Row],[Device ID]],BOM!$B$3:$BO$50,21,FALSE),"")</f>
        <v>1</v>
      </c>
      <c r="R337" s="64">
        <f>IFERROR(VLOOKUP(Tabelle32[[#This Row],[Device ID]],BOM!$B$3:$BO$50,22,FALSE),"")</f>
        <v>0</v>
      </c>
      <c r="S337" s="64"/>
      <c r="T337" s="64"/>
      <c r="U337" s="59" t="str">
        <f>IFERROR(VLOOKUP(Tabelle32[[#This Row],[Device ID]],BOM!$B$3:$BQ$35,25,FALSE),"")</f>
        <v>Luis/Ivo</v>
      </c>
      <c r="V337" s="59" t="str">
        <f>IFERROR(VLOOKUP(Tabelle32[[#This Row],[Device ID]],BOM!$B$3:$BQ$35,26,FALSE),"")</f>
        <v>tpco-megw-vgw103.rta.st-net.media.int</v>
      </c>
      <c r="W337" s="59" t="str">
        <f>IFERROR(VLOOKUP(Tabelle32[[#This Row],[Device ID]],BOM!$B$3:$BQ$35,27,FALSE),"")</f>
        <v>10.120.236.50</v>
      </c>
      <c r="X337" s="59" t="str">
        <f>IFERROR(VLOOKUP(Tabelle32[[#This Row],[Device ID]],BOM!$B$3:$BQ$35,28,FALSE),"")</f>
        <v>AVCoreA</v>
      </c>
      <c r="Y337" s="59" t="str">
        <f>IFERROR(VLOOKUP(Tabelle32[[#This Row],[Device ID]],BOM!$B$3:$BQ$35,29,FALSE),"")</f>
        <v>5_36_1</v>
      </c>
      <c r="Z337" s="59" t="str">
        <f>IFERROR(VLOOKUP(Tabelle32[[#This Row],[Device ID]],BOM!$B$3:$BQ$35,30,FALSE),"")</f>
        <v>tpco-megw-vgw103.rtb.st-net.media.int</v>
      </c>
      <c r="AA337" s="59" t="str">
        <f>IFERROR(VLOOKUP(Tabelle32[[#This Row],[Device ID]],BOM!$B$3:$BQ$35,31,FALSE),"")</f>
        <v>10.120.236.54</v>
      </c>
      <c r="AB337" s="59" t="str">
        <f>IFERROR(VLOOKUP(Tabelle32[[#This Row],[Device ID]],BOM!$B$3:$BQ$35,32,FALSE),"")</f>
        <v>AVCoreB</v>
      </c>
      <c r="AC337" s="59" t="str">
        <f>IFERROR(VLOOKUP(Tabelle32[[#This Row],[Device ID]],BOM!$B$3:$BQ$35,33,FALSE),"")</f>
        <v>5_36_1</v>
      </c>
      <c r="AD337" s="59" t="str">
        <f>IFERROR(VLOOKUP(Tabelle32[[#This Row],[Device ID]],BOM!$B$3:$BQ$35,34,FALSE),"")</f>
        <v>tpco-megw-vgw103.st-net.media.int</v>
      </c>
      <c r="AE337" s="59" t="str">
        <f>IFERROR(VLOOKUP(Tabelle32[[#This Row],[Device ID]],BOM!$B$3:$BQ$35,35,FALSE),"")</f>
        <v>10.120.67.141</v>
      </c>
      <c r="AF337" s="59">
        <f>IFERROR(VLOOKUP(Tabelle32[[#This Row],[Device ID]],BOM!$B$3:$BQ$35,36,FALSE),"")</f>
        <v>0</v>
      </c>
      <c r="AG337" s="59">
        <f>IFERROR(VLOOKUP(Tabelle32[[#This Row],[Device ID]],BOM!$B$3:$BQ$35,37,FALSE),"")</f>
        <v>0</v>
      </c>
      <c r="AH337" s="59"/>
      <c r="AI337" s="59"/>
      <c r="AJ337" s="59"/>
      <c r="AK337" s="59"/>
      <c r="AL337" s="59" t="str">
        <f>IFERROR(VLOOKUP(Tabelle32[[#This Row],[Device ID]],BOM!$B$3:$BQ$35,42,FALSE),"")</f>
        <v>Imagine Communications SNP</v>
      </c>
      <c r="AM337" s="59" t="str">
        <f>IFERROR(VLOOKUP(Tabelle32[[#This Row],[Device ID]],BOM!$B$3:$BQ$35,43,FALSE),"")</f>
        <v>no</v>
      </c>
      <c r="AN337" s="59" t="str">
        <f>IFERROR(VLOOKUP(Tabelle32[[#This Row],[Device ID]],BOM!$B$3:$BQ$35,44,FALSE),"")</f>
        <v>yes</v>
      </c>
      <c r="AO337" s="59" t="str">
        <f>IFERROR(VLOOKUP(Tabelle32[[#This Row],[Device ID]],BOM!$B$3:$BQ$35,45,FALSE),"")</f>
        <v>no</v>
      </c>
      <c r="AP337" s="59" t="str">
        <f>IFERROR(CONCATENATE(Tabelle32[[#This Row],[Family
GFX-Unit]]," | ",Tabelle32[[#This Row],[Label 1
GFX-Unit]]," | ",Tabelle32[[#This Row],[Attached Device if Gateway]]),"")</f>
        <v>M3H InCh ARCHIV | Ingest Ch28-16 | IngSRV-07</v>
      </c>
      <c r="AQ337" s="59"/>
      <c r="AR337" s="90"/>
      <c r="AS337" s="90"/>
      <c r="AT337" s="90"/>
      <c r="AU337" s="90"/>
      <c r="AV337" s="90"/>
      <c r="AW337" s="90" t="s">
        <v>97</v>
      </c>
      <c r="AX337" s="90"/>
      <c r="AY337" s="90"/>
      <c r="AZ337" s="90" t="s">
        <v>97</v>
      </c>
      <c r="BA337" s="90"/>
      <c r="BB337" s="90" t="s">
        <v>97</v>
      </c>
      <c r="BC337" s="90" t="s">
        <v>97</v>
      </c>
      <c r="BD337" s="90" t="s">
        <v>97</v>
      </c>
      <c r="BE337" s="90"/>
      <c r="BF337" s="90"/>
      <c r="BG337" s="90"/>
      <c r="BH337" s="73" t="s">
        <v>199</v>
      </c>
      <c r="BI337" s="30" t="str">
        <f>IF(COUNTA(Tabelle32[[#This Row],[Type:Vid_1080i50]:[Type:Anc_Prot]])&gt;0,"x","")</f>
        <v>x</v>
      </c>
      <c r="BJ33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337" s="59"/>
      <c r="BL337" s="59"/>
      <c r="BM337" s="63"/>
      <c r="BN337" s="63"/>
      <c r="BO337" s="93" t="s">
        <v>2905</v>
      </c>
      <c r="BP337" s="97" t="s">
        <v>728</v>
      </c>
      <c r="BQ337" s="75">
        <f>LEN(Tabelle32[[#This Row],[Label 1
GFX-Unit]])</f>
        <v>14</v>
      </c>
      <c r="BR337" s="63"/>
      <c r="BS337" s="63"/>
      <c r="BT337" s="59"/>
      <c r="BU337" s="59"/>
      <c r="BV337" s="59" t="s">
        <v>268</v>
      </c>
      <c r="BW337" s="59" t="s">
        <v>269</v>
      </c>
      <c r="BX337" s="59" t="s">
        <v>729</v>
      </c>
      <c r="BY337" s="59">
        <v>16</v>
      </c>
    </row>
    <row r="338" spans="1:77" x14ac:dyDescent="0.2">
      <c r="A338" s="58" t="str">
        <f>CONCATENATE(Tabelle32[[#This Row],[Device ID]],".",Tabelle32[[#This Row],[Streamcounter]])</f>
        <v>393.16101</v>
      </c>
      <c r="B33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VGW-103_SDI16_VIDrec_0001</v>
      </c>
      <c r="C338" s="60"/>
      <c r="D338" s="61"/>
      <c r="E338" s="62"/>
      <c r="F338" s="59" t="str">
        <f>IFERROR(VLOOKUP(Tabelle32[[#This Row],[Device ID]],BOM!$B$3:$BQ$35,16,FALSE),"")</f>
        <v>IngSRV-07</v>
      </c>
      <c r="G338" s="63">
        <f>VLOOKUP(Tabelle32[[#This Row],[SDI Interface]],BOM!$A$4:$B$35,2,FALSE)</f>
        <v>393</v>
      </c>
      <c r="H338" s="59" t="str">
        <f>BOM!$C$4</f>
        <v>VGW-103</v>
      </c>
      <c r="I338" s="59" t="str">
        <f>IFERROR(VLOOKUP(Tabelle32[[#This Row],[Device ID]],BOM!$B$3:$BQ$35,12,FALSE),"")</f>
        <v>Videoserver</v>
      </c>
      <c r="J338" s="59" t="str">
        <f>IFERROR(VLOOKUP(Tabelle32[[#This Row],[Device ID]],BOM!$B$3:$BQ$35,13,FALSE),"")</f>
        <v>TC.U1.223 | MDC</v>
      </c>
      <c r="K338" s="59" t="str">
        <f>IFERROR(VLOOKUP(Tabelle32[[#This Row],[Device ID]],BOM!$B$3:$BQ$35,14,FALSE),"")</f>
        <v>Imagine Comunications</v>
      </c>
      <c r="L338" s="59" t="str">
        <f>IFERROR(VLOOKUP(Tabelle32[[#This Row],[Device ID]],BOM!$B$3:$BQ$35,16,FALSE),"")</f>
        <v>IngSRV-07</v>
      </c>
      <c r="M338" s="63" t="str">
        <f>IFERROR(VLOOKUP(Tabelle32[[#This Row],[Device ID]],BOM!$B$3:$BQ$35,17,FALSE),"")</f>
        <v>M3H</v>
      </c>
      <c r="N338" s="59" t="str">
        <f>IFERROR(VLOOKUP(Tabelle32[[#This Row],[Device ID]],BOM!$B$3:$BQ$35,18,FALSE),"")</f>
        <v>TC.03.225 | M3H</v>
      </c>
      <c r="O338" s="64"/>
      <c r="P338" s="64">
        <f>IFERROR(VLOOKUP(Tabelle32[[#This Row],[Device ID]],BOM!$B$3:$BO$50,20,FALSE),"")</f>
        <v>0</v>
      </c>
      <c r="Q338" s="64">
        <f>IFERROR(VLOOKUP(Tabelle32[[#This Row],[Device ID]],BOM!$B$3:$BO$50,21,FALSE),"")</f>
        <v>1</v>
      </c>
      <c r="R338" s="64">
        <f>IFERROR(VLOOKUP(Tabelle32[[#This Row],[Device ID]],BOM!$B$3:$BO$50,22,FALSE),"")</f>
        <v>0</v>
      </c>
      <c r="S338" s="64"/>
      <c r="T338" s="64"/>
      <c r="U338" s="59" t="str">
        <f>IFERROR(VLOOKUP(Tabelle32[[#This Row],[Device ID]],BOM!$B$3:$BQ$35,25,FALSE),"")</f>
        <v>Luis/Ivo</v>
      </c>
      <c r="V338" s="59" t="str">
        <f>IFERROR(VLOOKUP(Tabelle32[[#This Row],[Device ID]],BOM!$B$3:$BQ$35,26,FALSE),"")</f>
        <v>tpco-megw-vgw103.rta.st-net.media.int</v>
      </c>
      <c r="W338" s="59" t="str">
        <f>IFERROR(VLOOKUP(Tabelle32[[#This Row],[Device ID]],BOM!$B$3:$BQ$35,27,FALSE),"")</f>
        <v>10.120.236.50</v>
      </c>
      <c r="X338" s="59" t="str">
        <f>IFERROR(VLOOKUP(Tabelle32[[#This Row],[Device ID]],BOM!$B$3:$BQ$35,28,FALSE),"")</f>
        <v>AVCoreA</v>
      </c>
      <c r="Y338" s="59" t="str">
        <f>IFERROR(VLOOKUP(Tabelle32[[#This Row],[Device ID]],BOM!$B$3:$BQ$35,29,FALSE),"")</f>
        <v>5_36_1</v>
      </c>
      <c r="Z338" s="59" t="str">
        <f>IFERROR(VLOOKUP(Tabelle32[[#This Row],[Device ID]],BOM!$B$3:$BQ$35,30,FALSE),"")</f>
        <v>tpco-megw-vgw103.rtb.st-net.media.int</v>
      </c>
      <c r="AA338" s="59" t="str">
        <f>IFERROR(VLOOKUP(Tabelle32[[#This Row],[Device ID]],BOM!$B$3:$BQ$35,31,FALSE),"")</f>
        <v>10.120.236.54</v>
      </c>
      <c r="AB338" s="59" t="str">
        <f>IFERROR(VLOOKUP(Tabelle32[[#This Row],[Device ID]],BOM!$B$3:$BQ$35,32,FALSE),"")</f>
        <v>AVCoreB</v>
      </c>
      <c r="AC338" s="59" t="str">
        <f>IFERROR(VLOOKUP(Tabelle32[[#This Row],[Device ID]],BOM!$B$3:$BQ$35,33,FALSE),"")</f>
        <v>5_36_1</v>
      </c>
      <c r="AD338" s="59" t="str">
        <f>IFERROR(VLOOKUP(Tabelle32[[#This Row],[Device ID]],BOM!$B$3:$BQ$35,34,FALSE),"")</f>
        <v>tpco-megw-vgw103.st-net.media.int</v>
      </c>
      <c r="AE338" s="59" t="str">
        <f>IFERROR(VLOOKUP(Tabelle32[[#This Row],[Device ID]],BOM!$B$3:$BQ$35,35,FALSE),"")</f>
        <v>10.120.67.141</v>
      </c>
      <c r="AF338" s="59">
        <f>IFERROR(VLOOKUP(Tabelle32[[#This Row],[Device ID]],BOM!$B$3:$BQ$35,36,FALSE),"")</f>
        <v>0</v>
      </c>
      <c r="AG338" s="59">
        <f>IFERROR(VLOOKUP(Tabelle32[[#This Row],[Device ID]],BOM!$B$3:$BQ$35,37,FALSE),"")</f>
        <v>0</v>
      </c>
      <c r="AH338" s="59"/>
      <c r="AI338" s="59"/>
      <c r="AJ338" s="59"/>
      <c r="AK338" s="59"/>
      <c r="AL338" s="59" t="str">
        <f>IFERROR(VLOOKUP(Tabelle32[[#This Row],[Device ID]],BOM!$B$3:$BQ$35,42,FALSE),"")</f>
        <v>Imagine Communications SNP</v>
      </c>
      <c r="AM338" s="59" t="str">
        <f>IFERROR(VLOOKUP(Tabelle32[[#This Row],[Device ID]],BOM!$B$3:$BQ$35,43,FALSE),"")</f>
        <v>no</v>
      </c>
      <c r="AN338" s="59" t="str">
        <f>IFERROR(VLOOKUP(Tabelle32[[#This Row],[Device ID]],BOM!$B$3:$BQ$35,44,FALSE),"")</f>
        <v>yes</v>
      </c>
      <c r="AO338" s="59" t="str">
        <f>IFERROR(VLOOKUP(Tabelle32[[#This Row],[Device ID]],BOM!$B$3:$BQ$35,45,FALSE),"")</f>
        <v>no</v>
      </c>
      <c r="AP338" s="59" t="str">
        <f>IFERROR(CONCATENATE(Tabelle32[[#This Row],[Family
GFX-Unit]]," | ",Tabelle32[[#This Row],[Label 1
GFX-Unit]]," | ",Tabelle32[[#This Row],[Attached Device if Gateway]]),"")</f>
        <v>M3H InCh ARCHIV | Ingest Ch28 | IngSRV-07</v>
      </c>
      <c r="AQ338" s="59"/>
      <c r="AR338" s="90" t="s">
        <v>97</v>
      </c>
      <c r="AS338" s="90" t="s">
        <v>97</v>
      </c>
      <c r="AT338" s="90" t="s">
        <v>97</v>
      </c>
      <c r="AU338" s="90"/>
      <c r="AV338" s="90" t="s">
        <v>97</v>
      </c>
      <c r="AW338" s="90"/>
      <c r="AX338" s="90"/>
      <c r="AY338" s="90"/>
      <c r="AZ338" s="90"/>
      <c r="BA338" s="90"/>
      <c r="BB338" s="90"/>
      <c r="BC338" s="90"/>
      <c r="BD338" s="90"/>
      <c r="BE338" s="90"/>
      <c r="BF338" s="90"/>
      <c r="BG338" s="90"/>
      <c r="BH338" s="73" t="s">
        <v>199</v>
      </c>
      <c r="BI338" s="30" t="str">
        <f>IF(COUNTA(Tabelle32[[#This Row],[Type:Vid_1080i50]:[Type:Anc_Prot]])&gt;0,"x","")</f>
        <v>x</v>
      </c>
      <c r="BJ33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338" s="59"/>
      <c r="BL338" s="59"/>
      <c r="BM338" s="63"/>
      <c r="BN338" s="63"/>
      <c r="BO338" s="93" t="s">
        <v>2905</v>
      </c>
      <c r="BP338" s="97" t="s">
        <v>730</v>
      </c>
      <c r="BQ338" s="75">
        <f>LEN(Tabelle32[[#This Row],[Label 1
GFX-Unit]])</f>
        <v>11</v>
      </c>
      <c r="BR338" s="63"/>
      <c r="BS338" s="63"/>
      <c r="BT338" s="59"/>
      <c r="BU338" s="59"/>
      <c r="BV338" s="59" t="s">
        <v>272</v>
      </c>
      <c r="BW338" s="59" t="s">
        <v>273</v>
      </c>
      <c r="BX338" s="59" t="s">
        <v>731</v>
      </c>
      <c r="BY338" s="59">
        <v>16</v>
      </c>
    </row>
    <row r="339" spans="1:77" x14ac:dyDescent="0.2">
      <c r="A339" s="58" t="str">
        <f>CONCATENATE(Tabelle32[[#This Row],[Device ID]],".",Tabelle32[[#This Row],[Streamcounter]])</f>
        <v>394.17301</v>
      </c>
      <c r="B33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VGW-103_SDI17_ANCsend_0001</v>
      </c>
      <c r="C339" s="60"/>
      <c r="D339" s="61"/>
      <c r="E339" s="62"/>
      <c r="F339" s="59" t="str">
        <f>IFERROR(VLOOKUP(Tabelle32[[#This Row],[Device ID]],BOM!$B$3:$BQ$35,16,FALSE),"")</f>
        <v>EditPC-07 OUT</v>
      </c>
      <c r="G339" s="63">
        <f>VLOOKUP(Tabelle32[[#This Row],[SDI Interface]],BOM!$A$4:$B$35,2,FALSE)</f>
        <v>394</v>
      </c>
      <c r="H339" s="59" t="str">
        <f>BOM!$C$4</f>
        <v>VGW-103</v>
      </c>
      <c r="I339" s="59" t="str">
        <f>IFERROR(VLOOKUP(Tabelle32[[#This Row],[Device ID]],BOM!$B$3:$BQ$35,12,FALSE),"")</f>
        <v>Edit Suite</v>
      </c>
      <c r="J339" s="59" t="str">
        <f>IFERROR(VLOOKUP(Tabelle32[[#This Row],[Device ID]],BOM!$B$3:$BQ$35,13,FALSE),"")</f>
        <v>TC.U1.223 | MDC</v>
      </c>
      <c r="K339" s="59" t="str">
        <f>IFERROR(VLOOKUP(Tabelle32[[#This Row],[Device ID]],BOM!$B$3:$BQ$35,14,FALSE),"")</f>
        <v>Imagine Comunications</v>
      </c>
      <c r="L339" s="59" t="str">
        <f>IFERROR(VLOOKUP(Tabelle32[[#This Row],[Device ID]],BOM!$B$3:$BQ$35,16,FALSE),"")</f>
        <v>EditPC-07 OUT</v>
      </c>
      <c r="M339" s="63" t="str">
        <f>IFERROR(VLOOKUP(Tabelle32[[#This Row],[Device ID]],BOM!$B$3:$BQ$35,17,FALSE),"")</f>
        <v>EDIT SUITE 07</v>
      </c>
      <c r="N339" s="59" t="str">
        <f>IFERROR(VLOOKUP(Tabelle32[[#This Row],[Device ID]],BOM!$B$3:$BQ$35,18,FALSE),"")</f>
        <v>TC.03.087 | Edit 07</v>
      </c>
      <c r="O339" s="64"/>
      <c r="P339" s="64">
        <f>IFERROR(VLOOKUP(Tabelle32[[#This Row],[Device ID]],BOM!$B$3:$BO$50,20,FALSE),"")</f>
        <v>0</v>
      </c>
      <c r="Q339" s="64">
        <f>IFERROR(VLOOKUP(Tabelle32[[#This Row],[Device ID]],BOM!$B$3:$BO$50,21,FALSE),"")</f>
        <v>1</v>
      </c>
      <c r="R339" s="64">
        <f>IFERROR(VLOOKUP(Tabelle32[[#This Row],[Device ID]],BOM!$B$3:$BO$50,22,FALSE),"")</f>
        <v>0</v>
      </c>
      <c r="S339" s="64"/>
      <c r="T339" s="64"/>
      <c r="U339" s="59" t="str">
        <f>IFERROR(VLOOKUP(Tabelle32[[#This Row],[Device ID]],BOM!$B$3:$BQ$35,25,FALSE),"")</f>
        <v>Luis/Ivo</v>
      </c>
      <c r="V339" s="59" t="str">
        <f>IFERROR(VLOOKUP(Tabelle32[[#This Row],[Device ID]],BOM!$B$3:$BQ$35,26,FALSE),"")</f>
        <v>tpco-megw-vgw103.rta.st-net.media.int</v>
      </c>
      <c r="W339" s="59" t="str">
        <f>IFERROR(VLOOKUP(Tabelle32[[#This Row],[Device ID]],BOM!$B$3:$BQ$35,27,FALSE),"")</f>
        <v>10.120.236.50</v>
      </c>
      <c r="X339" s="59" t="str">
        <f>IFERROR(VLOOKUP(Tabelle32[[#This Row],[Device ID]],BOM!$B$3:$BQ$35,28,FALSE),"")</f>
        <v>AVCoreA</v>
      </c>
      <c r="Y339" s="59" t="str">
        <f>IFERROR(VLOOKUP(Tabelle32[[#This Row],[Device ID]],BOM!$B$3:$BQ$35,29,FALSE),"")</f>
        <v>5_36_1</v>
      </c>
      <c r="Z339" s="59" t="str">
        <f>IFERROR(VLOOKUP(Tabelle32[[#This Row],[Device ID]],BOM!$B$3:$BQ$35,30,FALSE),"")</f>
        <v>tpco-megw-vgw103.rtb.st-net.media.int</v>
      </c>
      <c r="AA339" s="59" t="str">
        <f>IFERROR(VLOOKUP(Tabelle32[[#This Row],[Device ID]],BOM!$B$3:$BQ$35,31,FALSE),"")</f>
        <v>10.120.236.54</v>
      </c>
      <c r="AB339" s="59" t="str">
        <f>IFERROR(VLOOKUP(Tabelle32[[#This Row],[Device ID]],BOM!$B$3:$BQ$35,32,FALSE),"")</f>
        <v>AVCoreB</v>
      </c>
      <c r="AC339" s="59" t="str">
        <f>IFERROR(VLOOKUP(Tabelle32[[#This Row],[Device ID]],BOM!$B$3:$BQ$35,33,FALSE),"")</f>
        <v>5_36_1</v>
      </c>
      <c r="AD339" s="59" t="str">
        <f>IFERROR(VLOOKUP(Tabelle32[[#This Row],[Device ID]],BOM!$B$3:$BQ$35,34,FALSE),"")</f>
        <v>tpco-megw-vgw103.st-net.media.int</v>
      </c>
      <c r="AE339" s="59" t="str">
        <f>IFERROR(VLOOKUP(Tabelle32[[#This Row],[Device ID]],BOM!$B$3:$BQ$35,35,FALSE),"")</f>
        <v>10.120.67.141</v>
      </c>
      <c r="AF339" s="59">
        <f>IFERROR(VLOOKUP(Tabelle32[[#This Row],[Device ID]],BOM!$B$3:$BQ$35,36,FALSE),"")</f>
        <v>0</v>
      </c>
      <c r="AG339" s="59">
        <f>IFERROR(VLOOKUP(Tabelle32[[#This Row],[Device ID]],BOM!$B$3:$BQ$35,37,FALSE),"")</f>
        <v>0</v>
      </c>
      <c r="AH339" s="59"/>
      <c r="AI339" s="59"/>
      <c r="AJ339" s="59"/>
      <c r="AK339" s="59"/>
      <c r="AL339" s="59" t="str">
        <f>IFERROR(VLOOKUP(Tabelle32[[#This Row],[Device ID]],BOM!$B$3:$BQ$35,42,FALSE),"")</f>
        <v>Imagine Communications SNP</v>
      </c>
      <c r="AM339" s="59" t="str">
        <f>IFERROR(VLOOKUP(Tabelle32[[#This Row],[Device ID]],BOM!$B$3:$BQ$35,43,FALSE),"")</f>
        <v>no</v>
      </c>
      <c r="AN339" s="59" t="str">
        <f>IFERROR(VLOOKUP(Tabelle32[[#This Row],[Device ID]],BOM!$B$3:$BQ$35,44,FALSE),"")</f>
        <v>yes</v>
      </c>
      <c r="AO339" s="59" t="str">
        <f>IFERROR(VLOOKUP(Tabelle32[[#This Row],[Device ID]],BOM!$B$3:$BQ$35,45,FALSE),"")</f>
        <v>no</v>
      </c>
      <c r="AP339" s="59" t="str">
        <f>IFERROR(CONCATENATE(Tabelle32[[#This Row],[Family
GFX-Unit]]," | ",Tabelle32[[#This Row],[Label 1
GFX-Unit]]," | ",Tabelle32[[#This Row],[Attached Device if Gateway]]),"")</f>
        <v>MEDEM Edits Out | Out Edit07-ANC1 | EditPC-07 OUT</v>
      </c>
      <c r="AQ339" s="59"/>
      <c r="AR339" s="91"/>
      <c r="AS339" s="91"/>
      <c r="AT339" s="91"/>
      <c r="AU339" s="91"/>
      <c r="AV339" s="91"/>
      <c r="AW339" s="91"/>
      <c r="AX339" s="91"/>
      <c r="AY339" s="91"/>
      <c r="AZ339" s="91"/>
      <c r="BA339" s="91"/>
      <c r="BB339" s="91"/>
      <c r="BC339" s="91"/>
      <c r="BD339" s="91"/>
      <c r="BE339" s="91"/>
      <c r="BF339" s="91"/>
      <c r="BG339" s="91" t="s">
        <v>97</v>
      </c>
      <c r="BH339" s="73" t="s">
        <v>199</v>
      </c>
      <c r="BI339" s="30" t="str">
        <f>IF(COUNTA(Tabelle32[[#This Row],[Type:Vid_1080i50]:[Type:Anc_Prot]])&gt;0,"x","")</f>
        <v>x</v>
      </c>
      <c r="BJ33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339" s="59"/>
      <c r="BL339" s="59"/>
      <c r="BM339" s="63"/>
      <c r="BN339" s="63"/>
      <c r="BO339" s="97" t="s">
        <v>732</v>
      </c>
      <c r="BP339" s="97" t="s">
        <v>733</v>
      </c>
      <c r="BQ339" s="75">
        <f>LEN(Tabelle32[[#This Row],[Label 1
GFX-Unit]])</f>
        <v>15</v>
      </c>
      <c r="BR339" s="63"/>
      <c r="BS339" s="63"/>
      <c r="BT339" s="59"/>
      <c r="BU339" s="59"/>
      <c r="BV339" s="59" t="s">
        <v>202</v>
      </c>
      <c r="BW339" s="59" t="s">
        <v>203</v>
      </c>
      <c r="BX339" s="59" t="s">
        <v>734</v>
      </c>
      <c r="BY339" s="59">
        <v>17</v>
      </c>
    </row>
    <row r="340" spans="1:77" hidden="1" x14ac:dyDescent="0.2">
      <c r="A340" s="58" t="str">
        <f>CONCATENATE(Tabelle32[[#This Row],[Device ID]],".",Tabelle32[[#This Row],[Streamcounter]])</f>
        <v>394.17302</v>
      </c>
      <c r="B34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VGW-103_SDI17_ANCsend_0002</v>
      </c>
      <c r="C340" s="60"/>
      <c r="D340" s="61"/>
      <c r="E340" s="62"/>
      <c r="F340" s="59" t="str">
        <f>IFERROR(VLOOKUP(Tabelle32[[#This Row],[Device ID]],BOM!$B$3:$BQ$35,16,FALSE),"")</f>
        <v>EditPC-07 OUT</v>
      </c>
      <c r="G340" s="63">
        <f>VLOOKUP(Tabelle32[[#This Row],[SDI Interface]],BOM!$A$4:$B$35,2,FALSE)</f>
        <v>394</v>
      </c>
      <c r="H340" s="59" t="str">
        <f>BOM!$C$4</f>
        <v>VGW-103</v>
      </c>
      <c r="I340" s="59" t="str">
        <f>IFERROR(VLOOKUP(Tabelle32[[#This Row],[Device ID]],BOM!$B$3:$BQ$35,12,FALSE),"")</f>
        <v>Edit Suite</v>
      </c>
      <c r="J340" s="59" t="str">
        <f>IFERROR(VLOOKUP(Tabelle32[[#This Row],[Device ID]],BOM!$B$3:$BQ$35,13,FALSE),"")</f>
        <v>TC.U1.223 | MDC</v>
      </c>
      <c r="K340" s="59" t="str">
        <f>IFERROR(VLOOKUP(Tabelle32[[#This Row],[Device ID]],BOM!$B$3:$BQ$35,14,FALSE),"")</f>
        <v>Imagine Comunications</v>
      </c>
      <c r="L340" s="59" t="str">
        <f>IFERROR(VLOOKUP(Tabelle32[[#This Row],[Device ID]],BOM!$B$3:$BQ$35,16,FALSE),"")</f>
        <v>EditPC-07 OUT</v>
      </c>
      <c r="M340" s="63" t="str">
        <f>IFERROR(VLOOKUP(Tabelle32[[#This Row],[Device ID]],BOM!$B$3:$BQ$35,17,FALSE),"")</f>
        <v>EDIT SUITE 07</v>
      </c>
      <c r="N340" s="59" t="str">
        <f>IFERROR(VLOOKUP(Tabelle32[[#This Row],[Device ID]],BOM!$B$3:$BQ$35,18,FALSE),"")</f>
        <v>TC.03.087 | Edit 07</v>
      </c>
      <c r="O340" s="64"/>
      <c r="P340" s="64">
        <f>IFERROR(VLOOKUP(Tabelle32[[#This Row],[Device ID]],BOM!$B$3:$BO$50,20,FALSE),"")</f>
        <v>0</v>
      </c>
      <c r="Q340" s="64">
        <f>IFERROR(VLOOKUP(Tabelle32[[#This Row],[Device ID]],BOM!$B$3:$BO$50,21,FALSE),"")</f>
        <v>1</v>
      </c>
      <c r="R340" s="64">
        <f>IFERROR(VLOOKUP(Tabelle32[[#This Row],[Device ID]],BOM!$B$3:$BO$50,22,FALSE),"")</f>
        <v>0</v>
      </c>
      <c r="S340" s="64"/>
      <c r="T340" s="64"/>
      <c r="U340" s="59" t="str">
        <f>IFERROR(VLOOKUP(Tabelle32[[#This Row],[Device ID]],BOM!$B$3:$BQ$35,25,FALSE),"")</f>
        <v>Luis/Ivo</v>
      </c>
      <c r="V340" s="59" t="str">
        <f>IFERROR(VLOOKUP(Tabelle32[[#This Row],[Device ID]],BOM!$B$3:$BQ$35,26,FALSE),"")</f>
        <v>tpco-megw-vgw103.rta.st-net.media.int</v>
      </c>
      <c r="W340" s="59" t="str">
        <f>IFERROR(VLOOKUP(Tabelle32[[#This Row],[Device ID]],BOM!$B$3:$BQ$35,27,FALSE),"")</f>
        <v>10.120.236.50</v>
      </c>
      <c r="X340" s="59" t="str">
        <f>IFERROR(VLOOKUP(Tabelle32[[#This Row],[Device ID]],BOM!$B$3:$BQ$35,28,FALSE),"")</f>
        <v>AVCoreA</v>
      </c>
      <c r="Y340" s="59" t="str">
        <f>IFERROR(VLOOKUP(Tabelle32[[#This Row],[Device ID]],BOM!$B$3:$BQ$35,29,FALSE),"")</f>
        <v>5_36_1</v>
      </c>
      <c r="Z340" s="59" t="str">
        <f>IFERROR(VLOOKUP(Tabelle32[[#This Row],[Device ID]],BOM!$B$3:$BQ$35,30,FALSE),"")</f>
        <v>tpco-megw-vgw103.rtb.st-net.media.int</v>
      </c>
      <c r="AA340" s="59" t="str">
        <f>IFERROR(VLOOKUP(Tabelle32[[#This Row],[Device ID]],BOM!$B$3:$BQ$35,31,FALSE),"")</f>
        <v>10.120.236.54</v>
      </c>
      <c r="AB340" s="59" t="str">
        <f>IFERROR(VLOOKUP(Tabelle32[[#This Row],[Device ID]],BOM!$B$3:$BQ$35,32,FALSE),"")</f>
        <v>AVCoreB</v>
      </c>
      <c r="AC340" s="59" t="str">
        <f>IFERROR(VLOOKUP(Tabelle32[[#This Row],[Device ID]],BOM!$B$3:$BQ$35,33,FALSE),"")</f>
        <v>5_36_1</v>
      </c>
      <c r="AD340" s="59" t="str">
        <f>IFERROR(VLOOKUP(Tabelle32[[#This Row],[Device ID]],BOM!$B$3:$BQ$35,34,FALSE),"")</f>
        <v>tpco-megw-vgw103.st-net.media.int</v>
      </c>
      <c r="AE340" s="59" t="str">
        <f>IFERROR(VLOOKUP(Tabelle32[[#This Row],[Device ID]],BOM!$B$3:$BQ$35,35,FALSE),"")</f>
        <v>10.120.67.141</v>
      </c>
      <c r="AF340" s="59">
        <f>IFERROR(VLOOKUP(Tabelle32[[#This Row],[Device ID]],BOM!$B$3:$BQ$35,36,FALSE),"")</f>
        <v>0</v>
      </c>
      <c r="AG340" s="59">
        <f>IFERROR(VLOOKUP(Tabelle32[[#This Row],[Device ID]],BOM!$B$3:$BQ$35,37,FALSE),"")</f>
        <v>0</v>
      </c>
      <c r="AH340" s="59"/>
      <c r="AI340" s="59"/>
      <c r="AJ340" s="59"/>
      <c r="AK340" s="59"/>
      <c r="AL340" s="59" t="str">
        <f>IFERROR(VLOOKUP(Tabelle32[[#This Row],[Device ID]],BOM!$B$3:$BQ$35,42,FALSE),"")</f>
        <v>Imagine Communications SNP</v>
      </c>
      <c r="AM340" s="59" t="str">
        <f>IFERROR(VLOOKUP(Tabelle32[[#This Row],[Device ID]],BOM!$B$3:$BQ$35,43,FALSE),"")</f>
        <v>no</v>
      </c>
      <c r="AN340" s="59" t="str">
        <f>IFERROR(VLOOKUP(Tabelle32[[#This Row],[Device ID]],BOM!$B$3:$BQ$35,44,FALSE),"")</f>
        <v>yes</v>
      </c>
      <c r="AO340" s="59" t="str">
        <f>IFERROR(VLOOKUP(Tabelle32[[#This Row],[Device ID]],BOM!$B$3:$BQ$35,45,FALSE),"")</f>
        <v>no</v>
      </c>
      <c r="AP340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40" s="59"/>
      <c r="AR340" s="90"/>
      <c r="AS340" s="90"/>
      <c r="AT340" s="90"/>
      <c r="AU340" s="90"/>
      <c r="AV340" s="90"/>
      <c r="AW340" s="90"/>
      <c r="AX340" s="90"/>
      <c r="AY340" s="90"/>
      <c r="AZ340" s="90"/>
      <c r="BA340" s="90"/>
      <c r="BB340" s="90"/>
      <c r="BC340" s="90"/>
      <c r="BD340" s="90"/>
      <c r="BE340" s="90"/>
      <c r="BF340" s="90"/>
      <c r="BG340" s="90"/>
      <c r="BH340" s="73" t="s">
        <v>199</v>
      </c>
      <c r="BI340" s="30" t="str">
        <f>IF(COUNTA(Tabelle32[[#This Row],[Type:Vid_1080i50]:[Type:Anc_Prot]])&gt;0,"x","")</f>
        <v/>
      </c>
      <c r="BJ34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40" s="59"/>
      <c r="BL340" s="59"/>
      <c r="BM340" s="63"/>
      <c r="BN340" s="63"/>
      <c r="BO340" s="96"/>
      <c r="BP340" s="96"/>
      <c r="BQ340" s="75">
        <f>LEN(Tabelle32[[#This Row],[Label 1
GFX-Unit]])</f>
        <v>0</v>
      </c>
      <c r="BR340" s="63"/>
      <c r="BS340" s="63"/>
      <c r="BT340" s="59"/>
      <c r="BU340" s="59"/>
      <c r="BV340" s="59" t="s">
        <v>205</v>
      </c>
      <c r="BW340" s="59" t="s">
        <v>206</v>
      </c>
      <c r="BX340" s="59" t="s">
        <v>735</v>
      </c>
      <c r="BY340" s="59">
        <v>17</v>
      </c>
    </row>
    <row r="341" spans="1:77" hidden="1" x14ac:dyDescent="0.2">
      <c r="A341" s="58" t="str">
        <f>CONCATENATE(Tabelle32[[#This Row],[Device ID]],".",Tabelle32[[#This Row],[Streamcounter]])</f>
        <v>394.17303</v>
      </c>
      <c r="B34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VGW-103_SDI17_ANCsend_0003</v>
      </c>
      <c r="C341" s="60"/>
      <c r="D341" s="61"/>
      <c r="E341" s="62"/>
      <c r="F341" s="59" t="str">
        <f>IFERROR(VLOOKUP(Tabelle32[[#This Row],[Device ID]],BOM!$B$3:$BQ$35,16,FALSE),"")</f>
        <v>EditPC-07 OUT</v>
      </c>
      <c r="G341" s="63">
        <f>VLOOKUP(Tabelle32[[#This Row],[SDI Interface]],BOM!$A$4:$B$35,2,FALSE)</f>
        <v>394</v>
      </c>
      <c r="H341" s="59" t="str">
        <f>BOM!$C$4</f>
        <v>VGW-103</v>
      </c>
      <c r="I341" s="59" t="str">
        <f>IFERROR(VLOOKUP(Tabelle32[[#This Row],[Device ID]],BOM!$B$3:$BQ$35,12,FALSE),"")</f>
        <v>Edit Suite</v>
      </c>
      <c r="J341" s="59" t="str">
        <f>IFERROR(VLOOKUP(Tabelle32[[#This Row],[Device ID]],BOM!$B$3:$BQ$35,13,FALSE),"")</f>
        <v>TC.U1.223 | MDC</v>
      </c>
      <c r="K341" s="59" t="str">
        <f>IFERROR(VLOOKUP(Tabelle32[[#This Row],[Device ID]],BOM!$B$3:$BQ$35,14,FALSE),"")</f>
        <v>Imagine Comunications</v>
      </c>
      <c r="L341" s="59" t="str">
        <f>IFERROR(VLOOKUP(Tabelle32[[#This Row],[Device ID]],BOM!$B$3:$BQ$35,16,FALSE),"")</f>
        <v>EditPC-07 OUT</v>
      </c>
      <c r="M341" s="63" t="str">
        <f>IFERROR(VLOOKUP(Tabelle32[[#This Row],[Device ID]],BOM!$B$3:$BQ$35,17,FALSE),"")</f>
        <v>EDIT SUITE 07</v>
      </c>
      <c r="N341" s="59" t="str">
        <f>IFERROR(VLOOKUP(Tabelle32[[#This Row],[Device ID]],BOM!$B$3:$BQ$35,18,FALSE),"")</f>
        <v>TC.03.087 | Edit 07</v>
      </c>
      <c r="O341" s="64"/>
      <c r="P341" s="64">
        <f>IFERROR(VLOOKUP(Tabelle32[[#This Row],[Device ID]],BOM!$B$3:$BO$50,20,FALSE),"")</f>
        <v>0</v>
      </c>
      <c r="Q341" s="64">
        <f>IFERROR(VLOOKUP(Tabelle32[[#This Row],[Device ID]],BOM!$B$3:$BO$50,21,FALSE),"")</f>
        <v>1</v>
      </c>
      <c r="R341" s="64">
        <f>IFERROR(VLOOKUP(Tabelle32[[#This Row],[Device ID]],BOM!$B$3:$BO$50,22,FALSE),"")</f>
        <v>0</v>
      </c>
      <c r="S341" s="64"/>
      <c r="T341" s="64"/>
      <c r="U341" s="59" t="str">
        <f>IFERROR(VLOOKUP(Tabelle32[[#This Row],[Device ID]],BOM!$B$3:$BQ$35,25,FALSE),"")</f>
        <v>Luis/Ivo</v>
      </c>
      <c r="V341" s="59" t="str">
        <f>IFERROR(VLOOKUP(Tabelle32[[#This Row],[Device ID]],BOM!$B$3:$BQ$35,26,FALSE),"")</f>
        <v>tpco-megw-vgw103.rta.st-net.media.int</v>
      </c>
      <c r="W341" s="59" t="str">
        <f>IFERROR(VLOOKUP(Tabelle32[[#This Row],[Device ID]],BOM!$B$3:$BQ$35,27,FALSE),"")</f>
        <v>10.120.236.50</v>
      </c>
      <c r="X341" s="59" t="str">
        <f>IFERROR(VLOOKUP(Tabelle32[[#This Row],[Device ID]],BOM!$B$3:$BQ$35,28,FALSE),"")</f>
        <v>AVCoreA</v>
      </c>
      <c r="Y341" s="59" t="str">
        <f>IFERROR(VLOOKUP(Tabelle32[[#This Row],[Device ID]],BOM!$B$3:$BQ$35,29,FALSE),"")</f>
        <v>5_36_1</v>
      </c>
      <c r="Z341" s="59" t="str">
        <f>IFERROR(VLOOKUP(Tabelle32[[#This Row],[Device ID]],BOM!$B$3:$BQ$35,30,FALSE),"")</f>
        <v>tpco-megw-vgw103.rtb.st-net.media.int</v>
      </c>
      <c r="AA341" s="59" t="str">
        <f>IFERROR(VLOOKUP(Tabelle32[[#This Row],[Device ID]],BOM!$B$3:$BQ$35,31,FALSE),"")</f>
        <v>10.120.236.54</v>
      </c>
      <c r="AB341" s="59" t="str">
        <f>IFERROR(VLOOKUP(Tabelle32[[#This Row],[Device ID]],BOM!$B$3:$BQ$35,32,FALSE),"")</f>
        <v>AVCoreB</v>
      </c>
      <c r="AC341" s="59" t="str">
        <f>IFERROR(VLOOKUP(Tabelle32[[#This Row],[Device ID]],BOM!$B$3:$BQ$35,33,FALSE),"")</f>
        <v>5_36_1</v>
      </c>
      <c r="AD341" s="59" t="str">
        <f>IFERROR(VLOOKUP(Tabelle32[[#This Row],[Device ID]],BOM!$B$3:$BQ$35,34,FALSE),"")</f>
        <v>tpco-megw-vgw103.st-net.media.int</v>
      </c>
      <c r="AE341" s="59" t="str">
        <f>IFERROR(VLOOKUP(Tabelle32[[#This Row],[Device ID]],BOM!$B$3:$BQ$35,35,FALSE),"")</f>
        <v>10.120.67.141</v>
      </c>
      <c r="AF341" s="59">
        <f>IFERROR(VLOOKUP(Tabelle32[[#This Row],[Device ID]],BOM!$B$3:$BQ$35,36,FALSE),"")</f>
        <v>0</v>
      </c>
      <c r="AG341" s="59">
        <f>IFERROR(VLOOKUP(Tabelle32[[#This Row],[Device ID]],BOM!$B$3:$BQ$35,37,FALSE),"")</f>
        <v>0</v>
      </c>
      <c r="AH341" s="59"/>
      <c r="AI341" s="59"/>
      <c r="AJ341" s="59"/>
      <c r="AK341" s="59"/>
      <c r="AL341" s="59" t="str">
        <f>IFERROR(VLOOKUP(Tabelle32[[#This Row],[Device ID]],BOM!$B$3:$BQ$35,42,FALSE),"")</f>
        <v>Imagine Communications SNP</v>
      </c>
      <c r="AM341" s="59" t="str">
        <f>IFERROR(VLOOKUP(Tabelle32[[#This Row],[Device ID]],BOM!$B$3:$BQ$35,43,FALSE),"")</f>
        <v>no</v>
      </c>
      <c r="AN341" s="59" t="str">
        <f>IFERROR(VLOOKUP(Tabelle32[[#This Row],[Device ID]],BOM!$B$3:$BQ$35,44,FALSE),"")</f>
        <v>yes</v>
      </c>
      <c r="AO341" s="59" t="str">
        <f>IFERROR(VLOOKUP(Tabelle32[[#This Row],[Device ID]],BOM!$B$3:$BQ$35,45,FALSE),"")</f>
        <v>no</v>
      </c>
      <c r="AP341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41" s="59"/>
      <c r="AR341" s="90"/>
      <c r="AS341" s="90"/>
      <c r="AT341" s="90"/>
      <c r="AU341" s="90"/>
      <c r="AV341" s="90"/>
      <c r="AW341" s="90"/>
      <c r="AX341" s="90"/>
      <c r="AY341" s="90"/>
      <c r="AZ341" s="90"/>
      <c r="BA341" s="90"/>
      <c r="BB341" s="90"/>
      <c r="BC341" s="90"/>
      <c r="BD341" s="90"/>
      <c r="BE341" s="90"/>
      <c r="BF341" s="90"/>
      <c r="BG341" s="90"/>
      <c r="BH341" s="73" t="s">
        <v>199</v>
      </c>
      <c r="BI341" s="30" t="str">
        <f>IF(COUNTA(Tabelle32[[#This Row],[Type:Vid_1080i50]:[Type:Anc_Prot]])&gt;0,"x","")</f>
        <v/>
      </c>
      <c r="BJ34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41" s="59"/>
      <c r="BL341" s="59"/>
      <c r="BM341" s="63"/>
      <c r="BN341" s="63"/>
      <c r="BO341" s="96"/>
      <c r="BP341" s="96"/>
      <c r="BQ341" s="75">
        <f>LEN(Tabelle32[[#This Row],[Label 1
GFX-Unit]])</f>
        <v>0</v>
      </c>
      <c r="BR341" s="63"/>
      <c r="BS341" s="63"/>
      <c r="BT341" s="59"/>
      <c r="BU341" s="59"/>
      <c r="BV341" s="59" t="s">
        <v>208</v>
      </c>
      <c r="BW341" s="59" t="s">
        <v>209</v>
      </c>
      <c r="BX341" s="59" t="s">
        <v>736</v>
      </c>
      <c r="BY341" s="59">
        <v>17</v>
      </c>
    </row>
    <row r="342" spans="1:77" hidden="1" x14ac:dyDescent="0.2">
      <c r="A342" s="58" t="str">
        <f>CONCATENATE(Tabelle32[[#This Row],[Device ID]],".",Tabelle32[[#This Row],[Streamcounter]])</f>
        <v>394.17304</v>
      </c>
      <c r="B34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VGW-103_SDI17_ANCsend_0004</v>
      </c>
      <c r="C342" s="60"/>
      <c r="D342" s="61"/>
      <c r="E342" s="62"/>
      <c r="F342" s="59" t="str">
        <f>IFERROR(VLOOKUP(Tabelle32[[#This Row],[Device ID]],BOM!$B$3:$BQ$35,16,FALSE),"")</f>
        <v>EditPC-07 OUT</v>
      </c>
      <c r="G342" s="63">
        <f>VLOOKUP(Tabelle32[[#This Row],[SDI Interface]],BOM!$A$4:$B$35,2,FALSE)</f>
        <v>394</v>
      </c>
      <c r="H342" s="59" t="str">
        <f>BOM!$C$4</f>
        <v>VGW-103</v>
      </c>
      <c r="I342" s="59" t="str">
        <f>IFERROR(VLOOKUP(Tabelle32[[#This Row],[Device ID]],BOM!$B$3:$BQ$35,12,FALSE),"")</f>
        <v>Edit Suite</v>
      </c>
      <c r="J342" s="59" t="str">
        <f>IFERROR(VLOOKUP(Tabelle32[[#This Row],[Device ID]],BOM!$B$3:$BQ$35,13,FALSE),"")</f>
        <v>TC.U1.223 | MDC</v>
      </c>
      <c r="K342" s="59" t="str">
        <f>IFERROR(VLOOKUP(Tabelle32[[#This Row],[Device ID]],BOM!$B$3:$BQ$35,14,FALSE),"")</f>
        <v>Imagine Comunications</v>
      </c>
      <c r="L342" s="59" t="str">
        <f>IFERROR(VLOOKUP(Tabelle32[[#This Row],[Device ID]],BOM!$B$3:$BQ$35,16,FALSE),"")</f>
        <v>EditPC-07 OUT</v>
      </c>
      <c r="M342" s="63" t="str">
        <f>IFERROR(VLOOKUP(Tabelle32[[#This Row],[Device ID]],BOM!$B$3:$BQ$35,17,FALSE),"")</f>
        <v>EDIT SUITE 07</v>
      </c>
      <c r="N342" s="59" t="str">
        <f>IFERROR(VLOOKUP(Tabelle32[[#This Row],[Device ID]],BOM!$B$3:$BQ$35,18,FALSE),"")</f>
        <v>TC.03.087 | Edit 07</v>
      </c>
      <c r="O342" s="64"/>
      <c r="P342" s="64">
        <f>IFERROR(VLOOKUP(Tabelle32[[#This Row],[Device ID]],BOM!$B$3:$BO$50,20,FALSE),"")</f>
        <v>0</v>
      </c>
      <c r="Q342" s="64">
        <f>IFERROR(VLOOKUP(Tabelle32[[#This Row],[Device ID]],BOM!$B$3:$BO$50,21,FALSE),"")</f>
        <v>1</v>
      </c>
      <c r="R342" s="64">
        <f>IFERROR(VLOOKUP(Tabelle32[[#This Row],[Device ID]],BOM!$B$3:$BO$50,22,FALSE),"")</f>
        <v>0</v>
      </c>
      <c r="S342" s="64"/>
      <c r="T342" s="64"/>
      <c r="U342" s="59" t="str">
        <f>IFERROR(VLOOKUP(Tabelle32[[#This Row],[Device ID]],BOM!$B$3:$BQ$35,25,FALSE),"")</f>
        <v>Luis/Ivo</v>
      </c>
      <c r="V342" s="59" t="str">
        <f>IFERROR(VLOOKUP(Tabelle32[[#This Row],[Device ID]],BOM!$B$3:$BQ$35,26,FALSE),"")</f>
        <v>tpco-megw-vgw103.rta.st-net.media.int</v>
      </c>
      <c r="W342" s="59" t="str">
        <f>IFERROR(VLOOKUP(Tabelle32[[#This Row],[Device ID]],BOM!$B$3:$BQ$35,27,FALSE),"")</f>
        <v>10.120.236.50</v>
      </c>
      <c r="X342" s="59" t="str">
        <f>IFERROR(VLOOKUP(Tabelle32[[#This Row],[Device ID]],BOM!$B$3:$BQ$35,28,FALSE),"")</f>
        <v>AVCoreA</v>
      </c>
      <c r="Y342" s="59" t="str">
        <f>IFERROR(VLOOKUP(Tabelle32[[#This Row],[Device ID]],BOM!$B$3:$BQ$35,29,FALSE),"")</f>
        <v>5_36_1</v>
      </c>
      <c r="Z342" s="59" t="str">
        <f>IFERROR(VLOOKUP(Tabelle32[[#This Row],[Device ID]],BOM!$B$3:$BQ$35,30,FALSE),"")</f>
        <v>tpco-megw-vgw103.rtb.st-net.media.int</v>
      </c>
      <c r="AA342" s="59" t="str">
        <f>IFERROR(VLOOKUP(Tabelle32[[#This Row],[Device ID]],BOM!$B$3:$BQ$35,31,FALSE),"")</f>
        <v>10.120.236.54</v>
      </c>
      <c r="AB342" s="59" t="str">
        <f>IFERROR(VLOOKUP(Tabelle32[[#This Row],[Device ID]],BOM!$B$3:$BQ$35,32,FALSE),"")</f>
        <v>AVCoreB</v>
      </c>
      <c r="AC342" s="59" t="str">
        <f>IFERROR(VLOOKUP(Tabelle32[[#This Row],[Device ID]],BOM!$B$3:$BQ$35,33,FALSE),"")</f>
        <v>5_36_1</v>
      </c>
      <c r="AD342" s="59" t="str">
        <f>IFERROR(VLOOKUP(Tabelle32[[#This Row],[Device ID]],BOM!$B$3:$BQ$35,34,FALSE),"")</f>
        <v>tpco-megw-vgw103.st-net.media.int</v>
      </c>
      <c r="AE342" s="59" t="str">
        <f>IFERROR(VLOOKUP(Tabelle32[[#This Row],[Device ID]],BOM!$B$3:$BQ$35,35,FALSE),"")</f>
        <v>10.120.67.141</v>
      </c>
      <c r="AF342" s="59">
        <f>IFERROR(VLOOKUP(Tabelle32[[#This Row],[Device ID]],BOM!$B$3:$BQ$35,36,FALSE),"")</f>
        <v>0</v>
      </c>
      <c r="AG342" s="59">
        <f>IFERROR(VLOOKUP(Tabelle32[[#This Row],[Device ID]],BOM!$B$3:$BQ$35,37,FALSE),"")</f>
        <v>0</v>
      </c>
      <c r="AH342" s="59"/>
      <c r="AI342" s="59"/>
      <c r="AJ342" s="59"/>
      <c r="AK342" s="59"/>
      <c r="AL342" s="59" t="str">
        <f>IFERROR(VLOOKUP(Tabelle32[[#This Row],[Device ID]],BOM!$B$3:$BQ$35,42,FALSE),"")</f>
        <v>Imagine Communications SNP</v>
      </c>
      <c r="AM342" s="59" t="str">
        <f>IFERROR(VLOOKUP(Tabelle32[[#This Row],[Device ID]],BOM!$B$3:$BQ$35,43,FALSE),"")</f>
        <v>no</v>
      </c>
      <c r="AN342" s="59" t="str">
        <f>IFERROR(VLOOKUP(Tabelle32[[#This Row],[Device ID]],BOM!$B$3:$BQ$35,44,FALSE),"")</f>
        <v>yes</v>
      </c>
      <c r="AO342" s="59" t="str">
        <f>IFERROR(VLOOKUP(Tabelle32[[#This Row],[Device ID]],BOM!$B$3:$BQ$35,45,FALSE),"")</f>
        <v>no</v>
      </c>
      <c r="AP342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42" s="59"/>
      <c r="AR342" s="90"/>
      <c r="AS342" s="90"/>
      <c r="AT342" s="90"/>
      <c r="AU342" s="90"/>
      <c r="AV342" s="90"/>
      <c r="AW342" s="90"/>
      <c r="AX342" s="90"/>
      <c r="AY342" s="90"/>
      <c r="AZ342" s="90"/>
      <c r="BA342" s="90"/>
      <c r="BB342" s="90"/>
      <c r="BC342" s="90"/>
      <c r="BD342" s="90"/>
      <c r="BE342" s="90"/>
      <c r="BF342" s="90"/>
      <c r="BG342" s="90"/>
      <c r="BH342" s="73" t="s">
        <v>199</v>
      </c>
      <c r="BI342" s="30" t="str">
        <f>IF(COUNTA(Tabelle32[[#This Row],[Type:Vid_1080i50]:[Type:Anc_Prot]])&gt;0,"x","")</f>
        <v/>
      </c>
      <c r="BJ34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42" s="59"/>
      <c r="BL342" s="59"/>
      <c r="BM342" s="63"/>
      <c r="BN342" s="63"/>
      <c r="BO342" s="96"/>
      <c r="BP342" s="96"/>
      <c r="BQ342" s="75">
        <f>LEN(Tabelle32[[#This Row],[Label 1
GFX-Unit]])</f>
        <v>0</v>
      </c>
      <c r="BR342" s="63"/>
      <c r="BS342" s="63"/>
      <c r="BT342" s="59"/>
      <c r="BU342" s="59"/>
      <c r="BV342" s="59" t="s">
        <v>211</v>
      </c>
      <c r="BW342" s="59" t="s">
        <v>212</v>
      </c>
      <c r="BX342" s="59" t="s">
        <v>737</v>
      </c>
      <c r="BY342" s="59">
        <v>17</v>
      </c>
    </row>
    <row r="343" spans="1:77" x14ac:dyDescent="0.2">
      <c r="A343" s="58" t="str">
        <f>CONCATENATE(Tabelle32[[#This Row],[Device ID]],".",Tabelle32[[#This Row],[Streamcounter]])</f>
        <v>394.17201</v>
      </c>
      <c r="B34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VGW-103_SDI17_AUDsend_0001</v>
      </c>
      <c r="C343" s="60"/>
      <c r="D343" s="61"/>
      <c r="E343" s="62"/>
      <c r="F343" s="59" t="str">
        <f>IFERROR(VLOOKUP(Tabelle32[[#This Row],[Device ID]],BOM!$B$3:$BQ$35,16,FALSE),"")</f>
        <v>EditPC-07 OUT</v>
      </c>
      <c r="G343" s="63">
        <f>VLOOKUP(Tabelle32[[#This Row],[SDI Interface]],BOM!$A$4:$B$35,2,FALSE)</f>
        <v>394</v>
      </c>
      <c r="H343" s="59" t="str">
        <f>BOM!$C$4</f>
        <v>VGW-103</v>
      </c>
      <c r="I343" s="59" t="str">
        <f>IFERROR(VLOOKUP(Tabelle32[[#This Row],[Device ID]],BOM!$B$3:$BQ$35,12,FALSE),"")</f>
        <v>Edit Suite</v>
      </c>
      <c r="J343" s="59" t="str">
        <f>IFERROR(VLOOKUP(Tabelle32[[#This Row],[Device ID]],BOM!$B$3:$BQ$35,13,FALSE),"")</f>
        <v>TC.U1.223 | MDC</v>
      </c>
      <c r="K343" s="59" t="str">
        <f>IFERROR(VLOOKUP(Tabelle32[[#This Row],[Device ID]],BOM!$B$3:$BQ$35,14,FALSE),"")</f>
        <v>Imagine Comunications</v>
      </c>
      <c r="L343" s="59" t="str">
        <f>IFERROR(VLOOKUP(Tabelle32[[#This Row],[Device ID]],BOM!$B$3:$BQ$35,16,FALSE),"")</f>
        <v>EditPC-07 OUT</v>
      </c>
      <c r="M343" s="63" t="str">
        <f>IFERROR(VLOOKUP(Tabelle32[[#This Row],[Device ID]],BOM!$B$3:$BQ$35,17,FALSE),"")</f>
        <v>EDIT SUITE 07</v>
      </c>
      <c r="N343" s="59" t="str">
        <f>IFERROR(VLOOKUP(Tabelle32[[#This Row],[Device ID]],BOM!$B$3:$BQ$35,18,FALSE),"")</f>
        <v>TC.03.087 | Edit 07</v>
      </c>
      <c r="O343" s="64"/>
      <c r="P343" s="64">
        <f>IFERROR(VLOOKUP(Tabelle32[[#This Row],[Device ID]],BOM!$B$3:$BO$50,20,FALSE),"")</f>
        <v>0</v>
      </c>
      <c r="Q343" s="64">
        <f>IFERROR(VLOOKUP(Tabelle32[[#This Row],[Device ID]],BOM!$B$3:$BO$50,21,FALSE),"")</f>
        <v>1</v>
      </c>
      <c r="R343" s="64">
        <f>IFERROR(VLOOKUP(Tabelle32[[#This Row],[Device ID]],BOM!$B$3:$BO$50,22,FALSE),"")</f>
        <v>0</v>
      </c>
      <c r="S343" s="64"/>
      <c r="T343" s="64"/>
      <c r="U343" s="59" t="str">
        <f>IFERROR(VLOOKUP(Tabelle32[[#This Row],[Device ID]],BOM!$B$3:$BQ$35,25,FALSE),"")</f>
        <v>Luis/Ivo</v>
      </c>
      <c r="V343" s="59" t="str">
        <f>IFERROR(VLOOKUP(Tabelle32[[#This Row],[Device ID]],BOM!$B$3:$BQ$35,26,FALSE),"")</f>
        <v>tpco-megw-vgw103.rta.st-net.media.int</v>
      </c>
      <c r="W343" s="59" t="str">
        <f>IFERROR(VLOOKUP(Tabelle32[[#This Row],[Device ID]],BOM!$B$3:$BQ$35,27,FALSE),"")</f>
        <v>10.120.236.50</v>
      </c>
      <c r="X343" s="59" t="str">
        <f>IFERROR(VLOOKUP(Tabelle32[[#This Row],[Device ID]],BOM!$B$3:$BQ$35,28,FALSE),"")</f>
        <v>AVCoreA</v>
      </c>
      <c r="Y343" s="59" t="str">
        <f>IFERROR(VLOOKUP(Tabelle32[[#This Row],[Device ID]],BOM!$B$3:$BQ$35,29,FALSE),"")</f>
        <v>5_36_1</v>
      </c>
      <c r="Z343" s="59" t="str">
        <f>IFERROR(VLOOKUP(Tabelle32[[#This Row],[Device ID]],BOM!$B$3:$BQ$35,30,FALSE),"")</f>
        <v>tpco-megw-vgw103.rtb.st-net.media.int</v>
      </c>
      <c r="AA343" s="59" t="str">
        <f>IFERROR(VLOOKUP(Tabelle32[[#This Row],[Device ID]],BOM!$B$3:$BQ$35,31,FALSE),"")</f>
        <v>10.120.236.54</v>
      </c>
      <c r="AB343" s="59" t="str">
        <f>IFERROR(VLOOKUP(Tabelle32[[#This Row],[Device ID]],BOM!$B$3:$BQ$35,32,FALSE),"")</f>
        <v>AVCoreB</v>
      </c>
      <c r="AC343" s="59" t="str">
        <f>IFERROR(VLOOKUP(Tabelle32[[#This Row],[Device ID]],BOM!$B$3:$BQ$35,33,FALSE),"")</f>
        <v>5_36_1</v>
      </c>
      <c r="AD343" s="59" t="str">
        <f>IFERROR(VLOOKUP(Tabelle32[[#This Row],[Device ID]],BOM!$B$3:$BQ$35,34,FALSE),"")</f>
        <v>tpco-megw-vgw103.st-net.media.int</v>
      </c>
      <c r="AE343" s="59" t="str">
        <f>IFERROR(VLOOKUP(Tabelle32[[#This Row],[Device ID]],BOM!$B$3:$BQ$35,35,FALSE),"")</f>
        <v>10.120.67.141</v>
      </c>
      <c r="AF343" s="59">
        <f>IFERROR(VLOOKUP(Tabelle32[[#This Row],[Device ID]],BOM!$B$3:$BQ$35,36,FALSE),"")</f>
        <v>0</v>
      </c>
      <c r="AG343" s="59">
        <f>IFERROR(VLOOKUP(Tabelle32[[#This Row],[Device ID]],BOM!$B$3:$BQ$35,37,FALSE),"")</f>
        <v>0</v>
      </c>
      <c r="AH343" s="59"/>
      <c r="AI343" s="59"/>
      <c r="AJ343" s="59"/>
      <c r="AK343" s="59"/>
      <c r="AL343" s="59" t="str">
        <f>IFERROR(VLOOKUP(Tabelle32[[#This Row],[Device ID]],BOM!$B$3:$BQ$35,42,FALSE),"")</f>
        <v>Imagine Communications SNP</v>
      </c>
      <c r="AM343" s="59" t="str">
        <f>IFERROR(VLOOKUP(Tabelle32[[#This Row],[Device ID]],BOM!$B$3:$BQ$35,43,FALSE),"")</f>
        <v>no</v>
      </c>
      <c r="AN343" s="59" t="str">
        <f>IFERROR(VLOOKUP(Tabelle32[[#This Row],[Device ID]],BOM!$B$3:$BQ$35,44,FALSE),"")</f>
        <v>yes</v>
      </c>
      <c r="AO343" s="59" t="str">
        <f>IFERROR(VLOOKUP(Tabelle32[[#This Row],[Device ID]],BOM!$B$3:$BQ$35,45,FALSE),"")</f>
        <v>no</v>
      </c>
      <c r="AP343" s="59" t="str">
        <f>IFERROR(CONCATENATE(Tabelle32[[#This Row],[Family
GFX-Unit]]," | ",Tabelle32[[#This Row],[Label 1
GFX-Unit]]," | ",Tabelle32[[#This Row],[Attached Device if Gateway]]),"")</f>
        <v>MEDEM Edits Out | Out Edit07-01 | EditPC-07 OUT</v>
      </c>
      <c r="AQ343" s="59"/>
      <c r="AR343" s="92"/>
      <c r="AS343" s="92"/>
      <c r="AT343" s="92"/>
      <c r="AU343" s="92"/>
      <c r="AV343" s="92"/>
      <c r="AW343" s="92"/>
      <c r="AX343" s="92" t="s">
        <v>199</v>
      </c>
      <c r="AY343" s="92" t="s">
        <v>199</v>
      </c>
      <c r="AZ343" s="92" t="s">
        <v>97</v>
      </c>
      <c r="BA343" s="92"/>
      <c r="BB343" s="92"/>
      <c r="BC343" s="92"/>
      <c r="BD343" s="92"/>
      <c r="BE343" s="92"/>
      <c r="BF343" s="92"/>
      <c r="BG343" s="92"/>
      <c r="BH343" s="73" t="s">
        <v>199</v>
      </c>
      <c r="BI343" s="30" t="str">
        <f>IF(COUNTA(Tabelle32[[#This Row],[Type:Vid_1080i50]:[Type:Anc_Prot]])&gt;0,"x","")</f>
        <v>x</v>
      </c>
      <c r="BJ34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43" s="59"/>
      <c r="BL343" s="59"/>
      <c r="BM343" s="63"/>
      <c r="BN343" s="63"/>
      <c r="BO343" s="97" t="s">
        <v>732</v>
      </c>
      <c r="BP343" s="97" t="s">
        <v>738</v>
      </c>
      <c r="BQ343" s="75">
        <f>LEN(Tabelle32[[#This Row],[Label 1
GFX-Unit]])</f>
        <v>13</v>
      </c>
      <c r="BR343" s="63"/>
      <c r="BS343" s="63"/>
      <c r="BT343" s="59"/>
      <c r="BU343" s="59"/>
      <c r="BV343" s="59" t="s">
        <v>214</v>
      </c>
      <c r="BW343" s="59" t="s">
        <v>215</v>
      </c>
      <c r="BX343" s="59" t="s">
        <v>739</v>
      </c>
      <c r="BY343" s="59">
        <v>17</v>
      </c>
    </row>
    <row r="344" spans="1:77" x14ac:dyDescent="0.2">
      <c r="A344" s="58" t="str">
        <f>CONCATENATE(Tabelle32[[#This Row],[Device ID]],".",Tabelle32[[#This Row],[Streamcounter]])</f>
        <v>394.17202</v>
      </c>
      <c r="B34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VGW-103_SDI17_AUDsend_0002</v>
      </c>
      <c r="C344" s="67"/>
      <c r="D344" s="61"/>
      <c r="E344" s="67"/>
      <c r="F344" s="59" t="str">
        <f>IFERROR(VLOOKUP(Tabelle32[[#This Row],[Device ID]],BOM!$B$3:$BQ$35,16,FALSE),"")</f>
        <v>EditPC-07 OUT</v>
      </c>
      <c r="G344" s="63">
        <f>VLOOKUP(Tabelle32[[#This Row],[SDI Interface]],BOM!$A$4:$B$35,2,FALSE)</f>
        <v>394</v>
      </c>
      <c r="H344" s="59" t="str">
        <f>BOM!$C$4</f>
        <v>VGW-103</v>
      </c>
      <c r="I344" s="59" t="str">
        <f>IFERROR(VLOOKUP(Tabelle32[[#This Row],[Device ID]],BOM!$B$3:$BQ$35,12,FALSE),"")</f>
        <v>Edit Suite</v>
      </c>
      <c r="J344" s="59" t="str">
        <f>IFERROR(VLOOKUP(Tabelle32[[#This Row],[Device ID]],BOM!$B$3:$BQ$35,13,FALSE),"")</f>
        <v>TC.U1.223 | MDC</v>
      </c>
      <c r="K344" s="59" t="str">
        <f>IFERROR(VLOOKUP(Tabelle32[[#This Row],[Device ID]],BOM!$B$3:$BQ$35,14,FALSE),"")</f>
        <v>Imagine Comunications</v>
      </c>
      <c r="L344" s="59" t="str">
        <f>IFERROR(VLOOKUP(Tabelle32[[#This Row],[Device ID]],BOM!$B$3:$BQ$35,16,FALSE),"")</f>
        <v>EditPC-07 OUT</v>
      </c>
      <c r="M344" s="63" t="str">
        <f>IFERROR(VLOOKUP(Tabelle32[[#This Row],[Device ID]],BOM!$B$3:$BQ$35,17,FALSE),"")</f>
        <v>EDIT SUITE 07</v>
      </c>
      <c r="N344" s="59" t="str">
        <f>IFERROR(VLOOKUP(Tabelle32[[#This Row],[Device ID]],BOM!$B$3:$BQ$35,18,FALSE),"")</f>
        <v>TC.03.087 | Edit 07</v>
      </c>
      <c r="O344" s="64"/>
      <c r="P344" s="64">
        <f>IFERROR(VLOOKUP(Tabelle32[[#This Row],[Device ID]],BOM!$B$3:$BO$50,20,FALSE),"")</f>
        <v>0</v>
      </c>
      <c r="Q344" s="64">
        <f>IFERROR(VLOOKUP(Tabelle32[[#This Row],[Device ID]],BOM!$B$3:$BO$50,21,FALSE),"")</f>
        <v>1</v>
      </c>
      <c r="R344" s="64">
        <f>IFERROR(VLOOKUP(Tabelle32[[#This Row],[Device ID]],BOM!$B$3:$BO$50,22,FALSE),"")</f>
        <v>0</v>
      </c>
      <c r="S344" s="64"/>
      <c r="T344" s="64"/>
      <c r="U344" s="59" t="str">
        <f>IFERROR(VLOOKUP(Tabelle32[[#This Row],[Device ID]],BOM!$B$3:$BQ$35,25,FALSE),"")</f>
        <v>Luis/Ivo</v>
      </c>
      <c r="V344" s="59" t="str">
        <f>IFERROR(VLOOKUP(Tabelle32[[#This Row],[Device ID]],BOM!$B$3:$BQ$35,26,FALSE),"")</f>
        <v>tpco-megw-vgw103.rta.st-net.media.int</v>
      </c>
      <c r="W344" s="59" t="str">
        <f>IFERROR(VLOOKUP(Tabelle32[[#This Row],[Device ID]],BOM!$B$3:$BQ$35,27,FALSE),"")</f>
        <v>10.120.236.50</v>
      </c>
      <c r="X344" s="59" t="str">
        <f>IFERROR(VLOOKUP(Tabelle32[[#This Row],[Device ID]],BOM!$B$3:$BQ$35,28,FALSE),"")</f>
        <v>AVCoreA</v>
      </c>
      <c r="Y344" s="59" t="str">
        <f>IFERROR(VLOOKUP(Tabelle32[[#This Row],[Device ID]],BOM!$B$3:$BQ$35,29,FALSE),"")</f>
        <v>5_36_1</v>
      </c>
      <c r="Z344" s="59" t="str">
        <f>IFERROR(VLOOKUP(Tabelle32[[#This Row],[Device ID]],BOM!$B$3:$BQ$35,30,FALSE),"")</f>
        <v>tpco-megw-vgw103.rtb.st-net.media.int</v>
      </c>
      <c r="AA344" s="59" t="str">
        <f>IFERROR(VLOOKUP(Tabelle32[[#This Row],[Device ID]],BOM!$B$3:$BQ$35,31,FALSE),"")</f>
        <v>10.120.236.54</v>
      </c>
      <c r="AB344" s="59" t="str">
        <f>IFERROR(VLOOKUP(Tabelle32[[#This Row],[Device ID]],BOM!$B$3:$BQ$35,32,FALSE),"")</f>
        <v>AVCoreB</v>
      </c>
      <c r="AC344" s="59" t="str">
        <f>IFERROR(VLOOKUP(Tabelle32[[#This Row],[Device ID]],BOM!$B$3:$BQ$35,33,FALSE),"")</f>
        <v>5_36_1</v>
      </c>
      <c r="AD344" s="59" t="str">
        <f>IFERROR(VLOOKUP(Tabelle32[[#This Row],[Device ID]],BOM!$B$3:$BQ$35,34,FALSE),"")</f>
        <v>tpco-megw-vgw103.st-net.media.int</v>
      </c>
      <c r="AE344" s="59" t="str">
        <f>IFERROR(VLOOKUP(Tabelle32[[#This Row],[Device ID]],BOM!$B$3:$BQ$35,35,FALSE),"")</f>
        <v>10.120.67.141</v>
      </c>
      <c r="AF344" s="59">
        <f>IFERROR(VLOOKUP(Tabelle32[[#This Row],[Device ID]],BOM!$B$3:$BQ$35,36,FALSE),"")</f>
        <v>0</v>
      </c>
      <c r="AG344" s="59">
        <f>IFERROR(VLOOKUP(Tabelle32[[#This Row],[Device ID]],BOM!$B$3:$BQ$35,37,FALSE),"")</f>
        <v>0</v>
      </c>
      <c r="AH344" s="59"/>
      <c r="AI344" s="59"/>
      <c r="AJ344" s="59"/>
      <c r="AK344" s="59"/>
      <c r="AL344" s="59" t="str">
        <f>IFERROR(VLOOKUP(Tabelle32[[#This Row],[Device ID]],BOM!$B$3:$BQ$35,42,FALSE),"")</f>
        <v>Imagine Communications SNP</v>
      </c>
      <c r="AM344" s="59" t="str">
        <f>IFERROR(VLOOKUP(Tabelle32[[#This Row],[Device ID]],BOM!$B$3:$BQ$35,43,FALSE),"")</f>
        <v>no</v>
      </c>
      <c r="AN344" s="59" t="str">
        <f>IFERROR(VLOOKUP(Tabelle32[[#This Row],[Device ID]],BOM!$B$3:$BQ$35,44,FALSE),"")</f>
        <v>yes</v>
      </c>
      <c r="AO344" s="59" t="str">
        <f>IFERROR(VLOOKUP(Tabelle32[[#This Row],[Device ID]],BOM!$B$3:$BQ$35,45,FALSE),"")</f>
        <v>no</v>
      </c>
      <c r="AP344" s="59" t="str">
        <f>IFERROR(CONCATENATE(Tabelle32[[#This Row],[Family
GFX-Unit]]," | ",Tabelle32[[#This Row],[Label 1
GFX-Unit]]," | ",Tabelle32[[#This Row],[Attached Device if Gateway]]),"")</f>
        <v>MEDEM Edits Out | Out Edit07-02 | EditPC-07 OUT</v>
      </c>
      <c r="AQ344" s="59"/>
      <c r="AR344" s="92"/>
      <c r="AS344" s="92"/>
      <c r="AT344" s="92"/>
      <c r="AU344" s="92"/>
      <c r="AV344" s="92"/>
      <c r="AW344" s="92" t="s">
        <v>97</v>
      </c>
      <c r="AX344" s="92" t="s">
        <v>199</v>
      </c>
      <c r="AY344" s="92" t="s">
        <v>199</v>
      </c>
      <c r="AZ344" s="92"/>
      <c r="BA344" s="92"/>
      <c r="BB344" s="92"/>
      <c r="BC344" s="92"/>
      <c r="BD344" s="92"/>
      <c r="BE344" s="92"/>
      <c r="BF344" s="92"/>
      <c r="BG344" s="92"/>
      <c r="BH344" s="73" t="s">
        <v>199</v>
      </c>
      <c r="BI344" s="30" t="str">
        <f>IF(COUNTA(Tabelle32[[#This Row],[Type:Vid_1080i50]:[Type:Anc_Prot]])&gt;0,"x","")</f>
        <v>x</v>
      </c>
      <c r="BJ34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44" s="59"/>
      <c r="BL344" s="59"/>
      <c r="BM344" s="63"/>
      <c r="BN344" s="63"/>
      <c r="BO344" s="97" t="s">
        <v>732</v>
      </c>
      <c r="BP344" s="97" t="s">
        <v>740</v>
      </c>
      <c r="BQ344" s="75">
        <f>LEN(Tabelle32[[#This Row],[Label 1
GFX-Unit]])</f>
        <v>13</v>
      </c>
      <c r="BR344" s="63"/>
      <c r="BS344" s="63"/>
      <c r="BT344" s="59"/>
      <c r="BU344" s="59"/>
      <c r="BV344" s="59" t="s">
        <v>218</v>
      </c>
      <c r="BW344" s="59" t="s">
        <v>219</v>
      </c>
      <c r="BX344" s="59" t="s">
        <v>741</v>
      </c>
      <c r="BY344" s="59">
        <v>17</v>
      </c>
    </row>
    <row r="345" spans="1:77" x14ac:dyDescent="0.2">
      <c r="A345" s="58" t="str">
        <f>CONCATENATE(Tabelle32[[#This Row],[Device ID]],".",Tabelle32[[#This Row],[Streamcounter]])</f>
        <v>394.17203</v>
      </c>
      <c r="B34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VGW-103_SDI17_AUDsend_0003</v>
      </c>
      <c r="C345" s="67"/>
      <c r="D345" s="61"/>
      <c r="E345" s="67"/>
      <c r="F345" s="59" t="str">
        <f>IFERROR(VLOOKUP(Tabelle32[[#This Row],[Device ID]],BOM!$B$3:$BQ$35,16,FALSE),"")</f>
        <v>EditPC-07 OUT</v>
      </c>
      <c r="G345" s="63">
        <f>VLOOKUP(Tabelle32[[#This Row],[SDI Interface]],BOM!$A$4:$B$35,2,FALSE)</f>
        <v>394</v>
      </c>
      <c r="H345" s="59" t="str">
        <f>BOM!$C$4</f>
        <v>VGW-103</v>
      </c>
      <c r="I345" s="59" t="str">
        <f>IFERROR(VLOOKUP(Tabelle32[[#This Row],[Device ID]],BOM!$B$3:$BQ$35,12,FALSE),"")</f>
        <v>Edit Suite</v>
      </c>
      <c r="J345" s="59" t="str">
        <f>IFERROR(VLOOKUP(Tabelle32[[#This Row],[Device ID]],BOM!$B$3:$BQ$35,13,FALSE),"")</f>
        <v>TC.U1.223 | MDC</v>
      </c>
      <c r="K345" s="59" t="str">
        <f>IFERROR(VLOOKUP(Tabelle32[[#This Row],[Device ID]],BOM!$B$3:$BQ$35,14,FALSE),"")</f>
        <v>Imagine Comunications</v>
      </c>
      <c r="L345" s="59" t="str">
        <f>IFERROR(VLOOKUP(Tabelle32[[#This Row],[Device ID]],BOM!$B$3:$BQ$35,16,FALSE),"")</f>
        <v>EditPC-07 OUT</v>
      </c>
      <c r="M345" s="63" t="str">
        <f>IFERROR(VLOOKUP(Tabelle32[[#This Row],[Device ID]],BOM!$B$3:$BQ$35,17,FALSE),"")</f>
        <v>EDIT SUITE 07</v>
      </c>
      <c r="N345" s="59" t="str">
        <f>IFERROR(VLOOKUP(Tabelle32[[#This Row],[Device ID]],BOM!$B$3:$BQ$35,18,FALSE),"")</f>
        <v>TC.03.087 | Edit 07</v>
      </c>
      <c r="O345" s="64"/>
      <c r="P345" s="64">
        <f>IFERROR(VLOOKUP(Tabelle32[[#This Row],[Device ID]],BOM!$B$3:$BO$50,20,FALSE),"")</f>
        <v>0</v>
      </c>
      <c r="Q345" s="64">
        <f>IFERROR(VLOOKUP(Tabelle32[[#This Row],[Device ID]],BOM!$B$3:$BO$50,21,FALSE),"")</f>
        <v>1</v>
      </c>
      <c r="R345" s="64">
        <f>IFERROR(VLOOKUP(Tabelle32[[#This Row],[Device ID]],BOM!$B$3:$BO$50,22,FALSE),"")</f>
        <v>0</v>
      </c>
      <c r="S345" s="64"/>
      <c r="T345" s="64"/>
      <c r="U345" s="59" t="str">
        <f>IFERROR(VLOOKUP(Tabelle32[[#This Row],[Device ID]],BOM!$B$3:$BQ$35,25,FALSE),"")</f>
        <v>Luis/Ivo</v>
      </c>
      <c r="V345" s="59" t="str">
        <f>IFERROR(VLOOKUP(Tabelle32[[#This Row],[Device ID]],BOM!$B$3:$BQ$35,26,FALSE),"")</f>
        <v>tpco-megw-vgw103.rta.st-net.media.int</v>
      </c>
      <c r="W345" s="59" t="str">
        <f>IFERROR(VLOOKUP(Tabelle32[[#This Row],[Device ID]],BOM!$B$3:$BQ$35,27,FALSE),"")</f>
        <v>10.120.236.50</v>
      </c>
      <c r="X345" s="59" t="str">
        <f>IFERROR(VLOOKUP(Tabelle32[[#This Row],[Device ID]],BOM!$B$3:$BQ$35,28,FALSE),"")</f>
        <v>AVCoreA</v>
      </c>
      <c r="Y345" s="59" t="str">
        <f>IFERROR(VLOOKUP(Tabelle32[[#This Row],[Device ID]],BOM!$B$3:$BQ$35,29,FALSE),"")</f>
        <v>5_36_1</v>
      </c>
      <c r="Z345" s="59" t="str">
        <f>IFERROR(VLOOKUP(Tabelle32[[#This Row],[Device ID]],BOM!$B$3:$BQ$35,30,FALSE),"")</f>
        <v>tpco-megw-vgw103.rtb.st-net.media.int</v>
      </c>
      <c r="AA345" s="59" t="str">
        <f>IFERROR(VLOOKUP(Tabelle32[[#This Row],[Device ID]],BOM!$B$3:$BQ$35,31,FALSE),"")</f>
        <v>10.120.236.54</v>
      </c>
      <c r="AB345" s="59" t="str">
        <f>IFERROR(VLOOKUP(Tabelle32[[#This Row],[Device ID]],BOM!$B$3:$BQ$35,32,FALSE),"")</f>
        <v>AVCoreB</v>
      </c>
      <c r="AC345" s="59" t="str">
        <f>IFERROR(VLOOKUP(Tabelle32[[#This Row],[Device ID]],BOM!$B$3:$BQ$35,33,FALSE),"")</f>
        <v>5_36_1</v>
      </c>
      <c r="AD345" s="59" t="str">
        <f>IFERROR(VLOOKUP(Tabelle32[[#This Row],[Device ID]],BOM!$B$3:$BQ$35,34,FALSE),"")</f>
        <v>tpco-megw-vgw103.st-net.media.int</v>
      </c>
      <c r="AE345" s="59" t="str">
        <f>IFERROR(VLOOKUP(Tabelle32[[#This Row],[Device ID]],BOM!$B$3:$BQ$35,35,FALSE),"")</f>
        <v>10.120.67.141</v>
      </c>
      <c r="AF345" s="59">
        <f>IFERROR(VLOOKUP(Tabelle32[[#This Row],[Device ID]],BOM!$B$3:$BQ$35,36,FALSE),"")</f>
        <v>0</v>
      </c>
      <c r="AG345" s="59">
        <f>IFERROR(VLOOKUP(Tabelle32[[#This Row],[Device ID]],BOM!$B$3:$BQ$35,37,FALSE),"")</f>
        <v>0</v>
      </c>
      <c r="AH345" s="59"/>
      <c r="AI345" s="59"/>
      <c r="AJ345" s="59"/>
      <c r="AK345" s="59"/>
      <c r="AL345" s="59" t="str">
        <f>IFERROR(VLOOKUP(Tabelle32[[#This Row],[Device ID]],BOM!$B$3:$BQ$35,42,FALSE),"")</f>
        <v>Imagine Communications SNP</v>
      </c>
      <c r="AM345" s="59" t="str">
        <f>IFERROR(VLOOKUP(Tabelle32[[#This Row],[Device ID]],BOM!$B$3:$BQ$35,43,FALSE),"")</f>
        <v>no</v>
      </c>
      <c r="AN345" s="59" t="str">
        <f>IFERROR(VLOOKUP(Tabelle32[[#This Row],[Device ID]],BOM!$B$3:$BQ$35,44,FALSE),"")</f>
        <v>yes</v>
      </c>
      <c r="AO345" s="59" t="str">
        <f>IFERROR(VLOOKUP(Tabelle32[[#This Row],[Device ID]],BOM!$B$3:$BQ$35,45,FALSE),"")</f>
        <v>no</v>
      </c>
      <c r="AP345" s="59" t="str">
        <f>IFERROR(CONCATENATE(Tabelle32[[#This Row],[Family
GFX-Unit]]," | ",Tabelle32[[#This Row],[Label 1
GFX-Unit]]," | ",Tabelle32[[#This Row],[Attached Device if Gateway]]),"")</f>
        <v>MEDEM Edits Out | Out Edit07-03 | EditPC-07 OUT</v>
      </c>
      <c r="AQ345" s="59"/>
      <c r="AR345" s="92"/>
      <c r="AS345" s="92"/>
      <c r="AT345" s="92"/>
      <c r="AU345" s="92"/>
      <c r="AV345" s="92"/>
      <c r="AW345" s="92" t="s">
        <v>97</v>
      </c>
      <c r="AX345" s="92" t="s">
        <v>199</v>
      </c>
      <c r="AY345" s="92" t="s">
        <v>199</v>
      </c>
      <c r="AZ345" s="92"/>
      <c r="BA345" s="92"/>
      <c r="BB345" s="92"/>
      <c r="BC345" s="92"/>
      <c r="BD345" s="92"/>
      <c r="BE345" s="92"/>
      <c r="BF345" s="92"/>
      <c r="BG345" s="92"/>
      <c r="BH345" s="73" t="s">
        <v>199</v>
      </c>
      <c r="BI345" s="30" t="str">
        <f>IF(COUNTA(Tabelle32[[#This Row],[Type:Vid_1080i50]:[Type:Anc_Prot]])&gt;0,"x","")</f>
        <v>x</v>
      </c>
      <c r="BJ34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45" s="59"/>
      <c r="BL345" s="59"/>
      <c r="BM345" s="63"/>
      <c r="BN345" s="63"/>
      <c r="BO345" s="97" t="s">
        <v>732</v>
      </c>
      <c r="BP345" s="97" t="s">
        <v>742</v>
      </c>
      <c r="BQ345" s="75">
        <f>LEN(Tabelle32[[#This Row],[Label 1
GFX-Unit]])</f>
        <v>13</v>
      </c>
      <c r="BR345" s="63"/>
      <c r="BS345" s="63"/>
      <c r="BT345" s="59"/>
      <c r="BU345" s="59"/>
      <c r="BV345" s="59" t="s">
        <v>222</v>
      </c>
      <c r="BW345" s="59" t="s">
        <v>223</v>
      </c>
      <c r="BX345" s="59" t="s">
        <v>743</v>
      </c>
      <c r="BY345" s="59">
        <v>17</v>
      </c>
    </row>
    <row r="346" spans="1:77" x14ac:dyDescent="0.2">
      <c r="A346" s="58" t="str">
        <f>CONCATENATE(Tabelle32[[#This Row],[Device ID]],".",Tabelle32[[#This Row],[Streamcounter]])</f>
        <v>394.17204</v>
      </c>
      <c r="B34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VGW-103_SDI17_AUDsend_0004</v>
      </c>
      <c r="C346" s="60"/>
      <c r="D346" s="61"/>
      <c r="E346" s="62"/>
      <c r="F346" s="59" t="str">
        <f>IFERROR(VLOOKUP(Tabelle32[[#This Row],[Device ID]],BOM!$B$3:$BQ$35,16,FALSE),"")</f>
        <v>EditPC-07 OUT</v>
      </c>
      <c r="G346" s="63">
        <f>VLOOKUP(Tabelle32[[#This Row],[SDI Interface]],BOM!$A$4:$B$35,2,FALSE)</f>
        <v>394</v>
      </c>
      <c r="H346" s="59" t="str">
        <f>BOM!$C$4</f>
        <v>VGW-103</v>
      </c>
      <c r="I346" s="59" t="str">
        <f>IFERROR(VLOOKUP(Tabelle32[[#This Row],[Device ID]],BOM!$B$3:$BQ$35,12,FALSE),"")</f>
        <v>Edit Suite</v>
      </c>
      <c r="J346" s="59" t="str">
        <f>IFERROR(VLOOKUP(Tabelle32[[#This Row],[Device ID]],BOM!$B$3:$BQ$35,13,FALSE),"")</f>
        <v>TC.U1.223 | MDC</v>
      </c>
      <c r="K346" s="59" t="str">
        <f>IFERROR(VLOOKUP(Tabelle32[[#This Row],[Device ID]],BOM!$B$3:$BQ$35,14,FALSE),"")</f>
        <v>Imagine Comunications</v>
      </c>
      <c r="L346" s="59" t="str">
        <f>IFERROR(VLOOKUP(Tabelle32[[#This Row],[Device ID]],BOM!$B$3:$BQ$35,16,FALSE),"")</f>
        <v>EditPC-07 OUT</v>
      </c>
      <c r="M346" s="63" t="str">
        <f>IFERROR(VLOOKUP(Tabelle32[[#This Row],[Device ID]],BOM!$B$3:$BQ$35,17,FALSE),"")</f>
        <v>EDIT SUITE 07</v>
      </c>
      <c r="N346" s="59" t="str">
        <f>IFERROR(VLOOKUP(Tabelle32[[#This Row],[Device ID]],BOM!$B$3:$BQ$35,18,FALSE),"")</f>
        <v>TC.03.087 | Edit 07</v>
      </c>
      <c r="O346" s="64"/>
      <c r="P346" s="64">
        <f>IFERROR(VLOOKUP(Tabelle32[[#This Row],[Device ID]],BOM!$B$3:$BO$50,20,FALSE),"")</f>
        <v>0</v>
      </c>
      <c r="Q346" s="64">
        <f>IFERROR(VLOOKUP(Tabelle32[[#This Row],[Device ID]],BOM!$B$3:$BO$50,21,FALSE),"")</f>
        <v>1</v>
      </c>
      <c r="R346" s="64">
        <f>IFERROR(VLOOKUP(Tabelle32[[#This Row],[Device ID]],BOM!$B$3:$BO$50,22,FALSE),"")</f>
        <v>0</v>
      </c>
      <c r="S346" s="64"/>
      <c r="T346" s="64"/>
      <c r="U346" s="59" t="str">
        <f>IFERROR(VLOOKUP(Tabelle32[[#This Row],[Device ID]],BOM!$B$3:$BQ$35,25,FALSE),"")</f>
        <v>Luis/Ivo</v>
      </c>
      <c r="V346" s="59" t="str">
        <f>IFERROR(VLOOKUP(Tabelle32[[#This Row],[Device ID]],BOM!$B$3:$BQ$35,26,FALSE),"")</f>
        <v>tpco-megw-vgw103.rta.st-net.media.int</v>
      </c>
      <c r="W346" s="59" t="str">
        <f>IFERROR(VLOOKUP(Tabelle32[[#This Row],[Device ID]],BOM!$B$3:$BQ$35,27,FALSE),"")</f>
        <v>10.120.236.50</v>
      </c>
      <c r="X346" s="59" t="str">
        <f>IFERROR(VLOOKUP(Tabelle32[[#This Row],[Device ID]],BOM!$B$3:$BQ$35,28,FALSE),"")</f>
        <v>AVCoreA</v>
      </c>
      <c r="Y346" s="59" t="str">
        <f>IFERROR(VLOOKUP(Tabelle32[[#This Row],[Device ID]],BOM!$B$3:$BQ$35,29,FALSE),"")</f>
        <v>5_36_1</v>
      </c>
      <c r="Z346" s="59" t="str">
        <f>IFERROR(VLOOKUP(Tabelle32[[#This Row],[Device ID]],BOM!$B$3:$BQ$35,30,FALSE),"")</f>
        <v>tpco-megw-vgw103.rtb.st-net.media.int</v>
      </c>
      <c r="AA346" s="59" t="str">
        <f>IFERROR(VLOOKUP(Tabelle32[[#This Row],[Device ID]],BOM!$B$3:$BQ$35,31,FALSE),"")</f>
        <v>10.120.236.54</v>
      </c>
      <c r="AB346" s="59" t="str">
        <f>IFERROR(VLOOKUP(Tabelle32[[#This Row],[Device ID]],BOM!$B$3:$BQ$35,32,FALSE),"")</f>
        <v>AVCoreB</v>
      </c>
      <c r="AC346" s="59" t="str">
        <f>IFERROR(VLOOKUP(Tabelle32[[#This Row],[Device ID]],BOM!$B$3:$BQ$35,33,FALSE),"")</f>
        <v>5_36_1</v>
      </c>
      <c r="AD346" s="59" t="str">
        <f>IFERROR(VLOOKUP(Tabelle32[[#This Row],[Device ID]],BOM!$B$3:$BQ$35,34,FALSE),"")</f>
        <v>tpco-megw-vgw103.st-net.media.int</v>
      </c>
      <c r="AE346" s="59" t="str">
        <f>IFERROR(VLOOKUP(Tabelle32[[#This Row],[Device ID]],BOM!$B$3:$BQ$35,35,FALSE),"")</f>
        <v>10.120.67.141</v>
      </c>
      <c r="AF346" s="59">
        <f>IFERROR(VLOOKUP(Tabelle32[[#This Row],[Device ID]],BOM!$B$3:$BQ$35,36,FALSE),"")</f>
        <v>0</v>
      </c>
      <c r="AG346" s="59">
        <f>IFERROR(VLOOKUP(Tabelle32[[#This Row],[Device ID]],BOM!$B$3:$BQ$35,37,FALSE),"")</f>
        <v>0</v>
      </c>
      <c r="AH346" s="59"/>
      <c r="AI346" s="59"/>
      <c r="AJ346" s="59"/>
      <c r="AK346" s="59"/>
      <c r="AL346" s="59" t="str">
        <f>IFERROR(VLOOKUP(Tabelle32[[#This Row],[Device ID]],BOM!$B$3:$BQ$35,42,FALSE),"")</f>
        <v>Imagine Communications SNP</v>
      </c>
      <c r="AM346" s="59" t="str">
        <f>IFERROR(VLOOKUP(Tabelle32[[#This Row],[Device ID]],BOM!$B$3:$BQ$35,43,FALSE),"")</f>
        <v>no</v>
      </c>
      <c r="AN346" s="59" t="str">
        <f>IFERROR(VLOOKUP(Tabelle32[[#This Row],[Device ID]],BOM!$B$3:$BQ$35,44,FALSE),"")</f>
        <v>yes</v>
      </c>
      <c r="AO346" s="59" t="str">
        <f>IFERROR(VLOOKUP(Tabelle32[[#This Row],[Device ID]],BOM!$B$3:$BQ$35,45,FALSE),"")</f>
        <v>no</v>
      </c>
      <c r="AP346" s="59" t="str">
        <f>IFERROR(CONCATENATE(Tabelle32[[#This Row],[Family
GFX-Unit]]," | ",Tabelle32[[#This Row],[Label 1
GFX-Unit]]," | ",Tabelle32[[#This Row],[Attached Device if Gateway]]),"")</f>
        <v>MEDEM Edits Out | Out Edit07-04 | EditPC-07 OUT</v>
      </c>
      <c r="AQ346" s="59"/>
      <c r="AR346" s="92"/>
      <c r="AS346" s="92"/>
      <c r="AT346" s="92"/>
      <c r="AU346" s="92"/>
      <c r="AV346" s="92"/>
      <c r="AW346" s="92"/>
      <c r="AX346" s="92" t="s">
        <v>199</v>
      </c>
      <c r="AY346" s="92" t="s">
        <v>199</v>
      </c>
      <c r="AZ346" s="92" t="s">
        <v>97</v>
      </c>
      <c r="BA346" s="92"/>
      <c r="BB346" s="92"/>
      <c r="BC346" s="92"/>
      <c r="BD346" s="92"/>
      <c r="BE346" s="92"/>
      <c r="BF346" s="92"/>
      <c r="BG346" s="92"/>
      <c r="BH346" s="73" t="s">
        <v>199</v>
      </c>
      <c r="BI346" s="30" t="str">
        <f>IF(COUNTA(Tabelle32[[#This Row],[Type:Vid_1080i50]:[Type:Anc_Prot]])&gt;0,"x","")</f>
        <v>x</v>
      </c>
      <c r="BJ34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46" s="59"/>
      <c r="BL346" s="59"/>
      <c r="BM346" s="63"/>
      <c r="BN346" s="63"/>
      <c r="BO346" s="97" t="s">
        <v>732</v>
      </c>
      <c r="BP346" s="97" t="s">
        <v>744</v>
      </c>
      <c r="BQ346" s="75">
        <f>LEN(Tabelle32[[#This Row],[Label 1
GFX-Unit]])</f>
        <v>13</v>
      </c>
      <c r="BR346" s="63"/>
      <c r="BS346" s="63"/>
      <c r="BT346" s="59"/>
      <c r="BU346" s="59"/>
      <c r="BV346" s="59" t="s">
        <v>226</v>
      </c>
      <c r="BW346" s="59" t="s">
        <v>227</v>
      </c>
      <c r="BX346" s="59" t="s">
        <v>745</v>
      </c>
      <c r="BY346" s="59">
        <v>17</v>
      </c>
    </row>
    <row r="347" spans="1:77" x14ac:dyDescent="0.2">
      <c r="A347" s="58" t="str">
        <f>CONCATENATE(Tabelle32[[#This Row],[Device ID]],".",Tabelle32[[#This Row],[Streamcounter]])</f>
        <v>394.17205</v>
      </c>
      <c r="B34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VGW-103_SDI17_AUDsend_0005</v>
      </c>
      <c r="C347" s="60"/>
      <c r="D347" s="61"/>
      <c r="E347" s="62"/>
      <c r="F347" s="59" t="str">
        <f>IFERROR(VLOOKUP(Tabelle32[[#This Row],[Device ID]],BOM!$B$3:$BQ$35,16,FALSE),"")</f>
        <v>EditPC-07 OUT</v>
      </c>
      <c r="G347" s="63">
        <f>VLOOKUP(Tabelle32[[#This Row],[SDI Interface]],BOM!$A$4:$B$35,2,FALSE)</f>
        <v>394</v>
      </c>
      <c r="H347" s="59" t="str">
        <f>BOM!$C$4</f>
        <v>VGW-103</v>
      </c>
      <c r="I347" s="59" t="str">
        <f>IFERROR(VLOOKUP(Tabelle32[[#This Row],[Device ID]],BOM!$B$3:$BQ$35,12,FALSE),"")</f>
        <v>Edit Suite</v>
      </c>
      <c r="J347" s="59" t="str">
        <f>IFERROR(VLOOKUP(Tabelle32[[#This Row],[Device ID]],BOM!$B$3:$BQ$35,13,FALSE),"")</f>
        <v>TC.U1.223 | MDC</v>
      </c>
      <c r="K347" s="59" t="str">
        <f>IFERROR(VLOOKUP(Tabelle32[[#This Row],[Device ID]],BOM!$B$3:$BQ$35,14,FALSE),"")</f>
        <v>Imagine Comunications</v>
      </c>
      <c r="L347" s="59" t="str">
        <f>IFERROR(VLOOKUP(Tabelle32[[#This Row],[Device ID]],BOM!$B$3:$BQ$35,16,FALSE),"")</f>
        <v>EditPC-07 OUT</v>
      </c>
      <c r="M347" s="63" t="str">
        <f>IFERROR(VLOOKUP(Tabelle32[[#This Row],[Device ID]],BOM!$B$3:$BQ$35,17,FALSE),"")</f>
        <v>EDIT SUITE 07</v>
      </c>
      <c r="N347" s="59" t="str">
        <f>IFERROR(VLOOKUP(Tabelle32[[#This Row],[Device ID]],BOM!$B$3:$BQ$35,18,FALSE),"")</f>
        <v>TC.03.087 | Edit 07</v>
      </c>
      <c r="O347" s="64"/>
      <c r="P347" s="64">
        <f>IFERROR(VLOOKUP(Tabelle32[[#This Row],[Device ID]],BOM!$B$3:$BO$50,20,FALSE),"")</f>
        <v>0</v>
      </c>
      <c r="Q347" s="64">
        <f>IFERROR(VLOOKUP(Tabelle32[[#This Row],[Device ID]],BOM!$B$3:$BO$50,21,FALSE),"")</f>
        <v>1</v>
      </c>
      <c r="R347" s="64">
        <f>IFERROR(VLOOKUP(Tabelle32[[#This Row],[Device ID]],BOM!$B$3:$BO$50,22,FALSE),"")</f>
        <v>0</v>
      </c>
      <c r="S347" s="64"/>
      <c r="T347" s="64"/>
      <c r="U347" s="59" t="str">
        <f>IFERROR(VLOOKUP(Tabelle32[[#This Row],[Device ID]],BOM!$B$3:$BQ$35,25,FALSE),"")</f>
        <v>Luis/Ivo</v>
      </c>
      <c r="V347" s="59" t="str">
        <f>IFERROR(VLOOKUP(Tabelle32[[#This Row],[Device ID]],BOM!$B$3:$BQ$35,26,FALSE),"")</f>
        <v>tpco-megw-vgw103.rta.st-net.media.int</v>
      </c>
      <c r="W347" s="59" t="str">
        <f>IFERROR(VLOOKUP(Tabelle32[[#This Row],[Device ID]],BOM!$B$3:$BQ$35,27,FALSE),"")</f>
        <v>10.120.236.50</v>
      </c>
      <c r="X347" s="59" t="str">
        <f>IFERROR(VLOOKUP(Tabelle32[[#This Row],[Device ID]],BOM!$B$3:$BQ$35,28,FALSE),"")</f>
        <v>AVCoreA</v>
      </c>
      <c r="Y347" s="59" t="str">
        <f>IFERROR(VLOOKUP(Tabelle32[[#This Row],[Device ID]],BOM!$B$3:$BQ$35,29,FALSE),"")</f>
        <v>5_36_1</v>
      </c>
      <c r="Z347" s="59" t="str">
        <f>IFERROR(VLOOKUP(Tabelle32[[#This Row],[Device ID]],BOM!$B$3:$BQ$35,30,FALSE),"")</f>
        <v>tpco-megw-vgw103.rtb.st-net.media.int</v>
      </c>
      <c r="AA347" s="59" t="str">
        <f>IFERROR(VLOOKUP(Tabelle32[[#This Row],[Device ID]],BOM!$B$3:$BQ$35,31,FALSE),"")</f>
        <v>10.120.236.54</v>
      </c>
      <c r="AB347" s="59" t="str">
        <f>IFERROR(VLOOKUP(Tabelle32[[#This Row],[Device ID]],BOM!$B$3:$BQ$35,32,FALSE),"")</f>
        <v>AVCoreB</v>
      </c>
      <c r="AC347" s="59" t="str">
        <f>IFERROR(VLOOKUP(Tabelle32[[#This Row],[Device ID]],BOM!$B$3:$BQ$35,33,FALSE),"")</f>
        <v>5_36_1</v>
      </c>
      <c r="AD347" s="59" t="str">
        <f>IFERROR(VLOOKUP(Tabelle32[[#This Row],[Device ID]],BOM!$B$3:$BQ$35,34,FALSE),"")</f>
        <v>tpco-megw-vgw103.st-net.media.int</v>
      </c>
      <c r="AE347" s="59" t="str">
        <f>IFERROR(VLOOKUP(Tabelle32[[#This Row],[Device ID]],BOM!$B$3:$BQ$35,35,FALSE),"")</f>
        <v>10.120.67.141</v>
      </c>
      <c r="AF347" s="59">
        <f>IFERROR(VLOOKUP(Tabelle32[[#This Row],[Device ID]],BOM!$B$3:$BQ$35,36,FALSE),"")</f>
        <v>0</v>
      </c>
      <c r="AG347" s="59">
        <f>IFERROR(VLOOKUP(Tabelle32[[#This Row],[Device ID]],BOM!$B$3:$BQ$35,37,FALSE),"")</f>
        <v>0</v>
      </c>
      <c r="AH347" s="59"/>
      <c r="AI347" s="59"/>
      <c r="AJ347" s="59"/>
      <c r="AK347" s="59"/>
      <c r="AL347" s="59" t="str">
        <f>IFERROR(VLOOKUP(Tabelle32[[#This Row],[Device ID]],BOM!$B$3:$BQ$35,42,FALSE),"")</f>
        <v>Imagine Communications SNP</v>
      </c>
      <c r="AM347" s="59" t="str">
        <f>IFERROR(VLOOKUP(Tabelle32[[#This Row],[Device ID]],BOM!$B$3:$BQ$35,43,FALSE),"")</f>
        <v>no</v>
      </c>
      <c r="AN347" s="59" t="str">
        <f>IFERROR(VLOOKUP(Tabelle32[[#This Row],[Device ID]],BOM!$B$3:$BQ$35,44,FALSE),"")</f>
        <v>yes</v>
      </c>
      <c r="AO347" s="59" t="str">
        <f>IFERROR(VLOOKUP(Tabelle32[[#This Row],[Device ID]],BOM!$B$3:$BQ$35,45,FALSE),"")</f>
        <v>no</v>
      </c>
      <c r="AP347" s="59" t="str">
        <f>IFERROR(CONCATENATE(Tabelle32[[#This Row],[Family
GFX-Unit]]," | ",Tabelle32[[#This Row],[Label 1
GFX-Unit]]," | ",Tabelle32[[#This Row],[Attached Device if Gateway]]),"")</f>
        <v>MEDEM Edits Out | Out Edit07-05 | EditPC-07 OUT</v>
      </c>
      <c r="AQ347" s="59"/>
      <c r="AR347" s="92"/>
      <c r="AS347" s="92"/>
      <c r="AT347" s="92"/>
      <c r="AU347" s="92"/>
      <c r="AV347" s="92"/>
      <c r="AW347" s="92" t="s">
        <v>97</v>
      </c>
      <c r="AX347" s="92" t="s">
        <v>199</v>
      </c>
      <c r="AY347" s="92" t="s">
        <v>199</v>
      </c>
      <c r="AZ347" s="92"/>
      <c r="BA347" s="92"/>
      <c r="BB347" s="92"/>
      <c r="BC347" s="92"/>
      <c r="BD347" s="92"/>
      <c r="BE347" s="92"/>
      <c r="BF347" s="92"/>
      <c r="BG347" s="92"/>
      <c r="BH347" s="73" t="s">
        <v>199</v>
      </c>
      <c r="BI347" s="30" t="str">
        <f>IF(COUNTA(Tabelle32[[#This Row],[Type:Vid_1080i50]:[Type:Anc_Prot]])&gt;0,"x","")</f>
        <v>x</v>
      </c>
      <c r="BJ34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47" s="59"/>
      <c r="BL347" s="59"/>
      <c r="BM347" s="63"/>
      <c r="BN347" s="63"/>
      <c r="BO347" s="97" t="s">
        <v>732</v>
      </c>
      <c r="BP347" s="97" t="s">
        <v>746</v>
      </c>
      <c r="BQ347" s="75">
        <f>LEN(Tabelle32[[#This Row],[Label 1
GFX-Unit]])</f>
        <v>13</v>
      </c>
      <c r="BR347" s="63"/>
      <c r="BS347" s="63"/>
      <c r="BT347" s="59"/>
      <c r="BU347" s="59"/>
      <c r="BV347" s="59" t="s">
        <v>230</v>
      </c>
      <c r="BW347" s="59" t="s">
        <v>231</v>
      </c>
      <c r="BX347" s="59" t="s">
        <v>747</v>
      </c>
      <c r="BY347" s="59">
        <v>17</v>
      </c>
    </row>
    <row r="348" spans="1:77" x14ac:dyDescent="0.2">
      <c r="A348" s="58" t="str">
        <f>CONCATENATE(Tabelle32[[#This Row],[Device ID]],".",Tabelle32[[#This Row],[Streamcounter]])</f>
        <v>394.17206</v>
      </c>
      <c r="B34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VGW-103_SDI17_AUDsend_0006</v>
      </c>
      <c r="C348" s="60"/>
      <c r="D348" s="61"/>
      <c r="E348" s="62"/>
      <c r="F348" s="59" t="str">
        <f>IFERROR(VLOOKUP(Tabelle32[[#This Row],[Device ID]],BOM!$B$3:$BQ$35,16,FALSE),"")</f>
        <v>EditPC-07 OUT</v>
      </c>
      <c r="G348" s="63">
        <f>VLOOKUP(Tabelle32[[#This Row],[SDI Interface]],BOM!$A$4:$B$35,2,FALSE)</f>
        <v>394</v>
      </c>
      <c r="H348" s="59" t="str">
        <f>BOM!$C$4</f>
        <v>VGW-103</v>
      </c>
      <c r="I348" s="59" t="str">
        <f>IFERROR(VLOOKUP(Tabelle32[[#This Row],[Device ID]],BOM!$B$3:$BQ$35,12,FALSE),"")</f>
        <v>Edit Suite</v>
      </c>
      <c r="J348" s="59" t="str">
        <f>IFERROR(VLOOKUP(Tabelle32[[#This Row],[Device ID]],BOM!$B$3:$BQ$35,13,FALSE),"")</f>
        <v>TC.U1.223 | MDC</v>
      </c>
      <c r="K348" s="59" t="str">
        <f>IFERROR(VLOOKUP(Tabelle32[[#This Row],[Device ID]],BOM!$B$3:$BQ$35,14,FALSE),"")</f>
        <v>Imagine Comunications</v>
      </c>
      <c r="L348" s="59" t="str">
        <f>IFERROR(VLOOKUP(Tabelle32[[#This Row],[Device ID]],BOM!$B$3:$BQ$35,16,FALSE),"")</f>
        <v>EditPC-07 OUT</v>
      </c>
      <c r="M348" s="63" t="str">
        <f>IFERROR(VLOOKUP(Tabelle32[[#This Row],[Device ID]],BOM!$B$3:$BQ$35,17,FALSE),"")</f>
        <v>EDIT SUITE 07</v>
      </c>
      <c r="N348" s="59" t="str">
        <f>IFERROR(VLOOKUP(Tabelle32[[#This Row],[Device ID]],BOM!$B$3:$BQ$35,18,FALSE),"")</f>
        <v>TC.03.087 | Edit 07</v>
      </c>
      <c r="O348" s="64"/>
      <c r="P348" s="64">
        <f>IFERROR(VLOOKUP(Tabelle32[[#This Row],[Device ID]],BOM!$B$3:$BO$50,20,FALSE),"")</f>
        <v>0</v>
      </c>
      <c r="Q348" s="64">
        <f>IFERROR(VLOOKUP(Tabelle32[[#This Row],[Device ID]],BOM!$B$3:$BO$50,21,FALSE),"")</f>
        <v>1</v>
      </c>
      <c r="R348" s="64">
        <f>IFERROR(VLOOKUP(Tabelle32[[#This Row],[Device ID]],BOM!$B$3:$BO$50,22,FALSE),"")</f>
        <v>0</v>
      </c>
      <c r="S348" s="64"/>
      <c r="T348" s="64"/>
      <c r="U348" s="59" t="str">
        <f>IFERROR(VLOOKUP(Tabelle32[[#This Row],[Device ID]],BOM!$B$3:$BQ$35,25,FALSE),"")</f>
        <v>Luis/Ivo</v>
      </c>
      <c r="V348" s="59" t="str">
        <f>IFERROR(VLOOKUP(Tabelle32[[#This Row],[Device ID]],BOM!$B$3:$BQ$35,26,FALSE),"")</f>
        <v>tpco-megw-vgw103.rta.st-net.media.int</v>
      </c>
      <c r="W348" s="59" t="str">
        <f>IFERROR(VLOOKUP(Tabelle32[[#This Row],[Device ID]],BOM!$B$3:$BQ$35,27,FALSE),"")</f>
        <v>10.120.236.50</v>
      </c>
      <c r="X348" s="59" t="str">
        <f>IFERROR(VLOOKUP(Tabelle32[[#This Row],[Device ID]],BOM!$B$3:$BQ$35,28,FALSE),"")</f>
        <v>AVCoreA</v>
      </c>
      <c r="Y348" s="59" t="str">
        <f>IFERROR(VLOOKUP(Tabelle32[[#This Row],[Device ID]],BOM!$B$3:$BQ$35,29,FALSE),"")</f>
        <v>5_36_1</v>
      </c>
      <c r="Z348" s="59" t="str">
        <f>IFERROR(VLOOKUP(Tabelle32[[#This Row],[Device ID]],BOM!$B$3:$BQ$35,30,FALSE),"")</f>
        <v>tpco-megw-vgw103.rtb.st-net.media.int</v>
      </c>
      <c r="AA348" s="59" t="str">
        <f>IFERROR(VLOOKUP(Tabelle32[[#This Row],[Device ID]],BOM!$B$3:$BQ$35,31,FALSE),"")</f>
        <v>10.120.236.54</v>
      </c>
      <c r="AB348" s="59" t="str">
        <f>IFERROR(VLOOKUP(Tabelle32[[#This Row],[Device ID]],BOM!$B$3:$BQ$35,32,FALSE),"")</f>
        <v>AVCoreB</v>
      </c>
      <c r="AC348" s="59" t="str">
        <f>IFERROR(VLOOKUP(Tabelle32[[#This Row],[Device ID]],BOM!$B$3:$BQ$35,33,FALSE),"")</f>
        <v>5_36_1</v>
      </c>
      <c r="AD348" s="59" t="str">
        <f>IFERROR(VLOOKUP(Tabelle32[[#This Row],[Device ID]],BOM!$B$3:$BQ$35,34,FALSE),"")</f>
        <v>tpco-megw-vgw103.st-net.media.int</v>
      </c>
      <c r="AE348" s="59" t="str">
        <f>IFERROR(VLOOKUP(Tabelle32[[#This Row],[Device ID]],BOM!$B$3:$BQ$35,35,FALSE),"")</f>
        <v>10.120.67.141</v>
      </c>
      <c r="AF348" s="59">
        <f>IFERROR(VLOOKUP(Tabelle32[[#This Row],[Device ID]],BOM!$B$3:$BQ$35,36,FALSE),"")</f>
        <v>0</v>
      </c>
      <c r="AG348" s="59">
        <f>IFERROR(VLOOKUP(Tabelle32[[#This Row],[Device ID]],BOM!$B$3:$BQ$35,37,FALSE),"")</f>
        <v>0</v>
      </c>
      <c r="AH348" s="59"/>
      <c r="AI348" s="59"/>
      <c r="AJ348" s="59"/>
      <c r="AK348" s="59"/>
      <c r="AL348" s="59" t="str">
        <f>IFERROR(VLOOKUP(Tabelle32[[#This Row],[Device ID]],BOM!$B$3:$BQ$35,42,FALSE),"")</f>
        <v>Imagine Communications SNP</v>
      </c>
      <c r="AM348" s="59" t="str">
        <f>IFERROR(VLOOKUP(Tabelle32[[#This Row],[Device ID]],BOM!$B$3:$BQ$35,43,FALSE),"")</f>
        <v>no</v>
      </c>
      <c r="AN348" s="59" t="str">
        <f>IFERROR(VLOOKUP(Tabelle32[[#This Row],[Device ID]],BOM!$B$3:$BQ$35,44,FALSE),"")</f>
        <v>yes</v>
      </c>
      <c r="AO348" s="59" t="str">
        <f>IFERROR(VLOOKUP(Tabelle32[[#This Row],[Device ID]],BOM!$B$3:$BQ$35,45,FALSE),"")</f>
        <v>no</v>
      </c>
      <c r="AP348" s="59" t="str">
        <f>IFERROR(CONCATENATE(Tabelle32[[#This Row],[Family
GFX-Unit]]," | ",Tabelle32[[#This Row],[Label 1
GFX-Unit]]," | ",Tabelle32[[#This Row],[Attached Device if Gateway]]),"")</f>
        <v>MEDEM Edits Out | Out Edit07-06 | EditPC-07 OUT</v>
      </c>
      <c r="AQ348" s="59"/>
      <c r="AR348" s="92"/>
      <c r="AS348" s="92"/>
      <c r="AT348" s="92"/>
      <c r="AU348" s="92"/>
      <c r="AV348" s="92"/>
      <c r="AW348" s="92" t="s">
        <v>97</v>
      </c>
      <c r="AX348" s="92" t="s">
        <v>199</v>
      </c>
      <c r="AY348" s="92" t="s">
        <v>199</v>
      </c>
      <c r="AZ348" s="92"/>
      <c r="BA348" s="92"/>
      <c r="BB348" s="92"/>
      <c r="BC348" s="92"/>
      <c r="BD348" s="92"/>
      <c r="BE348" s="92"/>
      <c r="BF348" s="92"/>
      <c r="BG348" s="92"/>
      <c r="BH348" s="73" t="s">
        <v>199</v>
      </c>
      <c r="BI348" s="30" t="str">
        <f>IF(COUNTA(Tabelle32[[#This Row],[Type:Vid_1080i50]:[Type:Anc_Prot]])&gt;0,"x","")</f>
        <v>x</v>
      </c>
      <c r="BJ34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48" s="59"/>
      <c r="BL348" s="59"/>
      <c r="BM348" s="63"/>
      <c r="BN348" s="63"/>
      <c r="BO348" s="97" t="s">
        <v>732</v>
      </c>
      <c r="BP348" s="97" t="s">
        <v>748</v>
      </c>
      <c r="BQ348" s="75">
        <f>LEN(Tabelle32[[#This Row],[Label 1
GFX-Unit]])</f>
        <v>13</v>
      </c>
      <c r="BR348" s="63"/>
      <c r="BS348" s="63"/>
      <c r="BT348" s="59"/>
      <c r="BU348" s="59"/>
      <c r="BV348" s="59" t="s">
        <v>234</v>
      </c>
      <c r="BW348" s="59" t="s">
        <v>235</v>
      </c>
      <c r="BX348" s="59" t="s">
        <v>749</v>
      </c>
      <c r="BY348" s="59">
        <v>17</v>
      </c>
    </row>
    <row r="349" spans="1:77" x14ac:dyDescent="0.2">
      <c r="A349" s="58" t="str">
        <f>CONCATENATE(Tabelle32[[#This Row],[Device ID]],".",Tabelle32[[#This Row],[Streamcounter]])</f>
        <v>394.17207</v>
      </c>
      <c r="B34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VGW-103_SDI17_AUDsend_0007</v>
      </c>
      <c r="C349" s="60"/>
      <c r="D349" s="61"/>
      <c r="E349" s="62"/>
      <c r="F349" s="59" t="str">
        <f>IFERROR(VLOOKUP(Tabelle32[[#This Row],[Device ID]],BOM!$B$3:$BQ$35,16,FALSE),"")</f>
        <v>EditPC-07 OUT</v>
      </c>
      <c r="G349" s="63">
        <f>VLOOKUP(Tabelle32[[#This Row],[SDI Interface]],BOM!$A$4:$B$35,2,FALSE)</f>
        <v>394</v>
      </c>
      <c r="H349" s="59" t="str">
        <f>BOM!$C$4</f>
        <v>VGW-103</v>
      </c>
      <c r="I349" s="59" t="str">
        <f>IFERROR(VLOOKUP(Tabelle32[[#This Row],[Device ID]],BOM!$B$3:$BQ$35,12,FALSE),"")</f>
        <v>Edit Suite</v>
      </c>
      <c r="J349" s="59" t="str">
        <f>IFERROR(VLOOKUP(Tabelle32[[#This Row],[Device ID]],BOM!$B$3:$BQ$35,13,FALSE),"")</f>
        <v>TC.U1.223 | MDC</v>
      </c>
      <c r="K349" s="59" t="str">
        <f>IFERROR(VLOOKUP(Tabelle32[[#This Row],[Device ID]],BOM!$B$3:$BQ$35,14,FALSE),"")</f>
        <v>Imagine Comunications</v>
      </c>
      <c r="L349" s="59" t="str">
        <f>IFERROR(VLOOKUP(Tabelle32[[#This Row],[Device ID]],BOM!$B$3:$BQ$35,16,FALSE),"")</f>
        <v>EditPC-07 OUT</v>
      </c>
      <c r="M349" s="63" t="str">
        <f>IFERROR(VLOOKUP(Tabelle32[[#This Row],[Device ID]],BOM!$B$3:$BQ$35,17,FALSE),"")</f>
        <v>EDIT SUITE 07</v>
      </c>
      <c r="N349" s="59" t="str">
        <f>IFERROR(VLOOKUP(Tabelle32[[#This Row],[Device ID]],BOM!$B$3:$BQ$35,18,FALSE),"")</f>
        <v>TC.03.087 | Edit 07</v>
      </c>
      <c r="O349" s="64"/>
      <c r="P349" s="64">
        <f>IFERROR(VLOOKUP(Tabelle32[[#This Row],[Device ID]],BOM!$B$3:$BO$50,20,FALSE),"")</f>
        <v>0</v>
      </c>
      <c r="Q349" s="64">
        <f>IFERROR(VLOOKUP(Tabelle32[[#This Row],[Device ID]],BOM!$B$3:$BO$50,21,FALSE),"")</f>
        <v>1</v>
      </c>
      <c r="R349" s="64">
        <f>IFERROR(VLOOKUP(Tabelle32[[#This Row],[Device ID]],BOM!$B$3:$BO$50,22,FALSE),"")</f>
        <v>0</v>
      </c>
      <c r="S349" s="64"/>
      <c r="T349" s="64"/>
      <c r="U349" s="59" t="str">
        <f>IFERROR(VLOOKUP(Tabelle32[[#This Row],[Device ID]],BOM!$B$3:$BQ$35,25,FALSE),"")</f>
        <v>Luis/Ivo</v>
      </c>
      <c r="V349" s="59" t="str">
        <f>IFERROR(VLOOKUP(Tabelle32[[#This Row],[Device ID]],BOM!$B$3:$BQ$35,26,FALSE),"")</f>
        <v>tpco-megw-vgw103.rta.st-net.media.int</v>
      </c>
      <c r="W349" s="59" t="str">
        <f>IFERROR(VLOOKUP(Tabelle32[[#This Row],[Device ID]],BOM!$B$3:$BQ$35,27,FALSE),"")</f>
        <v>10.120.236.50</v>
      </c>
      <c r="X349" s="59" t="str">
        <f>IFERROR(VLOOKUP(Tabelle32[[#This Row],[Device ID]],BOM!$B$3:$BQ$35,28,FALSE),"")</f>
        <v>AVCoreA</v>
      </c>
      <c r="Y349" s="59" t="str">
        <f>IFERROR(VLOOKUP(Tabelle32[[#This Row],[Device ID]],BOM!$B$3:$BQ$35,29,FALSE),"")</f>
        <v>5_36_1</v>
      </c>
      <c r="Z349" s="59" t="str">
        <f>IFERROR(VLOOKUP(Tabelle32[[#This Row],[Device ID]],BOM!$B$3:$BQ$35,30,FALSE),"")</f>
        <v>tpco-megw-vgw103.rtb.st-net.media.int</v>
      </c>
      <c r="AA349" s="59" t="str">
        <f>IFERROR(VLOOKUP(Tabelle32[[#This Row],[Device ID]],BOM!$B$3:$BQ$35,31,FALSE),"")</f>
        <v>10.120.236.54</v>
      </c>
      <c r="AB349" s="59" t="str">
        <f>IFERROR(VLOOKUP(Tabelle32[[#This Row],[Device ID]],BOM!$B$3:$BQ$35,32,FALSE),"")</f>
        <v>AVCoreB</v>
      </c>
      <c r="AC349" s="59" t="str">
        <f>IFERROR(VLOOKUP(Tabelle32[[#This Row],[Device ID]],BOM!$B$3:$BQ$35,33,FALSE),"")</f>
        <v>5_36_1</v>
      </c>
      <c r="AD349" s="59" t="str">
        <f>IFERROR(VLOOKUP(Tabelle32[[#This Row],[Device ID]],BOM!$B$3:$BQ$35,34,FALSE),"")</f>
        <v>tpco-megw-vgw103.st-net.media.int</v>
      </c>
      <c r="AE349" s="59" t="str">
        <f>IFERROR(VLOOKUP(Tabelle32[[#This Row],[Device ID]],BOM!$B$3:$BQ$35,35,FALSE),"")</f>
        <v>10.120.67.141</v>
      </c>
      <c r="AF349" s="59">
        <f>IFERROR(VLOOKUP(Tabelle32[[#This Row],[Device ID]],BOM!$B$3:$BQ$35,36,FALSE),"")</f>
        <v>0</v>
      </c>
      <c r="AG349" s="59">
        <f>IFERROR(VLOOKUP(Tabelle32[[#This Row],[Device ID]],BOM!$B$3:$BQ$35,37,FALSE),"")</f>
        <v>0</v>
      </c>
      <c r="AH349" s="59"/>
      <c r="AI349" s="59"/>
      <c r="AJ349" s="59"/>
      <c r="AK349" s="59"/>
      <c r="AL349" s="59" t="str">
        <f>IFERROR(VLOOKUP(Tabelle32[[#This Row],[Device ID]],BOM!$B$3:$BQ$35,42,FALSE),"")</f>
        <v>Imagine Communications SNP</v>
      </c>
      <c r="AM349" s="59" t="str">
        <f>IFERROR(VLOOKUP(Tabelle32[[#This Row],[Device ID]],BOM!$B$3:$BQ$35,43,FALSE),"")</f>
        <v>no</v>
      </c>
      <c r="AN349" s="59" t="str">
        <f>IFERROR(VLOOKUP(Tabelle32[[#This Row],[Device ID]],BOM!$B$3:$BQ$35,44,FALSE),"")</f>
        <v>yes</v>
      </c>
      <c r="AO349" s="59" t="str">
        <f>IFERROR(VLOOKUP(Tabelle32[[#This Row],[Device ID]],BOM!$B$3:$BQ$35,45,FALSE),"")</f>
        <v>no</v>
      </c>
      <c r="AP349" s="59" t="str">
        <f>IFERROR(CONCATENATE(Tabelle32[[#This Row],[Family
GFX-Unit]]," | ",Tabelle32[[#This Row],[Label 1
GFX-Unit]]," | ",Tabelle32[[#This Row],[Attached Device if Gateway]]),"")</f>
        <v>MEDEM Edits Out | Out Edit07-07 | EditPC-07 OUT</v>
      </c>
      <c r="AQ349" s="59"/>
      <c r="AR349" s="92"/>
      <c r="AS349" s="92"/>
      <c r="AT349" s="92"/>
      <c r="AU349" s="92"/>
      <c r="AV349" s="92"/>
      <c r="AW349" s="92"/>
      <c r="AX349" s="92" t="s">
        <v>199</v>
      </c>
      <c r="AY349" s="92" t="s">
        <v>199</v>
      </c>
      <c r="AZ349" s="92" t="s">
        <v>97</v>
      </c>
      <c r="BA349" s="92"/>
      <c r="BB349" s="92"/>
      <c r="BC349" s="92"/>
      <c r="BD349" s="92"/>
      <c r="BE349" s="92"/>
      <c r="BF349" s="92"/>
      <c r="BG349" s="92"/>
      <c r="BH349" s="73" t="s">
        <v>199</v>
      </c>
      <c r="BI349" s="30" t="str">
        <f>IF(COUNTA(Tabelle32[[#This Row],[Type:Vid_1080i50]:[Type:Anc_Prot]])&gt;0,"x","")</f>
        <v>x</v>
      </c>
      <c r="BJ34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49" s="59"/>
      <c r="BL349" s="59"/>
      <c r="BM349" s="63"/>
      <c r="BN349" s="63"/>
      <c r="BO349" s="97" t="s">
        <v>732</v>
      </c>
      <c r="BP349" s="97" t="s">
        <v>750</v>
      </c>
      <c r="BQ349" s="75">
        <f>LEN(Tabelle32[[#This Row],[Label 1
GFX-Unit]])</f>
        <v>13</v>
      </c>
      <c r="BR349" s="63"/>
      <c r="BS349" s="63"/>
      <c r="BT349" s="59"/>
      <c r="BU349" s="59"/>
      <c r="BV349" s="59" t="s">
        <v>238</v>
      </c>
      <c r="BW349" s="59" t="s">
        <v>239</v>
      </c>
      <c r="BX349" s="59" t="s">
        <v>751</v>
      </c>
      <c r="BY349" s="59">
        <v>17</v>
      </c>
    </row>
    <row r="350" spans="1:77" x14ac:dyDescent="0.2">
      <c r="A350" s="58" t="str">
        <f>CONCATENATE(Tabelle32[[#This Row],[Device ID]],".",Tabelle32[[#This Row],[Streamcounter]])</f>
        <v>394.17208</v>
      </c>
      <c r="B35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VGW-103_SDI17_AUDsend_0008</v>
      </c>
      <c r="C350" s="60"/>
      <c r="D350" s="61"/>
      <c r="E350" s="62"/>
      <c r="F350" s="59" t="str">
        <f>IFERROR(VLOOKUP(Tabelle32[[#This Row],[Device ID]],BOM!$B$3:$BQ$35,16,FALSE),"")</f>
        <v>EditPC-07 OUT</v>
      </c>
      <c r="G350" s="63">
        <f>VLOOKUP(Tabelle32[[#This Row],[SDI Interface]],BOM!$A$4:$B$35,2,FALSE)</f>
        <v>394</v>
      </c>
      <c r="H350" s="59" t="str">
        <f>BOM!$C$4</f>
        <v>VGW-103</v>
      </c>
      <c r="I350" s="59" t="str">
        <f>IFERROR(VLOOKUP(Tabelle32[[#This Row],[Device ID]],BOM!$B$3:$BQ$35,12,FALSE),"")</f>
        <v>Edit Suite</v>
      </c>
      <c r="J350" s="59" t="str">
        <f>IFERROR(VLOOKUP(Tabelle32[[#This Row],[Device ID]],BOM!$B$3:$BQ$35,13,FALSE),"")</f>
        <v>TC.U1.223 | MDC</v>
      </c>
      <c r="K350" s="59" t="str">
        <f>IFERROR(VLOOKUP(Tabelle32[[#This Row],[Device ID]],BOM!$B$3:$BQ$35,14,FALSE),"")</f>
        <v>Imagine Comunications</v>
      </c>
      <c r="L350" s="59" t="str">
        <f>IFERROR(VLOOKUP(Tabelle32[[#This Row],[Device ID]],BOM!$B$3:$BQ$35,16,FALSE),"")</f>
        <v>EditPC-07 OUT</v>
      </c>
      <c r="M350" s="63" t="str">
        <f>IFERROR(VLOOKUP(Tabelle32[[#This Row],[Device ID]],BOM!$B$3:$BQ$35,17,FALSE),"")</f>
        <v>EDIT SUITE 07</v>
      </c>
      <c r="N350" s="59" t="str">
        <f>IFERROR(VLOOKUP(Tabelle32[[#This Row],[Device ID]],BOM!$B$3:$BQ$35,18,FALSE),"")</f>
        <v>TC.03.087 | Edit 07</v>
      </c>
      <c r="O350" s="64"/>
      <c r="P350" s="64">
        <f>IFERROR(VLOOKUP(Tabelle32[[#This Row],[Device ID]],BOM!$B$3:$BO$50,20,FALSE),"")</f>
        <v>0</v>
      </c>
      <c r="Q350" s="64">
        <f>IFERROR(VLOOKUP(Tabelle32[[#This Row],[Device ID]],BOM!$B$3:$BO$50,21,FALSE),"")</f>
        <v>1</v>
      </c>
      <c r="R350" s="64">
        <f>IFERROR(VLOOKUP(Tabelle32[[#This Row],[Device ID]],BOM!$B$3:$BO$50,22,FALSE),"")</f>
        <v>0</v>
      </c>
      <c r="S350" s="64"/>
      <c r="T350" s="64"/>
      <c r="U350" s="59" t="str">
        <f>IFERROR(VLOOKUP(Tabelle32[[#This Row],[Device ID]],BOM!$B$3:$BQ$35,25,FALSE),"")</f>
        <v>Luis/Ivo</v>
      </c>
      <c r="V350" s="59" t="str">
        <f>IFERROR(VLOOKUP(Tabelle32[[#This Row],[Device ID]],BOM!$B$3:$BQ$35,26,FALSE),"")</f>
        <v>tpco-megw-vgw103.rta.st-net.media.int</v>
      </c>
      <c r="W350" s="59" t="str">
        <f>IFERROR(VLOOKUP(Tabelle32[[#This Row],[Device ID]],BOM!$B$3:$BQ$35,27,FALSE),"")</f>
        <v>10.120.236.50</v>
      </c>
      <c r="X350" s="59" t="str">
        <f>IFERROR(VLOOKUP(Tabelle32[[#This Row],[Device ID]],BOM!$B$3:$BQ$35,28,FALSE),"")</f>
        <v>AVCoreA</v>
      </c>
      <c r="Y350" s="59" t="str">
        <f>IFERROR(VLOOKUP(Tabelle32[[#This Row],[Device ID]],BOM!$B$3:$BQ$35,29,FALSE),"")</f>
        <v>5_36_1</v>
      </c>
      <c r="Z350" s="59" t="str">
        <f>IFERROR(VLOOKUP(Tabelle32[[#This Row],[Device ID]],BOM!$B$3:$BQ$35,30,FALSE),"")</f>
        <v>tpco-megw-vgw103.rtb.st-net.media.int</v>
      </c>
      <c r="AA350" s="59" t="str">
        <f>IFERROR(VLOOKUP(Tabelle32[[#This Row],[Device ID]],BOM!$B$3:$BQ$35,31,FALSE),"")</f>
        <v>10.120.236.54</v>
      </c>
      <c r="AB350" s="59" t="str">
        <f>IFERROR(VLOOKUP(Tabelle32[[#This Row],[Device ID]],BOM!$B$3:$BQ$35,32,FALSE),"")</f>
        <v>AVCoreB</v>
      </c>
      <c r="AC350" s="59" t="str">
        <f>IFERROR(VLOOKUP(Tabelle32[[#This Row],[Device ID]],BOM!$B$3:$BQ$35,33,FALSE),"")</f>
        <v>5_36_1</v>
      </c>
      <c r="AD350" s="59" t="str">
        <f>IFERROR(VLOOKUP(Tabelle32[[#This Row],[Device ID]],BOM!$B$3:$BQ$35,34,FALSE),"")</f>
        <v>tpco-megw-vgw103.st-net.media.int</v>
      </c>
      <c r="AE350" s="59" t="str">
        <f>IFERROR(VLOOKUP(Tabelle32[[#This Row],[Device ID]],BOM!$B$3:$BQ$35,35,FALSE),"")</f>
        <v>10.120.67.141</v>
      </c>
      <c r="AF350" s="59">
        <f>IFERROR(VLOOKUP(Tabelle32[[#This Row],[Device ID]],BOM!$B$3:$BQ$35,36,FALSE),"")</f>
        <v>0</v>
      </c>
      <c r="AG350" s="59">
        <f>IFERROR(VLOOKUP(Tabelle32[[#This Row],[Device ID]],BOM!$B$3:$BQ$35,37,FALSE),"")</f>
        <v>0</v>
      </c>
      <c r="AH350" s="59"/>
      <c r="AI350" s="59"/>
      <c r="AJ350" s="59"/>
      <c r="AK350" s="59"/>
      <c r="AL350" s="59" t="str">
        <f>IFERROR(VLOOKUP(Tabelle32[[#This Row],[Device ID]],BOM!$B$3:$BQ$35,42,FALSE),"")</f>
        <v>Imagine Communications SNP</v>
      </c>
      <c r="AM350" s="59" t="str">
        <f>IFERROR(VLOOKUP(Tabelle32[[#This Row],[Device ID]],BOM!$B$3:$BQ$35,43,FALSE),"")</f>
        <v>no</v>
      </c>
      <c r="AN350" s="59" t="str">
        <f>IFERROR(VLOOKUP(Tabelle32[[#This Row],[Device ID]],BOM!$B$3:$BQ$35,44,FALSE),"")</f>
        <v>yes</v>
      </c>
      <c r="AO350" s="59" t="str">
        <f>IFERROR(VLOOKUP(Tabelle32[[#This Row],[Device ID]],BOM!$B$3:$BQ$35,45,FALSE),"")</f>
        <v>no</v>
      </c>
      <c r="AP350" s="59" t="str">
        <f>IFERROR(CONCATENATE(Tabelle32[[#This Row],[Family
GFX-Unit]]," | ",Tabelle32[[#This Row],[Label 1
GFX-Unit]]," | ",Tabelle32[[#This Row],[Attached Device if Gateway]]),"")</f>
        <v>MEDEM Edits Out | Out Edit07-08 | EditPC-07 OUT</v>
      </c>
      <c r="AQ350" s="59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 t="s">
        <v>97</v>
      </c>
      <c r="BD350" s="92"/>
      <c r="BE350" s="92"/>
      <c r="BF350" s="92"/>
      <c r="BG350" s="92"/>
      <c r="BH350" s="73" t="s">
        <v>199</v>
      </c>
      <c r="BI350" s="30" t="str">
        <f>IF(COUNTA(Tabelle32[[#This Row],[Type:Vid_1080i50]:[Type:Anc_Prot]])&gt;0,"x","")</f>
        <v>x</v>
      </c>
      <c r="BJ35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350" s="59"/>
      <c r="BL350" s="59"/>
      <c r="BM350" s="63"/>
      <c r="BN350" s="63"/>
      <c r="BO350" s="97" t="s">
        <v>732</v>
      </c>
      <c r="BP350" s="97" t="s">
        <v>752</v>
      </c>
      <c r="BQ350" s="75">
        <f>LEN(Tabelle32[[#This Row],[Label 1
GFX-Unit]])</f>
        <v>13</v>
      </c>
      <c r="BR350" s="63"/>
      <c r="BS350" s="63"/>
      <c r="BT350" s="59"/>
      <c r="BU350" s="59"/>
      <c r="BV350" s="59" t="s">
        <v>242</v>
      </c>
      <c r="BW350" s="59" t="s">
        <v>243</v>
      </c>
      <c r="BX350" s="59" t="s">
        <v>753</v>
      </c>
      <c r="BY350" s="59">
        <v>17</v>
      </c>
    </row>
    <row r="351" spans="1:77" hidden="1" x14ac:dyDescent="0.2">
      <c r="A351" s="58" t="str">
        <f>CONCATENATE(Tabelle32[[#This Row],[Device ID]],".",Tabelle32[[#This Row],[Streamcounter]])</f>
        <v>394.17209</v>
      </c>
      <c r="B35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VGW-103_SDI17_AUDsend_0009</v>
      </c>
      <c r="C351" s="60"/>
      <c r="D351" s="61"/>
      <c r="E351" s="62"/>
      <c r="F351" s="59" t="str">
        <f>IFERROR(VLOOKUP(Tabelle32[[#This Row],[Device ID]],BOM!$B$3:$BQ$35,16,FALSE),"")</f>
        <v>EditPC-07 OUT</v>
      </c>
      <c r="G351" s="63">
        <f>VLOOKUP(Tabelle32[[#This Row],[SDI Interface]],BOM!$A$4:$B$35,2,FALSE)</f>
        <v>394</v>
      </c>
      <c r="H351" s="59" t="str">
        <f>BOM!$C$4</f>
        <v>VGW-103</v>
      </c>
      <c r="I351" s="59" t="str">
        <f>IFERROR(VLOOKUP(Tabelle32[[#This Row],[Device ID]],BOM!$B$3:$BQ$35,12,FALSE),"")</f>
        <v>Edit Suite</v>
      </c>
      <c r="J351" s="59" t="str">
        <f>IFERROR(VLOOKUP(Tabelle32[[#This Row],[Device ID]],BOM!$B$3:$BQ$35,13,FALSE),"")</f>
        <v>TC.U1.223 | MDC</v>
      </c>
      <c r="K351" s="59" t="str">
        <f>IFERROR(VLOOKUP(Tabelle32[[#This Row],[Device ID]],BOM!$B$3:$BQ$35,14,FALSE),"")</f>
        <v>Imagine Comunications</v>
      </c>
      <c r="L351" s="59" t="str">
        <f>IFERROR(VLOOKUP(Tabelle32[[#This Row],[Device ID]],BOM!$B$3:$BQ$35,16,FALSE),"")</f>
        <v>EditPC-07 OUT</v>
      </c>
      <c r="M351" s="63" t="str">
        <f>IFERROR(VLOOKUP(Tabelle32[[#This Row],[Device ID]],BOM!$B$3:$BQ$35,17,FALSE),"")</f>
        <v>EDIT SUITE 07</v>
      </c>
      <c r="N351" s="59" t="str">
        <f>IFERROR(VLOOKUP(Tabelle32[[#This Row],[Device ID]],BOM!$B$3:$BQ$35,18,FALSE),"")</f>
        <v>TC.03.087 | Edit 07</v>
      </c>
      <c r="O351" s="64"/>
      <c r="P351" s="64">
        <f>IFERROR(VLOOKUP(Tabelle32[[#This Row],[Device ID]],BOM!$B$3:$BO$50,20,FALSE),"")</f>
        <v>0</v>
      </c>
      <c r="Q351" s="64">
        <f>IFERROR(VLOOKUP(Tabelle32[[#This Row],[Device ID]],BOM!$B$3:$BO$50,21,FALSE),"")</f>
        <v>1</v>
      </c>
      <c r="R351" s="64">
        <f>IFERROR(VLOOKUP(Tabelle32[[#This Row],[Device ID]],BOM!$B$3:$BO$50,22,FALSE),"")</f>
        <v>0</v>
      </c>
      <c r="S351" s="64"/>
      <c r="T351" s="64"/>
      <c r="U351" s="59" t="str">
        <f>IFERROR(VLOOKUP(Tabelle32[[#This Row],[Device ID]],BOM!$B$3:$BQ$35,25,FALSE),"")</f>
        <v>Luis/Ivo</v>
      </c>
      <c r="V351" s="59" t="str">
        <f>IFERROR(VLOOKUP(Tabelle32[[#This Row],[Device ID]],BOM!$B$3:$BQ$35,26,FALSE),"")</f>
        <v>tpco-megw-vgw103.rta.st-net.media.int</v>
      </c>
      <c r="W351" s="59" t="str">
        <f>IFERROR(VLOOKUP(Tabelle32[[#This Row],[Device ID]],BOM!$B$3:$BQ$35,27,FALSE),"")</f>
        <v>10.120.236.50</v>
      </c>
      <c r="X351" s="59" t="str">
        <f>IFERROR(VLOOKUP(Tabelle32[[#This Row],[Device ID]],BOM!$B$3:$BQ$35,28,FALSE),"")</f>
        <v>AVCoreA</v>
      </c>
      <c r="Y351" s="59" t="str">
        <f>IFERROR(VLOOKUP(Tabelle32[[#This Row],[Device ID]],BOM!$B$3:$BQ$35,29,FALSE),"")</f>
        <v>5_36_1</v>
      </c>
      <c r="Z351" s="59" t="str">
        <f>IFERROR(VLOOKUP(Tabelle32[[#This Row],[Device ID]],BOM!$B$3:$BQ$35,30,FALSE),"")</f>
        <v>tpco-megw-vgw103.rtb.st-net.media.int</v>
      </c>
      <c r="AA351" s="59" t="str">
        <f>IFERROR(VLOOKUP(Tabelle32[[#This Row],[Device ID]],BOM!$B$3:$BQ$35,31,FALSE),"")</f>
        <v>10.120.236.54</v>
      </c>
      <c r="AB351" s="59" t="str">
        <f>IFERROR(VLOOKUP(Tabelle32[[#This Row],[Device ID]],BOM!$B$3:$BQ$35,32,FALSE),"")</f>
        <v>AVCoreB</v>
      </c>
      <c r="AC351" s="59" t="str">
        <f>IFERROR(VLOOKUP(Tabelle32[[#This Row],[Device ID]],BOM!$B$3:$BQ$35,33,FALSE),"")</f>
        <v>5_36_1</v>
      </c>
      <c r="AD351" s="59" t="str">
        <f>IFERROR(VLOOKUP(Tabelle32[[#This Row],[Device ID]],BOM!$B$3:$BQ$35,34,FALSE),"")</f>
        <v>tpco-megw-vgw103.st-net.media.int</v>
      </c>
      <c r="AE351" s="59" t="str">
        <f>IFERROR(VLOOKUP(Tabelle32[[#This Row],[Device ID]],BOM!$B$3:$BQ$35,35,FALSE),"")</f>
        <v>10.120.67.141</v>
      </c>
      <c r="AF351" s="59">
        <f>IFERROR(VLOOKUP(Tabelle32[[#This Row],[Device ID]],BOM!$B$3:$BQ$35,36,FALSE),"")</f>
        <v>0</v>
      </c>
      <c r="AG351" s="59">
        <f>IFERROR(VLOOKUP(Tabelle32[[#This Row],[Device ID]],BOM!$B$3:$BQ$35,37,FALSE),"")</f>
        <v>0</v>
      </c>
      <c r="AH351" s="59"/>
      <c r="AI351" s="59"/>
      <c r="AJ351" s="59"/>
      <c r="AK351" s="59"/>
      <c r="AL351" s="59" t="str">
        <f>IFERROR(VLOOKUP(Tabelle32[[#This Row],[Device ID]],BOM!$B$3:$BQ$35,42,FALSE),"")</f>
        <v>Imagine Communications SNP</v>
      </c>
      <c r="AM351" s="59" t="str">
        <f>IFERROR(VLOOKUP(Tabelle32[[#This Row],[Device ID]],BOM!$B$3:$BQ$35,43,FALSE),"")</f>
        <v>no</v>
      </c>
      <c r="AN351" s="59" t="str">
        <f>IFERROR(VLOOKUP(Tabelle32[[#This Row],[Device ID]],BOM!$B$3:$BQ$35,44,FALSE),"")</f>
        <v>yes</v>
      </c>
      <c r="AO351" s="59" t="str">
        <f>IFERROR(VLOOKUP(Tabelle32[[#This Row],[Device ID]],BOM!$B$3:$BQ$35,45,FALSE),"")</f>
        <v>no</v>
      </c>
      <c r="AP351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51" s="59"/>
      <c r="AR351" s="90"/>
      <c r="AS351" s="90"/>
      <c r="AT351" s="90"/>
      <c r="AU351" s="90"/>
      <c r="AV351" s="90"/>
      <c r="AW351" s="90"/>
      <c r="AX351" s="90"/>
      <c r="AY351" s="90"/>
      <c r="AZ351" s="90"/>
      <c r="BA351" s="90"/>
      <c r="BB351" s="90"/>
      <c r="BC351" s="90"/>
      <c r="BD351" s="90"/>
      <c r="BE351" s="90"/>
      <c r="BF351" s="90"/>
      <c r="BG351" s="90"/>
      <c r="BH351" s="73" t="s">
        <v>199</v>
      </c>
      <c r="BI351" s="30" t="str">
        <f>IF(COUNTA(Tabelle32[[#This Row],[Type:Vid_1080i50]:[Type:Anc_Prot]])&gt;0,"x","")</f>
        <v/>
      </c>
      <c r="BJ35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51" s="59"/>
      <c r="BL351" s="59"/>
      <c r="BM351" s="63"/>
      <c r="BN351" s="63"/>
      <c r="BO351" s="96"/>
      <c r="BP351" s="96"/>
      <c r="BQ351" s="75">
        <f>LEN(Tabelle32[[#This Row],[Label 1
GFX-Unit]])</f>
        <v>0</v>
      </c>
      <c r="BR351" s="63"/>
      <c r="BS351" s="63"/>
      <c r="BT351" s="59"/>
      <c r="BU351" s="59"/>
      <c r="BV351" s="59" t="s">
        <v>245</v>
      </c>
      <c r="BW351" s="59" t="s">
        <v>246</v>
      </c>
      <c r="BX351" s="59" t="s">
        <v>754</v>
      </c>
      <c r="BY351" s="59">
        <v>17</v>
      </c>
    </row>
    <row r="352" spans="1:77" hidden="1" x14ac:dyDescent="0.2">
      <c r="A352" s="58" t="str">
        <f>CONCATENATE(Tabelle32[[#This Row],[Device ID]],".",Tabelle32[[#This Row],[Streamcounter]])</f>
        <v>394.17210</v>
      </c>
      <c r="B35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VGW-103_SDI17_AUDsend_0010</v>
      </c>
      <c r="C352" s="60"/>
      <c r="D352" s="61"/>
      <c r="E352" s="62"/>
      <c r="F352" s="59" t="str">
        <f>IFERROR(VLOOKUP(Tabelle32[[#This Row],[Device ID]],BOM!$B$3:$BQ$35,16,FALSE),"")</f>
        <v>EditPC-07 OUT</v>
      </c>
      <c r="G352" s="63">
        <f>VLOOKUP(Tabelle32[[#This Row],[SDI Interface]],BOM!$A$4:$B$35,2,FALSE)</f>
        <v>394</v>
      </c>
      <c r="H352" s="59" t="str">
        <f>BOM!$C$4</f>
        <v>VGW-103</v>
      </c>
      <c r="I352" s="59" t="str">
        <f>IFERROR(VLOOKUP(Tabelle32[[#This Row],[Device ID]],BOM!$B$3:$BQ$35,12,FALSE),"")</f>
        <v>Edit Suite</v>
      </c>
      <c r="J352" s="59" t="str">
        <f>IFERROR(VLOOKUP(Tabelle32[[#This Row],[Device ID]],BOM!$B$3:$BQ$35,13,FALSE),"")</f>
        <v>TC.U1.223 | MDC</v>
      </c>
      <c r="K352" s="59" t="str">
        <f>IFERROR(VLOOKUP(Tabelle32[[#This Row],[Device ID]],BOM!$B$3:$BQ$35,14,FALSE),"")</f>
        <v>Imagine Comunications</v>
      </c>
      <c r="L352" s="59" t="str">
        <f>IFERROR(VLOOKUP(Tabelle32[[#This Row],[Device ID]],BOM!$B$3:$BQ$35,16,FALSE),"")</f>
        <v>EditPC-07 OUT</v>
      </c>
      <c r="M352" s="63" t="str">
        <f>IFERROR(VLOOKUP(Tabelle32[[#This Row],[Device ID]],BOM!$B$3:$BQ$35,17,FALSE),"")</f>
        <v>EDIT SUITE 07</v>
      </c>
      <c r="N352" s="59" t="str">
        <f>IFERROR(VLOOKUP(Tabelle32[[#This Row],[Device ID]],BOM!$B$3:$BQ$35,18,FALSE),"")</f>
        <v>TC.03.087 | Edit 07</v>
      </c>
      <c r="O352" s="64"/>
      <c r="P352" s="64">
        <f>IFERROR(VLOOKUP(Tabelle32[[#This Row],[Device ID]],BOM!$B$3:$BO$50,20,FALSE),"")</f>
        <v>0</v>
      </c>
      <c r="Q352" s="64">
        <f>IFERROR(VLOOKUP(Tabelle32[[#This Row],[Device ID]],BOM!$B$3:$BO$50,21,FALSE),"")</f>
        <v>1</v>
      </c>
      <c r="R352" s="64">
        <f>IFERROR(VLOOKUP(Tabelle32[[#This Row],[Device ID]],BOM!$B$3:$BO$50,22,FALSE),"")</f>
        <v>0</v>
      </c>
      <c r="S352" s="64"/>
      <c r="T352" s="64"/>
      <c r="U352" s="59" t="str">
        <f>IFERROR(VLOOKUP(Tabelle32[[#This Row],[Device ID]],BOM!$B$3:$BQ$35,25,FALSE),"")</f>
        <v>Luis/Ivo</v>
      </c>
      <c r="V352" s="59" t="str">
        <f>IFERROR(VLOOKUP(Tabelle32[[#This Row],[Device ID]],BOM!$B$3:$BQ$35,26,FALSE),"")</f>
        <v>tpco-megw-vgw103.rta.st-net.media.int</v>
      </c>
      <c r="W352" s="59" t="str">
        <f>IFERROR(VLOOKUP(Tabelle32[[#This Row],[Device ID]],BOM!$B$3:$BQ$35,27,FALSE),"")</f>
        <v>10.120.236.50</v>
      </c>
      <c r="X352" s="59" t="str">
        <f>IFERROR(VLOOKUP(Tabelle32[[#This Row],[Device ID]],BOM!$B$3:$BQ$35,28,FALSE),"")</f>
        <v>AVCoreA</v>
      </c>
      <c r="Y352" s="59" t="str">
        <f>IFERROR(VLOOKUP(Tabelle32[[#This Row],[Device ID]],BOM!$B$3:$BQ$35,29,FALSE),"")</f>
        <v>5_36_1</v>
      </c>
      <c r="Z352" s="59" t="str">
        <f>IFERROR(VLOOKUP(Tabelle32[[#This Row],[Device ID]],BOM!$B$3:$BQ$35,30,FALSE),"")</f>
        <v>tpco-megw-vgw103.rtb.st-net.media.int</v>
      </c>
      <c r="AA352" s="59" t="str">
        <f>IFERROR(VLOOKUP(Tabelle32[[#This Row],[Device ID]],BOM!$B$3:$BQ$35,31,FALSE),"")</f>
        <v>10.120.236.54</v>
      </c>
      <c r="AB352" s="59" t="str">
        <f>IFERROR(VLOOKUP(Tabelle32[[#This Row],[Device ID]],BOM!$B$3:$BQ$35,32,FALSE),"")</f>
        <v>AVCoreB</v>
      </c>
      <c r="AC352" s="59" t="str">
        <f>IFERROR(VLOOKUP(Tabelle32[[#This Row],[Device ID]],BOM!$B$3:$BQ$35,33,FALSE),"")</f>
        <v>5_36_1</v>
      </c>
      <c r="AD352" s="59" t="str">
        <f>IFERROR(VLOOKUP(Tabelle32[[#This Row],[Device ID]],BOM!$B$3:$BQ$35,34,FALSE),"")</f>
        <v>tpco-megw-vgw103.st-net.media.int</v>
      </c>
      <c r="AE352" s="59" t="str">
        <f>IFERROR(VLOOKUP(Tabelle32[[#This Row],[Device ID]],BOM!$B$3:$BQ$35,35,FALSE),"")</f>
        <v>10.120.67.141</v>
      </c>
      <c r="AF352" s="59">
        <f>IFERROR(VLOOKUP(Tabelle32[[#This Row],[Device ID]],BOM!$B$3:$BQ$35,36,FALSE),"")</f>
        <v>0</v>
      </c>
      <c r="AG352" s="59">
        <f>IFERROR(VLOOKUP(Tabelle32[[#This Row],[Device ID]],BOM!$B$3:$BQ$35,37,FALSE),"")</f>
        <v>0</v>
      </c>
      <c r="AH352" s="59"/>
      <c r="AI352" s="59"/>
      <c r="AJ352" s="59"/>
      <c r="AK352" s="59"/>
      <c r="AL352" s="59" t="str">
        <f>IFERROR(VLOOKUP(Tabelle32[[#This Row],[Device ID]],BOM!$B$3:$BQ$35,42,FALSE),"")</f>
        <v>Imagine Communications SNP</v>
      </c>
      <c r="AM352" s="59" t="str">
        <f>IFERROR(VLOOKUP(Tabelle32[[#This Row],[Device ID]],BOM!$B$3:$BQ$35,43,FALSE),"")</f>
        <v>no</v>
      </c>
      <c r="AN352" s="59" t="str">
        <f>IFERROR(VLOOKUP(Tabelle32[[#This Row],[Device ID]],BOM!$B$3:$BQ$35,44,FALSE),"")</f>
        <v>yes</v>
      </c>
      <c r="AO352" s="59" t="str">
        <f>IFERROR(VLOOKUP(Tabelle32[[#This Row],[Device ID]],BOM!$B$3:$BQ$35,45,FALSE),"")</f>
        <v>no</v>
      </c>
      <c r="AP352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52" s="59"/>
      <c r="AR352" s="90"/>
      <c r="AS352" s="90"/>
      <c r="AT352" s="90"/>
      <c r="AU352" s="90"/>
      <c r="AV352" s="90"/>
      <c r="AW352" s="90"/>
      <c r="AX352" s="90"/>
      <c r="AY352" s="90"/>
      <c r="AZ352" s="90"/>
      <c r="BA352" s="90"/>
      <c r="BB352" s="90"/>
      <c r="BC352" s="90"/>
      <c r="BD352" s="90"/>
      <c r="BE352" s="90"/>
      <c r="BF352" s="90"/>
      <c r="BG352" s="90"/>
      <c r="BH352" s="73" t="s">
        <v>199</v>
      </c>
      <c r="BI352" s="30" t="str">
        <f>IF(COUNTA(Tabelle32[[#This Row],[Type:Vid_1080i50]:[Type:Anc_Prot]])&gt;0,"x","")</f>
        <v/>
      </c>
      <c r="BJ35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52" s="59"/>
      <c r="BL352" s="59"/>
      <c r="BM352" s="63"/>
      <c r="BN352" s="63"/>
      <c r="BO352" s="96"/>
      <c r="BP352" s="96"/>
      <c r="BQ352" s="75">
        <f>LEN(Tabelle32[[#This Row],[Label 1
GFX-Unit]])</f>
        <v>0</v>
      </c>
      <c r="BR352" s="63"/>
      <c r="BS352" s="63"/>
      <c r="BT352" s="59"/>
      <c r="BU352" s="59"/>
      <c r="BV352" s="59" t="s">
        <v>248</v>
      </c>
      <c r="BW352" s="59" t="s">
        <v>249</v>
      </c>
      <c r="BX352" s="59" t="s">
        <v>755</v>
      </c>
      <c r="BY352" s="59">
        <v>17</v>
      </c>
    </row>
    <row r="353" spans="1:77" hidden="1" x14ac:dyDescent="0.2">
      <c r="A353" s="58" t="str">
        <f>CONCATENATE(Tabelle32[[#This Row],[Device ID]],".",Tabelle32[[#This Row],[Streamcounter]])</f>
        <v>394.17211</v>
      </c>
      <c r="B35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VGW-103_SDI17_AUDsend_0011</v>
      </c>
      <c r="C353" s="60"/>
      <c r="D353" s="61"/>
      <c r="E353" s="62"/>
      <c r="F353" s="59" t="str">
        <f>IFERROR(VLOOKUP(Tabelle32[[#This Row],[Device ID]],BOM!$B$3:$BQ$35,16,FALSE),"")</f>
        <v>EditPC-07 OUT</v>
      </c>
      <c r="G353" s="63">
        <f>VLOOKUP(Tabelle32[[#This Row],[SDI Interface]],BOM!$A$4:$B$35,2,FALSE)</f>
        <v>394</v>
      </c>
      <c r="H353" s="59" t="str">
        <f>BOM!$C$4</f>
        <v>VGW-103</v>
      </c>
      <c r="I353" s="59" t="str">
        <f>IFERROR(VLOOKUP(Tabelle32[[#This Row],[Device ID]],BOM!$B$3:$BQ$35,12,FALSE),"")</f>
        <v>Edit Suite</v>
      </c>
      <c r="J353" s="59" t="str">
        <f>IFERROR(VLOOKUP(Tabelle32[[#This Row],[Device ID]],BOM!$B$3:$BQ$35,13,FALSE),"")</f>
        <v>TC.U1.223 | MDC</v>
      </c>
      <c r="K353" s="59" t="str">
        <f>IFERROR(VLOOKUP(Tabelle32[[#This Row],[Device ID]],BOM!$B$3:$BQ$35,14,FALSE),"")</f>
        <v>Imagine Comunications</v>
      </c>
      <c r="L353" s="59" t="str">
        <f>IFERROR(VLOOKUP(Tabelle32[[#This Row],[Device ID]],BOM!$B$3:$BQ$35,16,FALSE),"")</f>
        <v>EditPC-07 OUT</v>
      </c>
      <c r="M353" s="63" t="str">
        <f>IFERROR(VLOOKUP(Tabelle32[[#This Row],[Device ID]],BOM!$B$3:$BQ$35,17,FALSE),"")</f>
        <v>EDIT SUITE 07</v>
      </c>
      <c r="N353" s="59" t="str">
        <f>IFERROR(VLOOKUP(Tabelle32[[#This Row],[Device ID]],BOM!$B$3:$BQ$35,18,FALSE),"")</f>
        <v>TC.03.087 | Edit 07</v>
      </c>
      <c r="O353" s="64"/>
      <c r="P353" s="64">
        <f>IFERROR(VLOOKUP(Tabelle32[[#This Row],[Device ID]],BOM!$B$3:$BO$50,20,FALSE),"")</f>
        <v>0</v>
      </c>
      <c r="Q353" s="64">
        <f>IFERROR(VLOOKUP(Tabelle32[[#This Row],[Device ID]],BOM!$B$3:$BO$50,21,FALSE),"")</f>
        <v>1</v>
      </c>
      <c r="R353" s="64">
        <f>IFERROR(VLOOKUP(Tabelle32[[#This Row],[Device ID]],BOM!$B$3:$BO$50,22,FALSE),"")</f>
        <v>0</v>
      </c>
      <c r="S353" s="64"/>
      <c r="T353" s="64"/>
      <c r="U353" s="59" t="str">
        <f>IFERROR(VLOOKUP(Tabelle32[[#This Row],[Device ID]],BOM!$B$3:$BQ$35,25,FALSE),"")</f>
        <v>Luis/Ivo</v>
      </c>
      <c r="V353" s="59" t="str">
        <f>IFERROR(VLOOKUP(Tabelle32[[#This Row],[Device ID]],BOM!$B$3:$BQ$35,26,FALSE),"")</f>
        <v>tpco-megw-vgw103.rta.st-net.media.int</v>
      </c>
      <c r="W353" s="59" t="str">
        <f>IFERROR(VLOOKUP(Tabelle32[[#This Row],[Device ID]],BOM!$B$3:$BQ$35,27,FALSE),"")</f>
        <v>10.120.236.50</v>
      </c>
      <c r="X353" s="59" t="str">
        <f>IFERROR(VLOOKUP(Tabelle32[[#This Row],[Device ID]],BOM!$B$3:$BQ$35,28,FALSE),"")</f>
        <v>AVCoreA</v>
      </c>
      <c r="Y353" s="59" t="str">
        <f>IFERROR(VLOOKUP(Tabelle32[[#This Row],[Device ID]],BOM!$B$3:$BQ$35,29,FALSE),"")</f>
        <v>5_36_1</v>
      </c>
      <c r="Z353" s="59" t="str">
        <f>IFERROR(VLOOKUP(Tabelle32[[#This Row],[Device ID]],BOM!$B$3:$BQ$35,30,FALSE),"")</f>
        <v>tpco-megw-vgw103.rtb.st-net.media.int</v>
      </c>
      <c r="AA353" s="59" t="str">
        <f>IFERROR(VLOOKUP(Tabelle32[[#This Row],[Device ID]],BOM!$B$3:$BQ$35,31,FALSE),"")</f>
        <v>10.120.236.54</v>
      </c>
      <c r="AB353" s="59" t="str">
        <f>IFERROR(VLOOKUP(Tabelle32[[#This Row],[Device ID]],BOM!$B$3:$BQ$35,32,FALSE),"")</f>
        <v>AVCoreB</v>
      </c>
      <c r="AC353" s="59" t="str">
        <f>IFERROR(VLOOKUP(Tabelle32[[#This Row],[Device ID]],BOM!$B$3:$BQ$35,33,FALSE),"")</f>
        <v>5_36_1</v>
      </c>
      <c r="AD353" s="59" t="str">
        <f>IFERROR(VLOOKUP(Tabelle32[[#This Row],[Device ID]],BOM!$B$3:$BQ$35,34,FALSE),"")</f>
        <v>tpco-megw-vgw103.st-net.media.int</v>
      </c>
      <c r="AE353" s="59" t="str">
        <f>IFERROR(VLOOKUP(Tabelle32[[#This Row],[Device ID]],BOM!$B$3:$BQ$35,35,FALSE),"")</f>
        <v>10.120.67.141</v>
      </c>
      <c r="AF353" s="59">
        <f>IFERROR(VLOOKUP(Tabelle32[[#This Row],[Device ID]],BOM!$B$3:$BQ$35,36,FALSE),"")</f>
        <v>0</v>
      </c>
      <c r="AG353" s="59">
        <f>IFERROR(VLOOKUP(Tabelle32[[#This Row],[Device ID]],BOM!$B$3:$BQ$35,37,FALSE),"")</f>
        <v>0</v>
      </c>
      <c r="AH353" s="59"/>
      <c r="AI353" s="59"/>
      <c r="AJ353" s="59"/>
      <c r="AK353" s="59"/>
      <c r="AL353" s="59" t="str">
        <f>IFERROR(VLOOKUP(Tabelle32[[#This Row],[Device ID]],BOM!$B$3:$BQ$35,42,FALSE),"")</f>
        <v>Imagine Communications SNP</v>
      </c>
      <c r="AM353" s="59" t="str">
        <f>IFERROR(VLOOKUP(Tabelle32[[#This Row],[Device ID]],BOM!$B$3:$BQ$35,43,FALSE),"")</f>
        <v>no</v>
      </c>
      <c r="AN353" s="59" t="str">
        <f>IFERROR(VLOOKUP(Tabelle32[[#This Row],[Device ID]],BOM!$B$3:$BQ$35,44,FALSE),"")</f>
        <v>yes</v>
      </c>
      <c r="AO353" s="59" t="str">
        <f>IFERROR(VLOOKUP(Tabelle32[[#This Row],[Device ID]],BOM!$B$3:$BQ$35,45,FALSE),"")</f>
        <v>no</v>
      </c>
      <c r="AP353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53" s="59"/>
      <c r="AR353" s="90"/>
      <c r="AS353" s="90"/>
      <c r="AT353" s="90"/>
      <c r="AU353" s="90"/>
      <c r="AV353" s="90"/>
      <c r="AW353" s="90"/>
      <c r="AX353" s="90"/>
      <c r="AY353" s="90"/>
      <c r="AZ353" s="90"/>
      <c r="BA353" s="90"/>
      <c r="BB353" s="90"/>
      <c r="BC353" s="90"/>
      <c r="BD353" s="90"/>
      <c r="BE353" s="90"/>
      <c r="BF353" s="90"/>
      <c r="BG353" s="90"/>
      <c r="BH353" s="73" t="s">
        <v>199</v>
      </c>
      <c r="BI353" s="30" t="str">
        <f>IF(COUNTA(Tabelle32[[#This Row],[Type:Vid_1080i50]:[Type:Anc_Prot]])&gt;0,"x","")</f>
        <v/>
      </c>
      <c r="BJ35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53" s="59"/>
      <c r="BL353" s="59"/>
      <c r="BM353" s="63"/>
      <c r="BN353" s="63"/>
      <c r="BO353" s="96"/>
      <c r="BP353" s="96"/>
      <c r="BQ353" s="75">
        <f>LEN(Tabelle32[[#This Row],[Label 1
GFX-Unit]])</f>
        <v>0</v>
      </c>
      <c r="BR353" s="63"/>
      <c r="BS353" s="63"/>
      <c r="BT353" s="59"/>
      <c r="BU353" s="59"/>
      <c r="BV353" s="59" t="s">
        <v>251</v>
      </c>
      <c r="BW353" s="59" t="s">
        <v>252</v>
      </c>
      <c r="BX353" s="59" t="s">
        <v>756</v>
      </c>
      <c r="BY353" s="59">
        <v>17</v>
      </c>
    </row>
    <row r="354" spans="1:77" hidden="1" x14ac:dyDescent="0.2">
      <c r="A354" s="58" t="str">
        <f>CONCATENATE(Tabelle32[[#This Row],[Device ID]],".",Tabelle32[[#This Row],[Streamcounter]])</f>
        <v>394.17212</v>
      </c>
      <c r="B35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VGW-103_SDI17_AUDsend_0012</v>
      </c>
      <c r="C354" s="60"/>
      <c r="D354" s="61"/>
      <c r="E354" s="62"/>
      <c r="F354" s="59" t="str">
        <f>IFERROR(VLOOKUP(Tabelle32[[#This Row],[Device ID]],BOM!$B$3:$BQ$35,16,FALSE),"")</f>
        <v>EditPC-07 OUT</v>
      </c>
      <c r="G354" s="63">
        <f>VLOOKUP(Tabelle32[[#This Row],[SDI Interface]],BOM!$A$4:$B$35,2,FALSE)</f>
        <v>394</v>
      </c>
      <c r="H354" s="59" t="str">
        <f>BOM!$C$4</f>
        <v>VGW-103</v>
      </c>
      <c r="I354" s="59" t="str">
        <f>IFERROR(VLOOKUP(Tabelle32[[#This Row],[Device ID]],BOM!$B$3:$BQ$35,12,FALSE),"")</f>
        <v>Edit Suite</v>
      </c>
      <c r="J354" s="59" t="str">
        <f>IFERROR(VLOOKUP(Tabelle32[[#This Row],[Device ID]],BOM!$B$3:$BQ$35,13,FALSE),"")</f>
        <v>TC.U1.223 | MDC</v>
      </c>
      <c r="K354" s="59" t="str">
        <f>IFERROR(VLOOKUP(Tabelle32[[#This Row],[Device ID]],BOM!$B$3:$BQ$35,14,FALSE),"")</f>
        <v>Imagine Comunications</v>
      </c>
      <c r="L354" s="59" t="str">
        <f>IFERROR(VLOOKUP(Tabelle32[[#This Row],[Device ID]],BOM!$B$3:$BQ$35,16,FALSE),"")</f>
        <v>EditPC-07 OUT</v>
      </c>
      <c r="M354" s="63" t="str">
        <f>IFERROR(VLOOKUP(Tabelle32[[#This Row],[Device ID]],BOM!$B$3:$BQ$35,17,FALSE),"")</f>
        <v>EDIT SUITE 07</v>
      </c>
      <c r="N354" s="59" t="str">
        <f>IFERROR(VLOOKUP(Tabelle32[[#This Row],[Device ID]],BOM!$B$3:$BQ$35,18,FALSE),"")</f>
        <v>TC.03.087 | Edit 07</v>
      </c>
      <c r="O354" s="64"/>
      <c r="P354" s="64">
        <f>IFERROR(VLOOKUP(Tabelle32[[#This Row],[Device ID]],BOM!$B$3:$BO$50,20,FALSE),"")</f>
        <v>0</v>
      </c>
      <c r="Q354" s="64">
        <f>IFERROR(VLOOKUP(Tabelle32[[#This Row],[Device ID]],BOM!$B$3:$BO$50,21,FALSE),"")</f>
        <v>1</v>
      </c>
      <c r="R354" s="64">
        <f>IFERROR(VLOOKUP(Tabelle32[[#This Row],[Device ID]],BOM!$B$3:$BO$50,22,FALSE),"")</f>
        <v>0</v>
      </c>
      <c r="S354" s="64"/>
      <c r="T354" s="64"/>
      <c r="U354" s="59" t="str">
        <f>IFERROR(VLOOKUP(Tabelle32[[#This Row],[Device ID]],BOM!$B$3:$BQ$35,25,FALSE),"")</f>
        <v>Luis/Ivo</v>
      </c>
      <c r="V354" s="59" t="str">
        <f>IFERROR(VLOOKUP(Tabelle32[[#This Row],[Device ID]],BOM!$B$3:$BQ$35,26,FALSE),"")</f>
        <v>tpco-megw-vgw103.rta.st-net.media.int</v>
      </c>
      <c r="W354" s="59" t="str">
        <f>IFERROR(VLOOKUP(Tabelle32[[#This Row],[Device ID]],BOM!$B$3:$BQ$35,27,FALSE),"")</f>
        <v>10.120.236.50</v>
      </c>
      <c r="X354" s="59" t="str">
        <f>IFERROR(VLOOKUP(Tabelle32[[#This Row],[Device ID]],BOM!$B$3:$BQ$35,28,FALSE),"")</f>
        <v>AVCoreA</v>
      </c>
      <c r="Y354" s="59" t="str">
        <f>IFERROR(VLOOKUP(Tabelle32[[#This Row],[Device ID]],BOM!$B$3:$BQ$35,29,FALSE),"")</f>
        <v>5_36_1</v>
      </c>
      <c r="Z354" s="59" t="str">
        <f>IFERROR(VLOOKUP(Tabelle32[[#This Row],[Device ID]],BOM!$B$3:$BQ$35,30,FALSE),"")</f>
        <v>tpco-megw-vgw103.rtb.st-net.media.int</v>
      </c>
      <c r="AA354" s="59" t="str">
        <f>IFERROR(VLOOKUP(Tabelle32[[#This Row],[Device ID]],BOM!$B$3:$BQ$35,31,FALSE),"")</f>
        <v>10.120.236.54</v>
      </c>
      <c r="AB354" s="59" t="str">
        <f>IFERROR(VLOOKUP(Tabelle32[[#This Row],[Device ID]],BOM!$B$3:$BQ$35,32,FALSE),"")</f>
        <v>AVCoreB</v>
      </c>
      <c r="AC354" s="59" t="str">
        <f>IFERROR(VLOOKUP(Tabelle32[[#This Row],[Device ID]],BOM!$B$3:$BQ$35,33,FALSE),"")</f>
        <v>5_36_1</v>
      </c>
      <c r="AD354" s="59" t="str">
        <f>IFERROR(VLOOKUP(Tabelle32[[#This Row],[Device ID]],BOM!$B$3:$BQ$35,34,FALSE),"")</f>
        <v>tpco-megw-vgw103.st-net.media.int</v>
      </c>
      <c r="AE354" s="59" t="str">
        <f>IFERROR(VLOOKUP(Tabelle32[[#This Row],[Device ID]],BOM!$B$3:$BQ$35,35,FALSE),"")</f>
        <v>10.120.67.141</v>
      </c>
      <c r="AF354" s="59">
        <f>IFERROR(VLOOKUP(Tabelle32[[#This Row],[Device ID]],BOM!$B$3:$BQ$35,36,FALSE),"")</f>
        <v>0</v>
      </c>
      <c r="AG354" s="59">
        <f>IFERROR(VLOOKUP(Tabelle32[[#This Row],[Device ID]],BOM!$B$3:$BQ$35,37,FALSE),"")</f>
        <v>0</v>
      </c>
      <c r="AH354" s="59"/>
      <c r="AI354" s="59"/>
      <c r="AJ354" s="59"/>
      <c r="AK354" s="59"/>
      <c r="AL354" s="59" t="str">
        <f>IFERROR(VLOOKUP(Tabelle32[[#This Row],[Device ID]],BOM!$B$3:$BQ$35,42,FALSE),"")</f>
        <v>Imagine Communications SNP</v>
      </c>
      <c r="AM354" s="59" t="str">
        <f>IFERROR(VLOOKUP(Tabelle32[[#This Row],[Device ID]],BOM!$B$3:$BQ$35,43,FALSE),"")</f>
        <v>no</v>
      </c>
      <c r="AN354" s="59" t="str">
        <f>IFERROR(VLOOKUP(Tabelle32[[#This Row],[Device ID]],BOM!$B$3:$BQ$35,44,FALSE),"")</f>
        <v>yes</v>
      </c>
      <c r="AO354" s="59" t="str">
        <f>IFERROR(VLOOKUP(Tabelle32[[#This Row],[Device ID]],BOM!$B$3:$BQ$35,45,FALSE),"")</f>
        <v>no</v>
      </c>
      <c r="AP354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54" s="59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  <c r="BB354" s="101"/>
      <c r="BC354" s="101"/>
      <c r="BD354" s="101"/>
      <c r="BE354" s="101"/>
      <c r="BF354" s="101"/>
      <c r="BG354" s="101"/>
      <c r="BH354" s="73" t="s">
        <v>199</v>
      </c>
      <c r="BI354" s="30" t="str">
        <f>IF(COUNTA(Tabelle32[[#This Row],[Type:Vid_1080i50]:[Type:Anc_Prot]])&gt;0,"x","")</f>
        <v/>
      </c>
      <c r="BJ35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54" s="59"/>
      <c r="BL354" s="59"/>
      <c r="BM354" s="63"/>
      <c r="BN354" s="63"/>
      <c r="BO354" s="96"/>
      <c r="BP354" s="96"/>
      <c r="BQ354" s="75">
        <f>LEN(Tabelle32[[#This Row],[Label 1
GFX-Unit]])</f>
        <v>0</v>
      </c>
      <c r="BR354" s="63"/>
      <c r="BS354" s="63"/>
      <c r="BT354" s="59"/>
      <c r="BU354" s="59"/>
      <c r="BV354" s="59" t="s">
        <v>254</v>
      </c>
      <c r="BW354" s="59" t="s">
        <v>255</v>
      </c>
      <c r="BX354" s="59" t="s">
        <v>757</v>
      </c>
      <c r="BY354" s="59">
        <v>17</v>
      </c>
    </row>
    <row r="355" spans="1:77" hidden="1" x14ac:dyDescent="0.2">
      <c r="A355" s="58" t="str">
        <f>CONCATENATE(Tabelle32[[#This Row],[Device ID]],".",Tabelle32[[#This Row],[Streamcounter]])</f>
        <v>394.17213</v>
      </c>
      <c r="B35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VGW-103_SDI17_AUDsend_0013</v>
      </c>
      <c r="C355" s="60"/>
      <c r="D355" s="61"/>
      <c r="E355" s="62"/>
      <c r="F355" s="59" t="str">
        <f>IFERROR(VLOOKUP(Tabelle32[[#This Row],[Device ID]],BOM!$B$3:$BQ$35,16,FALSE),"")</f>
        <v>EditPC-07 OUT</v>
      </c>
      <c r="G355" s="63">
        <f>VLOOKUP(Tabelle32[[#This Row],[SDI Interface]],BOM!$A$4:$B$35,2,FALSE)</f>
        <v>394</v>
      </c>
      <c r="H355" s="59" t="str">
        <f>BOM!$C$4</f>
        <v>VGW-103</v>
      </c>
      <c r="I355" s="59" t="str">
        <f>IFERROR(VLOOKUP(Tabelle32[[#This Row],[Device ID]],BOM!$B$3:$BQ$35,12,FALSE),"")</f>
        <v>Edit Suite</v>
      </c>
      <c r="J355" s="59" t="str">
        <f>IFERROR(VLOOKUP(Tabelle32[[#This Row],[Device ID]],BOM!$B$3:$BQ$35,13,FALSE),"")</f>
        <v>TC.U1.223 | MDC</v>
      </c>
      <c r="K355" s="59" t="str">
        <f>IFERROR(VLOOKUP(Tabelle32[[#This Row],[Device ID]],BOM!$B$3:$BQ$35,14,FALSE),"")</f>
        <v>Imagine Comunications</v>
      </c>
      <c r="L355" s="59" t="str">
        <f>IFERROR(VLOOKUP(Tabelle32[[#This Row],[Device ID]],BOM!$B$3:$BQ$35,16,FALSE),"")</f>
        <v>EditPC-07 OUT</v>
      </c>
      <c r="M355" s="63" t="str">
        <f>IFERROR(VLOOKUP(Tabelle32[[#This Row],[Device ID]],BOM!$B$3:$BQ$35,17,FALSE),"")</f>
        <v>EDIT SUITE 07</v>
      </c>
      <c r="N355" s="59" t="str">
        <f>IFERROR(VLOOKUP(Tabelle32[[#This Row],[Device ID]],BOM!$B$3:$BQ$35,18,FALSE),"")</f>
        <v>TC.03.087 | Edit 07</v>
      </c>
      <c r="O355" s="64"/>
      <c r="P355" s="64">
        <f>IFERROR(VLOOKUP(Tabelle32[[#This Row],[Device ID]],BOM!$B$3:$BO$50,20,FALSE),"")</f>
        <v>0</v>
      </c>
      <c r="Q355" s="64">
        <f>IFERROR(VLOOKUP(Tabelle32[[#This Row],[Device ID]],BOM!$B$3:$BO$50,21,FALSE),"")</f>
        <v>1</v>
      </c>
      <c r="R355" s="64">
        <f>IFERROR(VLOOKUP(Tabelle32[[#This Row],[Device ID]],BOM!$B$3:$BO$50,22,FALSE),"")</f>
        <v>0</v>
      </c>
      <c r="S355" s="64"/>
      <c r="T355" s="64"/>
      <c r="U355" s="59" t="str">
        <f>IFERROR(VLOOKUP(Tabelle32[[#This Row],[Device ID]],BOM!$B$3:$BQ$35,25,FALSE),"")</f>
        <v>Luis/Ivo</v>
      </c>
      <c r="V355" s="59" t="str">
        <f>IFERROR(VLOOKUP(Tabelle32[[#This Row],[Device ID]],BOM!$B$3:$BQ$35,26,FALSE),"")</f>
        <v>tpco-megw-vgw103.rta.st-net.media.int</v>
      </c>
      <c r="W355" s="59" t="str">
        <f>IFERROR(VLOOKUP(Tabelle32[[#This Row],[Device ID]],BOM!$B$3:$BQ$35,27,FALSE),"")</f>
        <v>10.120.236.50</v>
      </c>
      <c r="X355" s="59" t="str">
        <f>IFERROR(VLOOKUP(Tabelle32[[#This Row],[Device ID]],BOM!$B$3:$BQ$35,28,FALSE),"")</f>
        <v>AVCoreA</v>
      </c>
      <c r="Y355" s="59" t="str">
        <f>IFERROR(VLOOKUP(Tabelle32[[#This Row],[Device ID]],BOM!$B$3:$BQ$35,29,FALSE),"")</f>
        <v>5_36_1</v>
      </c>
      <c r="Z355" s="59" t="str">
        <f>IFERROR(VLOOKUP(Tabelle32[[#This Row],[Device ID]],BOM!$B$3:$BQ$35,30,FALSE),"")</f>
        <v>tpco-megw-vgw103.rtb.st-net.media.int</v>
      </c>
      <c r="AA355" s="59" t="str">
        <f>IFERROR(VLOOKUP(Tabelle32[[#This Row],[Device ID]],BOM!$B$3:$BQ$35,31,FALSE),"")</f>
        <v>10.120.236.54</v>
      </c>
      <c r="AB355" s="59" t="str">
        <f>IFERROR(VLOOKUP(Tabelle32[[#This Row],[Device ID]],BOM!$B$3:$BQ$35,32,FALSE),"")</f>
        <v>AVCoreB</v>
      </c>
      <c r="AC355" s="59" t="str">
        <f>IFERROR(VLOOKUP(Tabelle32[[#This Row],[Device ID]],BOM!$B$3:$BQ$35,33,FALSE),"")</f>
        <v>5_36_1</v>
      </c>
      <c r="AD355" s="59" t="str">
        <f>IFERROR(VLOOKUP(Tabelle32[[#This Row],[Device ID]],BOM!$B$3:$BQ$35,34,FALSE),"")</f>
        <v>tpco-megw-vgw103.st-net.media.int</v>
      </c>
      <c r="AE355" s="59" t="str">
        <f>IFERROR(VLOOKUP(Tabelle32[[#This Row],[Device ID]],BOM!$B$3:$BQ$35,35,FALSE),"")</f>
        <v>10.120.67.141</v>
      </c>
      <c r="AF355" s="59">
        <f>IFERROR(VLOOKUP(Tabelle32[[#This Row],[Device ID]],BOM!$B$3:$BQ$35,36,FALSE),"")</f>
        <v>0</v>
      </c>
      <c r="AG355" s="59">
        <f>IFERROR(VLOOKUP(Tabelle32[[#This Row],[Device ID]],BOM!$B$3:$BQ$35,37,FALSE),"")</f>
        <v>0</v>
      </c>
      <c r="AH355" s="59"/>
      <c r="AI355" s="59"/>
      <c r="AJ355" s="59"/>
      <c r="AK355" s="59"/>
      <c r="AL355" s="59" t="str">
        <f>IFERROR(VLOOKUP(Tabelle32[[#This Row],[Device ID]],BOM!$B$3:$BQ$35,42,FALSE),"")</f>
        <v>Imagine Communications SNP</v>
      </c>
      <c r="AM355" s="59" t="str">
        <f>IFERROR(VLOOKUP(Tabelle32[[#This Row],[Device ID]],BOM!$B$3:$BQ$35,43,FALSE),"")</f>
        <v>no</v>
      </c>
      <c r="AN355" s="59" t="str">
        <f>IFERROR(VLOOKUP(Tabelle32[[#This Row],[Device ID]],BOM!$B$3:$BQ$35,44,FALSE),"")</f>
        <v>yes</v>
      </c>
      <c r="AO355" s="59" t="str">
        <f>IFERROR(VLOOKUP(Tabelle32[[#This Row],[Device ID]],BOM!$B$3:$BQ$35,45,FALSE),"")</f>
        <v>no</v>
      </c>
      <c r="AP355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55" s="59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  <c r="BB355" s="101"/>
      <c r="BC355" s="101"/>
      <c r="BD355" s="101"/>
      <c r="BE355" s="101"/>
      <c r="BF355" s="101"/>
      <c r="BG355" s="101"/>
      <c r="BH355" s="73" t="s">
        <v>199</v>
      </c>
      <c r="BI355" s="30" t="str">
        <f>IF(COUNTA(Tabelle32[[#This Row],[Type:Vid_1080i50]:[Type:Anc_Prot]])&gt;0,"x","")</f>
        <v/>
      </c>
      <c r="BJ35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55" s="59"/>
      <c r="BL355" s="59"/>
      <c r="BM355" s="63"/>
      <c r="BN355" s="63"/>
      <c r="BO355" s="96"/>
      <c r="BP355" s="96"/>
      <c r="BQ355" s="75">
        <f>LEN(Tabelle32[[#This Row],[Label 1
GFX-Unit]])</f>
        <v>0</v>
      </c>
      <c r="BR355" s="63"/>
      <c r="BS355" s="63"/>
      <c r="BT355" s="59"/>
      <c r="BU355" s="59"/>
      <c r="BV355" s="59" t="s">
        <v>257</v>
      </c>
      <c r="BW355" s="59" t="s">
        <v>258</v>
      </c>
      <c r="BX355" s="59" t="s">
        <v>758</v>
      </c>
      <c r="BY355" s="59">
        <v>17</v>
      </c>
    </row>
    <row r="356" spans="1:77" hidden="1" x14ac:dyDescent="0.2">
      <c r="A356" s="58" t="str">
        <f>CONCATENATE(Tabelle32[[#This Row],[Device ID]],".",Tabelle32[[#This Row],[Streamcounter]])</f>
        <v>394.17214</v>
      </c>
      <c r="B35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VGW-103_SDI17_AUDsend_0014</v>
      </c>
      <c r="C356" s="60"/>
      <c r="D356" s="61"/>
      <c r="E356" s="62"/>
      <c r="F356" s="59" t="str">
        <f>IFERROR(VLOOKUP(Tabelle32[[#This Row],[Device ID]],BOM!$B$3:$BQ$35,16,FALSE),"")</f>
        <v>EditPC-07 OUT</v>
      </c>
      <c r="G356" s="63">
        <f>VLOOKUP(Tabelle32[[#This Row],[SDI Interface]],BOM!$A$4:$B$35,2,FALSE)</f>
        <v>394</v>
      </c>
      <c r="H356" s="59" t="str">
        <f>BOM!$C$4</f>
        <v>VGW-103</v>
      </c>
      <c r="I356" s="59" t="str">
        <f>IFERROR(VLOOKUP(Tabelle32[[#This Row],[Device ID]],BOM!$B$3:$BQ$35,12,FALSE),"")</f>
        <v>Edit Suite</v>
      </c>
      <c r="J356" s="59" t="str">
        <f>IFERROR(VLOOKUP(Tabelle32[[#This Row],[Device ID]],BOM!$B$3:$BQ$35,13,FALSE),"")</f>
        <v>TC.U1.223 | MDC</v>
      </c>
      <c r="K356" s="59" t="str">
        <f>IFERROR(VLOOKUP(Tabelle32[[#This Row],[Device ID]],BOM!$B$3:$BQ$35,14,FALSE),"")</f>
        <v>Imagine Comunications</v>
      </c>
      <c r="L356" s="59" t="str">
        <f>IFERROR(VLOOKUP(Tabelle32[[#This Row],[Device ID]],BOM!$B$3:$BQ$35,16,FALSE),"")</f>
        <v>EditPC-07 OUT</v>
      </c>
      <c r="M356" s="63" t="str">
        <f>IFERROR(VLOOKUP(Tabelle32[[#This Row],[Device ID]],BOM!$B$3:$BQ$35,17,FALSE),"")</f>
        <v>EDIT SUITE 07</v>
      </c>
      <c r="N356" s="59" t="str">
        <f>IFERROR(VLOOKUP(Tabelle32[[#This Row],[Device ID]],BOM!$B$3:$BQ$35,18,FALSE),"")</f>
        <v>TC.03.087 | Edit 07</v>
      </c>
      <c r="O356" s="64"/>
      <c r="P356" s="64">
        <f>IFERROR(VLOOKUP(Tabelle32[[#This Row],[Device ID]],BOM!$B$3:$BO$50,20,FALSE),"")</f>
        <v>0</v>
      </c>
      <c r="Q356" s="64">
        <f>IFERROR(VLOOKUP(Tabelle32[[#This Row],[Device ID]],BOM!$B$3:$BO$50,21,FALSE),"")</f>
        <v>1</v>
      </c>
      <c r="R356" s="64">
        <f>IFERROR(VLOOKUP(Tabelle32[[#This Row],[Device ID]],BOM!$B$3:$BO$50,22,FALSE),"")</f>
        <v>0</v>
      </c>
      <c r="S356" s="64"/>
      <c r="T356" s="64"/>
      <c r="U356" s="59" t="str">
        <f>IFERROR(VLOOKUP(Tabelle32[[#This Row],[Device ID]],BOM!$B$3:$BQ$35,25,FALSE),"")</f>
        <v>Luis/Ivo</v>
      </c>
      <c r="V356" s="59" t="str">
        <f>IFERROR(VLOOKUP(Tabelle32[[#This Row],[Device ID]],BOM!$B$3:$BQ$35,26,FALSE),"")</f>
        <v>tpco-megw-vgw103.rta.st-net.media.int</v>
      </c>
      <c r="W356" s="59" t="str">
        <f>IFERROR(VLOOKUP(Tabelle32[[#This Row],[Device ID]],BOM!$B$3:$BQ$35,27,FALSE),"")</f>
        <v>10.120.236.50</v>
      </c>
      <c r="X356" s="59" t="str">
        <f>IFERROR(VLOOKUP(Tabelle32[[#This Row],[Device ID]],BOM!$B$3:$BQ$35,28,FALSE),"")</f>
        <v>AVCoreA</v>
      </c>
      <c r="Y356" s="59" t="str">
        <f>IFERROR(VLOOKUP(Tabelle32[[#This Row],[Device ID]],BOM!$B$3:$BQ$35,29,FALSE),"")</f>
        <v>5_36_1</v>
      </c>
      <c r="Z356" s="59" t="str">
        <f>IFERROR(VLOOKUP(Tabelle32[[#This Row],[Device ID]],BOM!$B$3:$BQ$35,30,FALSE),"")</f>
        <v>tpco-megw-vgw103.rtb.st-net.media.int</v>
      </c>
      <c r="AA356" s="59" t="str">
        <f>IFERROR(VLOOKUP(Tabelle32[[#This Row],[Device ID]],BOM!$B$3:$BQ$35,31,FALSE),"")</f>
        <v>10.120.236.54</v>
      </c>
      <c r="AB356" s="59" t="str">
        <f>IFERROR(VLOOKUP(Tabelle32[[#This Row],[Device ID]],BOM!$B$3:$BQ$35,32,FALSE),"")</f>
        <v>AVCoreB</v>
      </c>
      <c r="AC356" s="59" t="str">
        <f>IFERROR(VLOOKUP(Tabelle32[[#This Row],[Device ID]],BOM!$B$3:$BQ$35,33,FALSE),"")</f>
        <v>5_36_1</v>
      </c>
      <c r="AD356" s="59" t="str">
        <f>IFERROR(VLOOKUP(Tabelle32[[#This Row],[Device ID]],BOM!$B$3:$BQ$35,34,FALSE),"")</f>
        <v>tpco-megw-vgw103.st-net.media.int</v>
      </c>
      <c r="AE356" s="59" t="str">
        <f>IFERROR(VLOOKUP(Tabelle32[[#This Row],[Device ID]],BOM!$B$3:$BQ$35,35,FALSE),"")</f>
        <v>10.120.67.141</v>
      </c>
      <c r="AF356" s="59">
        <f>IFERROR(VLOOKUP(Tabelle32[[#This Row],[Device ID]],BOM!$B$3:$BQ$35,36,FALSE),"")</f>
        <v>0</v>
      </c>
      <c r="AG356" s="59">
        <f>IFERROR(VLOOKUP(Tabelle32[[#This Row],[Device ID]],BOM!$B$3:$BQ$35,37,FALSE),"")</f>
        <v>0</v>
      </c>
      <c r="AH356" s="59"/>
      <c r="AI356" s="59"/>
      <c r="AJ356" s="59"/>
      <c r="AK356" s="59"/>
      <c r="AL356" s="59" t="str">
        <f>IFERROR(VLOOKUP(Tabelle32[[#This Row],[Device ID]],BOM!$B$3:$BQ$35,42,FALSE),"")</f>
        <v>Imagine Communications SNP</v>
      </c>
      <c r="AM356" s="59" t="str">
        <f>IFERROR(VLOOKUP(Tabelle32[[#This Row],[Device ID]],BOM!$B$3:$BQ$35,43,FALSE),"")</f>
        <v>no</v>
      </c>
      <c r="AN356" s="59" t="str">
        <f>IFERROR(VLOOKUP(Tabelle32[[#This Row],[Device ID]],BOM!$B$3:$BQ$35,44,FALSE),"")</f>
        <v>yes</v>
      </c>
      <c r="AO356" s="59" t="str">
        <f>IFERROR(VLOOKUP(Tabelle32[[#This Row],[Device ID]],BOM!$B$3:$BQ$35,45,FALSE),"")</f>
        <v>no</v>
      </c>
      <c r="AP356" s="59" t="str">
        <f>IFERROR(CONCATENATE(Tabelle32[[#This Row],[Family
GFX-Unit]]," | ",Tabelle32[[#This Row],[Label 1
GFX-Unit]]," | ",Tabelle32[[#This Row],[Attached Device if Gateway]]),"")</f>
        <v xml:space="preserve"> |  | EditPC-07 OUT</v>
      </c>
      <c r="AQ356" s="59"/>
      <c r="AR356" s="90"/>
      <c r="AS356" s="90"/>
      <c r="AT356" s="90"/>
      <c r="AU356" s="90"/>
      <c r="AV356" s="90"/>
      <c r="AW356" s="90"/>
      <c r="AX356" s="90"/>
      <c r="AY356" s="90"/>
      <c r="AZ356" s="90"/>
      <c r="BA356" s="90"/>
      <c r="BB356" s="90"/>
      <c r="BC356" s="90"/>
      <c r="BD356" s="90"/>
      <c r="BE356" s="90"/>
      <c r="BF356" s="90"/>
      <c r="BG356" s="90"/>
      <c r="BH356" s="73" t="s">
        <v>199</v>
      </c>
      <c r="BI356" s="30" t="str">
        <f>IF(COUNTA(Tabelle32[[#This Row],[Type:Vid_1080i50]:[Type:Anc_Prot]])&gt;0,"x","")</f>
        <v/>
      </c>
      <c r="BJ35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56" s="59"/>
      <c r="BL356" s="59"/>
      <c r="BM356" s="63"/>
      <c r="BN356" s="63"/>
      <c r="BO356" s="96"/>
      <c r="BP356" s="96"/>
      <c r="BQ356" s="75">
        <f>LEN(Tabelle32[[#This Row],[Label 1
GFX-Unit]])</f>
        <v>0</v>
      </c>
      <c r="BR356" s="63"/>
      <c r="BS356" s="63"/>
      <c r="BT356" s="59"/>
      <c r="BU356" s="59"/>
      <c r="BV356" s="59" t="s">
        <v>260</v>
      </c>
      <c r="BW356" s="59" t="s">
        <v>261</v>
      </c>
      <c r="BX356" s="59" t="s">
        <v>759</v>
      </c>
      <c r="BY356" s="59">
        <v>17</v>
      </c>
    </row>
    <row r="357" spans="1:77" x14ac:dyDescent="0.2">
      <c r="A357" s="58" t="str">
        <f>CONCATENATE(Tabelle32[[#This Row],[Device ID]],".",Tabelle32[[#This Row],[Streamcounter]])</f>
        <v>394.17215</v>
      </c>
      <c r="B35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VGW-103_SDI17_AUDsend_0015</v>
      </c>
      <c r="C357" s="60"/>
      <c r="D357" s="61"/>
      <c r="E357" s="62"/>
      <c r="F357" s="59" t="str">
        <f>IFERROR(VLOOKUP(Tabelle32[[#This Row],[Device ID]],BOM!$B$3:$BQ$35,16,FALSE),"")</f>
        <v>EditPC-07 OUT</v>
      </c>
      <c r="G357" s="63">
        <f>VLOOKUP(Tabelle32[[#This Row],[SDI Interface]],BOM!$A$4:$B$35,2,FALSE)</f>
        <v>394</v>
      </c>
      <c r="H357" s="59" t="str">
        <f>BOM!$C$4</f>
        <v>VGW-103</v>
      </c>
      <c r="I357" s="59" t="str">
        <f>IFERROR(VLOOKUP(Tabelle32[[#This Row],[Device ID]],BOM!$B$3:$BQ$35,12,FALSE),"")</f>
        <v>Edit Suite</v>
      </c>
      <c r="J357" s="59" t="str">
        <f>IFERROR(VLOOKUP(Tabelle32[[#This Row],[Device ID]],BOM!$B$3:$BQ$35,13,FALSE),"")</f>
        <v>TC.U1.223 | MDC</v>
      </c>
      <c r="K357" s="59" t="str">
        <f>IFERROR(VLOOKUP(Tabelle32[[#This Row],[Device ID]],BOM!$B$3:$BQ$35,14,FALSE),"")</f>
        <v>Imagine Comunications</v>
      </c>
      <c r="L357" s="59" t="str">
        <f>IFERROR(VLOOKUP(Tabelle32[[#This Row],[Device ID]],BOM!$B$3:$BQ$35,16,FALSE),"")</f>
        <v>EditPC-07 OUT</v>
      </c>
      <c r="M357" s="63" t="str">
        <f>IFERROR(VLOOKUP(Tabelle32[[#This Row],[Device ID]],BOM!$B$3:$BQ$35,17,FALSE),"")</f>
        <v>EDIT SUITE 07</v>
      </c>
      <c r="N357" s="59" t="str">
        <f>IFERROR(VLOOKUP(Tabelle32[[#This Row],[Device ID]],BOM!$B$3:$BQ$35,18,FALSE),"")</f>
        <v>TC.03.087 | Edit 07</v>
      </c>
      <c r="O357" s="64"/>
      <c r="P357" s="64">
        <f>IFERROR(VLOOKUP(Tabelle32[[#This Row],[Device ID]],BOM!$B$3:$BO$50,20,FALSE),"")</f>
        <v>0</v>
      </c>
      <c r="Q357" s="64">
        <f>IFERROR(VLOOKUP(Tabelle32[[#This Row],[Device ID]],BOM!$B$3:$BO$50,21,FALSE),"")</f>
        <v>1</v>
      </c>
      <c r="R357" s="64">
        <f>IFERROR(VLOOKUP(Tabelle32[[#This Row],[Device ID]],BOM!$B$3:$BO$50,22,FALSE),"")</f>
        <v>0</v>
      </c>
      <c r="S357" s="64"/>
      <c r="T357" s="64"/>
      <c r="U357" s="59" t="str">
        <f>IFERROR(VLOOKUP(Tabelle32[[#This Row],[Device ID]],BOM!$B$3:$BQ$35,25,FALSE),"")</f>
        <v>Luis/Ivo</v>
      </c>
      <c r="V357" s="59" t="str">
        <f>IFERROR(VLOOKUP(Tabelle32[[#This Row],[Device ID]],BOM!$B$3:$BQ$35,26,FALSE),"")</f>
        <v>tpco-megw-vgw103.rta.st-net.media.int</v>
      </c>
      <c r="W357" s="59" t="str">
        <f>IFERROR(VLOOKUP(Tabelle32[[#This Row],[Device ID]],BOM!$B$3:$BQ$35,27,FALSE),"")</f>
        <v>10.120.236.50</v>
      </c>
      <c r="X357" s="59" t="str">
        <f>IFERROR(VLOOKUP(Tabelle32[[#This Row],[Device ID]],BOM!$B$3:$BQ$35,28,FALSE),"")</f>
        <v>AVCoreA</v>
      </c>
      <c r="Y357" s="59" t="str">
        <f>IFERROR(VLOOKUP(Tabelle32[[#This Row],[Device ID]],BOM!$B$3:$BQ$35,29,FALSE),"")</f>
        <v>5_36_1</v>
      </c>
      <c r="Z357" s="59" t="str">
        <f>IFERROR(VLOOKUP(Tabelle32[[#This Row],[Device ID]],BOM!$B$3:$BQ$35,30,FALSE),"")</f>
        <v>tpco-megw-vgw103.rtb.st-net.media.int</v>
      </c>
      <c r="AA357" s="59" t="str">
        <f>IFERROR(VLOOKUP(Tabelle32[[#This Row],[Device ID]],BOM!$B$3:$BQ$35,31,FALSE),"")</f>
        <v>10.120.236.54</v>
      </c>
      <c r="AB357" s="59" t="str">
        <f>IFERROR(VLOOKUP(Tabelle32[[#This Row],[Device ID]],BOM!$B$3:$BQ$35,32,FALSE),"")</f>
        <v>AVCoreB</v>
      </c>
      <c r="AC357" s="59" t="str">
        <f>IFERROR(VLOOKUP(Tabelle32[[#This Row],[Device ID]],BOM!$B$3:$BQ$35,33,FALSE),"")</f>
        <v>5_36_1</v>
      </c>
      <c r="AD357" s="59" t="str">
        <f>IFERROR(VLOOKUP(Tabelle32[[#This Row],[Device ID]],BOM!$B$3:$BQ$35,34,FALSE),"")</f>
        <v>tpco-megw-vgw103.st-net.media.int</v>
      </c>
      <c r="AE357" s="59" t="str">
        <f>IFERROR(VLOOKUP(Tabelle32[[#This Row],[Device ID]],BOM!$B$3:$BQ$35,35,FALSE),"")</f>
        <v>10.120.67.141</v>
      </c>
      <c r="AF357" s="59">
        <f>IFERROR(VLOOKUP(Tabelle32[[#This Row],[Device ID]],BOM!$B$3:$BQ$35,36,FALSE),"")</f>
        <v>0</v>
      </c>
      <c r="AG357" s="59">
        <f>IFERROR(VLOOKUP(Tabelle32[[#This Row],[Device ID]],BOM!$B$3:$BQ$35,37,FALSE),"")</f>
        <v>0</v>
      </c>
      <c r="AH357" s="59"/>
      <c r="AI357" s="59"/>
      <c r="AJ357" s="59"/>
      <c r="AK357" s="59"/>
      <c r="AL357" s="59" t="str">
        <f>IFERROR(VLOOKUP(Tabelle32[[#This Row],[Device ID]],BOM!$B$3:$BQ$35,42,FALSE),"")</f>
        <v>Imagine Communications SNP</v>
      </c>
      <c r="AM357" s="59" t="str">
        <f>IFERROR(VLOOKUP(Tabelle32[[#This Row],[Device ID]],BOM!$B$3:$BQ$35,43,FALSE),"")</f>
        <v>no</v>
      </c>
      <c r="AN357" s="59" t="str">
        <f>IFERROR(VLOOKUP(Tabelle32[[#This Row],[Device ID]],BOM!$B$3:$BQ$35,44,FALSE),"")</f>
        <v>yes</v>
      </c>
      <c r="AO357" s="59" t="str">
        <f>IFERROR(VLOOKUP(Tabelle32[[#This Row],[Device ID]],BOM!$B$3:$BQ$35,45,FALSE),"")</f>
        <v>no</v>
      </c>
      <c r="AP357" s="59" t="str">
        <f>IFERROR(CONCATENATE(Tabelle32[[#This Row],[Family
GFX-Unit]]," | ",Tabelle32[[#This Row],[Label 1
GFX-Unit]]," | ",Tabelle32[[#This Row],[Attached Device if Gateway]]),"")</f>
        <v>MEDEM Edits Out | Out Edit07-15 | EditPC-07 OUT</v>
      </c>
      <c r="AQ357" s="59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 t="s">
        <v>97</v>
      </c>
      <c r="BE357" s="92"/>
      <c r="BF357" s="92"/>
      <c r="BG357" s="92"/>
      <c r="BH357" s="73" t="s">
        <v>199</v>
      </c>
      <c r="BI357" s="30" t="str">
        <f>IF(COUNTA(Tabelle32[[#This Row],[Type:Vid_1080i50]:[Type:Anc_Prot]])&gt;0,"x","")</f>
        <v>x</v>
      </c>
      <c r="BJ35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357" s="59"/>
      <c r="BL357" s="59"/>
      <c r="BM357" s="63"/>
      <c r="BN357" s="63"/>
      <c r="BO357" s="97" t="s">
        <v>732</v>
      </c>
      <c r="BP357" s="97" t="s">
        <v>760</v>
      </c>
      <c r="BQ357" s="75">
        <f>LEN(Tabelle32[[#This Row],[Label 1
GFX-Unit]])</f>
        <v>13</v>
      </c>
      <c r="BR357" s="63"/>
      <c r="BS357" s="63"/>
      <c r="BT357" s="59"/>
      <c r="BU357" s="59"/>
      <c r="BV357" s="59" t="s">
        <v>264</v>
      </c>
      <c r="BW357" s="59" t="s">
        <v>265</v>
      </c>
      <c r="BX357" s="59" t="s">
        <v>761</v>
      </c>
      <c r="BY357" s="59">
        <v>17</v>
      </c>
    </row>
    <row r="358" spans="1:77" x14ac:dyDescent="0.2">
      <c r="A358" s="58" t="str">
        <f>CONCATENATE(Tabelle32[[#This Row],[Device ID]],".",Tabelle32[[#This Row],[Streamcounter]])</f>
        <v>394.17216</v>
      </c>
      <c r="B35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VGW-103_SDI17_AUDsend_0016</v>
      </c>
      <c r="C358" s="60"/>
      <c r="D358" s="61"/>
      <c r="E358" s="62"/>
      <c r="F358" s="59" t="str">
        <f>IFERROR(VLOOKUP(Tabelle32[[#This Row],[Device ID]],BOM!$B$3:$BQ$35,16,FALSE),"")</f>
        <v>EditPC-07 OUT</v>
      </c>
      <c r="G358" s="63">
        <f>VLOOKUP(Tabelle32[[#This Row],[SDI Interface]],BOM!$A$4:$B$35,2,FALSE)</f>
        <v>394</v>
      </c>
      <c r="H358" s="59" t="str">
        <f>BOM!$C$4</f>
        <v>VGW-103</v>
      </c>
      <c r="I358" s="59" t="str">
        <f>IFERROR(VLOOKUP(Tabelle32[[#This Row],[Device ID]],BOM!$B$3:$BQ$35,12,FALSE),"")</f>
        <v>Edit Suite</v>
      </c>
      <c r="J358" s="59" t="str">
        <f>IFERROR(VLOOKUP(Tabelle32[[#This Row],[Device ID]],BOM!$B$3:$BQ$35,13,FALSE),"")</f>
        <v>TC.U1.223 | MDC</v>
      </c>
      <c r="K358" s="59" t="str">
        <f>IFERROR(VLOOKUP(Tabelle32[[#This Row],[Device ID]],BOM!$B$3:$BQ$35,14,FALSE),"")</f>
        <v>Imagine Comunications</v>
      </c>
      <c r="L358" s="59" t="str">
        <f>IFERROR(VLOOKUP(Tabelle32[[#This Row],[Device ID]],BOM!$B$3:$BQ$35,16,FALSE),"")</f>
        <v>EditPC-07 OUT</v>
      </c>
      <c r="M358" s="63" t="str">
        <f>IFERROR(VLOOKUP(Tabelle32[[#This Row],[Device ID]],BOM!$B$3:$BQ$35,17,FALSE),"")</f>
        <v>EDIT SUITE 07</v>
      </c>
      <c r="N358" s="59" t="str">
        <f>IFERROR(VLOOKUP(Tabelle32[[#This Row],[Device ID]],BOM!$B$3:$BQ$35,18,FALSE),"")</f>
        <v>TC.03.087 | Edit 07</v>
      </c>
      <c r="O358" s="64"/>
      <c r="P358" s="64">
        <f>IFERROR(VLOOKUP(Tabelle32[[#This Row],[Device ID]],BOM!$B$3:$BO$50,20,FALSE),"")</f>
        <v>0</v>
      </c>
      <c r="Q358" s="64">
        <f>IFERROR(VLOOKUP(Tabelle32[[#This Row],[Device ID]],BOM!$B$3:$BO$50,21,FALSE),"")</f>
        <v>1</v>
      </c>
      <c r="R358" s="64">
        <f>IFERROR(VLOOKUP(Tabelle32[[#This Row],[Device ID]],BOM!$B$3:$BO$50,22,FALSE),"")</f>
        <v>0</v>
      </c>
      <c r="S358" s="64"/>
      <c r="T358" s="64"/>
      <c r="U358" s="59" t="str">
        <f>IFERROR(VLOOKUP(Tabelle32[[#This Row],[Device ID]],BOM!$B$3:$BQ$35,25,FALSE),"")</f>
        <v>Luis/Ivo</v>
      </c>
      <c r="V358" s="59" t="str">
        <f>IFERROR(VLOOKUP(Tabelle32[[#This Row],[Device ID]],BOM!$B$3:$BQ$35,26,FALSE),"")</f>
        <v>tpco-megw-vgw103.rta.st-net.media.int</v>
      </c>
      <c r="W358" s="59" t="str">
        <f>IFERROR(VLOOKUP(Tabelle32[[#This Row],[Device ID]],BOM!$B$3:$BQ$35,27,FALSE),"")</f>
        <v>10.120.236.50</v>
      </c>
      <c r="X358" s="59" t="str">
        <f>IFERROR(VLOOKUP(Tabelle32[[#This Row],[Device ID]],BOM!$B$3:$BQ$35,28,FALSE),"")</f>
        <v>AVCoreA</v>
      </c>
      <c r="Y358" s="59" t="str">
        <f>IFERROR(VLOOKUP(Tabelle32[[#This Row],[Device ID]],BOM!$B$3:$BQ$35,29,FALSE),"")</f>
        <v>5_36_1</v>
      </c>
      <c r="Z358" s="59" t="str">
        <f>IFERROR(VLOOKUP(Tabelle32[[#This Row],[Device ID]],BOM!$B$3:$BQ$35,30,FALSE),"")</f>
        <v>tpco-megw-vgw103.rtb.st-net.media.int</v>
      </c>
      <c r="AA358" s="59" t="str">
        <f>IFERROR(VLOOKUP(Tabelle32[[#This Row],[Device ID]],BOM!$B$3:$BQ$35,31,FALSE),"")</f>
        <v>10.120.236.54</v>
      </c>
      <c r="AB358" s="59" t="str">
        <f>IFERROR(VLOOKUP(Tabelle32[[#This Row],[Device ID]],BOM!$B$3:$BQ$35,32,FALSE),"")</f>
        <v>AVCoreB</v>
      </c>
      <c r="AC358" s="59" t="str">
        <f>IFERROR(VLOOKUP(Tabelle32[[#This Row],[Device ID]],BOM!$B$3:$BQ$35,33,FALSE),"")</f>
        <v>5_36_1</v>
      </c>
      <c r="AD358" s="59" t="str">
        <f>IFERROR(VLOOKUP(Tabelle32[[#This Row],[Device ID]],BOM!$B$3:$BQ$35,34,FALSE),"")</f>
        <v>tpco-megw-vgw103.st-net.media.int</v>
      </c>
      <c r="AE358" s="59" t="str">
        <f>IFERROR(VLOOKUP(Tabelle32[[#This Row],[Device ID]],BOM!$B$3:$BQ$35,35,FALSE),"")</f>
        <v>10.120.67.141</v>
      </c>
      <c r="AF358" s="59">
        <f>IFERROR(VLOOKUP(Tabelle32[[#This Row],[Device ID]],BOM!$B$3:$BQ$35,36,FALSE),"")</f>
        <v>0</v>
      </c>
      <c r="AG358" s="59">
        <f>IFERROR(VLOOKUP(Tabelle32[[#This Row],[Device ID]],BOM!$B$3:$BQ$35,37,FALSE),"")</f>
        <v>0</v>
      </c>
      <c r="AH358" s="59"/>
      <c r="AI358" s="59"/>
      <c r="AJ358" s="59"/>
      <c r="AK358" s="59"/>
      <c r="AL358" s="59" t="str">
        <f>IFERROR(VLOOKUP(Tabelle32[[#This Row],[Device ID]],BOM!$B$3:$BQ$35,42,FALSE),"")</f>
        <v>Imagine Communications SNP</v>
      </c>
      <c r="AM358" s="59" t="str">
        <f>IFERROR(VLOOKUP(Tabelle32[[#This Row],[Device ID]],BOM!$B$3:$BQ$35,43,FALSE),"")</f>
        <v>no</v>
      </c>
      <c r="AN358" s="59" t="str">
        <f>IFERROR(VLOOKUP(Tabelle32[[#This Row],[Device ID]],BOM!$B$3:$BQ$35,44,FALSE),"")</f>
        <v>yes</v>
      </c>
      <c r="AO358" s="59" t="str">
        <f>IFERROR(VLOOKUP(Tabelle32[[#This Row],[Device ID]],BOM!$B$3:$BQ$35,45,FALSE),"")</f>
        <v>no</v>
      </c>
      <c r="AP358" s="59" t="str">
        <f>IFERROR(CONCATENATE(Tabelle32[[#This Row],[Family
GFX-Unit]]," | ",Tabelle32[[#This Row],[Label 1
GFX-Unit]]," | ",Tabelle32[[#This Row],[Attached Device if Gateway]]),"")</f>
        <v>MEDEM Edits Out | Out Edit07-16 | EditPC-07 OUT</v>
      </c>
      <c r="AQ358" s="59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 t="s">
        <v>97</v>
      </c>
      <c r="BE358" s="92"/>
      <c r="BF358" s="92"/>
      <c r="BG358" s="92"/>
      <c r="BH358" s="73" t="s">
        <v>199</v>
      </c>
      <c r="BI358" s="30" t="str">
        <f>IF(COUNTA(Tabelle32[[#This Row],[Type:Vid_1080i50]:[Type:Anc_Prot]])&gt;0,"x","")</f>
        <v>x</v>
      </c>
      <c r="BJ35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358" s="59"/>
      <c r="BL358" s="59"/>
      <c r="BM358" s="63"/>
      <c r="BN358" s="63"/>
      <c r="BO358" s="97" t="s">
        <v>732</v>
      </c>
      <c r="BP358" s="97" t="s">
        <v>762</v>
      </c>
      <c r="BQ358" s="75">
        <f>LEN(Tabelle32[[#This Row],[Label 1
GFX-Unit]])</f>
        <v>13</v>
      </c>
      <c r="BR358" s="63"/>
      <c r="BS358" s="63"/>
      <c r="BT358" s="59"/>
      <c r="BU358" s="59"/>
      <c r="BV358" s="59" t="s">
        <v>268</v>
      </c>
      <c r="BW358" s="59" t="s">
        <v>269</v>
      </c>
      <c r="BX358" s="59" t="s">
        <v>763</v>
      </c>
      <c r="BY358" s="59">
        <v>17</v>
      </c>
    </row>
    <row r="359" spans="1:77" x14ac:dyDescent="0.2">
      <c r="A359" s="58" t="str">
        <f>CONCATENATE(Tabelle32[[#This Row],[Device ID]],".",Tabelle32[[#This Row],[Streamcounter]])</f>
        <v>394.17101</v>
      </c>
      <c r="B35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VGW-103_SDI17_VIDsend_0001</v>
      </c>
      <c r="C359" s="60"/>
      <c r="D359" s="61"/>
      <c r="E359" s="62"/>
      <c r="F359" s="59" t="str">
        <f>IFERROR(VLOOKUP(Tabelle32[[#This Row],[Device ID]],BOM!$B$3:$BQ$35,16,FALSE),"")</f>
        <v>EditPC-07 OUT</v>
      </c>
      <c r="G359" s="63">
        <f>VLOOKUP(Tabelle32[[#This Row],[SDI Interface]],BOM!$A$4:$B$35,2,FALSE)</f>
        <v>394</v>
      </c>
      <c r="H359" s="59" t="str">
        <f>BOM!$C$4</f>
        <v>VGW-103</v>
      </c>
      <c r="I359" s="59" t="str">
        <f>IFERROR(VLOOKUP(Tabelle32[[#This Row],[Device ID]],BOM!$B$3:$BQ$35,12,FALSE),"")</f>
        <v>Edit Suite</v>
      </c>
      <c r="J359" s="59" t="str">
        <f>IFERROR(VLOOKUP(Tabelle32[[#This Row],[Device ID]],BOM!$B$3:$BQ$35,13,FALSE),"")</f>
        <v>TC.U1.223 | MDC</v>
      </c>
      <c r="K359" s="59" t="str">
        <f>IFERROR(VLOOKUP(Tabelle32[[#This Row],[Device ID]],BOM!$B$3:$BQ$35,14,FALSE),"")</f>
        <v>Imagine Comunications</v>
      </c>
      <c r="L359" s="59" t="str">
        <f>IFERROR(VLOOKUP(Tabelle32[[#This Row],[Device ID]],BOM!$B$3:$BQ$35,16,FALSE),"")</f>
        <v>EditPC-07 OUT</v>
      </c>
      <c r="M359" s="63" t="str">
        <f>IFERROR(VLOOKUP(Tabelle32[[#This Row],[Device ID]],BOM!$B$3:$BQ$35,17,FALSE),"")</f>
        <v>EDIT SUITE 07</v>
      </c>
      <c r="N359" s="59" t="str">
        <f>IFERROR(VLOOKUP(Tabelle32[[#This Row],[Device ID]],BOM!$B$3:$BQ$35,18,FALSE),"")</f>
        <v>TC.03.087 | Edit 07</v>
      </c>
      <c r="O359" s="64"/>
      <c r="P359" s="64">
        <f>IFERROR(VLOOKUP(Tabelle32[[#This Row],[Device ID]],BOM!$B$3:$BO$50,20,FALSE),"")</f>
        <v>0</v>
      </c>
      <c r="Q359" s="64">
        <f>IFERROR(VLOOKUP(Tabelle32[[#This Row],[Device ID]],BOM!$B$3:$BO$50,21,FALSE),"")</f>
        <v>1</v>
      </c>
      <c r="R359" s="64">
        <f>IFERROR(VLOOKUP(Tabelle32[[#This Row],[Device ID]],BOM!$B$3:$BO$50,22,FALSE),"")</f>
        <v>0</v>
      </c>
      <c r="S359" s="64"/>
      <c r="T359" s="64"/>
      <c r="U359" s="59" t="str">
        <f>IFERROR(VLOOKUP(Tabelle32[[#This Row],[Device ID]],BOM!$B$3:$BQ$35,25,FALSE),"")</f>
        <v>Luis/Ivo</v>
      </c>
      <c r="V359" s="59" t="str">
        <f>IFERROR(VLOOKUP(Tabelle32[[#This Row],[Device ID]],BOM!$B$3:$BQ$35,26,FALSE),"")</f>
        <v>tpco-megw-vgw103.rta.st-net.media.int</v>
      </c>
      <c r="W359" s="59" t="str">
        <f>IFERROR(VLOOKUP(Tabelle32[[#This Row],[Device ID]],BOM!$B$3:$BQ$35,27,FALSE),"")</f>
        <v>10.120.236.50</v>
      </c>
      <c r="X359" s="59" t="str">
        <f>IFERROR(VLOOKUP(Tabelle32[[#This Row],[Device ID]],BOM!$B$3:$BQ$35,28,FALSE),"")</f>
        <v>AVCoreA</v>
      </c>
      <c r="Y359" s="59" t="str">
        <f>IFERROR(VLOOKUP(Tabelle32[[#This Row],[Device ID]],BOM!$B$3:$BQ$35,29,FALSE),"")</f>
        <v>5_36_1</v>
      </c>
      <c r="Z359" s="59" t="str">
        <f>IFERROR(VLOOKUP(Tabelle32[[#This Row],[Device ID]],BOM!$B$3:$BQ$35,30,FALSE),"")</f>
        <v>tpco-megw-vgw103.rtb.st-net.media.int</v>
      </c>
      <c r="AA359" s="59" t="str">
        <f>IFERROR(VLOOKUP(Tabelle32[[#This Row],[Device ID]],BOM!$B$3:$BQ$35,31,FALSE),"")</f>
        <v>10.120.236.54</v>
      </c>
      <c r="AB359" s="59" t="str">
        <f>IFERROR(VLOOKUP(Tabelle32[[#This Row],[Device ID]],BOM!$B$3:$BQ$35,32,FALSE),"")</f>
        <v>AVCoreB</v>
      </c>
      <c r="AC359" s="59" t="str">
        <f>IFERROR(VLOOKUP(Tabelle32[[#This Row],[Device ID]],BOM!$B$3:$BQ$35,33,FALSE),"")</f>
        <v>5_36_1</v>
      </c>
      <c r="AD359" s="59" t="str">
        <f>IFERROR(VLOOKUP(Tabelle32[[#This Row],[Device ID]],BOM!$B$3:$BQ$35,34,FALSE),"")</f>
        <v>tpco-megw-vgw103.st-net.media.int</v>
      </c>
      <c r="AE359" s="59" t="str">
        <f>IFERROR(VLOOKUP(Tabelle32[[#This Row],[Device ID]],BOM!$B$3:$BQ$35,35,FALSE),"")</f>
        <v>10.120.67.141</v>
      </c>
      <c r="AF359" s="59">
        <f>IFERROR(VLOOKUP(Tabelle32[[#This Row],[Device ID]],BOM!$B$3:$BQ$35,36,FALSE),"")</f>
        <v>0</v>
      </c>
      <c r="AG359" s="59">
        <f>IFERROR(VLOOKUP(Tabelle32[[#This Row],[Device ID]],BOM!$B$3:$BQ$35,37,FALSE),"")</f>
        <v>0</v>
      </c>
      <c r="AH359" s="59"/>
      <c r="AI359" s="59"/>
      <c r="AJ359" s="59"/>
      <c r="AK359" s="59"/>
      <c r="AL359" s="59" t="str">
        <f>IFERROR(VLOOKUP(Tabelle32[[#This Row],[Device ID]],BOM!$B$3:$BQ$35,42,FALSE),"")</f>
        <v>Imagine Communications SNP</v>
      </c>
      <c r="AM359" s="59" t="str">
        <f>IFERROR(VLOOKUP(Tabelle32[[#This Row],[Device ID]],BOM!$B$3:$BQ$35,43,FALSE),"")</f>
        <v>no</v>
      </c>
      <c r="AN359" s="59" t="str">
        <f>IFERROR(VLOOKUP(Tabelle32[[#This Row],[Device ID]],BOM!$B$3:$BQ$35,44,FALSE),"")</f>
        <v>yes</v>
      </c>
      <c r="AO359" s="59" t="str">
        <f>IFERROR(VLOOKUP(Tabelle32[[#This Row],[Device ID]],BOM!$B$3:$BQ$35,45,FALSE),"")</f>
        <v>no</v>
      </c>
      <c r="AP359" s="59" t="str">
        <f>IFERROR(CONCATENATE(Tabelle32[[#This Row],[Family
GFX-Unit]]," | ",Tabelle32[[#This Row],[Label 1
GFX-Unit]]," | ",Tabelle32[[#This Row],[Attached Device if Gateway]]),"")</f>
        <v>MEDEM Edits Out | Out Edit07 | EditPC-07 OUT</v>
      </c>
      <c r="AQ359" s="59"/>
      <c r="AR359" s="92" t="s">
        <v>97</v>
      </c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73" t="s">
        <v>199</v>
      </c>
      <c r="BI359" s="30" t="str">
        <f>IF(COUNTA(Tabelle32[[#This Row],[Type:Vid_1080i50]:[Type:Anc_Prot]])&gt;0,"x","")</f>
        <v>x</v>
      </c>
      <c r="BJ35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359" s="59"/>
      <c r="BL359" s="59"/>
      <c r="BM359" s="63"/>
      <c r="BN359" s="63"/>
      <c r="BO359" s="97" t="s">
        <v>732</v>
      </c>
      <c r="BP359" s="97" t="s">
        <v>764</v>
      </c>
      <c r="BQ359" s="75">
        <f>LEN(Tabelle32[[#This Row],[Label 1
GFX-Unit]])</f>
        <v>10</v>
      </c>
      <c r="BR359" s="63"/>
      <c r="BS359" s="63"/>
      <c r="BT359" s="59"/>
      <c r="BU359" s="59"/>
      <c r="BV359" s="59" t="s">
        <v>272</v>
      </c>
      <c r="BW359" s="59" t="s">
        <v>273</v>
      </c>
      <c r="BX359" s="59" t="s">
        <v>765</v>
      </c>
      <c r="BY359" s="59">
        <v>17</v>
      </c>
    </row>
    <row r="360" spans="1:77" x14ac:dyDescent="0.2">
      <c r="A360" s="58" t="str">
        <f>CONCATENATE(Tabelle32[[#This Row],[Device ID]],".",Tabelle32[[#This Row],[Streamcounter]])</f>
        <v>395.18301</v>
      </c>
      <c r="B36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VGW-103_SDI18_ANCsend_0001</v>
      </c>
      <c r="C360" s="60"/>
      <c r="D360" s="61"/>
      <c r="E360" s="62"/>
      <c r="F360" s="59" t="str">
        <f>IFERROR(VLOOKUP(Tabelle32[[#This Row],[Device ID]],BOM!$B$3:$BQ$35,16,FALSE),"")</f>
        <v>EditPC-08 OUT</v>
      </c>
      <c r="G360" s="63">
        <f>VLOOKUP(Tabelle32[[#This Row],[SDI Interface]],BOM!$A$4:$B$35,2,FALSE)</f>
        <v>395</v>
      </c>
      <c r="H360" s="59" t="str">
        <f>BOM!$C$4</f>
        <v>VGW-103</v>
      </c>
      <c r="I360" s="59" t="str">
        <f>IFERROR(VLOOKUP(Tabelle32[[#This Row],[Device ID]],BOM!$B$3:$BQ$35,12,FALSE),"")</f>
        <v>Edit Suite</v>
      </c>
      <c r="J360" s="59" t="str">
        <f>IFERROR(VLOOKUP(Tabelle32[[#This Row],[Device ID]],BOM!$B$3:$BQ$35,13,FALSE),"")</f>
        <v>TC.U1.223 | MDC</v>
      </c>
      <c r="K360" s="59" t="str">
        <f>IFERROR(VLOOKUP(Tabelle32[[#This Row],[Device ID]],BOM!$B$3:$BQ$35,14,FALSE),"")</f>
        <v>Imagine Comunications</v>
      </c>
      <c r="L360" s="59" t="str">
        <f>IFERROR(VLOOKUP(Tabelle32[[#This Row],[Device ID]],BOM!$B$3:$BQ$35,16,FALSE),"")</f>
        <v>EditPC-08 OUT</v>
      </c>
      <c r="M360" s="63" t="str">
        <f>IFERROR(VLOOKUP(Tabelle32[[#This Row],[Device ID]],BOM!$B$3:$BQ$35,17,FALSE),"")</f>
        <v>EDIT SUITE 08</v>
      </c>
      <c r="N360" s="59" t="str">
        <f>IFERROR(VLOOKUP(Tabelle32[[#This Row],[Device ID]],BOM!$B$3:$BQ$35,18,FALSE),"")</f>
        <v>TC.03.068 | Edit 08</v>
      </c>
      <c r="O360" s="64"/>
      <c r="P360" s="64">
        <f>IFERROR(VLOOKUP(Tabelle32[[#This Row],[Device ID]],BOM!$B$3:$BO$50,20,FALSE),"")</f>
        <v>0</v>
      </c>
      <c r="Q360" s="64">
        <f>IFERROR(VLOOKUP(Tabelle32[[#This Row],[Device ID]],BOM!$B$3:$BO$50,21,FALSE),"")</f>
        <v>1</v>
      </c>
      <c r="R360" s="64">
        <f>IFERROR(VLOOKUP(Tabelle32[[#This Row],[Device ID]],BOM!$B$3:$BO$50,22,FALSE),"")</f>
        <v>0</v>
      </c>
      <c r="S360" s="64"/>
      <c r="T360" s="64"/>
      <c r="U360" s="59" t="str">
        <f>IFERROR(VLOOKUP(Tabelle32[[#This Row],[Device ID]],BOM!$B$3:$BQ$35,25,FALSE),"")</f>
        <v>Luis/Ivo</v>
      </c>
      <c r="V360" s="59" t="str">
        <f>IFERROR(VLOOKUP(Tabelle32[[#This Row],[Device ID]],BOM!$B$3:$BQ$35,26,FALSE),"")</f>
        <v>tpco-megw-vgw103.rta.st-net.media.int</v>
      </c>
      <c r="W360" s="59" t="str">
        <f>IFERROR(VLOOKUP(Tabelle32[[#This Row],[Device ID]],BOM!$B$3:$BQ$35,27,FALSE),"")</f>
        <v>10.120.236.50</v>
      </c>
      <c r="X360" s="59" t="str">
        <f>IFERROR(VLOOKUP(Tabelle32[[#This Row],[Device ID]],BOM!$B$3:$BQ$35,28,FALSE),"")</f>
        <v>AVCoreA</v>
      </c>
      <c r="Y360" s="59" t="str">
        <f>IFERROR(VLOOKUP(Tabelle32[[#This Row],[Device ID]],BOM!$B$3:$BQ$35,29,FALSE),"")</f>
        <v>5_36_1</v>
      </c>
      <c r="Z360" s="59" t="str">
        <f>IFERROR(VLOOKUP(Tabelle32[[#This Row],[Device ID]],BOM!$B$3:$BQ$35,30,FALSE),"")</f>
        <v>tpco-megw-vgw103.rtb.st-net.media.int</v>
      </c>
      <c r="AA360" s="59" t="str">
        <f>IFERROR(VLOOKUP(Tabelle32[[#This Row],[Device ID]],BOM!$B$3:$BQ$35,31,FALSE),"")</f>
        <v>10.120.236.54</v>
      </c>
      <c r="AB360" s="59" t="str">
        <f>IFERROR(VLOOKUP(Tabelle32[[#This Row],[Device ID]],BOM!$B$3:$BQ$35,32,FALSE),"")</f>
        <v>AVCoreB</v>
      </c>
      <c r="AC360" s="59" t="str">
        <f>IFERROR(VLOOKUP(Tabelle32[[#This Row],[Device ID]],BOM!$B$3:$BQ$35,33,FALSE),"")</f>
        <v>5_36_1</v>
      </c>
      <c r="AD360" s="59" t="str">
        <f>IFERROR(VLOOKUP(Tabelle32[[#This Row],[Device ID]],BOM!$B$3:$BQ$35,34,FALSE),"")</f>
        <v>tpco-megw-vgw103.st-net.media.int</v>
      </c>
      <c r="AE360" s="59" t="str">
        <f>IFERROR(VLOOKUP(Tabelle32[[#This Row],[Device ID]],BOM!$B$3:$BQ$35,35,FALSE),"")</f>
        <v>10.120.67.141</v>
      </c>
      <c r="AF360" s="59">
        <f>IFERROR(VLOOKUP(Tabelle32[[#This Row],[Device ID]],BOM!$B$3:$BQ$35,36,FALSE),"")</f>
        <v>0</v>
      </c>
      <c r="AG360" s="59">
        <f>IFERROR(VLOOKUP(Tabelle32[[#This Row],[Device ID]],BOM!$B$3:$BQ$35,37,FALSE),"")</f>
        <v>0</v>
      </c>
      <c r="AH360" s="59"/>
      <c r="AI360" s="59"/>
      <c r="AJ360" s="59"/>
      <c r="AK360" s="59"/>
      <c r="AL360" s="59" t="str">
        <f>IFERROR(VLOOKUP(Tabelle32[[#This Row],[Device ID]],BOM!$B$3:$BQ$35,42,FALSE),"")</f>
        <v>Imagine Communications SNP</v>
      </c>
      <c r="AM360" s="59" t="str">
        <f>IFERROR(VLOOKUP(Tabelle32[[#This Row],[Device ID]],BOM!$B$3:$BQ$35,43,FALSE),"")</f>
        <v>no</v>
      </c>
      <c r="AN360" s="59" t="str">
        <f>IFERROR(VLOOKUP(Tabelle32[[#This Row],[Device ID]],BOM!$B$3:$BQ$35,44,FALSE),"")</f>
        <v>yes</v>
      </c>
      <c r="AO360" s="59" t="str">
        <f>IFERROR(VLOOKUP(Tabelle32[[#This Row],[Device ID]],BOM!$B$3:$BQ$35,45,FALSE),"")</f>
        <v>no</v>
      </c>
      <c r="AP360" s="59" t="str">
        <f>IFERROR(CONCATENATE(Tabelle32[[#This Row],[Family
GFX-Unit]]," | ",Tabelle32[[#This Row],[Label 1
GFX-Unit]]," | ",Tabelle32[[#This Row],[Attached Device if Gateway]]),"")</f>
        <v>MEDEM Edits Out | Out Edit08-ANC1 | EditPC-08 OUT</v>
      </c>
      <c r="AQ360" s="5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  <c r="BG360" s="99" t="s">
        <v>97</v>
      </c>
      <c r="BH360" s="73" t="s">
        <v>199</v>
      </c>
      <c r="BI360" s="30" t="str">
        <f>IF(COUNTA(Tabelle32[[#This Row],[Type:Vid_1080i50]:[Type:Anc_Prot]])&gt;0,"x","")</f>
        <v>x</v>
      </c>
      <c r="BJ36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360" s="59"/>
      <c r="BL360" s="59"/>
      <c r="BM360" s="63"/>
      <c r="BN360" s="63"/>
      <c r="BO360" s="97" t="s">
        <v>732</v>
      </c>
      <c r="BP360" s="97" t="s">
        <v>766</v>
      </c>
      <c r="BQ360" s="75">
        <f>LEN(Tabelle32[[#This Row],[Label 1
GFX-Unit]])</f>
        <v>15</v>
      </c>
      <c r="BR360" s="63"/>
      <c r="BS360" s="63"/>
      <c r="BT360" s="59"/>
      <c r="BU360" s="59"/>
      <c r="BV360" s="59" t="s">
        <v>202</v>
      </c>
      <c r="BW360" s="59" t="s">
        <v>203</v>
      </c>
      <c r="BX360" s="59" t="s">
        <v>767</v>
      </c>
      <c r="BY360" s="59">
        <v>18</v>
      </c>
    </row>
    <row r="361" spans="1:77" hidden="1" x14ac:dyDescent="0.2">
      <c r="A361" s="58" t="str">
        <f>CONCATENATE(Tabelle32[[#This Row],[Device ID]],".",Tabelle32[[#This Row],[Streamcounter]])</f>
        <v>395.18302</v>
      </c>
      <c r="B36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VGW-103_SDI18_ANCsend_0002</v>
      </c>
      <c r="C361" s="60"/>
      <c r="D361" s="61"/>
      <c r="E361" s="62"/>
      <c r="F361" s="59" t="str">
        <f>IFERROR(VLOOKUP(Tabelle32[[#This Row],[Device ID]],BOM!$B$3:$BQ$35,16,FALSE),"")</f>
        <v>EditPC-08 OUT</v>
      </c>
      <c r="G361" s="63">
        <f>VLOOKUP(Tabelle32[[#This Row],[SDI Interface]],BOM!$A$4:$B$35,2,FALSE)</f>
        <v>395</v>
      </c>
      <c r="H361" s="59" t="str">
        <f>BOM!$C$4</f>
        <v>VGW-103</v>
      </c>
      <c r="I361" s="59" t="str">
        <f>IFERROR(VLOOKUP(Tabelle32[[#This Row],[Device ID]],BOM!$B$3:$BQ$35,12,FALSE),"")</f>
        <v>Edit Suite</v>
      </c>
      <c r="J361" s="59" t="str">
        <f>IFERROR(VLOOKUP(Tabelle32[[#This Row],[Device ID]],BOM!$B$3:$BQ$35,13,FALSE),"")</f>
        <v>TC.U1.223 | MDC</v>
      </c>
      <c r="K361" s="59" t="str">
        <f>IFERROR(VLOOKUP(Tabelle32[[#This Row],[Device ID]],BOM!$B$3:$BQ$35,14,FALSE),"")</f>
        <v>Imagine Comunications</v>
      </c>
      <c r="L361" s="59" t="str">
        <f>IFERROR(VLOOKUP(Tabelle32[[#This Row],[Device ID]],BOM!$B$3:$BQ$35,16,FALSE),"")</f>
        <v>EditPC-08 OUT</v>
      </c>
      <c r="M361" s="63" t="str">
        <f>IFERROR(VLOOKUP(Tabelle32[[#This Row],[Device ID]],BOM!$B$3:$BQ$35,17,FALSE),"")</f>
        <v>EDIT SUITE 08</v>
      </c>
      <c r="N361" s="59" t="str">
        <f>IFERROR(VLOOKUP(Tabelle32[[#This Row],[Device ID]],BOM!$B$3:$BQ$35,18,FALSE),"")</f>
        <v>TC.03.068 | Edit 08</v>
      </c>
      <c r="O361" s="64"/>
      <c r="P361" s="64">
        <f>IFERROR(VLOOKUP(Tabelle32[[#This Row],[Device ID]],BOM!$B$3:$BO$50,20,FALSE),"")</f>
        <v>0</v>
      </c>
      <c r="Q361" s="64">
        <f>IFERROR(VLOOKUP(Tabelle32[[#This Row],[Device ID]],BOM!$B$3:$BO$50,21,FALSE),"")</f>
        <v>1</v>
      </c>
      <c r="R361" s="64">
        <f>IFERROR(VLOOKUP(Tabelle32[[#This Row],[Device ID]],BOM!$B$3:$BO$50,22,FALSE),"")</f>
        <v>0</v>
      </c>
      <c r="S361" s="64"/>
      <c r="T361" s="64"/>
      <c r="U361" s="59" t="str">
        <f>IFERROR(VLOOKUP(Tabelle32[[#This Row],[Device ID]],BOM!$B$3:$BQ$35,25,FALSE),"")</f>
        <v>Luis/Ivo</v>
      </c>
      <c r="V361" s="59" t="str">
        <f>IFERROR(VLOOKUP(Tabelle32[[#This Row],[Device ID]],BOM!$B$3:$BQ$35,26,FALSE),"")</f>
        <v>tpco-megw-vgw103.rta.st-net.media.int</v>
      </c>
      <c r="W361" s="59" t="str">
        <f>IFERROR(VLOOKUP(Tabelle32[[#This Row],[Device ID]],BOM!$B$3:$BQ$35,27,FALSE),"")</f>
        <v>10.120.236.50</v>
      </c>
      <c r="X361" s="59" t="str">
        <f>IFERROR(VLOOKUP(Tabelle32[[#This Row],[Device ID]],BOM!$B$3:$BQ$35,28,FALSE),"")</f>
        <v>AVCoreA</v>
      </c>
      <c r="Y361" s="59" t="str">
        <f>IFERROR(VLOOKUP(Tabelle32[[#This Row],[Device ID]],BOM!$B$3:$BQ$35,29,FALSE),"")</f>
        <v>5_36_1</v>
      </c>
      <c r="Z361" s="59" t="str">
        <f>IFERROR(VLOOKUP(Tabelle32[[#This Row],[Device ID]],BOM!$B$3:$BQ$35,30,FALSE),"")</f>
        <v>tpco-megw-vgw103.rtb.st-net.media.int</v>
      </c>
      <c r="AA361" s="59" t="str">
        <f>IFERROR(VLOOKUP(Tabelle32[[#This Row],[Device ID]],BOM!$B$3:$BQ$35,31,FALSE),"")</f>
        <v>10.120.236.54</v>
      </c>
      <c r="AB361" s="59" t="str">
        <f>IFERROR(VLOOKUP(Tabelle32[[#This Row],[Device ID]],BOM!$B$3:$BQ$35,32,FALSE),"")</f>
        <v>AVCoreB</v>
      </c>
      <c r="AC361" s="59" t="str">
        <f>IFERROR(VLOOKUP(Tabelle32[[#This Row],[Device ID]],BOM!$B$3:$BQ$35,33,FALSE),"")</f>
        <v>5_36_1</v>
      </c>
      <c r="AD361" s="59" t="str">
        <f>IFERROR(VLOOKUP(Tabelle32[[#This Row],[Device ID]],BOM!$B$3:$BQ$35,34,FALSE),"")</f>
        <v>tpco-megw-vgw103.st-net.media.int</v>
      </c>
      <c r="AE361" s="59" t="str">
        <f>IFERROR(VLOOKUP(Tabelle32[[#This Row],[Device ID]],BOM!$B$3:$BQ$35,35,FALSE),"")</f>
        <v>10.120.67.141</v>
      </c>
      <c r="AF361" s="59">
        <f>IFERROR(VLOOKUP(Tabelle32[[#This Row],[Device ID]],BOM!$B$3:$BQ$35,36,FALSE),"")</f>
        <v>0</v>
      </c>
      <c r="AG361" s="59">
        <f>IFERROR(VLOOKUP(Tabelle32[[#This Row],[Device ID]],BOM!$B$3:$BQ$35,37,FALSE),"")</f>
        <v>0</v>
      </c>
      <c r="AH361" s="59"/>
      <c r="AI361" s="59"/>
      <c r="AJ361" s="59"/>
      <c r="AK361" s="59"/>
      <c r="AL361" s="59" t="str">
        <f>IFERROR(VLOOKUP(Tabelle32[[#This Row],[Device ID]],BOM!$B$3:$BQ$35,42,FALSE),"")</f>
        <v>Imagine Communications SNP</v>
      </c>
      <c r="AM361" s="59" t="str">
        <f>IFERROR(VLOOKUP(Tabelle32[[#This Row],[Device ID]],BOM!$B$3:$BQ$35,43,FALSE),"")</f>
        <v>no</v>
      </c>
      <c r="AN361" s="59" t="str">
        <f>IFERROR(VLOOKUP(Tabelle32[[#This Row],[Device ID]],BOM!$B$3:$BQ$35,44,FALSE),"")</f>
        <v>yes</v>
      </c>
      <c r="AO361" s="59" t="str">
        <f>IFERROR(VLOOKUP(Tabelle32[[#This Row],[Device ID]],BOM!$B$3:$BQ$35,45,FALSE),"")</f>
        <v>no</v>
      </c>
      <c r="AP361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61" s="59"/>
      <c r="AR361" s="90"/>
      <c r="AS361" s="90"/>
      <c r="AT361" s="90"/>
      <c r="AU361" s="90"/>
      <c r="AV361" s="90"/>
      <c r="AW361" s="90"/>
      <c r="AX361" s="90"/>
      <c r="AY361" s="90"/>
      <c r="AZ361" s="90"/>
      <c r="BA361" s="90"/>
      <c r="BB361" s="90"/>
      <c r="BC361" s="90"/>
      <c r="BD361" s="90"/>
      <c r="BE361" s="90"/>
      <c r="BF361" s="90"/>
      <c r="BG361" s="90"/>
      <c r="BH361" s="73" t="s">
        <v>199</v>
      </c>
      <c r="BI361" s="30" t="str">
        <f>IF(COUNTA(Tabelle32[[#This Row],[Type:Vid_1080i50]:[Type:Anc_Prot]])&gt;0,"x","")</f>
        <v/>
      </c>
      <c r="BJ36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61" s="59"/>
      <c r="BL361" s="59"/>
      <c r="BM361" s="63"/>
      <c r="BN361" s="63"/>
      <c r="BO361" s="96"/>
      <c r="BP361" s="96"/>
      <c r="BQ361" s="75">
        <f>LEN(Tabelle32[[#This Row],[Label 1
GFX-Unit]])</f>
        <v>0</v>
      </c>
      <c r="BR361" s="63"/>
      <c r="BS361" s="63"/>
      <c r="BT361" s="59"/>
      <c r="BU361" s="59"/>
      <c r="BV361" s="59" t="s">
        <v>205</v>
      </c>
      <c r="BW361" s="59" t="s">
        <v>206</v>
      </c>
      <c r="BX361" s="59" t="s">
        <v>768</v>
      </c>
      <c r="BY361" s="59">
        <v>18</v>
      </c>
    </row>
    <row r="362" spans="1:77" hidden="1" x14ac:dyDescent="0.2">
      <c r="A362" s="58" t="str">
        <f>CONCATENATE(Tabelle32[[#This Row],[Device ID]],".",Tabelle32[[#This Row],[Streamcounter]])</f>
        <v>395.18303</v>
      </c>
      <c r="B36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VGW-103_SDI18_ANCsend_0003</v>
      </c>
      <c r="C362" s="60"/>
      <c r="D362" s="61"/>
      <c r="E362" s="62"/>
      <c r="F362" s="59" t="str">
        <f>IFERROR(VLOOKUP(Tabelle32[[#This Row],[Device ID]],BOM!$B$3:$BQ$35,16,FALSE),"")</f>
        <v>EditPC-08 OUT</v>
      </c>
      <c r="G362" s="63">
        <f>VLOOKUP(Tabelle32[[#This Row],[SDI Interface]],BOM!$A$4:$B$35,2,FALSE)</f>
        <v>395</v>
      </c>
      <c r="H362" s="59" t="str">
        <f>BOM!$C$4</f>
        <v>VGW-103</v>
      </c>
      <c r="I362" s="59" t="str">
        <f>IFERROR(VLOOKUP(Tabelle32[[#This Row],[Device ID]],BOM!$B$3:$BQ$35,12,FALSE),"")</f>
        <v>Edit Suite</v>
      </c>
      <c r="J362" s="59" t="str">
        <f>IFERROR(VLOOKUP(Tabelle32[[#This Row],[Device ID]],BOM!$B$3:$BQ$35,13,FALSE),"")</f>
        <v>TC.U1.223 | MDC</v>
      </c>
      <c r="K362" s="59" t="str">
        <f>IFERROR(VLOOKUP(Tabelle32[[#This Row],[Device ID]],BOM!$B$3:$BQ$35,14,FALSE),"")</f>
        <v>Imagine Comunications</v>
      </c>
      <c r="L362" s="59" t="str">
        <f>IFERROR(VLOOKUP(Tabelle32[[#This Row],[Device ID]],BOM!$B$3:$BQ$35,16,FALSE),"")</f>
        <v>EditPC-08 OUT</v>
      </c>
      <c r="M362" s="63" t="str">
        <f>IFERROR(VLOOKUP(Tabelle32[[#This Row],[Device ID]],BOM!$B$3:$BQ$35,17,FALSE),"")</f>
        <v>EDIT SUITE 08</v>
      </c>
      <c r="N362" s="59" t="str">
        <f>IFERROR(VLOOKUP(Tabelle32[[#This Row],[Device ID]],BOM!$B$3:$BQ$35,18,FALSE),"")</f>
        <v>TC.03.068 | Edit 08</v>
      </c>
      <c r="O362" s="64"/>
      <c r="P362" s="64">
        <f>IFERROR(VLOOKUP(Tabelle32[[#This Row],[Device ID]],BOM!$B$3:$BO$50,20,FALSE),"")</f>
        <v>0</v>
      </c>
      <c r="Q362" s="64">
        <f>IFERROR(VLOOKUP(Tabelle32[[#This Row],[Device ID]],BOM!$B$3:$BO$50,21,FALSE),"")</f>
        <v>1</v>
      </c>
      <c r="R362" s="64">
        <f>IFERROR(VLOOKUP(Tabelle32[[#This Row],[Device ID]],BOM!$B$3:$BO$50,22,FALSE),"")</f>
        <v>0</v>
      </c>
      <c r="S362" s="64"/>
      <c r="T362" s="64"/>
      <c r="U362" s="59" t="str">
        <f>IFERROR(VLOOKUP(Tabelle32[[#This Row],[Device ID]],BOM!$B$3:$BQ$35,25,FALSE),"")</f>
        <v>Luis/Ivo</v>
      </c>
      <c r="V362" s="59" t="str">
        <f>IFERROR(VLOOKUP(Tabelle32[[#This Row],[Device ID]],BOM!$B$3:$BQ$35,26,FALSE),"")</f>
        <v>tpco-megw-vgw103.rta.st-net.media.int</v>
      </c>
      <c r="W362" s="59" t="str">
        <f>IFERROR(VLOOKUP(Tabelle32[[#This Row],[Device ID]],BOM!$B$3:$BQ$35,27,FALSE),"")</f>
        <v>10.120.236.50</v>
      </c>
      <c r="X362" s="59" t="str">
        <f>IFERROR(VLOOKUP(Tabelle32[[#This Row],[Device ID]],BOM!$B$3:$BQ$35,28,FALSE),"")</f>
        <v>AVCoreA</v>
      </c>
      <c r="Y362" s="59" t="str">
        <f>IFERROR(VLOOKUP(Tabelle32[[#This Row],[Device ID]],BOM!$B$3:$BQ$35,29,FALSE),"")</f>
        <v>5_36_1</v>
      </c>
      <c r="Z362" s="59" t="str">
        <f>IFERROR(VLOOKUP(Tabelle32[[#This Row],[Device ID]],BOM!$B$3:$BQ$35,30,FALSE),"")</f>
        <v>tpco-megw-vgw103.rtb.st-net.media.int</v>
      </c>
      <c r="AA362" s="59" t="str">
        <f>IFERROR(VLOOKUP(Tabelle32[[#This Row],[Device ID]],BOM!$B$3:$BQ$35,31,FALSE),"")</f>
        <v>10.120.236.54</v>
      </c>
      <c r="AB362" s="59" t="str">
        <f>IFERROR(VLOOKUP(Tabelle32[[#This Row],[Device ID]],BOM!$B$3:$BQ$35,32,FALSE),"")</f>
        <v>AVCoreB</v>
      </c>
      <c r="AC362" s="59" t="str">
        <f>IFERROR(VLOOKUP(Tabelle32[[#This Row],[Device ID]],BOM!$B$3:$BQ$35,33,FALSE),"")</f>
        <v>5_36_1</v>
      </c>
      <c r="AD362" s="59" t="str">
        <f>IFERROR(VLOOKUP(Tabelle32[[#This Row],[Device ID]],BOM!$B$3:$BQ$35,34,FALSE),"")</f>
        <v>tpco-megw-vgw103.st-net.media.int</v>
      </c>
      <c r="AE362" s="59" t="str">
        <f>IFERROR(VLOOKUP(Tabelle32[[#This Row],[Device ID]],BOM!$B$3:$BQ$35,35,FALSE),"")</f>
        <v>10.120.67.141</v>
      </c>
      <c r="AF362" s="59">
        <f>IFERROR(VLOOKUP(Tabelle32[[#This Row],[Device ID]],BOM!$B$3:$BQ$35,36,FALSE),"")</f>
        <v>0</v>
      </c>
      <c r="AG362" s="59">
        <f>IFERROR(VLOOKUP(Tabelle32[[#This Row],[Device ID]],BOM!$B$3:$BQ$35,37,FALSE),"")</f>
        <v>0</v>
      </c>
      <c r="AH362" s="59"/>
      <c r="AI362" s="59"/>
      <c r="AJ362" s="59"/>
      <c r="AK362" s="59"/>
      <c r="AL362" s="59" t="str">
        <f>IFERROR(VLOOKUP(Tabelle32[[#This Row],[Device ID]],BOM!$B$3:$BQ$35,42,FALSE),"")</f>
        <v>Imagine Communications SNP</v>
      </c>
      <c r="AM362" s="59" t="str">
        <f>IFERROR(VLOOKUP(Tabelle32[[#This Row],[Device ID]],BOM!$B$3:$BQ$35,43,FALSE),"")</f>
        <v>no</v>
      </c>
      <c r="AN362" s="59" t="str">
        <f>IFERROR(VLOOKUP(Tabelle32[[#This Row],[Device ID]],BOM!$B$3:$BQ$35,44,FALSE),"")</f>
        <v>yes</v>
      </c>
      <c r="AO362" s="59" t="str">
        <f>IFERROR(VLOOKUP(Tabelle32[[#This Row],[Device ID]],BOM!$B$3:$BQ$35,45,FALSE),"")</f>
        <v>no</v>
      </c>
      <c r="AP362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62" s="59"/>
      <c r="AR362" s="90"/>
      <c r="AS362" s="90"/>
      <c r="AT362" s="90"/>
      <c r="AU362" s="90"/>
      <c r="AV362" s="90"/>
      <c r="AW362" s="90"/>
      <c r="AX362" s="90"/>
      <c r="AY362" s="90"/>
      <c r="AZ362" s="90"/>
      <c r="BA362" s="90"/>
      <c r="BB362" s="90"/>
      <c r="BC362" s="90"/>
      <c r="BD362" s="90"/>
      <c r="BE362" s="90"/>
      <c r="BF362" s="90"/>
      <c r="BG362" s="90"/>
      <c r="BH362" s="73" t="s">
        <v>199</v>
      </c>
      <c r="BI362" s="30" t="str">
        <f>IF(COUNTA(Tabelle32[[#This Row],[Type:Vid_1080i50]:[Type:Anc_Prot]])&gt;0,"x","")</f>
        <v/>
      </c>
      <c r="BJ36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62" s="59"/>
      <c r="BL362" s="59"/>
      <c r="BM362" s="63"/>
      <c r="BN362" s="63"/>
      <c r="BO362" s="96"/>
      <c r="BP362" s="96"/>
      <c r="BQ362" s="75">
        <f>LEN(Tabelle32[[#This Row],[Label 1
GFX-Unit]])</f>
        <v>0</v>
      </c>
      <c r="BR362" s="63"/>
      <c r="BS362" s="63"/>
      <c r="BT362" s="59"/>
      <c r="BU362" s="59"/>
      <c r="BV362" s="59" t="s">
        <v>208</v>
      </c>
      <c r="BW362" s="59" t="s">
        <v>209</v>
      </c>
      <c r="BX362" s="59" t="s">
        <v>769</v>
      </c>
      <c r="BY362" s="59">
        <v>18</v>
      </c>
    </row>
    <row r="363" spans="1:77" hidden="1" x14ac:dyDescent="0.2">
      <c r="A363" s="58" t="str">
        <f>CONCATENATE(Tabelle32[[#This Row],[Device ID]],".",Tabelle32[[#This Row],[Streamcounter]])</f>
        <v>395.18304</v>
      </c>
      <c r="B36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VGW-103_SDI18_ANCsend_0004</v>
      </c>
      <c r="C363" s="60"/>
      <c r="D363" s="61"/>
      <c r="E363" s="62"/>
      <c r="F363" s="59" t="str">
        <f>IFERROR(VLOOKUP(Tabelle32[[#This Row],[Device ID]],BOM!$B$3:$BQ$35,16,FALSE),"")</f>
        <v>EditPC-08 OUT</v>
      </c>
      <c r="G363" s="63">
        <f>VLOOKUP(Tabelle32[[#This Row],[SDI Interface]],BOM!$A$4:$B$35,2,FALSE)</f>
        <v>395</v>
      </c>
      <c r="H363" s="59" t="str">
        <f>BOM!$C$4</f>
        <v>VGW-103</v>
      </c>
      <c r="I363" s="59" t="str">
        <f>IFERROR(VLOOKUP(Tabelle32[[#This Row],[Device ID]],BOM!$B$3:$BQ$35,12,FALSE),"")</f>
        <v>Edit Suite</v>
      </c>
      <c r="J363" s="59" t="str">
        <f>IFERROR(VLOOKUP(Tabelle32[[#This Row],[Device ID]],BOM!$B$3:$BQ$35,13,FALSE),"")</f>
        <v>TC.U1.223 | MDC</v>
      </c>
      <c r="K363" s="59" t="str">
        <f>IFERROR(VLOOKUP(Tabelle32[[#This Row],[Device ID]],BOM!$B$3:$BQ$35,14,FALSE),"")</f>
        <v>Imagine Comunications</v>
      </c>
      <c r="L363" s="59" t="str">
        <f>IFERROR(VLOOKUP(Tabelle32[[#This Row],[Device ID]],BOM!$B$3:$BQ$35,16,FALSE),"")</f>
        <v>EditPC-08 OUT</v>
      </c>
      <c r="M363" s="63" t="str">
        <f>IFERROR(VLOOKUP(Tabelle32[[#This Row],[Device ID]],BOM!$B$3:$BQ$35,17,FALSE),"")</f>
        <v>EDIT SUITE 08</v>
      </c>
      <c r="N363" s="59" t="str">
        <f>IFERROR(VLOOKUP(Tabelle32[[#This Row],[Device ID]],BOM!$B$3:$BQ$35,18,FALSE),"")</f>
        <v>TC.03.068 | Edit 08</v>
      </c>
      <c r="O363" s="64"/>
      <c r="P363" s="64">
        <f>IFERROR(VLOOKUP(Tabelle32[[#This Row],[Device ID]],BOM!$B$3:$BO$50,20,FALSE),"")</f>
        <v>0</v>
      </c>
      <c r="Q363" s="64">
        <f>IFERROR(VLOOKUP(Tabelle32[[#This Row],[Device ID]],BOM!$B$3:$BO$50,21,FALSE),"")</f>
        <v>1</v>
      </c>
      <c r="R363" s="64">
        <f>IFERROR(VLOOKUP(Tabelle32[[#This Row],[Device ID]],BOM!$B$3:$BO$50,22,FALSE),"")</f>
        <v>0</v>
      </c>
      <c r="S363" s="64"/>
      <c r="T363" s="64"/>
      <c r="U363" s="59" t="str">
        <f>IFERROR(VLOOKUP(Tabelle32[[#This Row],[Device ID]],BOM!$B$3:$BQ$35,25,FALSE),"")</f>
        <v>Luis/Ivo</v>
      </c>
      <c r="V363" s="59" t="str">
        <f>IFERROR(VLOOKUP(Tabelle32[[#This Row],[Device ID]],BOM!$B$3:$BQ$35,26,FALSE),"")</f>
        <v>tpco-megw-vgw103.rta.st-net.media.int</v>
      </c>
      <c r="W363" s="59" t="str">
        <f>IFERROR(VLOOKUP(Tabelle32[[#This Row],[Device ID]],BOM!$B$3:$BQ$35,27,FALSE),"")</f>
        <v>10.120.236.50</v>
      </c>
      <c r="X363" s="59" t="str">
        <f>IFERROR(VLOOKUP(Tabelle32[[#This Row],[Device ID]],BOM!$B$3:$BQ$35,28,FALSE),"")</f>
        <v>AVCoreA</v>
      </c>
      <c r="Y363" s="59" t="str">
        <f>IFERROR(VLOOKUP(Tabelle32[[#This Row],[Device ID]],BOM!$B$3:$BQ$35,29,FALSE),"")</f>
        <v>5_36_1</v>
      </c>
      <c r="Z363" s="59" t="str">
        <f>IFERROR(VLOOKUP(Tabelle32[[#This Row],[Device ID]],BOM!$B$3:$BQ$35,30,FALSE),"")</f>
        <v>tpco-megw-vgw103.rtb.st-net.media.int</v>
      </c>
      <c r="AA363" s="59" t="str">
        <f>IFERROR(VLOOKUP(Tabelle32[[#This Row],[Device ID]],BOM!$B$3:$BQ$35,31,FALSE),"")</f>
        <v>10.120.236.54</v>
      </c>
      <c r="AB363" s="59" t="str">
        <f>IFERROR(VLOOKUP(Tabelle32[[#This Row],[Device ID]],BOM!$B$3:$BQ$35,32,FALSE),"")</f>
        <v>AVCoreB</v>
      </c>
      <c r="AC363" s="59" t="str">
        <f>IFERROR(VLOOKUP(Tabelle32[[#This Row],[Device ID]],BOM!$B$3:$BQ$35,33,FALSE),"")</f>
        <v>5_36_1</v>
      </c>
      <c r="AD363" s="59" t="str">
        <f>IFERROR(VLOOKUP(Tabelle32[[#This Row],[Device ID]],BOM!$B$3:$BQ$35,34,FALSE),"")</f>
        <v>tpco-megw-vgw103.st-net.media.int</v>
      </c>
      <c r="AE363" s="59" t="str">
        <f>IFERROR(VLOOKUP(Tabelle32[[#This Row],[Device ID]],BOM!$B$3:$BQ$35,35,FALSE),"")</f>
        <v>10.120.67.141</v>
      </c>
      <c r="AF363" s="59">
        <f>IFERROR(VLOOKUP(Tabelle32[[#This Row],[Device ID]],BOM!$B$3:$BQ$35,36,FALSE),"")</f>
        <v>0</v>
      </c>
      <c r="AG363" s="59">
        <f>IFERROR(VLOOKUP(Tabelle32[[#This Row],[Device ID]],BOM!$B$3:$BQ$35,37,FALSE),"")</f>
        <v>0</v>
      </c>
      <c r="AH363" s="59"/>
      <c r="AI363" s="59"/>
      <c r="AJ363" s="59"/>
      <c r="AK363" s="59"/>
      <c r="AL363" s="59" t="str">
        <f>IFERROR(VLOOKUP(Tabelle32[[#This Row],[Device ID]],BOM!$B$3:$BQ$35,42,FALSE),"")</f>
        <v>Imagine Communications SNP</v>
      </c>
      <c r="AM363" s="59" t="str">
        <f>IFERROR(VLOOKUP(Tabelle32[[#This Row],[Device ID]],BOM!$B$3:$BQ$35,43,FALSE),"")</f>
        <v>no</v>
      </c>
      <c r="AN363" s="59" t="str">
        <f>IFERROR(VLOOKUP(Tabelle32[[#This Row],[Device ID]],BOM!$B$3:$BQ$35,44,FALSE),"")</f>
        <v>yes</v>
      </c>
      <c r="AO363" s="59" t="str">
        <f>IFERROR(VLOOKUP(Tabelle32[[#This Row],[Device ID]],BOM!$B$3:$BQ$35,45,FALSE),"")</f>
        <v>no</v>
      </c>
      <c r="AP363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63" s="59"/>
      <c r="AR363" s="90"/>
      <c r="AS363" s="90"/>
      <c r="AT363" s="90"/>
      <c r="AU363" s="90"/>
      <c r="AV363" s="90"/>
      <c r="AW363" s="90"/>
      <c r="AX363" s="90"/>
      <c r="AY363" s="90"/>
      <c r="AZ363" s="90"/>
      <c r="BA363" s="90"/>
      <c r="BB363" s="90"/>
      <c r="BC363" s="90"/>
      <c r="BD363" s="90"/>
      <c r="BE363" s="90"/>
      <c r="BF363" s="90"/>
      <c r="BG363" s="90"/>
      <c r="BH363" s="73" t="s">
        <v>199</v>
      </c>
      <c r="BI363" s="30" t="str">
        <f>IF(COUNTA(Tabelle32[[#This Row],[Type:Vid_1080i50]:[Type:Anc_Prot]])&gt;0,"x","")</f>
        <v/>
      </c>
      <c r="BJ36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63" s="59"/>
      <c r="BL363" s="59"/>
      <c r="BM363" s="63"/>
      <c r="BN363" s="63"/>
      <c r="BO363" s="96"/>
      <c r="BP363" s="96"/>
      <c r="BQ363" s="75">
        <f>LEN(Tabelle32[[#This Row],[Label 1
GFX-Unit]])</f>
        <v>0</v>
      </c>
      <c r="BR363" s="63"/>
      <c r="BS363" s="63"/>
      <c r="BT363" s="59"/>
      <c r="BU363" s="59"/>
      <c r="BV363" s="59" t="s">
        <v>211</v>
      </c>
      <c r="BW363" s="59" t="s">
        <v>212</v>
      </c>
      <c r="BX363" s="59" t="s">
        <v>770</v>
      </c>
      <c r="BY363" s="59">
        <v>18</v>
      </c>
    </row>
    <row r="364" spans="1:77" x14ac:dyDescent="0.2">
      <c r="A364" s="58" t="str">
        <f>CONCATENATE(Tabelle32[[#This Row],[Device ID]],".",Tabelle32[[#This Row],[Streamcounter]])</f>
        <v>395.18201</v>
      </c>
      <c r="B36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VGW-103_SDI18_AUDsend_0001</v>
      </c>
      <c r="C364" s="60"/>
      <c r="D364" s="61"/>
      <c r="E364" s="62"/>
      <c r="F364" s="59" t="str">
        <f>IFERROR(VLOOKUP(Tabelle32[[#This Row],[Device ID]],BOM!$B$3:$BQ$35,16,FALSE),"")</f>
        <v>EditPC-08 OUT</v>
      </c>
      <c r="G364" s="63">
        <f>VLOOKUP(Tabelle32[[#This Row],[SDI Interface]],BOM!$A$4:$B$35,2,FALSE)</f>
        <v>395</v>
      </c>
      <c r="H364" s="59" t="str">
        <f>BOM!$C$4</f>
        <v>VGW-103</v>
      </c>
      <c r="I364" s="59" t="str">
        <f>IFERROR(VLOOKUP(Tabelle32[[#This Row],[Device ID]],BOM!$B$3:$BQ$35,12,FALSE),"")</f>
        <v>Edit Suite</v>
      </c>
      <c r="J364" s="59" t="str">
        <f>IFERROR(VLOOKUP(Tabelle32[[#This Row],[Device ID]],BOM!$B$3:$BQ$35,13,FALSE),"")</f>
        <v>TC.U1.223 | MDC</v>
      </c>
      <c r="K364" s="59" t="str">
        <f>IFERROR(VLOOKUP(Tabelle32[[#This Row],[Device ID]],BOM!$B$3:$BQ$35,14,FALSE),"")</f>
        <v>Imagine Comunications</v>
      </c>
      <c r="L364" s="59" t="str">
        <f>IFERROR(VLOOKUP(Tabelle32[[#This Row],[Device ID]],BOM!$B$3:$BQ$35,16,FALSE),"")</f>
        <v>EditPC-08 OUT</v>
      </c>
      <c r="M364" s="63" t="str">
        <f>IFERROR(VLOOKUP(Tabelle32[[#This Row],[Device ID]],BOM!$B$3:$BQ$35,17,FALSE),"")</f>
        <v>EDIT SUITE 08</v>
      </c>
      <c r="N364" s="59" t="str">
        <f>IFERROR(VLOOKUP(Tabelle32[[#This Row],[Device ID]],BOM!$B$3:$BQ$35,18,FALSE),"")</f>
        <v>TC.03.068 | Edit 08</v>
      </c>
      <c r="O364" s="64"/>
      <c r="P364" s="64">
        <f>IFERROR(VLOOKUP(Tabelle32[[#This Row],[Device ID]],BOM!$B$3:$BO$50,20,FALSE),"")</f>
        <v>0</v>
      </c>
      <c r="Q364" s="64">
        <f>IFERROR(VLOOKUP(Tabelle32[[#This Row],[Device ID]],BOM!$B$3:$BO$50,21,FALSE),"")</f>
        <v>1</v>
      </c>
      <c r="R364" s="64">
        <f>IFERROR(VLOOKUP(Tabelle32[[#This Row],[Device ID]],BOM!$B$3:$BO$50,22,FALSE),"")</f>
        <v>0</v>
      </c>
      <c r="S364" s="64"/>
      <c r="T364" s="64"/>
      <c r="U364" s="59" t="str">
        <f>IFERROR(VLOOKUP(Tabelle32[[#This Row],[Device ID]],BOM!$B$3:$BQ$35,25,FALSE),"")</f>
        <v>Luis/Ivo</v>
      </c>
      <c r="V364" s="59" t="str">
        <f>IFERROR(VLOOKUP(Tabelle32[[#This Row],[Device ID]],BOM!$B$3:$BQ$35,26,FALSE),"")</f>
        <v>tpco-megw-vgw103.rta.st-net.media.int</v>
      </c>
      <c r="W364" s="59" t="str">
        <f>IFERROR(VLOOKUP(Tabelle32[[#This Row],[Device ID]],BOM!$B$3:$BQ$35,27,FALSE),"")</f>
        <v>10.120.236.50</v>
      </c>
      <c r="X364" s="59" t="str">
        <f>IFERROR(VLOOKUP(Tabelle32[[#This Row],[Device ID]],BOM!$B$3:$BQ$35,28,FALSE),"")</f>
        <v>AVCoreA</v>
      </c>
      <c r="Y364" s="59" t="str">
        <f>IFERROR(VLOOKUP(Tabelle32[[#This Row],[Device ID]],BOM!$B$3:$BQ$35,29,FALSE),"")</f>
        <v>5_36_1</v>
      </c>
      <c r="Z364" s="59" t="str">
        <f>IFERROR(VLOOKUP(Tabelle32[[#This Row],[Device ID]],BOM!$B$3:$BQ$35,30,FALSE),"")</f>
        <v>tpco-megw-vgw103.rtb.st-net.media.int</v>
      </c>
      <c r="AA364" s="59" t="str">
        <f>IFERROR(VLOOKUP(Tabelle32[[#This Row],[Device ID]],BOM!$B$3:$BQ$35,31,FALSE),"")</f>
        <v>10.120.236.54</v>
      </c>
      <c r="AB364" s="59" t="str">
        <f>IFERROR(VLOOKUP(Tabelle32[[#This Row],[Device ID]],BOM!$B$3:$BQ$35,32,FALSE),"")</f>
        <v>AVCoreB</v>
      </c>
      <c r="AC364" s="59" t="str">
        <f>IFERROR(VLOOKUP(Tabelle32[[#This Row],[Device ID]],BOM!$B$3:$BQ$35,33,FALSE),"")</f>
        <v>5_36_1</v>
      </c>
      <c r="AD364" s="59" t="str">
        <f>IFERROR(VLOOKUP(Tabelle32[[#This Row],[Device ID]],BOM!$B$3:$BQ$35,34,FALSE),"")</f>
        <v>tpco-megw-vgw103.st-net.media.int</v>
      </c>
      <c r="AE364" s="59" t="str">
        <f>IFERROR(VLOOKUP(Tabelle32[[#This Row],[Device ID]],BOM!$B$3:$BQ$35,35,FALSE),"")</f>
        <v>10.120.67.141</v>
      </c>
      <c r="AF364" s="59">
        <f>IFERROR(VLOOKUP(Tabelle32[[#This Row],[Device ID]],BOM!$B$3:$BQ$35,36,FALSE),"")</f>
        <v>0</v>
      </c>
      <c r="AG364" s="59">
        <f>IFERROR(VLOOKUP(Tabelle32[[#This Row],[Device ID]],BOM!$B$3:$BQ$35,37,FALSE),"")</f>
        <v>0</v>
      </c>
      <c r="AH364" s="59"/>
      <c r="AI364" s="59"/>
      <c r="AJ364" s="59"/>
      <c r="AK364" s="59"/>
      <c r="AL364" s="59" t="str">
        <f>IFERROR(VLOOKUP(Tabelle32[[#This Row],[Device ID]],BOM!$B$3:$BQ$35,42,FALSE),"")</f>
        <v>Imagine Communications SNP</v>
      </c>
      <c r="AM364" s="59" t="str">
        <f>IFERROR(VLOOKUP(Tabelle32[[#This Row],[Device ID]],BOM!$B$3:$BQ$35,43,FALSE),"")</f>
        <v>no</v>
      </c>
      <c r="AN364" s="59" t="str">
        <f>IFERROR(VLOOKUP(Tabelle32[[#This Row],[Device ID]],BOM!$B$3:$BQ$35,44,FALSE),"")</f>
        <v>yes</v>
      </c>
      <c r="AO364" s="59" t="str">
        <f>IFERROR(VLOOKUP(Tabelle32[[#This Row],[Device ID]],BOM!$B$3:$BQ$35,45,FALSE),"")</f>
        <v>no</v>
      </c>
      <c r="AP364" s="59" t="str">
        <f>IFERROR(CONCATENATE(Tabelle32[[#This Row],[Family
GFX-Unit]]," | ",Tabelle32[[#This Row],[Label 1
GFX-Unit]]," | ",Tabelle32[[#This Row],[Attached Device if Gateway]]),"")</f>
        <v>MEDEM Edits Out | Out Edit08-01 | EditPC-08 OUT</v>
      </c>
      <c r="AQ364" s="59"/>
      <c r="AR364" s="92"/>
      <c r="AS364" s="92"/>
      <c r="AT364" s="92"/>
      <c r="AU364" s="92"/>
      <c r="AV364" s="92"/>
      <c r="AW364" s="92"/>
      <c r="AX364" s="92" t="s">
        <v>199</v>
      </c>
      <c r="AY364" s="92" t="s">
        <v>199</v>
      </c>
      <c r="AZ364" s="92" t="s">
        <v>97</v>
      </c>
      <c r="BA364" s="92"/>
      <c r="BB364" s="92"/>
      <c r="BC364" s="92"/>
      <c r="BD364" s="92"/>
      <c r="BE364" s="92"/>
      <c r="BF364" s="92"/>
      <c r="BG364" s="92"/>
      <c r="BH364" s="73" t="s">
        <v>199</v>
      </c>
      <c r="BI364" s="30" t="str">
        <f>IF(COUNTA(Tabelle32[[#This Row],[Type:Vid_1080i50]:[Type:Anc_Prot]])&gt;0,"x","")</f>
        <v>x</v>
      </c>
      <c r="BJ36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64" s="59"/>
      <c r="BL364" s="59"/>
      <c r="BM364" s="63"/>
      <c r="BN364" s="63"/>
      <c r="BO364" s="97" t="s">
        <v>732</v>
      </c>
      <c r="BP364" s="97" t="s">
        <v>771</v>
      </c>
      <c r="BQ364" s="75">
        <f>LEN(Tabelle32[[#This Row],[Label 1
GFX-Unit]])</f>
        <v>13</v>
      </c>
      <c r="BR364" s="63"/>
      <c r="BS364" s="63"/>
      <c r="BT364" s="59"/>
      <c r="BU364" s="59"/>
      <c r="BV364" s="59" t="s">
        <v>214</v>
      </c>
      <c r="BW364" s="59" t="s">
        <v>215</v>
      </c>
      <c r="BX364" s="59" t="s">
        <v>772</v>
      </c>
      <c r="BY364" s="59">
        <v>18</v>
      </c>
    </row>
    <row r="365" spans="1:77" x14ac:dyDescent="0.2">
      <c r="A365" s="58" t="str">
        <f>CONCATENATE(Tabelle32[[#This Row],[Device ID]],".",Tabelle32[[#This Row],[Streamcounter]])</f>
        <v>395.18202</v>
      </c>
      <c r="B36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VGW-103_SDI18_AUDsend_0002</v>
      </c>
      <c r="C365" s="67"/>
      <c r="D365" s="61"/>
      <c r="E365" s="67"/>
      <c r="F365" s="59" t="str">
        <f>IFERROR(VLOOKUP(Tabelle32[[#This Row],[Device ID]],BOM!$B$3:$BQ$35,16,FALSE),"")</f>
        <v>EditPC-08 OUT</v>
      </c>
      <c r="G365" s="63">
        <f>VLOOKUP(Tabelle32[[#This Row],[SDI Interface]],BOM!$A$4:$B$35,2,FALSE)</f>
        <v>395</v>
      </c>
      <c r="H365" s="59" t="str">
        <f>BOM!$C$4</f>
        <v>VGW-103</v>
      </c>
      <c r="I365" s="59" t="str">
        <f>IFERROR(VLOOKUP(Tabelle32[[#This Row],[Device ID]],BOM!$B$3:$BQ$35,12,FALSE),"")</f>
        <v>Edit Suite</v>
      </c>
      <c r="J365" s="59" t="str">
        <f>IFERROR(VLOOKUP(Tabelle32[[#This Row],[Device ID]],BOM!$B$3:$BQ$35,13,FALSE),"")</f>
        <v>TC.U1.223 | MDC</v>
      </c>
      <c r="K365" s="59" t="str">
        <f>IFERROR(VLOOKUP(Tabelle32[[#This Row],[Device ID]],BOM!$B$3:$BQ$35,14,FALSE),"")</f>
        <v>Imagine Comunications</v>
      </c>
      <c r="L365" s="59" t="str">
        <f>IFERROR(VLOOKUP(Tabelle32[[#This Row],[Device ID]],BOM!$B$3:$BQ$35,16,FALSE),"")</f>
        <v>EditPC-08 OUT</v>
      </c>
      <c r="M365" s="63" t="str">
        <f>IFERROR(VLOOKUP(Tabelle32[[#This Row],[Device ID]],BOM!$B$3:$BQ$35,17,FALSE),"")</f>
        <v>EDIT SUITE 08</v>
      </c>
      <c r="N365" s="59" t="str">
        <f>IFERROR(VLOOKUP(Tabelle32[[#This Row],[Device ID]],BOM!$B$3:$BQ$35,18,FALSE),"")</f>
        <v>TC.03.068 | Edit 08</v>
      </c>
      <c r="O365" s="64"/>
      <c r="P365" s="64">
        <f>IFERROR(VLOOKUP(Tabelle32[[#This Row],[Device ID]],BOM!$B$3:$BO$50,20,FALSE),"")</f>
        <v>0</v>
      </c>
      <c r="Q365" s="64">
        <f>IFERROR(VLOOKUP(Tabelle32[[#This Row],[Device ID]],BOM!$B$3:$BO$50,21,FALSE),"")</f>
        <v>1</v>
      </c>
      <c r="R365" s="64">
        <f>IFERROR(VLOOKUP(Tabelle32[[#This Row],[Device ID]],BOM!$B$3:$BO$50,22,FALSE),"")</f>
        <v>0</v>
      </c>
      <c r="S365" s="64"/>
      <c r="T365" s="64"/>
      <c r="U365" s="59" t="str">
        <f>IFERROR(VLOOKUP(Tabelle32[[#This Row],[Device ID]],BOM!$B$3:$BQ$35,25,FALSE),"")</f>
        <v>Luis/Ivo</v>
      </c>
      <c r="V365" s="59" t="str">
        <f>IFERROR(VLOOKUP(Tabelle32[[#This Row],[Device ID]],BOM!$B$3:$BQ$35,26,FALSE),"")</f>
        <v>tpco-megw-vgw103.rta.st-net.media.int</v>
      </c>
      <c r="W365" s="59" t="str">
        <f>IFERROR(VLOOKUP(Tabelle32[[#This Row],[Device ID]],BOM!$B$3:$BQ$35,27,FALSE),"")</f>
        <v>10.120.236.50</v>
      </c>
      <c r="X365" s="59" t="str">
        <f>IFERROR(VLOOKUP(Tabelle32[[#This Row],[Device ID]],BOM!$B$3:$BQ$35,28,FALSE),"")</f>
        <v>AVCoreA</v>
      </c>
      <c r="Y365" s="59" t="str">
        <f>IFERROR(VLOOKUP(Tabelle32[[#This Row],[Device ID]],BOM!$B$3:$BQ$35,29,FALSE),"")</f>
        <v>5_36_1</v>
      </c>
      <c r="Z365" s="59" t="str">
        <f>IFERROR(VLOOKUP(Tabelle32[[#This Row],[Device ID]],BOM!$B$3:$BQ$35,30,FALSE),"")</f>
        <v>tpco-megw-vgw103.rtb.st-net.media.int</v>
      </c>
      <c r="AA365" s="59" t="str">
        <f>IFERROR(VLOOKUP(Tabelle32[[#This Row],[Device ID]],BOM!$B$3:$BQ$35,31,FALSE),"")</f>
        <v>10.120.236.54</v>
      </c>
      <c r="AB365" s="59" t="str">
        <f>IFERROR(VLOOKUP(Tabelle32[[#This Row],[Device ID]],BOM!$B$3:$BQ$35,32,FALSE),"")</f>
        <v>AVCoreB</v>
      </c>
      <c r="AC365" s="59" t="str">
        <f>IFERROR(VLOOKUP(Tabelle32[[#This Row],[Device ID]],BOM!$B$3:$BQ$35,33,FALSE),"")</f>
        <v>5_36_1</v>
      </c>
      <c r="AD365" s="59" t="str">
        <f>IFERROR(VLOOKUP(Tabelle32[[#This Row],[Device ID]],BOM!$B$3:$BQ$35,34,FALSE),"")</f>
        <v>tpco-megw-vgw103.st-net.media.int</v>
      </c>
      <c r="AE365" s="59" t="str">
        <f>IFERROR(VLOOKUP(Tabelle32[[#This Row],[Device ID]],BOM!$B$3:$BQ$35,35,FALSE),"")</f>
        <v>10.120.67.141</v>
      </c>
      <c r="AF365" s="59">
        <f>IFERROR(VLOOKUP(Tabelle32[[#This Row],[Device ID]],BOM!$B$3:$BQ$35,36,FALSE),"")</f>
        <v>0</v>
      </c>
      <c r="AG365" s="59">
        <f>IFERROR(VLOOKUP(Tabelle32[[#This Row],[Device ID]],BOM!$B$3:$BQ$35,37,FALSE),"")</f>
        <v>0</v>
      </c>
      <c r="AH365" s="59"/>
      <c r="AI365" s="59"/>
      <c r="AJ365" s="59"/>
      <c r="AK365" s="59"/>
      <c r="AL365" s="59" t="str">
        <f>IFERROR(VLOOKUP(Tabelle32[[#This Row],[Device ID]],BOM!$B$3:$BQ$35,42,FALSE),"")</f>
        <v>Imagine Communications SNP</v>
      </c>
      <c r="AM365" s="59" t="str">
        <f>IFERROR(VLOOKUP(Tabelle32[[#This Row],[Device ID]],BOM!$B$3:$BQ$35,43,FALSE),"")</f>
        <v>no</v>
      </c>
      <c r="AN365" s="59" t="str">
        <f>IFERROR(VLOOKUP(Tabelle32[[#This Row],[Device ID]],BOM!$B$3:$BQ$35,44,FALSE),"")</f>
        <v>yes</v>
      </c>
      <c r="AO365" s="59" t="str">
        <f>IFERROR(VLOOKUP(Tabelle32[[#This Row],[Device ID]],BOM!$B$3:$BQ$35,45,FALSE),"")</f>
        <v>no</v>
      </c>
      <c r="AP365" s="59" t="str">
        <f>IFERROR(CONCATENATE(Tabelle32[[#This Row],[Family
GFX-Unit]]," | ",Tabelle32[[#This Row],[Label 1
GFX-Unit]]," | ",Tabelle32[[#This Row],[Attached Device if Gateway]]),"")</f>
        <v>MEDEM Edits Out | Out Edit08-02 | EditPC-08 OUT</v>
      </c>
      <c r="AQ365" s="59"/>
      <c r="AR365" s="92"/>
      <c r="AS365" s="92"/>
      <c r="AT365" s="92"/>
      <c r="AU365" s="92"/>
      <c r="AV365" s="92"/>
      <c r="AW365" s="92" t="s">
        <v>97</v>
      </c>
      <c r="AX365" s="92" t="s">
        <v>199</v>
      </c>
      <c r="AY365" s="92" t="s">
        <v>199</v>
      </c>
      <c r="AZ365" s="92"/>
      <c r="BA365" s="92"/>
      <c r="BB365" s="92"/>
      <c r="BC365" s="92"/>
      <c r="BD365" s="92"/>
      <c r="BE365" s="92"/>
      <c r="BF365" s="92"/>
      <c r="BG365" s="92"/>
      <c r="BH365" s="73" t="s">
        <v>199</v>
      </c>
      <c r="BI365" s="30" t="str">
        <f>IF(COUNTA(Tabelle32[[#This Row],[Type:Vid_1080i50]:[Type:Anc_Prot]])&gt;0,"x","")</f>
        <v>x</v>
      </c>
      <c r="BJ36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65" s="59"/>
      <c r="BL365" s="59"/>
      <c r="BM365" s="63"/>
      <c r="BN365" s="63"/>
      <c r="BO365" s="97" t="s">
        <v>732</v>
      </c>
      <c r="BP365" s="97" t="s">
        <v>773</v>
      </c>
      <c r="BQ365" s="75">
        <f>LEN(Tabelle32[[#This Row],[Label 1
GFX-Unit]])</f>
        <v>13</v>
      </c>
      <c r="BR365" s="63"/>
      <c r="BS365" s="63"/>
      <c r="BT365" s="59"/>
      <c r="BU365" s="59"/>
      <c r="BV365" s="59" t="s">
        <v>218</v>
      </c>
      <c r="BW365" s="59" t="s">
        <v>219</v>
      </c>
      <c r="BX365" s="59" t="s">
        <v>774</v>
      </c>
      <c r="BY365" s="59">
        <v>18</v>
      </c>
    </row>
    <row r="366" spans="1:77" x14ac:dyDescent="0.2">
      <c r="A366" s="58" t="str">
        <f>CONCATENATE(Tabelle32[[#This Row],[Device ID]],".",Tabelle32[[#This Row],[Streamcounter]])</f>
        <v>395.18203</v>
      </c>
      <c r="B36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VGW-103_SDI18_AUDsend_0003</v>
      </c>
      <c r="C366" s="67"/>
      <c r="D366" s="61"/>
      <c r="E366" s="67"/>
      <c r="F366" s="59" t="str">
        <f>IFERROR(VLOOKUP(Tabelle32[[#This Row],[Device ID]],BOM!$B$3:$BQ$35,16,FALSE),"")</f>
        <v>EditPC-08 OUT</v>
      </c>
      <c r="G366" s="63">
        <f>VLOOKUP(Tabelle32[[#This Row],[SDI Interface]],BOM!$A$4:$B$35,2,FALSE)</f>
        <v>395</v>
      </c>
      <c r="H366" s="59" t="str">
        <f>BOM!$C$4</f>
        <v>VGW-103</v>
      </c>
      <c r="I366" s="59" t="str">
        <f>IFERROR(VLOOKUP(Tabelle32[[#This Row],[Device ID]],BOM!$B$3:$BQ$35,12,FALSE),"")</f>
        <v>Edit Suite</v>
      </c>
      <c r="J366" s="59" t="str">
        <f>IFERROR(VLOOKUP(Tabelle32[[#This Row],[Device ID]],BOM!$B$3:$BQ$35,13,FALSE),"")</f>
        <v>TC.U1.223 | MDC</v>
      </c>
      <c r="K366" s="59" t="str">
        <f>IFERROR(VLOOKUP(Tabelle32[[#This Row],[Device ID]],BOM!$B$3:$BQ$35,14,FALSE),"")</f>
        <v>Imagine Comunications</v>
      </c>
      <c r="L366" s="59" t="str">
        <f>IFERROR(VLOOKUP(Tabelle32[[#This Row],[Device ID]],BOM!$B$3:$BQ$35,16,FALSE),"")</f>
        <v>EditPC-08 OUT</v>
      </c>
      <c r="M366" s="63" t="str">
        <f>IFERROR(VLOOKUP(Tabelle32[[#This Row],[Device ID]],BOM!$B$3:$BQ$35,17,FALSE),"")</f>
        <v>EDIT SUITE 08</v>
      </c>
      <c r="N366" s="59" t="str">
        <f>IFERROR(VLOOKUP(Tabelle32[[#This Row],[Device ID]],BOM!$B$3:$BQ$35,18,FALSE),"")</f>
        <v>TC.03.068 | Edit 08</v>
      </c>
      <c r="O366" s="64"/>
      <c r="P366" s="64">
        <f>IFERROR(VLOOKUP(Tabelle32[[#This Row],[Device ID]],BOM!$B$3:$BO$50,20,FALSE),"")</f>
        <v>0</v>
      </c>
      <c r="Q366" s="64">
        <f>IFERROR(VLOOKUP(Tabelle32[[#This Row],[Device ID]],BOM!$B$3:$BO$50,21,FALSE),"")</f>
        <v>1</v>
      </c>
      <c r="R366" s="64">
        <f>IFERROR(VLOOKUP(Tabelle32[[#This Row],[Device ID]],BOM!$B$3:$BO$50,22,FALSE),"")</f>
        <v>0</v>
      </c>
      <c r="S366" s="64"/>
      <c r="T366" s="64"/>
      <c r="U366" s="59" t="str">
        <f>IFERROR(VLOOKUP(Tabelle32[[#This Row],[Device ID]],BOM!$B$3:$BQ$35,25,FALSE),"")</f>
        <v>Luis/Ivo</v>
      </c>
      <c r="V366" s="59" t="str">
        <f>IFERROR(VLOOKUP(Tabelle32[[#This Row],[Device ID]],BOM!$B$3:$BQ$35,26,FALSE),"")</f>
        <v>tpco-megw-vgw103.rta.st-net.media.int</v>
      </c>
      <c r="W366" s="59" t="str">
        <f>IFERROR(VLOOKUP(Tabelle32[[#This Row],[Device ID]],BOM!$B$3:$BQ$35,27,FALSE),"")</f>
        <v>10.120.236.50</v>
      </c>
      <c r="X366" s="59" t="str">
        <f>IFERROR(VLOOKUP(Tabelle32[[#This Row],[Device ID]],BOM!$B$3:$BQ$35,28,FALSE),"")</f>
        <v>AVCoreA</v>
      </c>
      <c r="Y366" s="59" t="str">
        <f>IFERROR(VLOOKUP(Tabelle32[[#This Row],[Device ID]],BOM!$B$3:$BQ$35,29,FALSE),"")</f>
        <v>5_36_1</v>
      </c>
      <c r="Z366" s="59" t="str">
        <f>IFERROR(VLOOKUP(Tabelle32[[#This Row],[Device ID]],BOM!$B$3:$BQ$35,30,FALSE),"")</f>
        <v>tpco-megw-vgw103.rtb.st-net.media.int</v>
      </c>
      <c r="AA366" s="59" t="str">
        <f>IFERROR(VLOOKUP(Tabelle32[[#This Row],[Device ID]],BOM!$B$3:$BQ$35,31,FALSE),"")</f>
        <v>10.120.236.54</v>
      </c>
      <c r="AB366" s="59" t="str">
        <f>IFERROR(VLOOKUP(Tabelle32[[#This Row],[Device ID]],BOM!$B$3:$BQ$35,32,FALSE),"")</f>
        <v>AVCoreB</v>
      </c>
      <c r="AC366" s="59" t="str">
        <f>IFERROR(VLOOKUP(Tabelle32[[#This Row],[Device ID]],BOM!$B$3:$BQ$35,33,FALSE),"")</f>
        <v>5_36_1</v>
      </c>
      <c r="AD366" s="59" t="str">
        <f>IFERROR(VLOOKUP(Tabelle32[[#This Row],[Device ID]],BOM!$B$3:$BQ$35,34,FALSE),"")</f>
        <v>tpco-megw-vgw103.st-net.media.int</v>
      </c>
      <c r="AE366" s="59" t="str">
        <f>IFERROR(VLOOKUP(Tabelle32[[#This Row],[Device ID]],BOM!$B$3:$BQ$35,35,FALSE),"")</f>
        <v>10.120.67.141</v>
      </c>
      <c r="AF366" s="59">
        <f>IFERROR(VLOOKUP(Tabelle32[[#This Row],[Device ID]],BOM!$B$3:$BQ$35,36,FALSE),"")</f>
        <v>0</v>
      </c>
      <c r="AG366" s="59">
        <f>IFERROR(VLOOKUP(Tabelle32[[#This Row],[Device ID]],BOM!$B$3:$BQ$35,37,FALSE),"")</f>
        <v>0</v>
      </c>
      <c r="AH366" s="59"/>
      <c r="AI366" s="59"/>
      <c r="AJ366" s="59"/>
      <c r="AK366" s="59"/>
      <c r="AL366" s="59" t="str">
        <f>IFERROR(VLOOKUP(Tabelle32[[#This Row],[Device ID]],BOM!$B$3:$BQ$35,42,FALSE),"")</f>
        <v>Imagine Communications SNP</v>
      </c>
      <c r="AM366" s="59" t="str">
        <f>IFERROR(VLOOKUP(Tabelle32[[#This Row],[Device ID]],BOM!$B$3:$BQ$35,43,FALSE),"")</f>
        <v>no</v>
      </c>
      <c r="AN366" s="59" t="str">
        <f>IFERROR(VLOOKUP(Tabelle32[[#This Row],[Device ID]],BOM!$B$3:$BQ$35,44,FALSE),"")</f>
        <v>yes</v>
      </c>
      <c r="AO366" s="59" t="str">
        <f>IFERROR(VLOOKUP(Tabelle32[[#This Row],[Device ID]],BOM!$B$3:$BQ$35,45,FALSE),"")</f>
        <v>no</v>
      </c>
      <c r="AP366" s="59" t="str">
        <f>IFERROR(CONCATENATE(Tabelle32[[#This Row],[Family
GFX-Unit]]," | ",Tabelle32[[#This Row],[Label 1
GFX-Unit]]," | ",Tabelle32[[#This Row],[Attached Device if Gateway]]),"")</f>
        <v>MEDEM Edits Out | Out Edit08-03 | EditPC-08 OUT</v>
      </c>
      <c r="AQ366" s="59"/>
      <c r="AR366" s="92"/>
      <c r="AS366" s="92"/>
      <c r="AT366" s="92"/>
      <c r="AU366" s="92"/>
      <c r="AV366" s="92"/>
      <c r="AW366" s="92" t="s">
        <v>97</v>
      </c>
      <c r="AX366" s="92" t="s">
        <v>199</v>
      </c>
      <c r="AY366" s="92" t="s">
        <v>199</v>
      </c>
      <c r="AZ366" s="92"/>
      <c r="BA366" s="92"/>
      <c r="BB366" s="92"/>
      <c r="BC366" s="92"/>
      <c r="BD366" s="92"/>
      <c r="BE366" s="92"/>
      <c r="BF366" s="92"/>
      <c r="BG366" s="92"/>
      <c r="BH366" s="73" t="s">
        <v>199</v>
      </c>
      <c r="BI366" s="30" t="str">
        <f>IF(COUNTA(Tabelle32[[#This Row],[Type:Vid_1080i50]:[Type:Anc_Prot]])&gt;0,"x","")</f>
        <v>x</v>
      </c>
      <c r="BJ36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66" s="59"/>
      <c r="BL366" s="59"/>
      <c r="BM366" s="63"/>
      <c r="BN366" s="63"/>
      <c r="BO366" s="97" t="s">
        <v>732</v>
      </c>
      <c r="BP366" s="97" t="s">
        <v>775</v>
      </c>
      <c r="BQ366" s="75">
        <f>LEN(Tabelle32[[#This Row],[Label 1
GFX-Unit]])</f>
        <v>13</v>
      </c>
      <c r="BR366" s="63"/>
      <c r="BS366" s="63"/>
      <c r="BT366" s="59"/>
      <c r="BU366" s="59"/>
      <c r="BV366" s="59" t="s">
        <v>222</v>
      </c>
      <c r="BW366" s="59" t="s">
        <v>223</v>
      </c>
      <c r="BX366" s="59" t="s">
        <v>776</v>
      </c>
      <c r="BY366" s="59">
        <v>18</v>
      </c>
    </row>
    <row r="367" spans="1:77" x14ac:dyDescent="0.2">
      <c r="A367" s="58" t="str">
        <f>CONCATENATE(Tabelle32[[#This Row],[Device ID]],".",Tabelle32[[#This Row],[Streamcounter]])</f>
        <v>395.18204</v>
      </c>
      <c r="B36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VGW-103_SDI18_AUDsend_0004</v>
      </c>
      <c r="C367" s="60"/>
      <c r="D367" s="61"/>
      <c r="E367" s="62"/>
      <c r="F367" s="59" t="str">
        <f>IFERROR(VLOOKUP(Tabelle32[[#This Row],[Device ID]],BOM!$B$3:$BQ$35,16,FALSE),"")</f>
        <v>EditPC-08 OUT</v>
      </c>
      <c r="G367" s="63">
        <f>VLOOKUP(Tabelle32[[#This Row],[SDI Interface]],BOM!$A$4:$B$35,2,FALSE)</f>
        <v>395</v>
      </c>
      <c r="H367" s="59" t="str">
        <f>BOM!$C$4</f>
        <v>VGW-103</v>
      </c>
      <c r="I367" s="59" t="str">
        <f>IFERROR(VLOOKUP(Tabelle32[[#This Row],[Device ID]],BOM!$B$3:$BQ$35,12,FALSE),"")</f>
        <v>Edit Suite</v>
      </c>
      <c r="J367" s="59" t="str">
        <f>IFERROR(VLOOKUP(Tabelle32[[#This Row],[Device ID]],BOM!$B$3:$BQ$35,13,FALSE),"")</f>
        <v>TC.U1.223 | MDC</v>
      </c>
      <c r="K367" s="59" t="str">
        <f>IFERROR(VLOOKUP(Tabelle32[[#This Row],[Device ID]],BOM!$B$3:$BQ$35,14,FALSE),"")</f>
        <v>Imagine Comunications</v>
      </c>
      <c r="L367" s="59" t="str">
        <f>IFERROR(VLOOKUP(Tabelle32[[#This Row],[Device ID]],BOM!$B$3:$BQ$35,16,FALSE),"")</f>
        <v>EditPC-08 OUT</v>
      </c>
      <c r="M367" s="63" t="str">
        <f>IFERROR(VLOOKUP(Tabelle32[[#This Row],[Device ID]],BOM!$B$3:$BQ$35,17,FALSE),"")</f>
        <v>EDIT SUITE 08</v>
      </c>
      <c r="N367" s="59" t="str">
        <f>IFERROR(VLOOKUP(Tabelle32[[#This Row],[Device ID]],BOM!$B$3:$BQ$35,18,FALSE),"")</f>
        <v>TC.03.068 | Edit 08</v>
      </c>
      <c r="O367" s="64"/>
      <c r="P367" s="64">
        <f>IFERROR(VLOOKUP(Tabelle32[[#This Row],[Device ID]],BOM!$B$3:$BO$50,20,FALSE),"")</f>
        <v>0</v>
      </c>
      <c r="Q367" s="64">
        <f>IFERROR(VLOOKUP(Tabelle32[[#This Row],[Device ID]],BOM!$B$3:$BO$50,21,FALSE),"")</f>
        <v>1</v>
      </c>
      <c r="R367" s="64">
        <f>IFERROR(VLOOKUP(Tabelle32[[#This Row],[Device ID]],BOM!$B$3:$BO$50,22,FALSE),"")</f>
        <v>0</v>
      </c>
      <c r="S367" s="64"/>
      <c r="T367" s="64"/>
      <c r="U367" s="59" t="str">
        <f>IFERROR(VLOOKUP(Tabelle32[[#This Row],[Device ID]],BOM!$B$3:$BQ$35,25,FALSE),"")</f>
        <v>Luis/Ivo</v>
      </c>
      <c r="V367" s="59" t="str">
        <f>IFERROR(VLOOKUP(Tabelle32[[#This Row],[Device ID]],BOM!$B$3:$BQ$35,26,FALSE),"")</f>
        <v>tpco-megw-vgw103.rta.st-net.media.int</v>
      </c>
      <c r="W367" s="59" t="str">
        <f>IFERROR(VLOOKUP(Tabelle32[[#This Row],[Device ID]],BOM!$B$3:$BQ$35,27,FALSE),"")</f>
        <v>10.120.236.50</v>
      </c>
      <c r="X367" s="59" t="str">
        <f>IFERROR(VLOOKUP(Tabelle32[[#This Row],[Device ID]],BOM!$B$3:$BQ$35,28,FALSE),"")</f>
        <v>AVCoreA</v>
      </c>
      <c r="Y367" s="59" t="str">
        <f>IFERROR(VLOOKUP(Tabelle32[[#This Row],[Device ID]],BOM!$B$3:$BQ$35,29,FALSE),"")</f>
        <v>5_36_1</v>
      </c>
      <c r="Z367" s="59" t="str">
        <f>IFERROR(VLOOKUP(Tabelle32[[#This Row],[Device ID]],BOM!$B$3:$BQ$35,30,FALSE),"")</f>
        <v>tpco-megw-vgw103.rtb.st-net.media.int</v>
      </c>
      <c r="AA367" s="59" t="str">
        <f>IFERROR(VLOOKUP(Tabelle32[[#This Row],[Device ID]],BOM!$B$3:$BQ$35,31,FALSE),"")</f>
        <v>10.120.236.54</v>
      </c>
      <c r="AB367" s="59" t="str">
        <f>IFERROR(VLOOKUP(Tabelle32[[#This Row],[Device ID]],BOM!$B$3:$BQ$35,32,FALSE),"")</f>
        <v>AVCoreB</v>
      </c>
      <c r="AC367" s="59" t="str">
        <f>IFERROR(VLOOKUP(Tabelle32[[#This Row],[Device ID]],BOM!$B$3:$BQ$35,33,FALSE),"")</f>
        <v>5_36_1</v>
      </c>
      <c r="AD367" s="59" t="str">
        <f>IFERROR(VLOOKUP(Tabelle32[[#This Row],[Device ID]],BOM!$B$3:$BQ$35,34,FALSE),"")</f>
        <v>tpco-megw-vgw103.st-net.media.int</v>
      </c>
      <c r="AE367" s="59" t="str">
        <f>IFERROR(VLOOKUP(Tabelle32[[#This Row],[Device ID]],BOM!$B$3:$BQ$35,35,FALSE),"")</f>
        <v>10.120.67.141</v>
      </c>
      <c r="AF367" s="59">
        <f>IFERROR(VLOOKUP(Tabelle32[[#This Row],[Device ID]],BOM!$B$3:$BQ$35,36,FALSE),"")</f>
        <v>0</v>
      </c>
      <c r="AG367" s="59">
        <f>IFERROR(VLOOKUP(Tabelle32[[#This Row],[Device ID]],BOM!$B$3:$BQ$35,37,FALSE),"")</f>
        <v>0</v>
      </c>
      <c r="AH367" s="59"/>
      <c r="AI367" s="59"/>
      <c r="AJ367" s="59"/>
      <c r="AK367" s="59"/>
      <c r="AL367" s="59" t="str">
        <f>IFERROR(VLOOKUP(Tabelle32[[#This Row],[Device ID]],BOM!$B$3:$BQ$35,42,FALSE),"")</f>
        <v>Imagine Communications SNP</v>
      </c>
      <c r="AM367" s="59" t="str">
        <f>IFERROR(VLOOKUP(Tabelle32[[#This Row],[Device ID]],BOM!$B$3:$BQ$35,43,FALSE),"")</f>
        <v>no</v>
      </c>
      <c r="AN367" s="59" t="str">
        <f>IFERROR(VLOOKUP(Tabelle32[[#This Row],[Device ID]],BOM!$B$3:$BQ$35,44,FALSE),"")</f>
        <v>yes</v>
      </c>
      <c r="AO367" s="59" t="str">
        <f>IFERROR(VLOOKUP(Tabelle32[[#This Row],[Device ID]],BOM!$B$3:$BQ$35,45,FALSE),"")</f>
        <v>no</v>
      </c>
      <c r="AP367" s="59" t="str">
        <f>IFERROR(CONCATENATE(Tabelle32[[#This Row],[Family
GFX-Unit]]," | ",Tabelle32[[#This Row],[Label 1
GFX-Unit]]," | ",Tabelle32[[#This Row],[Attached Device if Gateway]]),"")</f>
        <v>MEDEM Edits Out | Out Edit08-04 | EditPC-08 OUT</v>
      </c>
      <c r="AQ367" s="59"/>
      <c r="AR367" s="92"/>
      <c r="AS367" s="92"/>
      <c r="AT367" s="92"/>
      <c r="AU367" s="92"/>
      <c r="AV367" s="92"/>
      <c r="AW367" s="92"/>
      <c r="AX367" s="92" t="s">
        <v>199</v>
      </c>
      <c r="AY367" s="92" t="s">
        <v>199</v>
      </c>
      <c r="AZ367" s="92" t="s">
        <v>97</v>
      </c>
      <c r="BA367" s="92"/>
      <c r="BB367" s="92"/>
      <c r="BC367" s="92"/>
      <c r="BD367" s="92"/>
      <c r="BE367" s="92"/>
      <c r="BF367" s="92"/>
      <c r="BG367" s="92"/>
      <c r="BH367" s="73" t="s">
        <v>199</v>
      </c>
      <c r="BI367" s="30" t="str">
        <f>IF(COUNTA(Tabelle32[[#This Row],[Type:Vid_1080i50]:[Type:Anc_Prot]])&gt;0,"x","")</f>
        <v>x</v>
      </c>
      <c r="BJ36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67" s="59"/>
      <c r="BL367" s="59"/>
      <c r="BM367" s="63"/>
      <c r="BN367" s="63"/>
      <c r="BO367" s="97" t="s">
        <v>732</v>
      </c>
      <c r="BP367" s="97" t="s">
        <v>777</v>
      </c>
      <c r="BQ367" s="75">
        <f>LEN(Tabelle32[[#This Row],[Label 1
GFX-Unit]])</f>
        <v>13</v>
      </c>
      <c r="BR367" s="63"/>
      <c r="BS367" s="63"/>
      <c r="BT367" s="59"/>
      <c r="BU367" s="59"/>
      <c r="BV367" s="59" t="s">
        <v>226</v>
      </c>
      <c r="BW367" s="59" t="s">
        <v>227</v>
      </c>
      <c r="BX367" s="59" t="s">
        <v>778</v>
      </c>
      <c r="BY367" s="59">
        <v>18</v>
      </c>
    </row>
    <row r="368" spans="1:77" x14ac:dyDescent="0.2">
      <c r="A368" s="58" t="str">
        <f>CONCATENATE(Tabelle32[[#This Row],[Device ID]],".",Tabelle32[[#This Row],[Streamcounter]])</f>
        <v>395.18205</v>
      </c>
      <c r="B36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VGW-103_SDI18_AUDsend_0005</v>
      </c>
      <c r="C368" s="60"/>
      <c r="D368" s="61"/>
      <c r="E368" s="62"/>
      <c r="F368" s="59" t="str">
        <f>IFERROR(VLOOKUP(Tabelle32[[#This Row],[Device ID]],BOM!$B$3:$BQ$35,16,FALSE),"")</f>
        <v>EditPC-08 OUT</v>
      </c>
      <c r="G368" s="63">
        <f>VLOOKUP(Tabelle32[[#This Row],[SDI Interface]],BOM!$A$4:$B$35,2,FALSE)</f>
        <v>395</v>
      </c>
      <c r="H368" s="59" t="str">
        <f>BOM!$C$4</f>
        <v>VGW-103</v>
      </c>
      <c r="I368" s="59" t="str">
        <f>IFERROR(VLOOKUP(Tabelle32[[#This Row],[Device ID]],BOM!$B$3:$BQ$35,12,FALSE),"")</f>
        <v>Edit Suite</v>
      </c>
      <c r="J368" s="59" t="str">
        <f>IFERROR(VLOOKUP(Tabelle32[[#This Row],[Device ID]],BOM!$B$3:$BQ$35,13,FALSE),"")</f>
        <v>TC.U1.223 | MDC</v>
      </c>
      <c r="K368" s="59" t="str">
        <f>IFERROR(VLOOKUP(Tabelle32[[#This Row],[Device ID]],BOM!$B$3:$BQ$35,14,FALSE),"")</f>
        <v>Imagine Comunications</v>
      </c>
      <c r="L368" s="59" t="str">
        <f>IFERROR(VLOOKUP(Tabelle32[[#This Row],[Device ID]],BOM!$B$3:$BQ$35,16,FALSE),"")</f>
        <v>EditPC-08 OUT</v>
      </c>
      <c r="M368" s="63" t="str">
        <f>IFERROR(VLOOKUP(Tabelle32[[#This Row],[Device ID]],BOM!$B$3:$BQ$35,17,FALSE),"")</f>
        <v>EDIT SUITE 08</v>
      </c>
      <c r="N368" s="59" t="str">
        <f>IFERROR(VLOOKUP(Tabelle32[[#This Row],[Device ID]],BOM!$B$3:$BQ$35,18,FALSE),"")</f>
        <v>TC.03.068 | Edit 08</v>
      </c>
      <c r="O368" s="64"/>
      <c r="P368" s="64">
        <f>IFERROR(VLOOKUP(Tabelle32[[#This Row],[Device ID]],BOM!$B$3:$BO$50,20,FALSE),"")</f>
        <v>0</v>
      </c>
      <c r="Q368" s="64">
        <f>IFERROR(VLOOKUP(Tabelle32[[#This Row],[Device ID]],BOM!$B$3:$BO$50,21,FALSE),"")</f>
        <v>1</v>
      </c>
      <c r="R368" s="64">
        <f>IFERROR(VLOOKUP(Tabelle32[[#This Row],[Device ID]],BOM!$B$3:$BO$50,22,FALSE),"")</f>
        <v>0</v>
      </c>
      <c r="S368" s="64"/>
      <c r="T368" s="64"/>
      <c r="U368" s="59" t="str">
        <f>IFERROR(VLOOKUP(Tabelle32[[#This Row],[Device ID]],BOM!$B$3:$BQ$35,25,FALSE),"")</f>
        <v>Luis/Ivo</v>
      </c>
      <c r="V368" s="59" t="str">
        <f>IFERROR(VLOOKUP(Tabelle32[[#This Row],[Device ID]],BOM!$B$3:$BQ$35,26,FALSE),"")</f>
        <v>tpco-megw-vgw103.rta.st-net.media.int</v>
      </c>
      <c r="W368" s="59" t="str">
        <f>IFERROR(VLOOKUP(Tabelle32[[#This Row],[Device ID]],BOM!$B$3:$BQ$35,27,FALSE),"")</f>
        <v>10.120.236.50</v>
      </c>
      <c r="X368" s="59" t="str">
        <f>IFERROR(VLOOKUP(Tabelle32[[#This Row],[Device ID]],BOM!$B$3:$BQ$35,28,FALSE),"")</f>
        <v>AVCoreA</v>
      </c>
      <c r="Y368" s="59" t="str">
        <f>IFERROR(VLOOKUP(Tabelle32[[#This Row],[Device ID]],BOM!$B$3:$BQ$35,29,FALSE),"")</f>
        <v>5_36_1</v>
      </c>
      <c r="Z368" s="59" t="str">
        <f>IFERROR(VLOOKUP(Tabelle32[[#This Row],[Device ID]],BOM!$B$3:$BQ$35,30,FALSE),"")</f>
        <v>tpco-megw-vgw103.rtb.st-net.media.int</v>
      </c>
      <c r="AA368" s="59" t="str">
        <f>IFERROR(VLOOKUP(Tabelle32[[#This Row],[Device ID]],BOM!$B$3:$BQ$35,31,FALSE),"")</f>
        <v>10.120.236.54</v>
      </c>
      <c r="AB368" s="59" t="str">
        <f>IFERROR(VLOOKUP(Tabelle32[[#This Row],[Device ID]],BOM!$B$3:$BQ$35,32,FALSE),"")</f>
        <v>AVCoreB</v>
      </c>
      <c r="AC368" s="59" t="str">
        <f>IFERROR(VLOOKUP(Tabelle32[[#This Row],[Device ID]],BOM!$B$3:$BQ$35,33,FALSE),"")</f>
        <v>5_36_1</v>
      </c>
      <c r="AD368" s="59" t="str">
        <f>IFERROR(VLOOKUP(Tabelle32[[#This Row],[Device ID]],BOM!$B$3:$BQ$35,34,FALSE),"")</f>
        <v>tpco-megw-vgw103.st-net.media.int</v>
      </c>
      <c r="AE368" s="59" t="str">
        <f>IFERROR(VLOOKUP(Tabelle32[[#This Row],[Device ID]],BOM!$B$3:$BQ$35,35,FALSE),"")</f>
        <v>10.120.67.141</v>
      </c>
      <c r="AF368" s="59">
        <f>IFERROR(VLOOKUP(Tabelle32[[#This Row],[Device ID]],BOM!$B$3:$BQ$35,36,FALSE),"")</f>
        <v>0</v>
      </c>
      <c r="AG368" s="59">
        <f>IFERROR(VLOOKUP(Tabelle32[[#This Row],[Device ID]],BOM!$B$3:$BQ$35,37,FALSE),"")</f>
        <v>0</v>
      </c>
      <c r="AH368" s="59"/>
      <c r="AI368" s="59"/>
      <c r="AJ368" s="59"/>
      <c r="AK368" s="59"/>
      <c r="AL368" s="59" t="str">
        <f>IFERROR(VLOOKUP(Tabelle32[[#This Row],[Device ID]],BOM!$B$3:$BQ$35,42,FALSE),"")</f>
        <v>Imagine Communications SNP</v>
      </c>
      <c r="AM368" s="59" t="str">
        <f>IFERROR(VLOOKUP(Tabelle32[[#This Row],[Device ID]],BOM!$B$3:$BQ$35,43,FALSE),"")</f>
        <v>no</v>
      </c>
      <c r="AN368" s="59" t="str">
        <f>IFERROR(VLOOKUP(Tabelle32[[#This Row],[Device ID]],BOM!$B$3:$BQ$35,44,FALSE),"")</f>
        <v>yes</v>
      </c>
      <c r="AO368" s="59" t="str">
        <f>IFERROR(VLOOKUP(Tabelle32[[#This Row],[Device ID]],BOM!$B$3:$BQ$35,45,FALSE),"")</f>
        <v>no</v>
      </c>
      <c r="AP368" s="59" t="str">
        <f>IFERROR(CONCATENATE(Tabelle32[[#This Row],[Family
GFX-Unit]]," | ",Tabelle32[[#This Row],[Label 1
GFX-Unit]]," | ",Tabelle32[[#This Row],[Attached Device if Gateway]]),"")</f>
        <v>MEDEM Edits Out | Out Edit08-05 | EditPC-08 OUT</v>
      </c>
      <c r="AQ368" s="59"/>
      <c r="AR368" s="92"/>
      <c r="AS368" s="92"/>
      <c r="AT368" s="92"/>
      <c r="AU368" s="92"/>
      <c r="AV368" s="92"/>
      <c r="AW368" s="92" t="s">
        <v>97</v>
      </c>
      <c r="AX368" s="92" t="s">
        <v>199</v>
      </c>
      <c r="AY368" s="92" t="s">
        <v>199</v>
      </c>
      <c r="AZ368" s="92"/>
      <c r="BA368" s="92"/>
      <c r="BB368" s="92"/>
      <c r="BC368" s="92"/>
      <c r="BD368" s="92"/>
      <c r="BE368" s="92"/>
      <c r="BF368" s="92"/>
      <c r="BG368" s="92"/>
      <c r="BH368" s="73" t="s">
        <v>199</v>
      </c>
      <c r="BI368" s="30" t="str">
        <f>IF(COUNTA(Tabelle32[[#This Row],[Type:Vid_1080i50]:[Type:Anc_Prot]])&gt;0,"x","")</f>
        <v>x</v>
      </c>
      <c r="BJ36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68" s="59"/>
      <c r="BL368" s="59"/>
      <c r="BM368" s="63"/>
      <c r="BN368" s="63"/>
      <c r="BO368" s="97" t="s">
        <v>732</v>
      </c>
      <c r="BP368" s="97" t="s">
        <v>779</v>
      </c>
      <c r="BQ368" s="75">
        <f>LEN(Tabelle32[[#This Row],[Label 1
GFX-Unit]])</f>
        <v>13</v>
      </c>
      <c r="BR368" s="63"/>
      <c r="BS368" s="63"/>
      <c r="BT368" s="59"/>
      <c r="BU368" s="59"/>
      <c r="BV368" s="59" t="s">
        <v>230</v>
      </c>
      <c r="BW368" s="59" t="s">
        <v>231</v>
      </c>
      <c r="BX368" s="59" t="s">
        <v>780</v>
      </c>
      <c r="BY368" s="59">
        <v>18</v>
      </c>
    </row>
    <row r="369" spans="1:77" x14ac:dyDescent="0.2">
      <c r="A369" s="58" t="str">
        <f>CONCATENATE(Tabelle32[[#This Row],[Device ID]],".",Tabelle32[[#This Row],[Streamcounter]])</f>
        <v>395.18206</v>
      </c>
      <c r="B36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VGW-103_SDI18_AUDsend_0006</v>
      </c>
      <c r="C369" s="60"/>
      <c r="D369" s="61"/>
      <c r="E369" s="62"/>
      <c r="F369" s="59" t="str">
        <f>IFERROR(VLOOKUP(Tabelle32[[#This Row],[Device ID]],BOM!$B$3:$BQ$35,16,FALSE),"")</f>
        <v>EditPC-08 OUT</v>
      </c>
      <c r="G369" s="63">
        <f>VLOOKUP(Tabelle32[[#This Row],[SDI Interface]],BOM!$A$4:$B$35,2,FALSE)</f>
        <v>395</v>
      </c>
      <c r="H369" s="59" t="str">
        <f>BOM!$C$4</f>
        <v>VGW-103</v>
      </c>
      <c r="I369" s="59" t="str">
        <f>IFERROR(VLOOKUP(Tabelle32[[#This Row],[Device ID]],BOM!$B$3:$BQ$35,12,FALSE),"")</f>
        <v>Edit Suite</v>
      </c>
      <c r="J369" s="59" t="str">
        <f>IFERROR(VLOOKUP(Tabelle32[[#This Row],[Device ID]],BOM!$B$3:$BQ$35,13,FALSE),"")</f>
        <v>TC.U1.223 | MDC</v>
      </c>
      <c r="K369" s="59" t="str">
        <f>IFERROR(VLOOKUP(Tabelle32[[#This Row],[Device ID]],BOM!$B$3:$BQ$35,14,FALSE),"")</f>
        <v>Imagine Comunications</v>
      </c>
      <c r="L369" s="59" t="str">
        <f>IFERROR(VLOOKUP(Tabelle32[[#This Row],[Device ID]],BOM!$B$3:$BQ$35,16,FALSE),"")</f>
        <v>EditPC-08 OUT</v>
      </c>
      <c r="M369" s="63" t="str">
        <f>IFERROR(VLOOKUP(Tabelle32[[#This Row],[Device ID]],BOM!$B$3:$BQ$35,17,FALSE),"")</f>
        <v>EDIT SUITE 08</v>
      </c>
      <c r="N369" s="59" t="str">
        <f>IFERROR(VLOOKUP(Tabelle32[[#This Row],[Device ID]],BOM!$B$3:$BQ$35,18,FALSE),"")</f>
        <v>TC.03.068 | Edit 08</v>
      </c>
      <c r="O369" s="64"/>
      <c r="P369" s="64">
        <f>IFERROR(VLOOKUP(Tabelle32[[#This Row],[Device ID]],BOM!$B$3:$BO$50,20,FALSE),"")</f>
        <v>0</v>
      </c>
      <c r="Q369" s="64">
        <f>IFERROR(VLOOKUP(Tabelle32[[#This Row],[Device ID]],BOM!$B$3:$BO$50,21,FALSE),"")</f>
        <v>1</v>
      </c>
      <c r="R369" s="64">
        <f>IFERROR(VLOOKUP(Tabelle32[[#This Row],[Device ID]],BOM!$B$3:$BO$50,22,FALSE),"")</f>
        <v>0</v>
      </c>
      <c r="S369" s="64"/>
      <c r="T369" s="64"/>
      <c r="U369" s="59" t="str">
        <f>IFERROR(VLOOKUP(Tabelle32[[#This Row],[Device ID]],BOM!$B$3:$BQ$35,25,FALSE),"")</f>
        <v>Luis/Ivo</v>
      </c>
      <c r="V369" s="59" t="str">
        <f>IFERROR(VLOOKUP(Tabelle32[[#This Row],[Device ID]],BOM!$B$3:$BQ$35,26,FALSE),"")</f>
        <v>tpco-megw-vgw103.rta.st-net.media.int</v>
      </c>
      <c r="W369" s="59" t="str">
        <f>IFERROR(VLOOKUP(Tabelle32[[#This Row],[Device ID]],BOM!$B$3:$BQ$35,27,FALSE),"")</f>
        <v>10.120.236.50</v>
      </c>
      <c r="X369" s="59" t="str">
        <f>IFERROR(VLOOKUP(Tabelle32[[#This Row],[Device ID]],BOM!$B$3:$BQ$35,28,FALSE),"")</f>
        <v>AVCoreA</v>
      </c>
      <c r="Y369" s="59" t="str">
        <f>IFERROR(VLOOKUP(Tabelle32[[#This Row],[Device ID]],BOM!$B$3:$BQ$35,29,FALSE),"")</f>
        <v>5_36_1</v>
      </c>
      <c r="Z369" s="59" t="str">
        <f>IFERROR(VLOOKUP(Tabelle32[[#This Row],[Device ID]],BOM!$B$3:$BQ$35,30,FALSE),"")</f>
        <v>tpco-megw-vgw103.rtb.st-net.media.int</v>
      </c>
      <c r="AA369" s="59" t="str">
        <f>IFERROR(VLOOKUP(Tabelle32[[#This Row],[Device ID]],BOM!$B$3:$BQ$35,31,FALSE),"")</f>
        <v>10.120.236.54</v>
      </c>
      <c r="AB369" s="59" t="str">
        <f>IFERROR(VLOOKUP(Tabelle32[[#This Row],[Device ID]],BOM!$B$3:$BQ$35,32,FALSE),"")</f>
        <v>AVCoreB</v>
      </c>
      <c r="AC369" s="59" t="str">
        <f>IFERROR(VLOOKUP(Tabelle32[[#This Row],[Device ID]],BOM!$B$3:$BQ$35,33,FALSE),"")</f>
        <v>5_36_1</v>
      </c>
      <c r="AD369" s="59" t="str">
        <f>IFERROR(VLOOKUP(Tabelle32[[#This Row],[Device ID]],BOM!$B$3:$BQ$35,34,FALSE),"")</f>
        <v>tpco-megw-vgw103.st-net.media.int</v>
      </c>
      <c r="AE369" s="59" t="str">
        <f>IFERROR(VLOOKUP(Tabelle32[[#This Row],[Device ID]],BOM!$B$3:$BQ$35,35,FALSE),"")</f>
        <v>10.120.67.141</v>
      </c>
      <c r="AF369" s="59">
        <f>IFERROR(VLOOKUP(Tabelle32[[#This Row],[Device ID]],BOM!$B$3:$BQ$35,36,FALSE),"")</f>
        <v>0</v>
      </c>
      <c r="AG369" s="59">
        <f>IFERROR(VLOOKUP(Tabelle32[[#This Row],[Device ID]],BOM!$B$3:$BQ$35,37,FALSE),"")</f>
        <v>0</v>
      </c>
      <c r="AH369" s="59"/>
      <c r="AI369" s="59"/>
      <c r="AJ369" s="59"/>
      <c r="AK369" s="59"/>
      <c r="AL369" s="59" t="str">
        <f>IFERROR(VLOOKUP(Tabelle32[[#This Row],[Device ID]],BOM!$B$3:$BQ$35,42,FALSE),"")</f>
        <v>Imagine Communications SNP</v>
      </c>
      <c r="AM369" s="59" t="str">
        <f>IFERROR(VLOOKUP(Tabelle32[[#This Row],[Device ID]],BOM!$B$3:$BQ$35,43,FALSE),"")</f>
        <v>no</v>
      </c>
      <c r="AN369" s="59" t="str">
        <f>IFERROR(VLOOKUP(Tabelle32[[#This Row],[Device ID]],BOM!$B$3:$BQ$35,44,FALSE),"")</f>
        <v>yes</v>
      </c>
      <c r="AO369" s="59" t="str">
        <f>IFERROR(VLOOKUP(Tabelle32[[#This Row],[Device ID]],BOM!$B$3:$BQ$35,45,FALSE),"")</f>
        <v>no</v>
      </c>
      <c r="AP369" s="59" t="str">
        <f>IFERROR(CONCATENATE(Tabelle32[[#This Row],[Family
GFX-Unit]]," | ",Tabelle32[[#This Row],[Label 1
GFX-Unit]]," | ",Tabelle32[[#This Row],[Attached Device if Gateway]]),"")</f>
        <v>MEDEM Edits Out | Out Edit08-06 | EditPC-08 OUT</v>
      </c>
      <c r="AQ369" s="59"/>
      <c r="AR369" s="92"/>
      <c r="AS369" s="92"/>
      <c r="AT369" s="92"/>
      <c r="AU369" s="92"/>
      <c r="AV369" s="92"/>
      <c r="AW369" s="92" t="s">
        <v>97</v>
      </c>
      <c r="AX369" s="92" t="s">
        <v>199</v>
      </c>
      <c r="AY369" s="92" t="s">
        <v>199</v>
      </c>
      <c r="AZ369" s="92"/>
      <c r="BA369" s="92"/>
      <c r="BB369" s="92"/>
      <c r="BC369" s="92"/>
      <c r="BD369" s="92"/>
      <c r="BE369" s="92"/>
      <c r="BF369" s="92"/>
      <c r="BG369" s="92"/>
      <c r="BH369" s="73" t="s">
        <v>199</v>
      </c>
      <c r="BI369" s="30" t="str">
        <f>IF(COUNTA(Tabelle32[[#This Row],[Type:Vid_1080i50]:[Type:Anc_Prot]])&gt;0,"x","")</f>
        <v>x</v>
      </c>
      <c r="BJ36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69" s="59"/>
      <c r="BL369" s="59"/>
      <c r="BM369" s="63"/>
      <c r="BN369" s="63"/>
      <c r="BO369" s="97" t="s">
        <v>732</v>
      </c>
      <c r="BP369" s="97" t="s">
        <v>781</v>
      </c>
      <c r="BQ369" s="75">
        <f>LEN(Tabelle32[[#This Row],[Label 1
GFX-Unit]])</f>
        <v>13</v>
      </c>
      <c r="BR369" s="63"/>
      <c r="BS369" s="63"/>
      <c r="BT369" s="59"/>
      <c r="BU369" s="59"/>
      <c r="BV369" s="59" t="s">
        <v>234</v>
      </c>
      <c r="BW369" s="59" t="s">
        <v>235</v>
      </c>
      <c r="BX369" s="59" t="s">
        <v>782</v>
      </c>
      <c r="BY369" s="59">
        <v>18</v>
      </c>
    </row>
    <row r="370" spans="1:77" x14ac:dyDescent="0.2">
      <c r="A370" s="58" t="str">
        <f>CONCATENATE(Tabelle32[[#This Row],[Device ID]],".",Tabelle32[[#This Row],[Streamcounter]])</f>
        <v>395.18207</v>
      </c>
      <c r="B37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VGW-103_SDI18_AUDsend_0007</v>
      </c>
      <c r="C370" s="60"/>
      <c r="D370" s="61"/>
      <c r="E370" s="62"/>
      <c r="F370" s="59" t="str">
        <f>IFERROR(VLOOKUP(Tabelle32[[#This Row],[Device ID]],BOM!$B$3:$BQ$35,16,FALSE),"")</f>
        <v>EditPC-08 OUT</v>
      </c>
      <c r="G370" s="63">
        <f>VLOOKUP(Tabelle32[[#This Row],[SDI Interface]],BOM!$A$4:$B$35,2,FALSE)</f>
        <v>395</v>
      </c>
      <c r="H370" s="59" t="str">
        <f>BOM!$C$4</f>
        <v>VGW-103</v>
      </c>
      <c r="I370" s="59" t="str">
        <f>IFERROR(VLOOKUP(Tabelle32[[#This Row],[Device ID]],BOM!$B$3:$BQ$35,12,FALSE),"")</f>
        <v>Edit Suite</v>
      </c>
      <c r="J370" s="59" t="str">
        <f>IFERROR(VLOOKUP(Tabelle32[[#This Row],[Device ID]],BOM!$B$3:$BQ$35,13,FALSE),"")</f>
        <v>TC.U1.223 | MDC</v>
      </c>
      <c r="K370" s="59" t="str">
        <f>IFERROR(VLOOKUP(Tabelle32[[#This Row],[Device ID]],BOM!$B$3:$BQ$35,14,FALSE),"")</f>
        <v>Imagine Comunications</v>
      </c>
      <c r="L370" s="59" t="str">
        <f>IFERROR(VLOOKUP(Tabelle32[[#This Row],[Device ID]],BOM!$B$3:$BQ$35,16,FALSE),"")</f>
        <v>EditPC-08 OUT</v>
      </c>
      <c r="M370" s="63" t="str">
        <f>IFERROR(VLOOKUP(Tabelle32[[#This Row],[Device ID]],BOM!$B$3:$BQ$35,17,FALSE),"")</f>
        <v>EDIT SUITE 08</v>
      </c>
      <c r="N370" s="59" t="str">
        <f>IFERROR(VLOOKUP(Tabelle32[[#This Row],[Device ID]],BOM!$B$3:$BQ$35,18,FALSE),"")</f>
        <v>TC.03.068 | Edit 08</v>
      </c>
      <c r="O370" s="64"/>
      <c r="P370" s="64">
        <f>IFERROR(VLOOKUP(Tabelle32[[#This Row],[Device ID]],BOM!$B$3:$BO$50,20,FALSE),"")</f>
        <v>0</v>
      </c>
      <c r="Q370" s="64">
        <f>IFERROR(VLOOKUP(Tabelle32[[#This Row],[Device ID]],BOM!$B$3:$BO$50,21,FALSE),"")</f>
        <v>1</v>
      </c>
      <c r="R370" s="64">
        <f>IFERROR(VLOOKUP(Tabelle32[[#This Row],[Device ID]],BOM!$B$3:$BO$50,22,FALSE),"")</f>
        <v>0</v>
      </c>
      <c r="S370" s="64"/>
      <c r="T370" s="64"/>
      <c r="U370" s="59" t="str">
        <f>IFERROR(VLOOKUP(Tabelle32[[#This Row],[Device ID]],BOM!$B$3:$BQ$35,25,FALSE),"")</f>
        <v>Luis/Ivo</v>
      </c>
      <c r="V370" s="59" t="str">
        <f>IFERROR(VLOOKUP(Tabelle32[[#This Row],[Device ID]],BOM!$B$3:$BQ$35,26,FALSE),"")</f>
        <v>tpco-megw-vgw103.rta.st-net.media.int</v>
      </c>
      <c r="W370" s="59" t="str">
        <f>IFERROR(VLOOKUP(Tabelle32[[#This Row],[Device ID]],BOM!$B$3:$BQ$35,27,FALSE),"")</f>
        <v>10.120.236.50</v>
      </c>
      <c r="X370" s="59" t="str">
        <f>IFERROR(VLOOKUP(Tabelle32[[#This Row],[Device ID]],BOM!$B$3:$BQ$35,28,FALSE),"")</f>
        <v>AVCoreA</v>
      </c>
      <c r="Y370" s="59" t="str">
        <f>IFERROR(VLOOKUP(Tabelle32[[#This Row],[Device ID]],BOM!$B$3:$BQ$35,29,FALSE),"")</f>
        <v>5_36_1</v>
      </c>
      <c r="Z370" s="59" t="str">
        <f>IFERROR(VLOOKUP(Tabelle32[[#This Row],[Device ID]],BOM!$B$3:$BQ$35,30,FALSE),"")</f>
        <v>tpco-megw-vgw103.rtb.st-net.media.int</v>
      </c>
      <c r="AA370" s="59" t="str">
        <f>IFERROR(VLOOKUP(Tabelle32[[#This Row],[Device ID]],BOM!$B$3:$BQ$35,31,FALSE),"")</f>
        <v>10.120.236.54</v>
      </c>
      <c r="AB370" s="59" t="str">
        <f>IFERROR(VLOOKUP(Tabelle32[[#This Row],[Device ID]],BOM!$B$3:$BQ$35,32,FALSE),"")</f>
        <v>AVCoreB</v>
      </c>
      <c r="AC370" s="59" t="str">
        <f>IFERROR(VLOOKUP(Tabelle32[[#This Row],[Device ID]],BOM!$B$3:$BQ$35,33,FALSE),"")</f>
        <v>5_36_1</v>
      </c>
      <c r="AD370" s="59" t="str">
        <f>IFERROR(VLOOKUP(Tabelle32[[#This Row],[Device ID]],BOM!$B$3:$BQ$35,34,FALSE),"")</f>
        <v>tpco-megw-vgw103.st-net.media.int</v>
      </c>
      <c r="AE370" s="59" t="str">
        <f>IFERROR(VLOOKUP(Tabelle32[[#This Row],[Device ID]],BOM!$B$3:$BQ$35,35,FALSE),"")</f>
        <v>10.120.67.141</v>
      </c>
      <c r="AF370" s="59">
        <f>IFERROR(VLOOKUP(Tabelle32[[#This Row],[Device ID]],BOM!$B$3:$BQ$35,36,FALSE),"")</f>
        <v>0</v>
      </c>
      <c r="AG370" s="59">
        <f>IFERROR(VLOOKUP(Tabelle32[[#This Row],[Device ID]],BOM!$B$3:$BQ$35,37,FALSE),"")</f>
        <v>0</v>
      </c>
      <c r="AH370" s="59"/>
      <c r="AI370" s="59"/>
      <c r="AJ370" s="59"/>
      <c r="AK370" s="59"/>
      <c r="AL370" s="59" t="str">
        <f>IFERROR(VLOOKUP(Tabelle32[[#This Row],[Device ID]],BOM!$B$3:$BQ$35,42,FALSE),"")</f>
        <v>Imagine Communications SNP</v>
      </c>
      <c r="AM370" s="59" t="str">
        <f>IFERROR(VLOOKUP(Tabelle32[[#This Row],[Device ID]],BOM!$B$3:$BQ$35,43,FALSE),"")</f>
        <v>no</v>
      </c>
      <c r="AN370" s="59" t="str">
        <f>IFERROR(VLOOKUP(Tabelle32[[#This Row],[Device ID]],BOM!$B$3:$BQ$35,44,FALSE),"")</f>
        <v>yes</v>
      </c>
      <c r="AO370" s="59" t="str">
        <f>IFERROR(VLOOKUP(Tabelle32[[#This Row],[Device ID]],BOM!$B$3:$BQ$35,45,FALSE),"")</f>
        <v>no</v>
      </c>
      <c r="AP370" s="59" t="str">
        <f>IFERROR(CONCATENATE(Tabelle32[[#This Row],[Family
GFX-Unit]]," | ",Tabelle32[[#This Row],[Label 1
GFX-Unit]]," | ",Tabelle32[[#This Row],[Attached Device if Gateway]]),"")</f>
        <v>MEDEM Edits Out | Out Edit08-07 | EditPC-08 OUT</v>
      </c>
      <c r="AQ370" s="59"/>
      <c r="AR370" s="92"/>
      <c r="AS370" s="92"/>
      <c r="AT370" s="92"/>
      <c r="AU370" s="92"/>
      <c r="AV370" s="92"/>
      <c r="AW370" s="92"/>
      <c r="AX370" s="92" t="s">
        <v>199</v>
      </c>
      <c r="AY370" s="92" t="s">
        <v>199</v>
      </c>
      <c r="AZ370" s="92" t="s">
        <v>97</v>
      </c>
      <c r="BA370" s="92"/>
      <c r="BB370" s="92"/>
      <c r="BC370" s="92"/>
      <c r="BD370" s="92"/>
      <c r="BE370" s="92"/>
      <c r="BF370" s="92"/>
      <c r="BG370" s="92"/>
      <c r="BH370" s="73" t="s">
        <v>199</v>
      </c>
      <c r="BI370" s="30" t="str">
        <f>IF(COUNTA(Tabelle32[[#This Row],[Type:Vid_1080i50]:[Type:Anc_Prot]])&gt;0,"x","")</f>
        <v>x</v>
      </c>
      <c r="BJ37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70" s="59"/>
      <c r="BL370" s="59"/>
      <c r="BM370" s="63"/>
      <c r="BN370" s="63"/>
      <c r="BO370" s="97" t="s">
        <v>732</v>
      </c>
      <c r="BP370" s="97" t="s">
        <v>783</v>
      </c>
      <c r="BQ370" s="75">
        <f>LEN(Tabelle32[[#This Row],[Label 1
GFX-Unit]])</f>
        <v>13</v>
      </c>
      <c r="BR370" s="63"/>
      <c r="BS370" s="63"/>
      <c r="BT370" s="59"/>
      <c r="BU370" s="59"/>
      <c r="BV370" s="59" t="s">
        <v>238</v>
      </c>
      <c r="BW370" s="59" t="s">
        <v>239</v>
      </c>
      <c r="BX370" s="59" t="s">
        <v>784</v>
      </c>
      <c r="BY370" s="59">
        <v>18</v>
      </c>
    </row>
    <row r="371" spans="1:77" x14ac:dyDescent="0.2">
      <c r="A371" s="58" t="str">
        <f>CONCATENATE(Tabelle32[[#This Row],[Device ID]],".",Tabelle32[[#This Row],[Streamcounter]])</f>
        <v>395.18208</v>
      </c>
      <c r="B37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VGW-103_SDI18_AUDsend_0008</v>
      </c>
      <c r="C371" s="60"/>
      <c r="D371" s="61"/>
      <c r="E371" s="62"/>
      <c r="F371" s="59" t="str">
        <f>IFERROR(VLOOKUP(Tabelle32[[#This Row],[Device ID]],BOM!$B$3:$BQ$35,16,FALSE),"")</f>
        <v>EditPC-08 OUT</v>
      </c>
      <c r="G371" s="63">
        <f>VLOOKUP(Tabelle32[[#This Row],[SDI Interface]],BOM!$A$4:$B$35,2,FALSE)</f>
        <v>395</v>
      </c>
      <c r="H371" s="59" t="str">
        <f>BOM!$C$4</f>
        <v>VGW-103</v>
      </c>
      <c r="I371" s="59" t="str">
        <f>IFERROR(VLOOKUP(Tabelle32[[#This Row],[Device ID]],BOM!$B$3:$BQ$35,12,FALSE),"")</f>
        <v>Edit Suite</v>
      </c>
      <c r="J371" s="59" t="str">
        <f>IFERROR(VLOOKUP(Tabelle32[[#This Row],[Device ID]],BOM!$B$3:$BQ$35,13,FALSE),"")</f>
        <v>TC.U1.223 | MDC</v>
      </c>
      <c r="K371" s="59" t="str">
        <f>IFERROR(VLOOKUP(Tabelle32[[#This Row],[Device ID]],BOM!$B$3:$BQ$35,14,FALSE),"")</f>
        <v>Imagine Comunications</v>
      </c>
      <c r="L371" s="59" t="str">
        <f>IFERROR(VLOOKUP(Tabelle32[[#This Row],[Device ID]],BOM!$B$3:$BQ$35,16,FALSE),"")</f>
        <v>EditPC-08 OUT</v>
      </c>
      <c r="M371" s="63" t="str">
        <f>IFERROR(VLOOKUP(Tabelle32[[#This Row],[Device ID]],BOM!$B$3:$BQ$35,17,FALSE),"")</f>
        <v>EDIT SUITE 08</v>
      </c>
      <c r="N371" s="59" t="str">
        <f>IFERROR(VLOOKUP(Tabelle32[[#This Row],[Device ID]],BOM!$B$3:$BQ$35,18,FALSE),"")</f>
        <v>TC.03.068 | Edit 08</v>
      </c>
      <c r="O371" s="64"/>
      <c r="P371" s="64">
        <f>IFERROR(VLOOKUP(Tabelle32[[#This Row],[Device ID]],BOM!$B$3:$BO$50,20,FALSE),"")</f>
        <v>0</v>
      </c>
      <c r="Q371" s="64">
        <f>IFERROR(VLOOKUP(Tabelle32[[#This Row],[Device ID]],BOM!$B$3:$BO$50,21,FALSE),"")</f>
        <v>1</v>
      </c>
      <c r="R371" s="64">
        <f>IFERROR(VLOOKUP(Tabelle32[[#This Row],[Device ID]],BOM!$B$3:$BO$50,22,FALSE),"")</f>
        <v>0</v>
      </c>
      <c r="S371" s="64"/>
      <c r="T371" s="64"/>
      <c r="U371" s="59" t="str">
        <f>IFERROR(VLOOKUP(Tabelle32[[#This Row],[Device ID]],BOM!$B$3:$BQ$35,25,FALSE),"")</f>
        <v>Luis/Ivo</v>
      </c>
      <c r="V371" s="59" t="str">
        <f>IFERROR(VLOOKUP(Tabelle32[[#This Row],[Device ID]],BOM!$B$3:$BQ$35,26,FALSE),"")</f>
        <v>tpco-megw-vgw103.rta.st-net.media.int</v>
      </c>
      <c r="W371" s="59" t="str">
        <f>IFERROR(VLOOKUP(Tabelle32[[#This Row],[Device ID]],BOM!$B$3:$BQ$35,27,FALSE),"")</f>
        <v>10.120.236.50</v>
      </c>
      <c r="X371" s="59" t="str">
        <f>IFERROR(VLOOKUP(Tabelle32[[#This Row],[Device ID]],BOM!$B$3:$BQ$35,28,FALSE),"")</f>
        <v>AVCoreA</v>
      </c>
      <c r="Y371" s="59" t="str">
        <f>IFERROR(VLOOKUP(Tabelle32[[#This Row],[Device ID]],BOM!$B$3:$BQ$35,29,FALSE),"")</f>
        <v>5_36_1</v>
      </c>
      <c r="Z371" s="59" t="str">
        <f>IFERROR(VLOOKUP(Tabelle32[[#This Row],[Device ID]],BOM!$B$3:$BQ$35,30,FALSE),"")</f>
        <v>tpco-megw-vgw103.rtb.st-net.media.int</v>
      </c>
      <c r="AA371" s="59" t="str">
        <f>IFERROR(VLOOKUP(Tabelle32[[#This Row],[Device ID]],BOM!$B$3:$BQ$35,31,FALSE),"")</f>
        <v>10.120.236.54</v>
      </c>
      <c r="AB371" s="59" t="str">
        <f>IFERROR(VLOOKUP(Tabelle32[[#This Row],[Device ID]],BOM!$B$3:$BQ$35,32,FALSE),"")</f>
        <v>AVCoreB</v>
      </c>
      <c r="AC371" s="59" t="str">
        <f>IFERROR(VLOOKUP(Tabelle32[[#This Row],[Device ID]],BOM!$B$3:$BQ$35,33,FALSE),"")</f>
        <v>5_36_1</v>
      </c>
      <c r="AD371" s="59" t="str">
        <f>IFERROR(VLOOKUP(Tabelle32[[#This Row],[Device ID]],BOM!$B$3:$BQ$35,34,FALSE),"")</f>
        <v>tpco-megw-vgw103.st-net.media.int</v>
      </c>
      <c r="AE371" s="59" t="str">
        <f>IFERROR(VLOOKUP(Tabelle32[[#This Row],[Device ID]],BOM!$B$3:$BQ$35,35,FALSE),"")</f>
        <v>10.120.67.141</v>
      </c>
      <c r="AF371" s="59">
        <f>IFERROR(VLOOKUP(Tabelle32[[#This Row],[Device ID]],BOM!$B$3:$BQ$35,36,FALSE),"")</f>
        <v>0</v>
      </c>
      <c r="AG371" s="59">
        <f>IFERROR(VLOOKUP(Tabelle32[[#This Row],[Device ID]],BOM!$B$3:$BQ$35,37,FALSE),"")</f>
        <v>0</v>
      </c>
      <c r="AH371" s="59"/>
      <c r="AI371" s="59"/>
      <c r="AJ371" s="59"/>
      <c r="AK371" s="59"/>
      <c r="AL371" s="59" t="str">
        <f>IFERROR(VLOOKUP(Tabelle32[[#This Row],[Device ID]],BOM!$B$3:$BQ$35,42,FALSE),"")</f>
        <v>Imagine Communications SNP</v>
      </c>
      <c r="AM371" s="59" t="str">
        <f>IFERROR(VLOOKUP(Tabelle32[[#This Row],[Device ID]],BOM!$B$3:$BQ$35,43,FALSE),"")</f>
        <v>no</v>
      </c>
      <c r="AN371" s="59" t="str">
        <f>IFERROR(VLOOKUP(Tabelle32[[#This Row],[Device ID]],BOM!$B$3:$BQ$35,44,FALSE),"")</f>
        <v>yes</v>
      </c>
      <c r="AO371" s="59" t="str">
        <f>IFERROR(VLOOKUP(Tabelle32[[#This Row],[Device ID]],BOM!$B$3:$BQ$35,45,FALSE),"")</f>
        <v>no</v>
      </c>
      <c r="AP371" s="59" t="str">
        <f>IFERROR(CONCATENATE(Tabelle32[[#This Row],[Family
GFX-Unit]]," | ",Tabelle32[[#This Row],[Label 1
GFX-Unit]]," | ",Tabelle32[[#This Row],[Attached Device if Gateway]]),"")</f>
        <v>MEDEM Edits Out | Out Edit08-08 | EditPC-08 OUT</v>
      </c>
      <c r="AQ371" s="59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 t="s">
        <v>97</v>
      </c>
      <c r="BD371" s="92"/>
      <c r="BE371" s="92"/>
      <c r="BF371" s="92"/>
      <c r="BG371" s="92"/>
      <c r="BH371" s="73" t="s">
        <v>199</v>
      </c>
      <c r="BI371" s="30" t="str">
        <f>IF(COUNTA(Tabelle32[[#This Row],[Type:Vid_1080i50]:[Type:Anc_Prot]])&gt;0,"x","")</f>
        <v>x</v>
      </c>
      <c r="BJ37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371" s="59"/>
      <c r="BL371" s="59"/>
      <c r="BM371" s="63"/>
      <c r="BN371" s="63"/>
      <c r="BO371" s="97" t="s">
        <v>732</v>
      </c>
      <c r="BP371" s="97" t="s">
        <v>785</v>
      </c>
      <c r="BQ371" s="75">
        <f>LEN(Tabelle32[[#This Row],[Label 1
GFX-Unit]])</f>
        <v>13</v>
      </c>
      <c r="BR371" s="63"/>
      <c r="BS371" s="63"/>
      <c r="BT371" s="59"/>
      <c r="BU371" s="59"/>
      <c r="BV371" s="59" t="s">
        <v>242</v>
      </c>
      <c r="BW371" s="59" t="s">
        <v>243</v>
      </c>
      <c r="BX371" s="59" t="s">
        <v>786</v>
      </c>
      <c r="BY371" s="59">
        <v>18</v>
      </c>
    </row>
    <row r="372" spans="1:77" hidden="1" x14ac:dyDescent="0.2">
      <c r="A372" s="58" t="str">
        <f>CONCATENATE(Tabelle32[[#This Row],[Device ID]],".",Tabelle32[[#This Row],[Streamcounter]])</f>
        <v>395.18209</v>
      </c>
      <c r="B37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VGW-103_SDI18_AUDsend_0009</v>
      </c>
      <c r="C372" s="60"/>
      <c r="D372" s="61"/>
      <c r="E372" s="62"/>
      <c r="F372" s="59" t="str">
        <f>IFERROR(VLOOKUP(Tabelle32[[#This Row],[Device ID]],BOM!$B$3:$BQ$35,16,FALSE),"")</f>
        <v>EditPC-08 OUT</v>
      </c>
      <c r="G372" s="63">
        <f>VLOOKUP(Tabelle32[[#This Row],[SDI Interface]],BOM!$A$4:$B$35,2,FALSE)</f>
        <v>395</v>
      </c>
      <c r="H372" s="59" t="str">
        <f>BOM!$C$4</f>
        <v>VGW-103</v>
      </c>
      <c r="I372" s="59" t="str">
        <f>IFERROR(VLOOKUP(Tabelle32[[#This Row],[Device ID]],BOM!$B$3:$BQ$35,12,FALSE),"")</f>
        <v>Edit Suite</v>
      </c>
      <c r="J372" s="59" t="str">
        <f>IFERROR(VLOOKUP(Tabelle32[[#This Row],[Device ID]],BOM!$B$3:$BQ$35,13,FALSE),"")</f>
        <v>TC.U1.223 | MDC</v>
      </c>
      <c r="K372" s="59" t="str">
        <f>IFERROR(VLOOKUP(Tabelle32[[#This Row],[Device ID]],BOM!$B$3:$BQ$35,14,FALSE),"")</f>
        <v>Imagine Comunications</v>
      </c>
      <c r="L372" s="59" t="str">
        <f>IFERROR(VLOOKUP(Tabelle32[[#This Row],[Device ID]],BOM!$B$3:$BQ$35,16,FALSE),"")</f>
        <v>EditPC-08 OUT</v>
      </c>
      <c r="M372" s="63" t="str">
        <f>IFERROR(VLOOKUP(Tabelle32[[#This Row],[Device ID]],BOM!$B$3:$BQ$35,17,FALSE),"")</f>
        <v>EDIT SUITE 08</v>
      </c>
      <c r="N372" s="59" t="str">
        <f>IFERROR(VLOOKUP(Tabelle32[[#This Row],[Device ID]],BOM!$B$3:$BQ$35,18,FALSE),"")</f>
        <v>TC.03.068 | Edit 08</v>
      </c>
      <c r="O372" s="64"/>
      <c r="P372" s="64">
        <f>IFERROR(VLOOKUP(Tabelle32[[#This Row],[Device ID]],BOM!$B$3:$BO$50,20,FALSE),"")</f>
        <v>0</v>
      </c>
      <c r="Q372" s="64">
        <f>IFERROR(VLOOKUP(Tabelle32[[#This Row],[Device ID]],BOM!$B$3:$BO$50,21,FALSE),"")</f>
        <v>1</v>
      </c>
      <c r="R372" s="64">
        <f>IFERROR(VLOOKUP(Tabelle32[[#This Row],[Device ID]],BOM!$B$3:$BO$50,22,FALSE),"")</f>
        <v>0</v>
      </c>
      <c r="S372" s="64"/>
      <c r="T372" s="64"/>
      <c r="U372" s="59" t="str">
        <f>IFERROR(VLOOKUP(Tabelle32[[#This Row],[Device ID]],BOM!$B$3:$BQ$35,25,FALSE),"")</f>
        <v>Luis/Ivo</v>
      </c>
      <c r="V372" s="59" t="str">
        <f>IFERROR(VLOOKUP(Tabelle32[[#This Row],[Device ID]],BOM!$B$3:$BQ$35,26,FALSE),"")</f>
        <v>tpco-megw-vgw103.rta.st-net.media.int</v>
      </c>
      <c r="W372" s="59" t="str">
        <f>IFERROR(VLOOKUP(Tabelle32[[#This Row],[Device ID]],BOM!$B$3:$BQ$35,27,FALSE),"")</f>
        <v>10.120.236.50</v>
      </c>
      <c r="X372" s="59" t="str">
        <f>IFERROR(VLOOKUP(Tabelle32[[#This Row],[Device ID]],BOM!$B$3:$BQ$35,28,FALSE),"")</f>
        <v>AVCoreA</v>
      </c>
      <c r="Y372" s="59" t="str">
        <f>IFERROR(VLOOKUP(Tabelle32[[#This Row],[Device ID]],BOM!$B$3:$BQ$35,29,FALSE),"")</f>
        <v>5_36_1</v>
      </c>
      <c r="Z372" s="59" t="str">
        <f>IFERROR(VLOOKUP(Tabelle32[[#This Row],[Device ID]],BOM!$B$3:$BQ$35,30,FALSE),"")</f>
        <v>tpco-megw-vgw103.rtb.st-net.media.int</v>
      </c>
      <c r="AA372" s="59" t="str">
        <f>IFERROR(VLOOKUP(Tabelle32[[#This Row],[Device ID]],BOM!$B$3:$BQ$35,31,FALSE),"")</f>
        <v>10.120.236.54</v>
      </c>
      <c r="AB372" s="59" t="str">
        <f>IFERROR(VLOOKUP(Tabelle32[[#This Row],[Device ID]],BOM!$B$3:$BQ$35,32,FALSE),"")</f>
        <v>AVCoreB</v>
      </c>
      <c r="AC372" s="59" t="str">
        <f>IFERROR(VLOOKUP(Tabelle32[[#This Row],[Device ID]],BOM!$B$3:$BQ$35,33,FALSE),"")</f>
        <v>5_36_1</v>
      </c>
      <c r="AD372" s="59" t="str">
        <f>IFERROR(VLOOKUP(Tabelle32[[#This Row],[Device ID]],BOM!$B$3:$BQ$35,34,FALSE),"")</f>
        <v>tpco-megw-vgw103.st-net.media.int</v>
      </c>
      <c r="AE372" s="59" t="str">
        <f>IFERROR(VLOOKUP(Tabelle32[[#This Row],[Device ID]],BOM!$B$3:$BQ$35,35,FALSE),"")</f>
        <v>10.120.67.141</v>
      </c>
      <c r="AF372" s="59">
        <f>IFERROR(VLOOKUP(Tabelle32[[#This Row],[Device ID]],BOM!$B$3:$BQ$35,36,FALSE),"")</f>
        <v>0</v>
      </c>
      <c r="AG372" s="59">
        <f>IFERROR(VLOOKUP(Tabelle32[[#This Row],[Device ID]],BOM!$B$3:$BQ$35,37,FALSE),"")</f>
        <v>0</v>
      </c>
      <c r="AH372" s="59"/>
      <c r="AI372" s="59"/>
      <c r="AJ372" s="59"/>
      <c r="AK372" s="59"/>
      <c r="AL372" s="59" t="str">
        <f>IFERROR(VLOOKUP(Tabelle32[[#This Row],[Device ID]],BOM!$B$3:$BQ$35,42,FALSE),"")</f>
        <v>Imagine Communications SNP</v>
      </c>
      <c r="AM372" s="59" t="str">
        <f>IFERROR(VLOOKUP(Tabelle32[[#This Row],[Device ID]],BOM!$B$3:$BQ$35,43,FALSE),"")</f>
        <v>no</v>
      </c>
      <c r="AN372" s="59" t="str">
        <f>IFERROR(VLOOKUP(Tabelle32[[#This Row],[Device ID]],BOM!$B$3:$BQ$35,44,FALSE),"")</f>
        <v>yes</v>
      </c>
      <c r="AO372" s="59" t="str">
        <f>IFERROR(VLOOKUP(Tabelle32[[#This Row],[Device ID]],BOM!$B$3:$BQ$35,45,FALSE),"")</f>
        <v>no</v>
      </c>
      <c r="AP372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72" s="59"/>
      <c r="AR372" s="90"/>
      <c r="AS372" s="90"/>
      <c r="AT372" s="90"/>
      <c r="AU372" s="90"/>
      <c r="AV372" s="90"/>
      <c r="AW372" s="90"/>
      <c r="AX372" s="90"/>
      <c r="AY372" s="90"/>
      <c r="AZ372" s="90"/>
      <c r="BA372" s="90"/>
      <c r="BB372" s="90"/>
      <c r="BC372" s="90"/>
      <c r="BD372" s="90"/>
      <c r="BE372" s="90"/>
      <c r="BF372" s="90"/>
      <c r="BG372" s="90"/>
      <c r="BH372" s="73" t="s">
        <v>199</v>
      </c>
      <c r="BI372" s="30" t="str">
        <f>IF(COUNTA(Tabelle32[[#This Row],[Type:Vid_1080i50]:[Type:Anc_Prot]])&gt;0,"x","")</f>
        <v/>
      </c>
      <c r="BJ37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72" s="59"/>
      <c r="BL372" s="59"/>
      <c r="BM372" s="63"/>
      <c r="BN372" s="63"/>
      <c r="BO372" s="96"/>
      <c r="BP372" s="96"/>
      <c r="BQ372" s="75">
        <f>LEN(Tabelle32[[#This Row],[Label 1
GFX-Unit]])</f>
        <v>0</v>
      </c>
      <c r="BR372" s="63"/>
      <c r="BS372" s="63"/>
      <c r="BT372" s="59"/>
      <c r="BU372" s="59"/>
      <c r="BV372" s="59" t="s">
        <v>245</v>
      </c>
      <c r="BW372" s="59" t="s">
        <v>246</v>
      </c>
      <c r="BX372" s="59" t="s">
        <v>787</v>
      </c>
      <c r="BY372" s="59">
        <v>18</v>
      </c>
    </row>
    <row r="373" spans="1:77" hidden="1" x14ac:dyDescent="0.2">
      <c r="A373" s="58" t="str">
        <f>CONCATENATE(Tabelle32[[#This Row],[Device ID]],".",Tabelle32[[#This Row],[Streamcounter]])</f>
        <v>395.18210</v>
      </c>
      <c r="B37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VGW-103_SDI18_AUDsend_0010</v>
      </c>
      <c r="C373" s="60"/>
      <c r="D373" s="61"/>
      <c r="E373" s="62"/>
      <c r="F373" s="59" t="str">
        <f>IFERROR(VLOOKUP(Tabelle32[[#This Row],[Device ID]],BOM!$B$3:$BQ$35,16,FALSE),"")</f>
        <v>EditPC-08 OUT</v>
      </c>
      <c r="G373" s="63">
        <f>VLOOKUP(Tabelle32[[#This Row],[SDI Interface]],BOM!$A$4:$B$35,2,FALSE)</f>
        <v>395</v>
      </c>
      <c r="H373" s="59" t="str">
        <f>BOM!$C$4</f>
        <v>VGW-103</v>
      </c>
      <c r="I373" s="59" t="str">
        <f>IFERROR(VLOOKUP(Tabelle32[[#This Row],[Device ID]],BOM!$B$3:$BQ$35,12,FALSE),"")</f>
        <v>Edit Suite</v>
      </c>
      <c r="J373" s="59" t="str">
        <f>IFERROR(VLOOKUP(Tabelle32[[#This Row],[Device ID]],BOM!$B$3:$BQ$35,13,FALSE),"")</f>
        <v>TC.U1.223 | MDC</v>
      </c>
      <c r="K373" s="59" t="str">
        <f>IFERROR(VLOOKUP(Tabelle32[[#This Row],[Device ID]],BOM!$B$3:$BQ$35,14,FALSE),"")</f>
        <v>Imagine Comunications</v>
      </c>
      <c r="L373" s="59" t="str">
        <f>IFERROR(VLOOKUP(Tabelle32[[#This Row],[Device ID]],BOM!$B$3:$BQ$35,16,FALSE),"")</f>
        <v>EditPC-08 OUT</v>
      </c>
      <c r="M373" s="63" t="str">
        <f>IFERROR(VLOOKUP(Tabelle32[[#This Row],[Device ID]],BOM!$B$3:$BQ$35,17,FALSE),"")</f>
        <v>EDIT SUITE 08</v>
      </c>
      <c r="N373" s="59" t="str">
        <f>IFERROR(VLOOKUP(Tabelle32[[#This Row],[Device ID]],BOM!$B$3:$BQ$35,18,FALSE),"")</f>
        <v>TC.03.068 | Edit 08</v>
      </c>
      <c r="O373" s="64"/>
      <c r="P373" s="64">
        <f>IFERROR(VLOOKUP(Tabelle32[[#This Row],[Device ID]],BOM!$B$3:$BO$50,20,FALSE),"")</f>
        <v>0</v>
      </c>
      <c r="Q373" s="64">
        <f>IFERROR(VLOOKUP(Tabelle32[[#This Row],[Device ID]],BOM!$B$3:$BO$50,21,FALSE),"")</f>
        <v>1</v>
      </c>
      <c r="R373" s="64">
        <f>IFERROR(VLOOKUP(Tabelle32[[#This Row],[Device ID]],BOM!$B$3:$BO$50,22,FALSE),"")</f>
        <v>0</v>
      </c>
      <c r="S373" s="64"/>
      <c r="T373" s="64"/>
      <c r="U373" s="59" t="str">
        <f>IFERROR(VLOOKUP(Tabelle32[[#This Row],[Device ID]],BOM!$B$3:$BQ$35,25,FALSE),"")</f>
        <v>Luis/Ivo</v>
      </c>
      <c r="V373" s="59" t="str">
        <f>IFERROR(VLOOKUP(Tabelle32[[#This Row],[Device ID]],BOM!$B$3:$BQ$35,26,FALSE),"")</f>
        <v>tpco-megw-vgw103.rta.st-net.media.int</v>
      </c>
      <c r="W373" s="59" t="str">
        <f>IFERROR(VLOOKUP(Tabelle32[[#This Row],[Device ID]],BOM!$B$3:$BQ$35,27,FALSE),"")</f>
        <v>10.120.236.50</v>
      </c>
      <c r="X373" s="59" t="str">
        <f>IFERROR(VLOOKUP(Tabelle32[[#This Row],[Device ID]],BOM!$B$3:$BQ$35,28,FALSE),"")</f>
        <v>AVCoreA</v>
      </c>
      <c r="Y373" s="59" t="str">
        <f>IFERROR(VLOOKUP(Tabelle32[[#This Row],[Device ID]],BOM!$B$3:$BQ$35,29,FALSE),"")</f>
        <v>5_36_1</v>
      </c>
      <c r="Z373" s="59" t="str">
        <f>IFERROR(VLOOKUP(Tabelle32[[#This Row],[Device ID]],BOM!$B$3:$BQ$35,30,FALSE),"")</f>
        <v>tpco-megw-vgw103.rtb.st-net.media.int</v>
      </c>
      <c r="AA373" s="59" t="str">
        <f>IFERROR(VLOOKUP(Tabelle32[[#This Row],[Device ID]],BOM!$B$3:$BQ$35,31,FALSE),"")</f>
        <v>10.120.236.54</v>
      </c>
      <c r="AB373" s="59" t="str">
        <f>IFERROR(VLOOKUP(Tabelle32[[#This Row],[Device ID]],BOM!$B$3:$BQ$35,32,FALSE),"")</f>
        <v>AVCoreB</v>
      </c>
      <c r="AC373" s="59" t="str">
        <f>IFERROR(VLOOKUP(Tabelle32[[#This Row],[Device ID]],BOM!$B$3:$BQ$35,33,FALSE),"")</f>
        <v>5_36_1</v>
      </c>
      <c r="AD373" s="59" t="str">
        <f>IFERROR(VLOOKUP(Tabelle32[[#This Row],[Device ID]],BOM!$B$3:$BQ$35,34,FALSE),"")</f>
        <v>tpco-megw-vgw103.st-net.media.int</v>
      </c>
      <c r="AE373" s="59" t="str">
        <f>IFERROR(VLOOKUP(Tabelle32[[#This Row],[Device ID]],BOM!$B$3:$BQ$35,35,FALSE),"")</f>
        <v>10.120.67.141</v>
      </c>
      <c r="AF373" s="59">
        <f>IFERROR(VLOOKUP(Tabelle32[[#This Row],[Device ID]],BOM!$B$3:$BQ$35,36,FALSE),"")</f>
        <v>0</v>
      </c>
      <c r="AG373" s="59">
        <f>IFERROR(VLOOKUP(Tabelle32[[#This Row],[Device ID]],BOM!$B$3:$BQ$35,37,FALSE),"")</f>
        <v>0</v>
      </c>
      <c r="AH373" s="59"/>
      <c r="AI373" s="59"/>
      <c r="AJ373" s="59"/>
      <c r="AK373" s="59"/>
      <c r="AL373" s="59" t="str">
        <f>IFERROR(VLOOKUP(Tabelle32[[#This Row],[Device ID]],BOM!$B$3:$BQ$35,42,FALSE),"")</f>
        <v>Imagine Communications SNP</v>
      </c>
      <c r="AM373" s="59" t="str">
        <f>IFERROR(VLOOKUP(Tabelle32[[#This Row],[Device ID]],BOM!$B$3:$BQ$35,43,FALSE),"")</f>
        <v>no</v>
      </c>
      <c r="AN373" s="59" t="str">
        <f>IFERROR(VLOOKUP(Tabelle32[[#This Row],[Device ID]],BOM!$B$3:$BQ$35,44,FALSE),"")</f>
        <v>yes</v>
      </c>
      <c r="AO373" s="59" t="str">
        <f>IFERROR(VLOOKUP(Tabelle32[[#This Row],[Device ID]],BOM!$B$3:$BQ$35,45,FALSE),"")</f>
        <v>no</v>
      </c>
      <c r="AP373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73" s="59"/>
      <c r="AR373" s="90"/>
      <c r="AS373" s="90"/>
      <c r="AT373" s="90"/>
      <c r="AU373" s="90"/>
      <c r="AV373" s="90"/>
      <c r="AW373" s="90"/>
      <c r="AX373" s="90"/>
      <c r="AY373" s="90"/>
      <c r="AZ373" s="90"/>
      <c r="BA373" s="90"/>
      <c r="BB373" s="90"/>
      <c r="BC373" s="90"/>
      <c r="BD373" s="90"/>
      <c r="BE373" s="90"/>
      <c r="BF373" s="90"/>
      <c r="BG373" s="90"/>
      <c r="BH373" s="73" t="s">
        <v>199</v>
      </c>
      <c r="BI373" s="30" t="str">
        <f>IF(COUNTA(Tabelle32[[#This Row],[Type:Vid_1080i50]:[Type:Anc_Prot]])&gt;0,"x","")</f>
        <v/>
      </c>
      <c r="BJ37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73" s="59"/>
      <c r="BL373" s="59"/>
      <c r="BM373" s="63"/>
      <c r="BN373" s="63"/>
      <c r="BO373" s="96"/>
      <c r="BP373" s="96"/>
      <c r="BQ373" s="75">
        <f>LEN(Tabelle32[[#This Row],[Label 1
GFX-Unit]])</f>
        <v>0</v>
      </c>
      <c r="BR373" s="63"/>
      <c r="BS373" s="63"/>
      <c r="BT373" s="59"/>
      <c r="BU373" s="59"/>
      <c r="BV373" s="59" t="s">
        <v>248</v>
      </c>
      <c r="BW373" s="59" t="s">
        <v>249</v>
      </c>
      <c r="BX373" s="59" t="s">
        <v>788</v>
      </c>
      <c r="BY373" s="59">
        <v>18</v>
      </c>
    </row>
    <row r="374" spans="1:77" hidden="1" x14ac:dyDescent="0.2">
      <c r="A374" s="58" t="str">
        <f>CONCATENATE(Tabelle32[[#This Row],[Device ID]],".",Tabelle32[[#This Row],[Streamcounter]])</f>
        <v>395.18211</v>
      </c>
      <c r="B37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VGW-103_SDI18_AUDsend_0011</v>
      </c>
      <c r="C374" s="60"/>
      <c r="D374" s="61"/>
      <c r="E374" s="62"/>
      <c r="F374" s="59" t="str">
        <f>IFERROR(VLOOKUP(Tabelle32[[#This Row],[Device ID]],BOM!$B$3:$BQ$35,16,FALSE),"")</f>
        <v>EditPC-08 OUT</v>
      </c>
      <c r="G374" s="63">
        <f>VLOOKUP(Tabelle32[[#This Row],[SDI Interface]],BOM!$A$4:$B$35,2,FALSE)</f>
        <v>395</v>
      </c>
      <c r="H374" s="59" t="str">
        <f>BOM!$C$4</f>
        <v>VGW-103</v>
      </c>
      <c r="I374" s="59" t="str">
        <f>IFERROR(VLOOKUP(Tabelle32[[#This Row],[Device ID]],BOM!$B$3:$BQ$35,12,FALSE),"")</f>
        <v>Edit Suite</v>
      </c>
      <c r="J374" s="59" t="str">
        <f>IFERROR(VLOOKUP(Tabelle32[[#This Row],[Device ID]],BOM!$B$3:$BQ$35,13,FALSE),"")</f>
        <v>TC.U1.223 | MDC</v>
      </c>
      <c r="K374" s="59" t="str">
        <f>IFERROR(VLOOKUP(Tabelle32[[#This Row],[Device ID]],BOM!$B$3:$BQ$35,14,FALSE),"")</f>
        <v>Imagine Comunications</v>
      </c>
      <c r="L374" s="59" t="str">
        <f>IFERROR(VLOOKUP(Tabelle32[[#This Row],[Device ID]],BOM!$B$3:$BQ$35,16,FALSE),"")</f>
        <v>EditPC-08 OUT</v>
      </c>
      <c r="M374" s="63" t="str">
        <f>IFERROR(VLOOKUP(Tabelle32[[#This Row],[Device ID]],BOM!$B$3:$BQ$35,17,FALSE),"")</f>
        <v>EDIT SUITE 08</v>
      </c>
      <c r="N374" s="59" t="str">
        <f>IFERROR(VLOOKUP(Tabelle32[[#This Row],[Device ID]],BOM!$B$3:$BQ$35,18,FALSE),"")</f>
        <v>TC.03.068 | Edit 08</v>
      </c>
      <c r="O374" s="64"/>
      <c r="P374" s="64">
        <f>IFERROR(VLOOKUP(Tabelle32[[#This Row],[Device ID]],BOM!$B$3:$BO$50,20,FALSE),"")</f>
        <v>0</v>
      </c>
      <c r="Q374" s="64">
        <f>IFERROR(VLOOKUP(Tabelle32[[#This Row],[Device ID]],BOM!$B$3:$BO$50,21,FALSE),"")</f>
        <v>1</v>
      </c>
      <c r="R374" s="64">
        <f>IFERROR(VLOOKUP(Tabelle32[[#This Row],[Device ID]],BOM!$B$3:$BO$50,22,FALSE),"")</f>
        <v>0</v>
      </c>
      <c r="S374" s="64"/>
      <c r="T374" s="64"/>
      <c r="U374" s="59" t="str">
        <f>IFERROR(VLOOKUP(Tabelle32[[#This Row],[Device ID]],BOM!$B$3:$BQ$35,25,FALSE),"")</f>
        <v>Luis/Ivo</v>
      </c>
      <c r="V374" s="59" t="str">
        <f>IFERROR(VLOOKUP(Tabelle32[[#This Row],[Device ID]],BOM!$B$3:$BQ$35,26,FALSE),"")</f>
        <v>tpco-megw-vgw103.rta.st-net.media.int</v>
      </c>
      <c r="W374" s="59" t="str">
        <f>IFERROR(VLOOKUP(Tabelle32[[#This Row],[Device ID]],BOM!$B$3:$BQ$35,27,FALSE),"")</f>
        <v>10.120.236.50</v>
      </c>
      <c r="X374" s="59" t="str">
        <f>IFERROR(VLOOKUP(Tabelle32[[#This Row],[Device ID]],BOM!$B$3:$BQ$35,28,FALSE),"")</f>
        <v>AVCoreA</v>
      </c>
      <c r="Y374" s="59" t="str">
        <f>IFERROR(VLOOKUP(Tabelle32[[#This Row],[Device ID]],BOM!$B$3:$BQ$35,29,FALSE),"")</f>
        <v>5_36_1</v>
      </c>
      <c r="Z374" s="59" t="str">
        <f>IFERROR(VLOOKUP(Tabelle32[[#This Row],[Device ID]],BOM!$B$3:$BQ$35,30,FALSE),"")</f>
        <v>tpco-megw-vgw103.rtb.st-net.media.int</v>
      </c>
      <c r="AA374" s="59" t="str">
        <f>IFERROR(VLOOKUP(Tabelle32[[#This Row],[Device ID]],BOM!$B$3:$BQ$35,31,FALSE),"")</f>
        <v>10.120.236.54</v>
      </c>
      <c r="AB374" s="59" t="str">
        <f>IFERROR(VLOOKUP(Tabelle32[[#This Row],[Device ID]],BOM!$B$3:$BQ$35,32,FALSE),"")</f>
        <v>AVCoreB</v>
      </c>
      <c r="AC374" s="59" t="str">
        <f>IFERROR(VLOOKUP(Tabelle32[[#This Row],[Device ID]],BOM!$B$3:$BQ$35,33,FALSE),"")</f>
        <v>5_36_1</v>
      </c>
      <c r="AD374" s="59" t="str">
        <f>IFERROR(VLOOKUP(Tabelle32[[#This Row],[Device ID]],BOM!$B$3:$BQ$35,34,FALSE),"")</f>
        <v>tpco-megw-vgw103.st-net.media.int</v>
      </c>
      <c r="AE374" s="59" t="str">
        <f>IFERROR(VLOOKUP(Tabelle32[[#This Row],[Device ID]],BOM!$B$3:$BQ$35,35,FALSE),"")</f>
        <v>10.120.67.141</v>
      </c>
      <c r="AF374" s="59">
        <f>IFERROR(VLOOKUP(Tabelle32[[#This Row],[Device ID]],BOM!$B$3:$BQ$35,36,FALSE),"")</f>
        <v>0</v>
      </c>
      <c r="AG374" s="59">
        <f>IFERROR(VLOOKUP(Tabelle32[[#This Row],[Device ID]],BOM!$B$3:$BQ$35,37,FALSE),"")</f>
        <v>0</v>
      </c>
      <c r="AH374" s="59"/>
      <c r="AI374" s="59"/>
      <c r="AJ374" s="59"/>
      <c r="AK374" s="59"/>
      <c r="AL374" s="59" t="str">
        <f>IFERROR(VLOOKUP(Tabelle32[[#This Row],[Device ID]],BOM!$B$3:$BQ$35,42,FALSE),"")</f>
        <v>Imagine Communications SNP</v>
      </c>
      <c r="AM374" s="59" t="str">
        <f>IFERROR(VLOOKUP(Tabelle32[[#This Row],[Device ID]],BOM!$B$3:$BQ$35,43,FALSE),"")</f>
        <v>no</v>
      </c>
      <c r="AN374" s="59" t="str">
        <f>IFERROR(VLOOKUP(Tabelle32[[#This Row],[Device ID]],BOM!$B$3:$BQ$35,44,FALSE),"")</f>
        <v>yes</v>
      </c>
      <c r="AO374" s="59" t="str">
        <f>IFERROR(VLOOKUP(Tabelle32[[#This Row],[Device ID]],BOM!$B$3:$BQ$35,45,FALSE),"")</f>
        <v>no</v>
      </c>
      <c r="AP374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74" s="59"/>
      <c r="AR374" s="90"/>
      <c r="AS374" s="90"/>
      <c r="AT374" s="90"/>
      <c r="AU374" s="90"/>
      <c r="AV374" s="90"/>
      <c r="AW374" s="90"/>
      <c r="AX374" s="90"/>
      <c r="AY374" s="90"/>
      <c r="AZ374" s="90"/>
      <c r="BA374" s="90"/>
      <c r="BB374" s="90"/>
      <c r="BC374" s="90"/>
      <c r="BD374" s="90"/>
      <c r="BE374" s="90"/>
      <c r="BF374" s="90"/>
      <c r="BG374" s="90"/>
      <c r="BH374" s="73" t="s">
        <v>199</v>
      </c>
      <c r="BI374" s="30" t="str">
        <f>IF(COUNTA(Tabelle32[[#This Row],[Type:Vid_1080i50]:[Type:Anc_Prot]])&gt;0,"x","")</f>
        <v/>
      </c>
      <c r="BJ37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74" s="59"/>
      <c r="BL374" s="59"/>
      <c r="BM374" s="63"/>
      <c r="BN374" s="63"/>
      <c r="BO374" s="96"/>
      <c r="BP374" s="96"/>
      <c r="BQ374" s="75">
        <f>LEN(Tabelle32[[#This Row],[Label 1
GFX-Unit]])</f>
        <v>0</v>
      </c>
      <c r="BR374" s="63"/>
      <c r="BS374" s="63"/>
      <c r="BT374" s="59"/>
      <c r="BU374" s="59"/>
      <c r="BV374" s="59" t="s">
        <v>251</v>
      </c>
      <c r="BW374" s="59" t="s">
        <v>252</v>
      </c>
      <c r="BX374" s="59" t="s">
        <v>789</v>
      </c>
      <c r="BY374" s="59">
        <v>18</v>
      </c>
    </row>
    <row r="375" spans="1:77" hidden="1" x14ac:dyDescent="0.2">
      <c r="A375" s="58" t="str">
        <f>CONCATENATE(Tabelle32[[#This Row],[Device ID]],".",Tabelle32[[#This Row],[Streamcounter]])</f>
        <v>395.18212</v>
      </c>
      <c r="B37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VGW-103_SDI18_AUDsend_0012</v>
      </c>
      <c r="C375" s="60"/>
      <c r="D375" s="61"/>
      <c r="E375" s="62"/>
      <c r="F375" s="59" t="str">
        <f>IFERROR(VLOOKUP(Tabelle32[[#This Row],[Device ID]],BOM!$B$3:$BQ$35,16,FALSE),"")</f>
        <v>EditPC-08 OUT</v>
      </c>
      <c r="G375" s="63">
        <f>VLOOKUP(Tabelle32[[#This Row],[SDI Interface]],BOM!$A$4:$B$35,2,FALSE)</f>
        <v>395</v>
      </c>
      <c r="H375" s="59" t="str">
        <f>BOM!$C$4</f>
        <v>VGW-103</v>
      </c>
      <c r="I375" s="59" t="str">
        <f>IFERROR(VLOOKUP(Tabelle32[[#This Row],[Device ID]],BOM!$B$3:$BQ$35,12,FALSE),"")</f>
        <v>Edit Suite</v>
      </c>
      <c r="J375" s="59" t="str">
        <f>IFERROR(VLOOKUP(Tabelle32[[#This Row],[Device ID]],BOM!$B$3:$BQ$35,13,FALSE),"")</f>
        <v>TC.U1.223 | MDC</v>
      </c>
      <c r="K375" s="59" t="str">
        <f>IFERROR(VLOOKUP(Tabelle32[[#This Row],[Device ID]],BOM!$B$3:$BQ$35,14,FALSE),"")</f>
        <v>Imagine Comunications</v>
      </c>
      <c r="L375" s="59" t="str">
        <f>IFERROR(VLOOKUP(Tabelle32[[#This Row],[Device ID]],BOM!$B$3:$BQ$35,16,FALSE),"")</f>
        <v>EditPC-08 OUT</v>
      </c>
      <c r="M375" s="63" t="str">
        <f>IFERROR(VLOOKUP(Tabelle32[[#This Row],[Device ID]],BOM!$B$3:$BQ$35,17,FALSE),"")</f>
        <v>EDIT SUITE 08</v>
      </c>
      <c r="N375" s="59" t="str">
        <f>IFERROR(VLOOKUP(Tabelle32[[#This Row],[Device ID]],BOM!$B$3:$BQ$35,18,FALSE),"")</f>
        <v>TC.03.068 | Edit 08</v>
      </c>
      <c r="O375" s="64"/>
      <c r="P375" s="64">
        <f>IFERROR(VLOOKUP(Tabelle32[[#This Row],[Device ID]],BOM!$B$3:$BO$50,20,FALSE),"")</f>
        <v>0</v>
      </c>
      <c r="Q375" s="64">
        <f>IFERROR(VLOOKUP(Tabelle32[[#This Row],[Device ID]],BOM!$B$3:$BO$50,21,FALSE),"")</f>
        <v>1</v>
      </c>
      <c r="R375" s="64">
        <f>IFERROR(VLOOKUP(Tabelle32[[#This Row],[Device ID]],BOM!$B$3:$BO$50,22,FALSE),"")</f>
        <v>0</v>
      </c>
      <c r="S375" s="64"/>
      <c r="T375" s="64"/>
      <c r="U375" s="59" t="str">
        <f>IFERROR(VLOOKUP(Tabelle32[[#This Row],[Device ID]],BOM!$B$3:$BQ$35,25,FALSE),"")</f>
        <v>Luis/Ivo</v>
      </c>
      <c r="V375" s="59" t="str">
        <f>IFERROR(VLOOKUP(Tabelle32[[#This Row],[Device ID]],BOM!$B$3:$BQ$35,26,FALSE),"")</f>
        <v>tpco-megw-vgw103.rta.st-net.media.int</v>
      </c>
      <c r="W375" s="59" t="str">
        <f>IFERROR(VLOOKUP(Tabelle32[[#This Row],[Device ID]],BOM!$B$3:$BQ$35,27,FALSE),"")</f>
        <v>10.120.236.50</v>
      </c>
      <c r="X375" s="59" t="str">
        <f>IFERROR(VLOOKUP(Tabelle32[[#This Row],[Device ID]],BOM!$B$3:$BQ$35,28,FALSE),"")</f>
        <v>AVCoreA</v>
      </c>
      <c r="Y375" s="59" t="str">
        <f>IFERROR(VLOOKUP(Tabelle32[[#This Row],[Device ID]],BOM!$B$3:$BQ$35,29,FALSE),"")</f>
        <v>5_36_1</v>
      </c>
      <c r="Z375" s="59" t="str">
        <f>IFERROR(VLOOKUP(Tabelle32[[#This Row],[Device ID]],BOM!$B$3:$BQ$35,30,FALSE),"")</f>
        <v>tpco-megw-vgw103.rtb.st-net.media.int</v>
      </c>
      <c r="AA375" s="59" t="str">
        <f>IFERROR(VLOOKUP(Tabelle32[[#This Row],[Device ID]],BOM!$B$3:$BQ$35,31,FALSE),"")</f>
        <v>10.120.236.54</v>
      </c>
      <c r="AB375" s="59" t="str">
        <f>IFERROR(VLOOKUP(Tabelle32[[#This Row],[Device ID]],BOM!$B$3:$BQ$35,32,FALSE),"")</f>
        <v>AVCoreB</v>
      </c>
      <c r="AC375" s="59" t="str">
        <f>IFERROR(VLOOKUP(Tabelle32[[#This Row],[Device ID]],BOM!$B$3:$BQ$35,33,FALSE),"")</f>
        <v>5_36_1</v>
      </c>
      <c r="AD375" s="59" t="str">
        <f>IFERROR(VLOOKUP(Tabelle32[[#This Row],[Device ID]],BOM!$B$3:$BQ$35,34,FALSE),"")</f>
        <v>tpco-megw-vgw103.st-net.media.int</v>
      </c>
      <c r="AE375" s="59" t="str">
        <f>IFERROR(VLOOKUP(Tabelle32[[#This Row],[Device ID]],BOM!$B$3:$BQ$35,35,FALSE),"")</f>
        <v>10.120.67.141</v>
      </c>
      <c r="AF375" s="59">
        <f>IFERROR(VLOOKUP(Tabelle32[[#This Row],[Device ID]],BOM!$B$3:$BQ$35,36,FALSE),"")</f>
        <v>0</v>
      </c>
      <c r="AG375" s="59">
        <f>IFERROR(VLOOKUP(Tabelle32[[#This Row],[Device ID]],BOM!$B$3:$BQ$35,37,FALSE),"")</f>
        <v>0</v>
      </c>
      <c r="AH375" s="59"/>
      <c r="AI375" s="59"/>
      <c r="AJ375" s="59"/>
      <c r="AK375" s="59"/>
      <c r="AL375" s="59" t="str">
        <f>IFERROR(VLOOKUP(Tabelle32[[#This Row],[Device ID]],BOM!$B$3:$BQ$35,42,FALSE),"")</f>
        <v>Imagine Communications SNP</v>
      </c>
      <c r="AM375" s="59" t="str">
        <f>IFERROR(VLOOKUP(Tabelle32[[#This Row],[Device ID]],BOM!$B$3:$BQ$35,43,FALSE),"")</f>
        <v>no</v>
      </c>
      <c r="AN375" s="59" t="str">
        <f>IFERROR(VLOOKUP(Tabelle32[[#This Row],[Device ID]],BOM!$B$3:$BQ$35,44,FALSE),"")</f>
        <v>yes</v>
      </c>
      <c r="AO375" s="59" t="str">
        <f>IFERROR(VLOOKUP(Tabelle32[[#This Row],[Device ID]],BOM!$B$3:$BQ$35,45,FALSE),"")</f>
        <v>no</v>
      </c>
      <c r="AP375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75" s="59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  <c r="BB375" s="101"/>
      <c r="BC375" s="101"/>
      <c r="BD375" s="101"/>
      <c r="BE375" s="101"/>
      <c r="BF375" s="101"/>
      <c r="BG375" s="101"/>
      <c r="BH375" s="73" t="s">
        <v>199</v>
      </c>
      <c r="BI375" s="30" t="str">
        <f>IF(COUNTA(Tabelle32[[#This Row],[Type:Vid_1080i50]:[Type:Anc_Prot]])&gt;0,"x","")</f>
        <v/>
      </c>
      <c r="BJ37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75" s="59"/>
      <c r="BL375" s="59"/>
      <c r="BM375" s="63"/>
      <c r="BN375" s="63"/>
      <c r="BO375" s="96"/>
      <c r="BP375" s="96"/>
      <c r="BQ375" s="75">
        <f>LEN(Tabelle32[[#This Row],[Label 1
GFX-Unit]])</f>
        <v>0</v>
      </c>
      <c r="BR375" s="63"/>
      <c r="BS375" s="63"/>
      <c r="BT375" s="59"/>
      <c r="BU375" s="59"/>
      <c r="BV375" s="59" t="s">
        <v>254</v>
      </c>
      <c r="BW375" s="59" t="s">
        <v>255</v>
      </c>
      <c r="BX375" s="59" t="s">
        <v>790</v>
      </c>
      <c r="BY375" s="59">
        <v>18</v>
      </c>
    </row>
    <row r="376" spans="1:77" hidden="1" x14ac:dyDescent="0.2">
      <c r="A376" s="58" t="str">
        <f>CONCATENATE(Tabelle32[[#This Row],[Device ID]],".",Tabelle32[[#This Row],[Streamcounter]])</f>
        <v>395.18213</v>
      </c>
      <c r="B37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VGW-103_SDI18_AUDsend_0013</v>
      </c>
      <c r="C376" s="60"/>
      <c r="D376" s="61"/>
      <c r="E376" s="62"/>
      <c r="F376" s="59" t="str">
        <f>IFERROR(VLOOKUP(Tabelle32[[#This Row],[Device ID]],BOM!$B$3:$BQ$35,16,FALSE),"")</f>
        <v>EditPC-08 OUT</v>
      </c>
      <c r="G376" s="63">
        <f>VLOOKUP(Tabelle32[[#This Row],[SDI Interface]],BOM!$A$4:$B$35,2,FALSE)</f>
        <v>395</v>
      </c>
      <c r="H376" s="59" t="str">
        <f>BOM!$C$4</f>
        <v>VGW-103</v>
      </c>
      <c r="I376" s="59" t="str">
        <f>IFERROR(VLOOKUP(Tabelle32[[#This Row],[Device ID]],BOM!$B$3:$BQ$35,12,FALSE),"")</f>
        <v>Edit Suite</v>
      </c>
      <c r="J376" s="59" t="str">
        <f>IFERROR(VLOOKUP(Tabelle32[[#This Row],[Device ID]],BOM!$B$3:$BQ$35,13,FALSE),"")</f>
        <v>TC.U1.223 | MDC</v>
      </c>
      <c r="K376" s="59" t="str">
        <f>IFERROR(VLOOKUP(Tabelle32[[#This Row],[Device ID]],BOM!$B$3:$BQ$35,14,FALSE),"")</f>
        <v>Imagine Comunications</v>
      </c>
      <c r="L376" s="59" t="str">
        <f>IFERROR(VLOOKUP(Tabelle32[[#This Row],[Device ID]],BOM!$B$3:$BQ$35,16,FALSE),"")</f>
        <v>EditPC-08 OUT</v>
      </c>
      <c r="M376" s="63" t="str">
        <f>IFERROR(VLOOKUP(Tabelle32[[#This Row],[Device ID]],BOM!$B$3:$BQ$35,17,FALSE),"")</f>
        <v>EDIT SUITE 08</v>
      </c>
      <c r="N376" s="59" t="str">
        <f>IFERROR(VLOOKUP(Tabelle32[[#This Row],[Device ID]],BOM!$B$3:$BQ$35,18,FALSE),"")</f>
        <v>TC.03.068 | Edit 08</v>
      </c>
      <c r="O376" s="64"/>
      <c r="P376" s="64">
        <f>IFERROR(VLOOKUP(Tabelle32[[#This Row],[Device ID]],BOM!$B$3:$BO$50,20,FALSE),"")</f>
        <v>0</v>
      </c>
      <c r="Q376" s="64">
        <f>IFERROR(VLOOKUP(Tabelle32[[#This Row],[Device ID]],BOM!$B$3:$BO$50,21,FALSE),"")</f>
        <v>1</v>
      </c>
      <c r="R376" s="64">
        <f>IFERROR(VLOOKUP(Tabelle32[[#This Row],[Device ID]],BOM!$B$3:$BO$50,22,FALSE),"")</f>
        <v>0</v>
      </c>
      <c r="S376" s="64"/>
      <c r="T376" s="64"/>
      <c r="U376" s="59" t="str">
        <f>IFERROR(VLOOKUP(Tabelle32[[#This Row],[Device ID]],BOM!$B$3:$BQ$35,25,FALSE),"")</f>
        <v>Luis/Ivo</v>
      </c>
      <c r="V376" s="59" t="str">
        <f>IFERROR(VLOOKUP(Tabelle32[[#This Row],[Device ID]],BOM!$B$3:$BQ$35,26,FALSE),"")</f>
        <v>tpco-megw-vgw103.rta.st-net.media.int</v>
      </c>
      <c r="W376" s="59" t="str">
        <f>IFERROR(VLOOKUP(Tabelle32[[#This Row],[Device ID]],BOM!$B$3:$BQ$35,27,FALSE),"")</f>
        <v>10.120.236.50</v>
      </c>
      <c r="X376" s="59" t="str">
        <f>IFERROR(VLOOKUP(Tabelle32[[#This Row],[Device ID]],BOM!$B$3:$BQ$35,28,FALSE),"")</f>
        <v>AVCoreA</v>
      </c>
      <c r="Y376" s="59" t="str">
        <f>IFERROR(VLOOKUP(Tabelle32[[#This Row],[Device ID]],BOM!$B$3:$BQ$35,29,FALSE),"")</f>
        <v>5_36_1</v>
      </c>
      <c r="Z376" s="59" t="str">
        <f>IFERROR(VLOOKUP(Tabelle32[[#This Row],[Device ID]],BOM!$B$3:$BQ$35,30,FALSE),"")</f>
        <v>tpco-megw-vgw103.rtb.st-net.media.int</v>
      </c>
      <c r="AA376" s="59" t="str">
        <f>IFERROR(VLOOKUP(Tabelle32[[#This Row],[Device ID]],BOM!$B$3:$BQ$35,31,FALSE),"")</f>
        <v>10.120.236.54</v>
      </c>
      <c r="AB376" s="59" t="str">
        <f>IFERROR(VLOOKUP(Tabelle32[[#This Row],[Device ID]],BOM!$B$3:$BQ$35,32,FALSE),"")</f>
        <v>AVCoreB</v>
      </c>
      <c r="AC376" s="59" t="str">
        <f>IFERROR(VLOOKUP(Tabelle32[[#This Row],[Device ID]],BOM!$B$3:$BQ$35,33,FALSE),"")</f>
        <v>5_36_1</v>
      </c>
      <c r="AD376" s="59" t="str">
        <f>IFERROR(VLOOKUP(Tabelle32[[#This Row],[Device ID]],BOM!$B$3:$BQ$35,34,FALSE),"")</f>
        <v>tpco-megw-vgw103.st-net.media.int</v>
      </c>
      <c r="AE376" s="59" t="str">
        <f>IFERROR(VLOOKUP(Tabelle32[[#This Row],[Device ID]],BOM!$B$3:$BQ$35,35,FALSE),"")</f>
        <v>10.120.67.141</v>
      </c>
      <c r="AF376" s="59">
        <f>IFERROR(VLOOKUP(Tabelle32[[#This Row],[Device ID]],BOM!$B$3:$BQ$35,36,FALSE),"")</f>
        <v>0</v>
      </c>
      <c r="AG376" s="59">
        <f>IFERROR(VLOOKUP(Tabelle32[[#This Row],[Device ID]],BOM!$B$3:$BQ$35,37,FALSE),"")</f>
        <v>0</v>
      </c>
      <c r="AH376" s="59"/>
      <c r="AI376" s="59"/>
      <c r="AJ376" s="59"/>
      <c r="AK376" s="59"/>
      <c r="AL376" s="59" t="str">
        <f>IFERROR(VLOOKUP(Tabelle32[[#This Row],[Device ID]],BOM!$B$3:$BQ$35,42,FALSE),"")</f>
        <v>Imagine Communications SNP</v>
      </c>
      <c r="AM376" s="59" t="str">
        <f>IFERROR(VLOOKUP(Tabelle32[[#This Row],[Device ID]],BOM!$B$3:$BQ$35,43,FALSE),"")</f>
        <v>no</v>
      </c>
      <c r="AN376" s="59" t="str">
        <f>IFERROR(VLOOKUP(Tabelle32[[#This Row],[Device ID]],BOM!$B$3:$BQ$35,44,FALSE),"")</f>
        <v>yes</v>
      </c>
      <c r="AO376" s="59" t="str">
        <f>IFERROR(VLOOKUP(Tabelle32[[#This Row],[Device ID]],BOM!$B$3:$BQ$35,45,FALSE),"")</f>
        <v>no</v>
      </c>
      <c r="AP376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76" s="59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  <c r="BB376" s="101"/>
      <c r="BC376" s="101"/>
      <c r="BD376" s="101"/>
      <c r="BE376" s="101"/>
      <c r="BF376" s="101"/>
      <c r="BG376" s="101"/>
      <c r="BH376" s="73" t="s">
        <v>199</v>
      </c>
      <c r="BI376" s="30" t="str">
        <f>IF(COUNTA(Tabelle32[[#This Row],[Type:Vid_1080i50]:[Type:Anc_Prot]])&gt;0,"x","")</f>
        <v/>
      </c>
      <c r="BJ37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76" s="59"/>
      <c r="BL376" s="59"/>
      <c r="BM376" s="63"/>
      <c r="BN376" s="63"/>
      <c r="BO376" s="96"/>
      <c r="BP376" s="96"/>
      <c r="BQ376" s="75">
        <f>LEN(Tabelle32[[#This Row],[Label 1
GFX-Unit]])</f>
        <v>0</v>
      </c>
      <c r="BR376" s="63"/>
      <c r="BS376" s="63"/>
      <c r="BT376" s="59"/>
      <c r="BU376" s="59"/>
      <c r="BV376" s="59" t="s">
        <v>257</v>
      </c>
      <c r="BW376" s="59" t="s">
        <v>258</v>
      </c>
      <c r="BX376" s="59" t="s">
        <v>791</v>
      </c>
      <c r="BY376" s="59">
        <v>18</v>
      </c>
    </row>
    <row r="377" spans="1:77" hidden="1" x14ac:dyDescent="0.2">
      <c r="A377" s="58" t="str">
        <f>CONCATENATE(Tabelle32[[#This Row],[Device ID]],".",Tabelle32[[#This Row],[Streamcounter]])</f>
        <v>395.18214</v>
      </c>
      <c r="B37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VGW-103_SDI18_AUDsend_0014</v>
      </c>
      <c r="C377" s="60"/>
      <c r="D377" s="61"/>
      <c r="E377" s="62"/>
      <c r="F377" s="59" t="str">
        <f>IFERROR(VLOOKUP(Tabelle32[[#This Row],[Device ID]],BOM!$B$3:$BQ$35,16,FALSE),"")</f>
        <v>EditPC-08 OUT</v>
      </c>
      <c r="G377" s="63">
        <f>VLOOKUP(Tabelle32[[#This Row],[SDI Interface]],BOM!$A$4:$B$35,2,FALSE)</f>
        <v>395</v>
      </c>
      <c r="H377" s="59" t="str">
        <f>BOM!$C$4</f>
        <v>VGW-103</v>
      </c>
      <c r="I377" s="59" t="str">
        <f>IFERROR(VLOOKUP(Tabelle32[[#This Row],[Device ID]],BOM!$B$3:$BQ$35,12,FALSE),"")</f>
        <v>Edit Suite</v>
      </c>
      <c r="J377" s="59" t="str">
        <f>IFERROR(VLOOKUP(Tabelle32[[#This Row],[Device ID]],BOM!$B$3:$BQ$35,13,FALSE),"")</f>
        <v>TC.U1.223 | MDC</v>
      </c>
      <c r="K377" s="59" t="str">
        <f>IFERROR(VLOOKUP(Tabelle32[[#This Row],[Device ID]],BOM!$B$3:$BQ$35,14,FALSE),"")</f>
        <v>Imagine Comunications</v>
      </c>
      <c r="L377" s="59" t="str">
        <f>IFERROR(VLOOKUP(Tabelle32[[#This Row],[Device ID]],BOM!$B$3:$BQ$35,16,FALSE),"")</f>
        <v>EditPC-08 OUT</v>
      </c>
      <c r="M377" s="63" t="str">
        <f>IFERROR(VLOOKUP(Tabelle32[[#This Row],[Device ID]],BOM!$B$3:$BQ$35,17,FALSE),"")</f>
        <v>EDIT SUITE 08</v>
      </c>
      <c r="N377" s="59" t="str">
        <f>IFERROR(VLOOKUP(Tabelle32[[#This Row],[Device ID]],BOM!$B$3:$BQ$35,18,FALSE),"")</f>
        <v>TC.03.068 | Edit 08</v>
      </c>
      <c r="O377" s="64"/>
      <c r="P377" s="64">
        <f>IFERROR(VLOOKUP(Tabelle32[[#This Row],[Device ID]],BOM!$B$3:$BO$50,20,FALSE),"")</f>
        <v>0</v>
      </c>
      <c r="Q377" s="64">
        <f>IFERROR(VLOOKUP(Tabelle32[[#This Row],[Device ID]],BOM!$B$3:$BO$50,21,FALSE),"")</f>
        <v>1</v>
      </c>
      <c r="R377" s="64">
        <f>IFERROR(VLOOKUP(Tabelle32[[#This Row],[Device ID]],BOM!$B$3:$BO$50,22,FALSE),"")</f>
        <v>0</v>
      </c>
      <c r="S377" s="64"/>
      <c r="T377" s="64"/>
      <c r="U377" s="59" t="str">
        <f>IFERROR(VLOOKUP(Tabelle32[[#This Row],[Device ID]],BOM!$B$3:$BQ$35,25,FALSE),"")</f>
        <v>Luis/Ivo</v>
      </c>
      <c r="V377" s="59" t="str">
        <f>IFERROR(VLOOKUP(Tabelle32[[#This Row],[Device ID]],BOM!$B$3:$BQ$35,26,FALSE),"")</f>
        <v>tpco-megw-vgw103.rta.st-net.media.int</v>
      </c>
      <c r="W377" s="59" t="str">
        <f>IFERROR(VLOOKUP(Tabelle32[[#This Row],[Device ID]],BOM!$B$3:$BQ$35,27,FALSE),"")</f>
        <v>10.120.236.50</v>
      </c>
      <c r="X377" s="59" t="str">
        <f>IFERROR(VLOOKUP(Tabelle32[[#This Row],[Device ID]],BOM!$B$3:$BQ$35,28,FALSE),"")</f>
        <v>AVCoreA</v>
      </c>
      <c r="Y377" s="59" t="str">
        <f>IFERROR(VLOOKUP(Tabelle32[[#This Row],[Device ID]],BOM!$B$3:$BQ$35,29,FALSE),"")</f>
        <v>5_36_1</v>
      </c>
      <c r="Z377" s="59" t="str">
        <f>IFERROR(VLOOKUP(Tabelle32[[#This Row],[Device ID]],BOM!$B$3:$BQ$35,30,FALSE),"")</f>
        <v>tpco-megw-vgw103.rtb.st-net.media.int</v>
      </c>
      <c r="AA377" s="59" t="str">
        <f>IFERROR(VLOOKUP(Tabelle32[[#This Row],[Device ID]],BOM!$B$3:$BQ$35,31,FALSE),"")</f>
        <v>10.120.236.54</v>
      </c>
      <c r="AB377" s="59" t="str">
        <f>IFERROR(VLOOKUP(Tabelle32[[#This Row],[Device ID]],BOM!$B$3:$BQ$35,32,FALSE),"")</f>
        <v>AVCoreB</v>
      </c>
      <c r="AC377" s="59" t="str">
        <f>IFERROR(VLOOKUP(Tabelle32[[#This Row],[Device ID]],BOM!$B$3:$BQ$35,33,FALSE),"")</f>
        <v>5_36_1</v>
      </c>
      <c r="AD377" s="59" t="str">
        <f>IFERROR(VLOOKUP(Tabelle32[[#This Row],[Device ID]],BOM!$B$3:$BQ$35,34,FALSE),"")</f>
        <v>tpco-megw-vgw103.st-net.media.int</v>
      </c>
      <c r="AE377" s="59" t="str">
        <f>IFERROR(VLOOKUP(Tabelle32[[#This Row],[Device ID]],BOM!$B$3:$BQ$35,35,FALSE),"")</f>
        <v>10.120.67.141</v>
      </c>
      <c r="AF377" s="59">
        <f>IFERROR(VLOOKUP(Tabelle32[[#This Row],[Device ID]],BOM!$B$3:$BQ$35,36,FALSE),"")</f>
        <v>0</v>
      </c>
      <c r="AG377" s="59">
        <f>IFERROR(VLOOKUP(Tabelle32[[#This Row],[Device ID]],BOM!$B$3:$BQ$35,37,FALSE),"")</f>
        <v>0</v>
      </c>
      <c r="AH377" s="59"/>
      <c r="AI377" s="59"/>
      <c r="AJ377" s="59"/>
      <c r="AK377" s="59"/>
      <c r="AL377" s="59" t="str">
        <f>IFERROR(VLOOKUP(Tabelle32[[#This Row],[Device ID]],BOM!$B$3:$BQ$35,42,FALSE),"")</f>
        <v>Imagine Communications SNP</v>
      </c>
      <c r="AM377" s="59" t="str">
        <f>IFERROR(VLOOKUP(Tabelle32[[#This Row],[Device ID]],BOM!$B$3:$BQ$35,43,FALSE),"")</f>
        <v>no</v>
      </c>
      <c r="AN377" s="59" t="str">
        <f>IFERROR(VLOOKUP(Tabelle32[[#This Row],[Device ID]],BOM!$B$3:$BQ$35,44,FALSE),"")</f>
        <v>yes</v>
      </c>
      <c r="AO377" s="59" t="str">
        <f>IFERROR(VLOOKUP(Tabelle32[[#This Row],[Device ID]],BOM!$B$3:$BQ$35,45,FALSE),"")</f>
        <v>no</v>
      </c>
      <c r="AP377" s="59" t="str">
        <f>IFERROR(CONCATENATE(Tabelle32[[#This Row],[Family
GFX-Unit]]," | ",Tabelle32[[#This Row],[Label 1
GFX-Unit]]," | ",Tabelle32[[#This Row],[Attached Device if Gateway]]),"")</f>
        <v xml:space="preserve"> |  | EditPC-08 OUT</v>
      </c>
      <c r="AQ377" s="59"/>
      <c r="AR377" s="90"/>
      <c r="AS377" s="90"/>
      <c r="AT377" s="90"/>
      <c r="AU377" s="90"/>
      <c r="AV377" s="90"/>
      <c r="AW377" s="90"/>
      <c r="AX377" s="90"/>
      <c r="AY377" s="90"/>
      <c r="AZ377" s="90"/>
      <c r="BA377" s="90"/>
      <c r="BB377" s="90"/>
      <c r="BC377" s="90"/>
      <c r="BD377" s="90"/>
      <c r="BE377" s="90"/>
      <c r="BF377" s="90"/>
      <c r="BG377" s="90"/>
      <c r="BH377" s="73" t="s">
        <v>199</v>
      </c>
      <c r="BI377" s="30" t="str">
        <f>IF(COUNTA(Tabelle32[[#This Row],[Type:Vid_1080i50]:[Type:Anc_Prot]])&gt;0,"x","")</f>
        <v/>
      </c>
      <c r="BJ37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77" s="59"/>
      <c r="BL377" s="59"/>
      <c r="BM377" s="63"/>
      <c r="BN377" s="63"/>
      <c r="BO377" s="96"/>
      <c r="BP377" s="96"/>
      <c r="BQ377" s="75">
        <f>LEN(Tabelle32[[#This Row],[Label 1
GFX-Unit]])</f>
        <v>0</v>
      </c>
      <c r="BR377" s="63"/>
      <c r="BS377" s="63"/>
      <c r="BT377" s="59"/>
      <c r="BU377" s="59"/>
      <c r="BV377" s="59" t="s">
        <v>260</v>
      </c>
      <c r="BW377" s="59" t="s">
        <v>261</v>
      </c>
      <c r="BX377" s="59" t="s">
        <v>792</v>
      </c>
      <c r="BY377" s="59">
        <v>18</v>
      </c>
    </row>
    <row r="378" spans="1:77" x14ac:dyDescent="0.2">
      <c r="A378" s="58" t="str">
        <f>CONCATENATE(Tabelle32[[#This Row],[Device ID]],".",Tabelle32[[#This Row],[Streamcounter]])</f>
        <v>395.18215</v>
      </c>
      <c r="B37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VGW-103_SDI18_AUDsend_0015</v>
      </c>
      <c r="C378" s="60"/>
      <c r="D378" s="61"/>
      <c r="E378" s="62"/>
      <c r="F378" s="59" t="str">
        <f>IFERROR(VLOOKUP(Tabelle32[[#This Row],[Device ID]],BOM!$B$3:$BQ$35,16,FALSE),"")</f>
        <v>EditPC-08 OUT</v>
      </c>
      <c r="G378" s="63">
        <f>VLOOKUP(Tabelle32[[#This Row],[SDI Interface]],BOM!$A$4:$B$35,2,FALSE)</f>
        <v>395</v>
      </c>
      <c r="H378" s="59" t="str">
        <f>BOM!$C$4</f>
        <v>VGW-103</v>
      </c>
      <c r="I378" s="59" t="str">
        <f>IFERROR(VLOOKUP(Tabelle32[[#This Row],[Device ID]],BOM!$B$3:$BQ$35,12,FALSE),"")</f>
        <v>Edit Suite</v>
      </c>
      <c r="J378" s="59" t="str">
        <f>IFERROR(VLOOKUP(Tabelle32[[#This Row],[Device ID]],BOM!$B$3:$BQ$35,13,FALSE),"")</f>
        <v>TC.U1.223 | MDC</v>
      </c>
      <c r="K378" s="59" t="str">
        <f>IFERROR(VLOOKUP(Tabelle32[[#This Row],[Device ID]],BOM!$B$3:$BQ$35,14,FALSE),"")</f>
        <v>Imagine Comunications</v>
      </c>
      <c r="L378" s="59" t="str">
        <f>IFERROR(VLOOKUP(Tabelle32[[#This Row],[Device ID]],BOM!$B$3:$BQ$35,16,FALSE),"")</f>
        <v>EditPC-08 OUT</v>
      </c>
      <c r="M378" s="63" t="str">
        <f>IFERROR(VLOOKUP(Tabelle32[[#This Row],[Device ID]],BOM!$B$3:$BQ$35,17,FALSE),"")</f>
        <v>EDIT SUITE 08</v>
      </c>
      <c r="N378" s="59" t="str">
        <f>IFERROR(VLOOKUP(Tabelle32[[#This Row],[Device ID]],BOM!$B$3:$BQ$35,18,FALSE),"")</f>
        <v>TC.03.068 | Edit 08</v>
      </c>
      <c r="O378" s="64"/>
      <c r="P378" s="64">
        <f>IFERROR(VLOOKUP(Tabelle32[[#This Row],[Device ID]],BOM!$B$3:$BO$50,20,FALSE),"")</f>
        <v>0</v>
      </c>
      <c r="Q378" s="64">
        <f>IFERROR(VLOOKUP(Tabelle32[[#This Row],[Device ID]],BOM!$B$3:$BO$50,21,FALSE),"")</f>
        <v>1</v>
      </c>
      <c r="R378" s="64">
        <f>IFERROR(VLOOKUP(Tabelle32[[#This Row],[Device ID]],BOM!$B$3:$BO$50,22,FALSE),"")</f>
        <v>0</v>
      </c>
      <c r="S378" s="64"/>
      <c r="T378" s="64"/>
      <c r="U378" s="59" t="str">
        <f>IFERROR(VLOOKUP(Tabelle32[[#This Row],[Device ID]],BOM!$B$3:$BQ$35,25,FALSE),"")</f>
        <v>Luis/Ivo</v>
      </c>
      <c r="V378" s="59" t="str">
        <f>IFERROR(VLOOKUP(Tabelle32[[#This Row],[Device ID]],BOM!$B$3:$BQ$35,26,FALSE),"")</f>
        <v>tpco-megw-vgw103.rta.st-net.media.int</v>
      </c>
      <c r="W378" s="59" t="str">
        <f>IFERROR(VLOOKUP(Tabelle32[[#This Row],[Device ID]],BOM!$B$3:$BQ$35,27,FALSE),"")</f>
        <v>10.120.236.50</v>
      </c>
      <c r="X378" s="59" t="str">
        <f>IFERROR(VLOOKUP(Tabelle32[[#This Row],[Device ID]],BOM!$B$3:$BQ$35,28,FALSE),"")</f>
        <v>AVCoreA</v>
      </c>
      <c r="Y378" s="59" t="str">
        <f>IFERROR(VLOOKUP(Tabelle32[[#This Row],[Device ID]],BOM!$B$3:$BQ$35,29,FALSE),"")</f>
        <v>5_36_1</v>
      </c>
      <c r="Z378" s="59" t="str">
        <f>IFERROR(VLOOKUP(Tabelle32[[#This Row],[Device ID]],BOM!$B$3:$BQ$35,30,FALSE),"")</f>
        <v>tpco-megw-vgw103.rtb.st-net.media.int</v>
      </c>
      <c r="AA378" s="59" t="str">
        <f>IFERROR(VLOOKUP(Tabelle32[[#This Row],[Device ID]],BOM!$B$3:$BQ$35,31,FALSE),"")</f>
        <v>10.120.236.54</v>
      </c>
      <c r="AB378" s="59" t="str">
        <f>IFERROR(VLOOKUP(Tabelle32[[#This Row],[Device ID]],BOM!$B$3:$BQ$35,32,FALSE),"")</f>
        <v>AVCoreB</v>
      </c>
      <c r="AC378" s="59" t="str">
        <f>IFERROR(VLOOKUP(Tabelle32[[#This Row],[Device ID]],BOM!$B$3:$BQ$35,33,FALSE),"")</f>
        <v>5_36_1</v>
      </c>
      <c r="AD378" s="59" t="str">
        <f>IFERROR(VLOOKUP(Tabelle32[[#This Row],[Device ID]],BOM!$B$3:$BQ$35,34,FALSE),"")</f>
        <v>tpco-megw-vgw103.st-net.media.int</v>
      </c>
      <c r="AE378" s="59" t="str">
        <f>IFERROR(VLOOKUP(Tabelle32[[#This Row],[Device ID]],BOM!$B$3:$BQ$35,35,FALSE),"")</f>
        <v>10.120.67.141</v>
      </c>
      <c r="AF378" s="59">
        <f>IFERROR(VLOOKUP(Tabelle32[[#This Row],[Device ID]],BOM!$B$3:$BQ$35,36,FALSE),"")</f>
        <v>0</v>
      </c>
      <c r="AG378" s="59">
        <f>IFERROR(VLOOKUP(Tabelle32[[#This Row],[Device ID]],BOM!$B$3:$BQ$35,37,FALSE),"")</f>
        <v>0</v>
      </c>
      <c r="AH378" s="59"/>
      <c r="AI378" s="59"/>
      <c r="AJ378" s="59"/>
      <c r="AK378" s="59"/>
      <c r="AL378" s="59" t="str">
        <f>IFERROR(VLOOKUP(Tabelle32[[#This Row],[Device ID]],BOM!$B$3:$BQ$35,42,FALSE),"")</f>
        <v>Imagine Communications SNP</v>
      </c>
      <c r="AM378" s="59" t="str">
        <f>IFERROR(VLOOKUP(Tabelle32[[#This Row],[Device ID]],BOM!$B$3:$BQ$35,43,FALSE),"")</f>
        <v>no</v>
      </c>
      <c r="AN378" s="59" t="str">
        <f>IFERROR(VLOOKUP(Tabelle32[[#This Row],[Device ID]],BOM!$B$3:$BQ$35,44,FALSE),"")</f>
        <v>yes</v>
      </c>
      <c r="AO378" s="59" t="str">
        <f>IFERROR(VLOOKUP(Tabelle32[[#This Row],[Device ID]],BOM!$B$3:$BQ$35,45,FALSE),"")</f>
        <v>no</v>
      </c>
      <c r="AP378" s="59" t="str">
        <f>IFERROR(CONCATENATE(Tabelle32[[#This Row],[Family
GFX-Unit]]," | ",Tabelle32[[#This Row],[Label 1
GFX-Unit]]," | ",Tabelle32[[#This Row],[Attached Device if Gateway]]),"")</f>
        <v>MEDEM Edits Out | Out Edit08-15 | EditPC-08 OUT</v>
      </c>
      <c r="AQ378" s="59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 t="s">
        <v>97</v>
      </c>
      <c r="BE378" s="92"/>
      <c r="BF378" s="92"/>
      <c r="BG378" s="92"/>
      <c r="BH378" s="73" t="s">
        <v>199</v>
      </c>
      <c r="BI378" s="30" t="str">
        <f>IF(COUNTA(Tabelle32[[#This Row],[Type:Vid_1080i50]:[Type:Anc_Prot]])&gt;0,"x","")</f>
        <v>x</v>
      </c>
      <c r="BJ37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378" s="59"/>
      <c r="BL378" s="59"/>
      <c r="BM378" s="63"/>
      <c r="BN378" s="63"/>
      <c r="BO378" s="97" t="s">
        <v>732</v>
      </c>
      <c r="BP378" s="97" t="s">
        <v>793</v>
      </c>
      <c r="BQ378" s="75">
        <f>LEN(Tabelle32[[#This Row],[Label 1
GFX-Unit]])</f>
        <v>13</v>
      </c>
      <c r="BR378" s="63"/>
      <c r="BS378" s="63"/>
      <c r="BT378" s="59"/>
      <c r="BU378" s="59"/>
      <c r="BV378" s="59" t="s">
        <v>264</v>
      </c>
      <c r="BW378" s="59" t="s">
        <v>265</v>
      </c>
      <c r="BX378" s="59" t="s">
        <v>794</v>
      </c>
      <c r="BY378" s="59">
        <v>18</v>
      </c>
    </row>
    <row r="379" spans="1:77" x14ac:dyDescent="0.2">
      <c r="A379" s="58" t="str">
        <f>CONCATENATE(Tabelle32[[#This Row],[Device ID]],".",Tabelle32[[#This Row],[Streamcounter]])</f>
        <v>395.18216</v>
      </c>
      <c r="B37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VGW-103_SDI18_AUDsend_0016</v>
      </c>
      <c r="C379" s="60"/>
      <c r="D379" s="61"/>
      <c r="E379" s="62"/>
      <c r="F379" s="59" t="str">
        <f>IFERROR(VLOOKUP(Tabelle32[[#This Row],[Device ID]],BOM!$B$3:$BQ$35,16,FALSE),"")</f>
        <v>EditPC-08 OUT</v>
      </c>
      <c r="G379" s="63">
        <f>VLOOKUP(Tabelle32[[#This Row],[SDI Interface]],BOM!$A$4:$B$35,2,FALSE)</f>
        <v>395</v>
      </c>
      <c r="H379" s="59" t="str">
        <f>BOM!$C$4</f>
        <v>VGW-103</v>
      </c>
      <c r="I379" s="59" t="str">
        <f>IFERROR(VLOOKUP(Tabelle32[[#This Row],[Device ID]],BOM!$B$3:$BQ$35,12,FALSE),"")</f>
        <v>Edit Suite</v>
      </c>
      <c r="J379" s="59" t="str">
        <f>IFERROR(VLOOKUP(Tabelle32[[#This Row],[Device ID]],BOM!$B$3:$BQ$35,13,FALSE),"")</f>
        <v>TC.U1.223 | MDC</v>
      </c>
      <c r="K379" s="59" t="str">
        <f>IFERROR(VLOOKUP(Tabelle32[[#This Row],[Device ID]],BOM!$B$3:$BQ$35,14,FALSE),"")</f>
        <v>Imagine Comunications</v>
      </c>
      <c r="L379" s="59" t="str">
        <f>IFERROR(VLOOKUP(Tabelle32[[#This Row],[Device ID]],BOM!$B$3:$BQ$35,16,FALSE),"")</f>
        <v>EditPC-08 OUT</v>
      </c>
      <c r="M379" s="63" t="str">
        <f>IFERROR(VLOOKUP(Tabelle32[[#This Row],[Device ID]],BOM!$B$3:$BQ$35,17,FALSE),"")</f>
        <v>EDIT SUITE 08</v>
      </c>
      <c r="N379" s="59" t="str">
        <f>IFERROR(VLOOKUP(Tabelle32[[#This Row],[Device ID]],BOM!$B$3:$BQ$35,18,FALSE),"")</f>
        <v>TC.03.068 | Edit 08</v>
      </c>
      <c r="O379" s="64"/>
      <c r="P379" s="64">
        <f>IFERROR(VLOOKUP(Tabelle32[[#This Row],[Device ID]],BOM!$B$3:$BO$50,20,FALSE),"")</f>
        <v>0</v>
      </c>
      <c r="Q379" s="64">
        <f>IFERROR(VLOOKUP(Tabelle32[[#This Row],[Device ID]],BOM!$B$3:$BO$50,21,FALSE),"")</f>
        <v>1</v>
      </c>
      <c r="R379" s="64">
        <f>IFERROR(VLOOKUP(Tabelle32[[#This Row],[Device ID]],BOM!$B$3:$BO$50,22,FALSE),"")</f>
        <v>0</v>
      </c>
      <c r="S379" s="64"/>
      <c r="T379" s="64"/>
      <c r="U379" s="59" t="str">
        <f>IFERROR(VLOOKUP(Tabelle32[[#This Row],[Device ID]],BOM!$B$3:$BQ$35,25,FALSE),"")</f>
        <v>Luis/Ivo</v>
      </c>
      <c r="V379" s="59" t="str">
        <f>IFERROR(VLOOKUP(Tabelle32[[#This Row],[Device ID]],BOM!$B$3:$BQ$35,26,FALSE),"")</f>
        <v>tpco-megw-vgw103.rta.st-net.media.int</v>
      </c>
      <c r="W379" s="59" t="str">
        <f>IFERROR(VLOOKUP(Tabelle32[[#This Row],[Device ID]],BOM!$B$3:$BQ$35,27,FALSE),"")</f>
        <v>10.120.236.50</v>
      </c>
      <c r="X379" s="59" t="str">
        <f>IFERROR(VLOOKUP(Tabelle32[[#This Row],[Device ID]],BOM!$B$3:$BQ$35,28,FALSE),"")</f>
        <v>AVCoreA</v>
      </c>
      <c r="Y379" s="59" t="str">
        <f>IFERROR(VLOOKUP(Tabelle32[[#This Row],[Device ID]],BOM!$B$3:$BQ$35,29,FALSE),"")</f>
        <v>5_36_1</v>
      </c>
      <c r="Z379" s="59" t="str">
        <f>IFERROR(VLOOKUP(Tabelle32[[#This Row],[Device ID]],BOM!$B$3:$BQ$35,30,FALSE),"")</f>
        <v>tpco-megw-vgw103.rtb.st-net.media.int</v>
      </c>
      <c r="AA379" s="59" t="str">
        <f>IFERROR(VLOOKUP(Tabelle32[[#This Row],[Device ID]],BOM!$B$3:$BQ$35,31,FALSE),"")</f>
        <v>10.120.236.54</v>
      </c>
      <c r="AB379" s="59" t="str">
        <f>IFERROR(VLOOKUP(Tabelle32[[#This Row],[Device ID]],BOM!$B$3:$BQ$35,32,FALSE),"")</f>
        <v>AVCoreB</v>
      </c>
      <c r="AC379" s="59" t="str">
        <f>IFERROR(VLOOKUP(Tabelle32[[#This Row],[Device ID]],BOM!$B$3:$BQ$35,33,FALSE),"")</f>
        <v>5_36_1</v>
      </c>
      <c r="AD379" s="59" t="str">
        <f>IFERROR(VLOOKUP(Tabelle32[[#This Row],[Device ID]],BOM!$B$3:$BQ$35,34,FALSE),"")</f>
        <v>tpco-megw-vgw103.st-net.media.int</v>
      </c>
      <c r="AE379" s="59" t="str">
        <f>IFERROR(VLOOKUP(Tabelle32[[#This Row],[Device ID]],BOM!$B$3:$BQ$35,35,FALSE),"")</f>
        <v>10.120.67.141</v>
      </c>
      <c r="AF379" s="59">
        <f>IFERROR(VLOOKUP(Tabelle32[[#This Row],[Device ID]],BOM!$B$3:$BQ$35,36,FALSE),"")</f>
        <v>0</v>
      </c>
      <c r="AG379" s="59">
        <f>IFERROR(VLOOKUP(Tabelle32[[#This Row],[Device ID]],BOM!$B$3:$BQ$35,37,FALSE),"")</f>
        <v>0</v>
      </c>
      <c r="AH379" s="59"/>
      <c r="AI379" s="59"/>
      <c r="AJ379" s="59"/>
      <c r="AK379" s="59"/>
      <c r="AL379" s="59" t="str">
        <f>IFERROR(VLOOKUP(Tabelle32[[#This Row],[Device ID]],BOM!$B$3:$BQ$35,42,FALSE),"")</f>
        <v>Imagine Communications SNP</v>
      </c>
      <c r="AM379" s="59" t="str">
        <f>IFERROR(VLOOKUP(Tabelle32[[#This Row],[Device ID]],BOM!$B$3:$BQ$35,43,FALSE),"")</f>
        <v>no</v>
      </c>
      <c r="AN379" s="59" t="str">
        <f>IFERROR(VLOOKUP(Tabelle32[[#This Row],[Device ID]],BOM!$B$3:$BQ$35,44,FALSE),"")</f>
        <v>yes</v>
      </c>
      <c r="AO379" s="59" t="str">
        <f>IFERROR(VLOOKUP(Tabelle32[[#This Row],[Device ID]],BOM!$B$3:$BQ$35,45,FALSE),"")</f>
        <v>no</v>
      </c>
      <c r="AP379" s="59" t="str">
        <f>IFERROR(CONCATENATE(Tabelle32[[#This Row],[Family
GFX-Unit]]," | ",Tabelle32[[#This Row],[Label 1
GFX-Unit]]," | ",Tabelle32[[#This Row],[Attached Device if Gateway]]),"")</f>
        <v>MEDEM Edits Out | Out Edit08-16 | EditPC-08 OUT</v>
      </c>
      <c r="AQ379" s="59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 t="s">
        <v>97</v>
      </c>
      <c r="BE379" s="92"/>
      <c r="BF379" s="92"/>
      <c r="BG379" s="92"/>
      <c r="BH379" s="73" t="s">
        <v>199</v>
      </c>
      <c r="BI379" s="30" t="str">
        <f>IF(COUNTA(Tabelle32[[#This Row],[Type:Vid_1080i50]:[Type:Anc_Prot]])&gt;0,"x","")</f>
        <v>x</v>
      </c>
      <c r="BJ37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379" s="59"/>
      <c r="BL379" s="59"/>
      <c r="BM379" s="63"/>
      <c r="BN379" s="63"/>
      <c r="BO379" s="97" t="s">
        <v>732</v>
      </c>
      <c r="BP379" s="97" t="s">
        <v>795</v>
      </c>
      <c r="BQ379" s="75">
        <f>LEN(Tabelle32[[#This Row],[Label 1
GFX-Unit]])</f>
        <v>13</v>
      </c>
      <c r="BR379" s="63"/>
      <c r="BS379" s="63"/>
      <c r="BT379" s="59"/>
      <c r="BU379" s="59"/>
      <c r="BV379" s="59" t="s">
        <v>268</v>
      </c>
      <c r="BW379" s="59" t="s">
        <v>269</v>
      </c>
      <c r="BX379" s="59" t="s">
        <v>796</v>
      </c>
      <c r="BY379" s="59">
        <v>18</v>
      </c>
    </row>
    <row r="380" spans="1:77" x14ac:dyDescent="0.2">
      <c r="A380" s="58" t="str">
        <f>CONCATENATE(Tabelle32[[#This Row],[Device ID]],".",Tabelle32[[#This Row],[Streamcounter]])</f>
        <v>395.18101</v>
      </c>
      <c r="B38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VGW-103_SDI18_VIDsend_0001</v>
      </c>
      <c r="C380" s="60"/>
      <c r="D380" s="61"/>
      <c r="E380" s="62"/>
      <c r="F380" s="59" t="str">
        <f>IFERROR(VLOOKUP(Tabelle32[[#This Row],[Device ID]],BOM!$B$3:$BQ$35,16,FALSE),"")</f>
        <v>EditPC-08 OUT</v>
      </c>
      <c r="G380" s="63">
        <f>VLOOKUP(Tabelle32[[#This Row],[SDI Interface]],BOM!$A$4:$B$35,2,FALSE)</f>
        <v>395</v>
      </c>
      <c r="H380" s="59" t="str">
        <f>BOM!$C$4</f>
        <v>VGW-103</v>
      </c>
      <c r="I380" s="59" t="str">
        <f>IFERROR(VLOOKUP(Tabelle32[[#This Row],[Device ID]],BOM!$B$3:$BQ$35,12,FALSE),"")</f>
        <v>Edit Suite</v>
      </c>
      <c r="J380" s="59" t="str">
        <f>IFERROR(VLOOKUP(Tabelle32[[#This Row],[Device ID]],BOM!$B$3:$BQ$35,13,FALSE),"")</f>
        <v>TC.U1.223 | MDC</v>
      </c>
      <c r="K380" s="59" t="str">
        <f>IFERROR(VLOOKUP(Tabelle32[[#This Row],[Device ID]],BOM!$B$3:$BQ$35,14,FALSE),"")</f>
        <v>Imagine Comunications</v>
      </c>
      <c r="L380" s="59" t="str">
        <f>IFERROR(VLOOKUP(Tabelle32[[#This Row],[Device ID]],BOM!$B$3:$BQ$35,16,FALSE),"")</f>
        <v>EditPC-08 OUT</v>
      </c>
      <c r="M380" s="63" t="str">
        <f>IFERROR(VLOOKUP(Tabelle32[[#This Row],[Device ID]],BOM!$B$3:$BQ$35,17,FALSE),"")</f>
        <v>EDIT SUITE 08</v>
      </c>
      <c r="N380" s="59" t="str">
        <f>IFERROR(VLOOKUP(Tabelle32[[#This Row],[Device ID]],BOM!$B$3:$BQ$35,18,FALSE),"")</f>
        <v>TC.03.068 | Edit 08</v>
      </c>
      <c r="O380" s="64"/>
      <c r="P380" s="64">
        <f>IFERROR(VLOOKUP(Tabelle32[[#This Row],[Device ID]],BOM!$B$3:$BO$50,20,FALSE),"")</f>
        <v>0</v>
      </c>
      <c r="Q380" s="64">
        <f>IFERROR(VLOOKUP(Tabelle32[[#This Row],[Device ID]],BOM!$B$3:$BO$50,21,FALSE),"")</f>
        <v>1</v>
      </c>
      <c r="R380" s="64">
        <f>IFERROR(VLOOKUP(Tabelle32[[#This Row],[Device ID]],BOM!$B$3:$BO$50,22,FALSE),"")</f>
        <v>0</v>
      </c>
      <c r="S380" s="64"/>
      <c r="T380" s="64"/>
      <c r="U380" s="59" t="str">
        <f>IFERROR(VLOOKUP(Tabelle32[[#This Row],[Device ID]],BOM!$B$3:$BQ$35,25,FALSE),"")</f>
        <v>Luis/Ivo</v>
      </c>
      <c r="V380" s="59" t="str">
        <f>IFERROR(VLOOKUP(Tabelle32[[#This Row],[Device ID]],BOM!$B$3:$BQ$35,26,FALSE),"")</f>
        <v>tpco-megw-vgw103.rta.st-net.media.int</v>
      </c>
      <c r="W380" s="59" t="str">
        <f>IFERROR(VLOOKUP(Tabelle32[[#This Row],[Device ID]],BOM!$B$3:$BQ$35,27,FALSE),"")</f>
        <v>10.120.236.50</v>
      </c>
      <c r="X380" s="59" t="str">
        <f>IFERROR(VLOOKUP(Tabelle32[[#This Row],[Device ID]],BOM!$B$3:$BQ$35,28,FALSE),"")</f>
        <v>AVCoreA</v>
      </c>
      <c r="Y380" s="59" t="str">
        <f>IFERROR(VLOOKUP(Tabelle32[[#This Row],[Device ID]],BOM!$B$3:$BQ$35,29,FALSE),"")</f>
        <v>5_36_1</v>
      </c>
      <c r="Z380" s="59" t="str">
        <f>IFERROR(VLOOKUP(Tabelle32[[#This Row],[Device ID]],BOM!$B$3:$BQ$35,30,FALSE),"")</f>
        <v>tpco-megw-vgw103.rtb.st-net.media.int</v>
      </c>
      <c r="AA380" s="59" t="str">
        <f>IFERROR(VLOOKUP(Tabelle32[[#This Row],[Device ID]],BOM!$B$3:$BQ$35,31,FALSE),"")</f>
        <v>10.120.236.54</v>
      </c>
      <c r="AB380" s="59" t="str">
        <f>IFERROR(VLOOKUP(Tabelle32[[#This Row],[Device ID]],BOM!$B$3:$BQ$35,32,FALSE),"")</f>
        <v>AVCoreB</v>
      </c>
      <c r="AC380" s="59" t="str">
        <f>IFERROR(VLOOKUP(Tabelle32[[#This Row],[Device ID]],BOM!$B$3:$BQ$35,33,FALSE),"")</f>
        <v>5_36_1</v>
      </c>
      <c r="AD380" s="59" t="str">
        <f>IFERROR(VLOOKUP(Tabelle32[[#This Row],[Device ID]],BOM!$B$3:$BQ$35,34,FALSE),"")</f>
        <v>tpco-megw-vgw103.st-net.media.int</v>
      </c>
      <c r="AE380" s="59" t="str">
        <f>IFERROR(VLOOKUP(Tabelle32[[#This Row],[Device ID]],BOM!$B$3:$BQ$35,35,FALSE),"")</f>
        <v>10.120.67.141</v>
      </c>
      <c r="AF380" s="59">
        <f>IFERROR(VLOOKUP(Tabelle32[[#This Row],[Device ID]],BOM!$B$3:$BQ$35,36,FALSE),"")</f>
        <v>0</v>
      </c>
      <c r="AG380" s="59">
        <f>IFERROR(VLOOKUP(Tabelle32[[#This Row],[Device ID]],BOM!$B$3:$BQ$35,37,FALSE),"")</f>
        <v>0</v>
      </c>
      <c r="AH380" s="59"/>
      <c r="AI380" s="59"/>
      <c r="AJ380" s="59"/>
      <c r="AK380" s="59"/>
      <c r="AL380" s="59" t="str">
        <f>IFERROR(VLOOKUP(Tabelle32[[#This Row],[Device ID]],BOM!$B$3:$BQ$35,42,FALSE),"")</f>
        <v>Imagine Communications SNP</v>
      </c>
      <c r="AM380" s="59" t="str">
        <f>IFERROR(VLOOKUP(Tabelle32[[#This Row],[Device ID]],BOM!$B$3:$BQ$35,43,FALSE),"")</f>
        <v>no</v>
      </c>
      <c r="AN380" s="59" t="str">
        <f>IFERROR(VLOOKUP(Tabelle32[[#This Row],[Device ID]],BOM!$B$3:$BQ$35,44,FALSE),"")</f>
        <v>yes</v>
      </c>
      <c r="AO380" s="59" t="str">
        <f>IFERROR(VLOOKUP(Tabelle32[[#This Row],[Device ID]],BOM!$B$3:$BQ$35,45,FALSE),"")</f>
        <v>no</v>
      </c>
      <c r="AP380" s="59" t="str">
        <f>IFERROR(CONCATENATE(Tabelle32[[#This Row],[Family
GFX-Unit]]," | ",Tabelle32[[#This Row],[Label 1
GFX-Unit]]," | ",Tabelle32[[#This Row],[Attached Device if Gateway]]),"")</f>
        <v>MEDEM Edits Out | Out Edit08 | EditPC-08 OUT</v>
      </c>
      <c r="AQ380" s="59"/>
      <c r="AR380" s="92" t="s">
        <v>97</v>
      </c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73" t="s">
        <v>199</v>
      </c>
      <c r="BI380" s="30" t="str">
        <f>IF(COUNTA(Tabelle32[[#This Row],[Type:Vid_1080i50]:[Type:Anc_Prot]])&gt;0,"x","")</f>
        <v>x</v>
      </c>
      <c r="BJ38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380" s="59"/>
      <c r="BL380" s="59"/>
      <c r="BM380" s="63"/>
      <c r="BN380" s="63"/>
      <c r="BO380" s="97" t="s">
        <v>732</v>
      </c>
      <c r="BP380" s="97" t="s">
        <v>797</v>
      </c>
      <c r="BQ380" s="75">
        <f>LEN(Tabelle32[[#This Row],[Label 1
GFX-Unit]])</f>
        <v>10</v>
      </c>
      <c r="BR380" s="63"/>
      <c r="BS380" s="63"/>
      <c r="BT380" s="59"/>
      <c r="BU380" s="59"/>
      <c r="BV380" s="59" t="s">
        <v>272</v>
      </c>
      <c r="BW380" s="59" t="s">
        <v>273</v>
      </c>
      <c r="BX380" s="59" t="s">
        <v>798</v>
      </c>
      <c r="BY380" s="59">
        <v>18</v>
      </c>
    </row>
    <row r="381" spans="1:77" x14ac:dyDescent="0.2">
      <c r="A381" s="58" t="str">
        <f>CONCATENATE(Tabelle32[[#This Row],[Device ID]],".",Tabelle32[[#This Row],[Streamcounter]])</f>
        <v>396.19301</v>
      </c>
      <c r="B38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VGW-103_SDI19_ANCsend_0001</v>
      </c>
      <c r="C381" s="60"/>
      <c r="D381" s="61"/>
      <c r="E381" s="62"/>
      <c r="F381" s="59" t="str">
        <f>IFERROR(VLOOKUP(Tabelle32[[#This Row],[Device ID]],BOM!$B$3:$BQ$35,16,FALSE),"")</f>
        <v>EditPC-09 OUT</v>
      </c>
      <c r="G381" s="63">
        <f>VLOOKUP(Tabelle32[[#This Row],[SDI Interface]],BOM!$A$4:$B$35,2,FALSE)</f>
        <v>396</v>
      </c>
      <c r="H381" s="59" t="str">
        <f>BOM!$C$4</f>
        <v>VGW-103</v>
      </c>
      <c r="I381" s="59" t="str">
        <f>IFERROR(VLOOKUP(Tabelle32[[#This Row],[Device ID]],BOM!$B$3:$BQ$35,12,FALSE),"")</f>
        <v>Edit Suite</v>
      </c>
      <c r="J381" s="59" t="str">
        <f>IFERROR(VLOOKUP(Tabelle32[[#This Row],[Device ID]],BOM!$B$3:$BQ$35,13,FALSE),"")</f>
        <v>TC.U1.223 | MDC</v>
      </c>
      <c r="K381" s="59" t="str">
        <f>IFERROR(VLOOKUP(Tabelle32[[#This Row],[Device ID]],BOM!$B$3:$BQ$35,14,FALSE),"")</f>
        <v>Imagine Comunications</v>
      </c>
      <c r="L381" s="59" t="str">
        <f>IFERROR(VLOOKUP(Tabelle32[[#This Row],[Device ID]],BOM!$B$3:$BQ$35,16,FALSE),"")</f>
        <v>EditPC-09 OUT</v>
      </c>
      <c r="M381" s="63" t="str">
        <f>IFERROR(VLOOKUP(Tabelle32[[#This Row],[Device ID]],BOM!$B$3:$BQ$35,17,FALSE),"")</f>
        <v>EDIT SUITE 09</v>
      </c>
      <c r="N381" s="59" t="str">
        <f>IFERROR(VLOOKUP(Tabelle32[[#This Row],[Device ID]],BOM!$B$3:$BQ$35,18,FALSE),"")</f>
        <v>TC.03.030 | Edit 09</v>
      </c>
      <c r="O381" s="64"/>
      <c r="P381" s="64">
        <f>IFERROR(VLOOKUP(Tabelle32[[#This Row],[Device ID]],BOM!$B$3:$BO$50,20,FALSE),"")</f>
        <v>0</v>
      </c>
      <c r="Q381" s="64">
        <f>IFERROR(VLOOKUP(Tabelle32[[#This Row],[Device ID]],BOM!$B$3:$BO$50,21,FALSE),"")</f>
        <v>1</v>
      </c>
      <c r="R381" s="64">
        <f>IFERROR(VLOOKUP(Tabelle32[[#This Row],[Device ID]],BOM!$B$3:$BO$50,22,FALSE),"")</f>
        <v>0</v>
      </c>
      <c r="S381" s="64"/>
      <c r="T381" s="64"/>
      <c r="U381" s="59" t="str">
        <f>IFERROR(VLOOKUP(Tabelle32[[#This Row],[Device ID]],BOM!$B$3:$BQ$35,25,FALSE),"")</f>
        <v>Luis/Ivo</v>
      </c>
      <c r="V381" s="59" t="str">
        <f>IFERROR(VLOOKUP(Tabelle32[[#This Row],[Device ID]],BOM!$B$3:$BQ$35,26,FALSE),"")</f>
        <v>tpco-megw-vgw103.rta.st-net.media.int</v>
      </c>
      <c r="W381" s="59" t="str">
        <f>IFERROR(VLOOKUP(Tabelle32[[#This Row],[Device ID]],BOM!$B$3:$BQ$35,27,FALSE),"")</f>
        <v>10.120.236.50</v>
      </c>
      <c r="X381" s="59" t="str">
        <f>IFERROR(VLOOKUP(Tabelle32[[#This Row],[Device ID]],BOM!$B$3:$BQ$35,28,FALSE),"")</f>
        <v>AVCoreA</v>
      </c>
      <c r="Y381" s="59" t="str">
        <f>IFERROR(VLOOKUP(Tabelle32[[#This Row],[Device ID]],BOM!$B$3:$BQ$35,29,FALSE),"")</f>
        <v>5_36_1</v>
      </c>
      <c r="Z381" s="59" t="str">
        <f>IFERROR(VLOOKUP(Tabelle32[[#This Row],[Device ID]],BOM!$B$3:$BQ$35,30,FALSE),"")</f>
        <v>tpco-megw-vgw103.rtb.st-net.media.int</v>
      </c>
      <c r="AA381" s="59" t="str">
        <f>IFERROR(VLOOKUP(Tabelle32[[#This Row],[Device ID]],BOM!$B$3:$BQ$35,31,FALSE),"")</f>
        <v>10.120.236.54</v>
      </c>
      <c r="AB381" s="59" t="str">
        <f>IFERROR(VLOOKUP(Tabelle32[[#This Row],[Device ID]],BOM!$B$3:$BQ$35,32,FALSE),"")</f>
        <v>AVCoreB</v>
      </c>
      <c r="AC381" s="59" t="str">
        <f>IFERROR(VLOOKUP(Tabelle32[[#This Row],[Device ID]],BOM!$B$3:$BQ$35,33,FALSE),"")</f>
        <v>5_36_1</v>
      </c>
      <c r="AD381" s="59" t="str">
        <f>IFERROR(VLOOKUP(Tabelle32[[#This Row],[Device ID]],BOM!$B$3:$BQ$35,34,FALSE),"")</f>
        <v>tpco-megw-vgw103.st-net.media.int</v>
      </c>
      <c r="AE381" s="59" t="str">
        <f>IFERROR(VLOOKUP(Tabelle32[[#This Row],[Device ID]],BOM!$B$3:$BQ$35,35,FALSE),"")</f>
        <v>10.120.67.141</v>
      </c>
      <c r="AF381" s="59">
        <f>IFERROR(VLOOKUP(Tabelle32[[#This Row],[Device ID]],BOM!$B$3:$BQ$35,36,FALSE),"")</f>
        <v>0</v>
      </c>
      <c r="AG381" s="59">
        <f>IFERROR(VLOOKUP(Tabelle32[[#This Row],[Device ID]],BOM!$B$3:$BQ$35,37,FALSE),"")</f>
        <v>0</v>
      </c>
      <c r="AH381" s="59"/>
      <c r="AI381" s="59"/>
      <c r="AJ381" s="59"/>
      <c r="AK381" s="59"/>
      <c r="AL381" s="59" t="str">
        <f>IFERROR(VLOOKUP(Tabelle32[[#This Row],[Device ID]],BOM!$B$3:$BQ$35,42,FALSE),"")</f>
        <v>Imagine Communications SNP</v>
      </c>
      <c r="AM381" s="59" t="str">
        <f>IFERROR(VLOOKUP(Tabelle32[[#This Row],[Device ID]],BOM!$B$3:$BQ$35,43,FALSE),"")</f>
        <v>no</v>
      </c>
      <c r="AN381" s="59" t="str">
        <f>IFERROR(VLOOKUP(Tabelle32[[#This Row],[Device ID]],BOM!$B$3:$BQ$35,44,FALSE),"")</f>
        <v>yes</v>
      </c>
      <c r="AO381" s="59" t="str">
        <f>IFERROR(VLOOKUP(Tabelle32[[#This Row],[Device ID]],BOM!$B$3:$BQ$35,45,FALSE),"")</f>
        <v>no</v>
      </c>
      <c r="AP381" s="59" t="str">
        <f>IFERROR(CONCATENATE(Tabelle32[[#This Row],[Family
GFX-Unit]]," | ",Tabelle32[[#This Row],[Label 1
GFX-Unit]]," | ",Tabelle32[[#This Row],[Attached Device if Gateway]]),"")</f>
        <v>MEDEM Edits Out | Out Edit09-ANC1 | EditPC-09 OUT</v>
      </c>
      <c r="AQ381" s="5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 t="s">
        <v>97</v>
      </c>
      <c r="BH381" s="73" t="s">
        <v>199</v>
      </c>
      <c r="BI381" s="30" t="str">
        <f>IF(COUNTA(Tabelle32[[#This Row],[Type:Vid_1080i50]:[Type:Anc_Prot]])&gt;0,"x","")</f>
        <v>x</v>
      </c>
      <c r="BJ38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381" s="59"/>
      <c r="BL381" s="59"/>
      <c r="BM381" s="63"/>
      <c r="BN381" s="63"/>
      <c r="BO381" s="97" t="s">
        <v>732</v>
      </c>
      <c r="BP381" s="97" t="s">
        <v>799</v>
      </c>
      <c r="BQ381" s="75">
        <f>LEN(Tabelle32[[#This Row],[Label 1
GFX-Unit]])</f>
        <v>15</v>
      </c>
      <c r="BR381" s="63"/>
      <c r="BS381" s="63"/>
      <c r="BT381" s="59"/>
      <c r="BU381" s="59"/>
      <c r="BV381" s="59" t="s">
        <v>202</v>
      </c>
      <c r="BW381" s="59" t="s">
        <v>203</v>
      </c>
      <c r="BX381" s="59" t="s">
        <v>800</v>
      </c>
      <c r="BY381" s="59">
        <v>19</v>
      </c>
    </row>
    <row r="382" spans="1:77" hidden="1" x14ac:dyDescent="0.2">
      <c r="A382" s="58" t="str">
        <f>CONCATENATE(Tabelle32[[#This Row],[Device ID]],".",Tabelle32[[#This Row],[Streamcounter]])</f>
        <v>396.19302</v>
      </c>
      <c r="B38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VGW-103_SDI19_ANCsend_0002</v>
      </c>
      <c r="C382" s="60"/>
      <c r="D382" s="61"/>
      <c r="E382" s="62"/>
      <c r="F382" s="59" t="str">
        <f>IFERROR(VLOOKUP(Tabelle32[[#This Row],[Device ID]],BOM!$B$3:$BQ$35,16,FALSE),"")</f>
        <v>EditPC-09 OUT</v>
      </c>
      <c r="G382" s="63">
        <f>VLOOKUP(Tabelle32[[#This Row],[SDI Interface]],BOM!$A$4:$B$35,2,FALSE)</f>
        <v>396</v>
      </c>
      <c r="H382" s="59" t="str">
        <f>BOM!$C$4</f>
        <v>VGW-103</v>
      </c>
      <c r="I382" s="59" t="str">
        <f>IFERROR(VLOOKUP(Tabelle32[[#This Row],[Device ID]],BOM!$B$3:$BQ$35,12,FALSE),"")</f>
        <v>Edit Suite</v>
      </c>
      <c r="J382" s="59" t="str">
        <f>IFERROR(VLOOKUP(Tabelle32[[#This Row],[Device ID]],BOM!$B$3:$BQ$35,13,FALSE),"")</f>
        <v>TC.U1.223 | MDC</v>
      </c>
      <c r="K382" s="59" t="str">
        <f>IFERROR(VLOOKUP(Tabelle32[[#This Row],[Device ID]],BOM!$B$3:$BQ$35,14,FALSE),"")</f>
        <v>Imagine Comunications</v>
      </c>
      <c r="L382" s="59" t="str">
        <f>IFERROR(VLOOKUP(Tabelle32[[#This Row],[Device ID]],BOM!$B$3:$BQ$35,16,FALSE),"")</f>
        <v>EditPC-09 OUT</v>
      </c>
      <c r="M382" s="63" t="str">
        <f>IFERROR(VLOOKUP(Tabelle32[[#This Row],[Device ID]],BOM!$B$3:$BQ$35,17,FALSE),"")</f>
        <v>EDIT SUITE 09</v>
      </c>
      <c r="N382" s="59" t="str">
        <f>IFERROR(VLOOKUP(Tabelle32[[#This Row],[Device ID]],BOM!$B$3:$BQ$35,18,FALSE),"")</f>
        <v>TC.03.030 | Edit 09</v>
      </c>
      <c r="O382" s="64"/>
      <c r="P382" s="64">
        <f>IFERROR(VLOOKUP(Tabelle32[[#This Row],[Device ID]],BOM!$B$3:$BO$50,20,FALSE),"")</f>
        <v>0</v>
      </c>
      <c r="Q382" s="64">
        <f>IFERROR(VLOOKUP(Tabelle32[[#This Row],[Device ID]],BOM!$B$3:$BO$50,21,FALSE),"")</f>
        <v>1</v>
      </c>
      <c r="R382" s="64">
        <f>IFERROR(VLOOKUP(Tabelle32[[#This Row],[Device ID]],BOM!$B$3:$BO$50,22,FALSE),"")</f>
        <v>0</v>
      </c>
      <c r="S382" s="64"/>
      <c r="T382" s="64"/>
      <c r="U382" s="59" t="str">
        <f>IFERROR(VLOOKUP(Tabelle32[[#This Row],[Device ID]],BOM!$B$3:$BQ$35,25,FALSE),"")</f>
        <v>Luis/Ivo</v>
      </c>
      <c r="V382" s="59" t="str">
        <f>IFERROR(VLOOKUP(Tabelle32[[#This Row],[Device ID]],BOM!$B$3:$BQ$35,26,FALSE),"")</f>
        <v>tpco-megw-vgw103.rta.st-net.media.int</v>
      </c>
      <c r="W382" s="59" t="str">
        <f>IFERROR(VLOOKUP(Tabelle32[[#This Row],[Device ID]],BOM!$B$3:$BQ$35,27,FALSE),"")</f>
        <v>10.120.236.50</v>
      </c>
      <c r="X382" s="59" t="str">
        <f>IFERROR(VLOOKUP(Tabelle32[[#This Row],[Device ID]],BOM!$B$3:$BQ$35,28,FALSE),"")</f>
        <v>AVCoreA</v>
      </c>
      <c r="Y382" s="59" t="str">
        <f>IFERROR(VLOOKUP(Tabelle32[[#This Row],[Device ID]],BOM!$B$3:$BQ$35,29,FALSE),"")</f>
        <v>5_36_1</v>
      </c>
      <c r="Z382" s="59" t="str">
        <f>IFERROR(VLOOKUP(Tabelle32[[#This Row],[Device ID]],BOM!$B$3:$BQ$35,30,FALSE),"")</f>
        <v>tpco-megw-vgw103.rtb.st-net.media.int</v>
      </c>
      <c r="AA382" s="59" t="str">
        <f>IFERROR(VLOOKUP(Tabelle32[[#This Row],[Device ID]],BOM!$B$3:$BQ$35,31,FALSE),"")</f>
        <v>10.120.236.54</v>
      </c>
      <c r="AB382" s="59" t="str">
        <f>IFERROR(VLOOKUP(Tabelle32[[#This Row],[Device ID]],BOM!$B$3:$BQ$35,32,FALSE),"")</f>
        <v>AVCoreB</v>
      </c>
      <c r="AC382" s="59" t="str">
        <f>IFERROR(VLOOKUP(Tabelle32[[#This Row],[Device ID]],BOM!$B$3:$BQ$35,33,FALSE),"")</f>
        <v>5_36_1</v>
      </c>
      <c r="AD382" s="59" t="str">
        <f>IFERROR(VLOOKUP(Tabelle32[[#This Row],[Device ID]],BOM!$B$3:$BQ$35,34,FALSE),"")</f>
        <v>tpco-megw-vgw103.st-net.media.int</v>
      </c>
      <c r="AE382" s="59" t="str">
        <f>IFERROR(VLOOKUP(Tabelle32[[#This Row],[Device ID]],BOM!$B$3:$BQ$35,35,FALSE),"")</f>
        <v>10.120.67.141</v>
      </c>
      <c r="AF382" s="59">
        <f>IFERROR(VLOOKUP(Tabelle32[[#This Row],[Device ID]],BOM!$B$3:$BQ$35,36,FALSE),"")</f>
        <v>0</v>
      </c>
      <c r="AG382" s="59">
        <f>IFERROR(VLOOKUP(Tabelle32[[#This Row],[Device ID]],BOM!$B$3:$BQ$35,37,FALSE),"")</f>
        <v>0</v>
      </c>
      <c r="AH382" s="59"/>
      <c r="AI382" s="59"/>
      <c r="AJ382" s="59"/>
      <c r="AK382" s="59"/>
      <c r="AL382" s="59" t="str">
        <f>IFERROR(VLOOKUP(Tabelle32[[#This Row],[Device ID]],BOM!$B$3:$BQ$35,42,FALSE),"")</f>
        <v>Imagine Communications SNP</v>
      </c>
      <c r="AM382" s="59" t="str">
        <f>IFERROR(VLOOKUP(Tabelle32[[#This Row],[Device ID]],BOM!$B$3:$BQ$35,43,FALSE),"")</f>
        <v>no</v>
      </c>
      <c r="AN382" s="59" t="str">
        <f>IFERROR(VLOOKUP(Tabelle32[[#This Row],[Device ID]],BOM!$B$3:$BQ$35,44,FALSE),"")</f>
        <v>yes</v>
      </c>
      <c r="AO382" s="59" t="str">
        <f>IFERROR(VLOOKUP(Tabelle32[[#This Row],[Device ID]],BOM!$B$3:$BQ$35,45,FALSE),"")</f>
        <v>no</v>
      </c>
      <c r="AP382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82" s="59"/>
      <c r="AR382" s="90"/>
      <c r="AS382" s="90"/>
      <c r="AT382" s="90"/>
      <c r="AU382" s="90"/>
      <c r="AV382" s="90"/>
      <c r="AW382" s="90"/>
      <c r="AX382" s="90"/>
      <c r="AY382" s="90"/>
      <c r="AZ382" s="90"/>
      <c r="BA382" s="90"/>
      <c r="BB382" s="90"/>
      <c r="BC382" s="90"/>
      <c r="BD382" s="90"/>
      <c r="BE382" s="90"/>
      <c r="BF382" s="90"/>
      <c r="BG382" s="90"/>
      <c r="BH382" s="73" t="s">
        <v>199</v>
      </c>
      <c r="BI382" s="30" t="str">
        <f>IF(COUNTA(Tabelle32[[#This Row],[Type:Vid_1080i50]:[Type:Anc_Prot]])&gt;0,"x","")</f>
        <v/>
      </c>
      <c r="BJ38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82" s="59"/>
      <c r="BL382" s="59"/>
      <c r="BM382" s="63"/>
      <c r="BN382" s="63"/>
      <c r="BO382" s="96"/>
      <c r="BP382" s="96"/>
      <c r="BQ382" s="75">
        <f>LEN(Tabelle32[[#This Row],[Label 1
GFX-Unit]])</f>
        <v>0</v>
      </c>
      <c r="BR382" s="63"/>
      <c r="BS382" s="63"/>
      <c r="BT382" s="59"/>
      <c r="BU382" s="59"/>
      <c r="BV382" s="59" t="s">
        <v>205</v>
      </c>
      <c r="BW382" s="59" t="s">
        <v>206</v>
      </c>
      <c r="BX382" s="59" t="s">
        <v>801</v>
      </c>
      <c r="BY382" s="59">
        <v>19</v>
      </c>
    </row>
    <row r="383" spans="1:77" hidden="1" x14ac:dyDescent="0.2">
      <c r="A383" s="58" t="str">
        <f>CONCATENATE(Tabelle32[[#This Row],[Device ID]],".",Tabelle32[[#This Row],[Streamcounter]])</f>
        <v>396.19303</v>
      </c>
      <c r="B38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VGW-103_SDI19_ANCsend_0003</v>
      </c>
      <c r="C383" s="60"/>
      <c r="D383" s="61"/>
      <c r="E383" s="62"/>
      <c r="F383" s="59" t="str">
        <f>IFERROR(VLOOKUP(Tabelle32[[#This Row],[Device ID]],BOM!$B$3:$BQ$35,16,FALSE),"")</f>
        <v>EditPC-09 OUT</v>
      </c>
      <c r="G383" s="63">
        <f>VLOOKUP(Tabelle32[[#This Row],[SDI Interface]],BOM!$A$4:$B$35,2,FALSE)</f>
        <v>396</v>
      </c>
      <c r="H383" s="59" t="str">
        <f>BOM!$C$4</f>
        <v>VGW-103</v>
      </c>
      <c r="I383" s="59" t="str">
        <f>IFERROR(VLOOKUP(Tabelle32[[#This Row],[Device ID]],BOM!$B$3:$BQ$35,12,FALSE),"")</f>
        <v>Edit Suite</v>
      </c>
      <c r="J383" s="59" t="str">
        <f>IFERROR(VLOOKUP(Tabelle32[[#This Row],[Device ID]],BOM!$B$3:$BQ$35,13,FALSE),"")</f>
        <v>TC.U1.223 | MDC</v>
      </c>
      <c r="K383" s="59" t="str">
        <f>IFERROR(VLOOKUP(Tabelle32[[#This Row],[Device ID]],BOM!$B$3:$BQ$35,14,FALSE),"")</f>
        <v>Imagine Comunications</v>
      </c>
      <c r="L383" s="59" t="str">
        <f>IFERROR(VLOOKUP(Tabelle32[[#This Row],[Device ID]],BOM!$B$3:$BQ$35,16,FALSE),"")</f>
        <v>EditPC-09 OUT</v>
      </c>
      <c r="M383" s="63" t="str">
        <f>IFERROR(VLOOKUP(Tabelle32[[#This Row],[Device ID]],BOM!$B$3:$BQ$35,17,FALSE),"")</f>
        <v>EDIT SUITE 09</v>
      </c>
      <c r="N383" s="59" t="str">
        <f>IFERROR(VLOOKUP(Tabelle32[[#This Row],[Device ID]],BOM!$B$3:$BQ$35,18,FALSE),"")</f>
        <v>TC.03.030 | Edit 09</v>
      </c>
      <c r="O383" s="64"/>
      <c r="P383" s="64">
        <f>IFERROR(VLOOKUP(Tabelle32[[#This Row],[Device ID]],BOM!$B$3:$BO$50,20,FALSE),"")</f>
        <v>0</v>
      </c>
      <c r="Q383" s="64">
        <f>IFERROR(VLOOKUP(Tabelle32[[#This Row],[Device ID]],BOM!$B$3:$BO$50,21,FALSE),"")</f>
        <v>1</v>
      </c>
      <c r="R383" s="64">
        <f>IFERROR(VLOOKUP(Tabelle32[[#This Row],[Device ID]],BOM!$B$3:$BO$50,22,FALSE),"")</f>
        <v>0</v>
      </c>
      <c r="S383" s="64"/>
      <c r="T383" s="64"/>
      <c r="U383" s="59" t="str">
        <f>IFERROR(VLOOKUP(Tabelle32[[#This Row],[Device ID]],BOM!$B$3:$BQ$35,25,FALSE),"")</f>
        <v>Luis/Ivo</v>
      </c>
      <c r="V383" s="59" t="str">
        <f>IFERROR(VLOOKUP(Tabelle32[[#This Row],[Device ID]],BOM!$B$3:$BQ$35,26,FALSE),"")</f>
        <v>tpco-megw-vgw103.rta.st-net.media.int</v>
      </c>
      <c r="W383" s="59" t="str">
        <f>IFERROR(VLOOKUP(Tabelle32[[#This Row],[Device ID]],BOM!$B$3:$BQ$35,27,FALSE),"")</f>
        <v>10.120.236.50</v>
      </c>
      <c r="X383" s="59" t="str">
        <f>IFERROR(VLOOKUP(Tabelle32[[#This Row],[Device ID]],BOM!$B$3:$BQ$35,28,FALSE),"")</f>
        <v>AVCoreA</v>
      </c>
      <c r="Y383" s="59" t="str">
        <f>IFERROR(VLOOKUP(Tabelle32[[#This Row],[Device ID]],BOM!$B$3:$BQ$35,29,FALSE),"")</f>
        <v>5_36_1</v>
      </c>
      <c r="Z383" s="59" t="str">
        <f>IFERROR(VLOOKUP(Tabelle32[[#This Row],[Device ID]],BOM!$B$3:$BQ$35,30,FALSE),"")</f>
        <v>tpco-megw-vgw103.rtb.st-net.media.int</v>
      </c>
      <c r="AA383" s="59" t="str">
        <f>IFERROR(VLOOKUP(Tabelle32[[#This Row],[Device ID]],BOM!$B$3:$BQ$35,31,FALSE),"")</f>
        <v>10.120.236.54</v>
      </c>
      <c r="AB383" s="59" t="str">
        <f>IFERROR(VLOOKUP(Tabelle32[[#This Row],[Device ID]],BOM!$B$3:$BQ$35,32,FALSE),"")</f>
        <v>AVCoreB</v>
      </c>
      <c r="AC383" s="59" t="str">
        <f>IFERROR(VLOOKUP(Tabelle32[[#This Row],[Device ID]],BOM!$B$3:$BQ$35,33,FALSE),"")</f>
        <v>5_36_1</v>
      </c>
      <c r="AD383" s="59" t="str">
        <f>IFERROR(VLOOKUP(Tabelle32[[#This Row],[Device ID]],BOM!$B$3:$BQ$35,34,FALSE),"")</f>
        <v>tpco-megw-vgw103.st-net.media.int</v>
      </c>
      <c r="AE383" s="59" t="str">
        <f>IFERROR(VLOOKUP(Tabelle32[[#This Row],[Device ID]],BOM!$B$3:$BQ$35,35,FALSE),"")</f>
        <v>10.120.67.141</v>
      </c>
      <c r="AF383" s="59">
        <f>IFERROR(VLOOKUP(Tabelle32[[#This Row],[Device ID]],BOM!$B$3:$BQ$35,36,FALSE),"")</f>
        <v>0</v>
      </c>
      <c r="AG383" s="59">
        <f>IFERROR(VLOOKUP(Tabelle32[[#This Row],[Device ID]],BOM!$B$3:$BQ$35,37,FALSE),"")</f>
        <v>0</v>
      </c>
      <c r="AH383" s="59"/>
      <c r="AI383" s="59"/>
      <c r="AJ383" s="59"/>
      <c r="AK383" s="59"/>
      <c r="AL383" s="59" t="str">
        <f>IFERROR(VLOOKUP(Tabelle32[[#This Row],[Device ID]],BOM!$B$3:$BQ$35,42,FALSE),"")</f>
        <v>Imagine Communications SNP</v>
      </c>
      <c r="AM383" s="59" t="str">
        <f>IFERROR(VLOOKUP(Tabelle32[[#This Row],[Device ID]],BOM!$B$3:$BQ$35,43,FALSE),"")</f>
        <v>no</v>
      </c>
      <c r="AN383" s="59" t="str">
        <f>IFERROR(VLOOKUP(Tabelle32[[#This Row],[Device ID]],BOM!$B$3:$BQ$35,44,FALSE),"")</f>
        <v>yes</v>
      </c>
      <c r="AO383" s="59" t="str">
        <f>IFERROR(VLOOKUP(Tabelle32[[#This Row],[Device ID]],BOM!$B$3:$BQ$35,45,FALSE),"")</f>
        <v>no</v>
      </c>
      <c r="AP383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83" s="59"/>
      <c r="AR383" s="90"/>
      <c r="AS383" s="90"/>
      <c r="AT383" s="90"/>
      <c r="AU383" s="90"/>
      <c r="AV383" s="90"/>
      <c r="AW383" s="90"/>
      <c r="AX383" s="90"/>
      <c r="AY383" s="90"/>
      <c r="AZ383" s="90"/>
      <c r="BA383" s="90"/>
      <c r="BB383" s="90"/>
      <c r="BC383" s="90"/>
      <c r="BD383" s="90"/>
      <c r="BE383" s="90"/>
      <c r="BF383" s="90"/>
      <c r="BG383" s="90"/>
      <c r="BH383" s="73" t="s">
        <v>199</v>
      </c>
      <c r="BI383" s="30" t="str">
        <f>IF(COUNTA(Tabelle32[[#This Row],[Type:Vid_1080i50]:[Type:Anc_Prot]])&gt;0,"x","")</f>
        <v/>
      </c>
      <c r="BJ38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83" s="59"/>
      <c r="BL383" s="59"/>
      <c r="BM383" s="63"/>
      <c r="BN383" s="63"/>
      <c r="BO383" s="96"/>
      <c r="BP383" s="96"/>
      <c r="BQ383" s="75">
        <f>LEN(Tabelle32[[#This Row],[Label 1
GFX-Unit]])</f>
        <v>0</v>
      </c>
      <c r="BR383" s="63"/>
      <c r="BS383" s="63"/>
      <c r="BT383" s="59"/>
      <c r="BU383" s="59"/>
      <c r="BV383" s="59" t="s">
        <v>208</v>
      </c>
      <c r="BW383" s="59" t="s">
        <v>209</v>
      </c>
      <c r="BX383" s="59" t="s">
        <v>802</v>
      </c>
      <c r="BY383" s="59">
        <v>19</v>
      </c>
    </row>
    <row r="384" spans="1:77" hidden="1" x14ac:dyDescent="0.2">
      <c r="A384" s="58" t="str">
        <f>CONCATENATE(Tabelle32[[#This Row],[Device ID]],".",Tabelle32[[#This Row],[Streamcounter]])</f>
        <v>396.19304</v>
      </c>
      <c r="B38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VGW-103_SDI19_ANCsend_0004</v>
      </c>
      <c r="C384" s="60"/>
      <c r="D384" s="61"/>
      <c r="E384" s="62"/>
      <c r="F384" s="59" t="str">
        <f>IFERROR(VLOOKUP(Tabelle32[[#This Row],[Device ID]],BOM!$B$3:$BQ$35,16,FALSE),"")</f>
        <v>EditPC-09 OUT</v>
      </c>
      <c r="G384" s="63">
        <f>VLOOKUP(Tabelle32[[#This Row],[SDI Interface]],BOM!$A$4:$B$35,2,FALSE)</f>
        <v>396</v>
      </c>
      <c r="H384" s="59" t="str">
        <f>BOM!$C$4</f>
        <v>VGW-103</v>
      </c>
      <c r="I384" s="59" t="str">
        <f>IFERROR(VLOOKUP(Tabelle32[[#This Row],[Device ID]],BOM!$B$3:$BQ$35,12,FALSE),"")</f>
        <v>Edit Suite</v>
      </c>
      <c r="J384" s="59" t="str">
        <f>IFERROR(VLOOKUP(Tabelle32[[#This Row],[Device ID]],BOM!$B$3:$BQ$35,13,FALSE),"")</f>
        <v>TC.U1.223 | MDC</v>
      </c>
      <c r="K384" s="59" t="str">
        <f>IFERROR(VLOOKUP(Tabelle32[[#This Row],[Device ID]],BOM!$B$3:$BQ$35,14,FALSE),"")</f>
        <v>Imagine Comunications</v>
      </c>
      <c r="L384" s="59" t="str">
        <f>IFERROR(VLOOKUP(Tabelle32[[#This Row],[Device ID]],BOM!$B$3:$BQ$35,16,FALSE),"")</f>
        <v>EditPC-09 OUT</v>
      </c>
      <c r="M384" s="63" t="str">
        <f>IFERROR(VLOOKUP(Tabelle32[[#This Row],[Device ID]],BOM!$B$3:$BQ$35,17,FALSE),"")</f>
        <v>EDIT SUITE 09</v>
      </c>
      <c r="N384" s="59" t="str">
        <f>IFERROR(VLOOKUP(Tabelle32[[#This Row],[Device ID]],BOM!$B$3:$BQ$35,18,FALSE),"")</f>
        <v>TC.03.030 | Edit 09</v>
      </c>
      <c r="O384" s="64"/>
      <c r="P384" s="64">
        <f>IFERROR(VLOOKUP(Tabelle32[[#This Row],[Device ID]],BOM!$B$3:$BO$50,20,FALSE),"")</f>
        <v>0</v>
      </c>
      <c r="Q384" s="64">
        <f>IFERROR(VLOOKUP(Tabelle32[[#This Row],[Device ID]],BOM!$B$3:$BO$50,21,FALSE),"")</f>
        <v>1</v>
      </c>
      <c r="R384" s="64">
        <f>IFERROR(VLOOKUP(Tabelle32[[#This Row],[Device ID]],BOM!$B$3:$BO$50,22,FALSE),"")</f>
        <v>0</v>
      </c>
      <c r="S384" s="64"/>
      <c r="T384" s="64"/>
      <c r="U384" s="59" t="str">
        <f>IFERROR(VLOOKUP(Tabelle32[[#This Row],[Device ID]],BOM!$B$3:$BQ$35,25,FALSE),"")</f>
        <v>Luis/Ivo</v>
      </c>
      <c r="V384" s="59" t="str">
        <f>IFERROR(VLOOKUP(Tabelle32[[#This Row],[Device ID]],BOM!$B$3:$BQ$35,26,FALSE),"")</f>
        <v>tpco-megw-vgw103.rta.st-net.media.int</v>
      </c>
      <c r="W384" s="59" t="str">
        <f>IFERROR(VLOOKUP(Tabelle32[[#This Row],[Device ID]],BOM!$B$3:$BQ$35,27,FALSE),"")</f>
        <v>10.120.236.50</v>
      </c>
      <c r="X384" s="59" t="str">
        <f>IFERROR(VLOOKUP(Tabelle32[[#This Row],[Device ID]],BOM!$B$3:$BQ$35,28,FALSE),"")</f>
        <v>AVCoreA</v>
      </c>
      <c r="Y384" s="59" t="str">
        <f>IFERROR(VLOOKUP(Tabelle32[[#This Row],[Device ID]],BOM!$B$3:$BQ$35,29,FALSE),"")</f>
        <v>5_36_1</v>
      </c>
      <c r="Z384" s="59" t="str">
        <f>IFERROR(VLOOKUP(Tabelle32[[#This Row],[Device ID]],BOM!$B$3:$BQ$35,30,FALSE),"")</f>
        <v>tpco-megw-vgw103.rtb.st-net.media.int</v>
      </c>
      <c r="AA384" s="59" t="str">
        <f>IFERROR(VLOOKUP(Tabelle32[[#This Row],[Device ID]],BOM!$B$3:$BQ$35,31,FALSE),"")</f>
        <v>10.120.236.54</v>
      </c>
      <c r="AB384" s="59" t="str">
        <f>IFERROR(VLOOKUP(Tabelle32[[#This Row],[Device ID]],BOM!$B$3:$BQ$35,32,FALSE),"")</f>
        <v>AVCoreB</v>
      </c>
      <c r="AC384" s="59" t="str">
        <f>IFERROR(VLOOKUP(Tabelle32[[#This Row],[Device ID]],BOM!$B$3:$BQ$35,33,FALSE),"")</f>
        <v>5_36_1</v>
      </c>
      <c r="AD384" s="59" t="str">
        <f>IFERROR(VLOOKUP(Tabelle32[[#This Row],[Device ID]],BOM!$B$3:$BQ$35,34,FALSE),"")</f>
        <v>tpco-megw-vgw103.st-net.media.int</v>
      </c>
      <c r="AE384" s="59" t="str">
        <f>IFERROR(VLOOKUP(Tabelle32[[#This Row],[Device ID]],BOM!$B$3:$BQ$35,35,FALSE),"")</f>
        <v>10.120.67.141</v>
      </c>
      <c r="AF384" s="59">
        <f>IFERROR(VLOOKUP(Tabelle32[[#This Row],[Device ID]],BOM!$B$3:$BQ$35,36,FALSE),"")</f>
        <v>0</v>
      </c>
      <c r="AG384" s="59">
        <f>IFERROR(VLOOKUP(Tabelle32[[#This Row],[Device ID]],BOM!$B$3:$BQ$35,37,FALSE),"")</f>
        <v>0</v>
      </c>
      <c r="AH384" s="59"/>
      <c r="AI384" s="59"/>
      <c r="AJ384" s="59"/>
      <c r="AK384" s="59"/>
      <c r="AL384" s="59" t="str">
        <f>IFERROR(VLOOKUP(Tabelle32[[#This Row],[Device ID]],BOM!$B$3:$BQ$35,42,FALSE),"")</f>
        <v>Imagine Communications SNP</v>
      </c>
      <c r="AM384" s="59" t="str">
        <f>IFERROR(VLOOKUP(Tabelle32[[#This Row],[Device ID]],BOM!$B$3:$BQ$35,43,FALSE),"")</f>
        <v>no</v>
      </c>
      <c r="AN384" s="59" t="str">
        <f>IFERROR(VLOOKUP(Tabelle32[[#This Row],[Device ID]],BOM!$B$3:$BQ$35,44,FALSE),"")</f>
        <v>yes</v>
      </c>
      <c r="AO384" s="59" t="str">
        <f>IFERROR(VLOOKUP(Tabelle32[[#This Row],[Device ID]],BOM!$B$3:$BQ$35,45,FALSE),"")</f>
        <v>no</v>
      </c>
      <c r="AP384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84" s="59"/>
      <c r="AR384" s="90"/>
      <c r="AS384" s="90"/>
      <c r="AT384" s="90"/>
      <c r="AU384" s="90"/>
      <c r="AV384" s="90"/>
      <c r="AW384" s="90"/>
      <c r="AX384" s="90"/>
      <c r="AY384" s="90"/>
      <c r="AZ384" s="90"/>
      <c r="BA384" s="90"/>
      <c r="BB384" s="90"/>
      <c r="BC384" s="90"/>
      <c r="BD384" s="90"/>
      <c r="BE384" s="90"/>
      <c r="BF384" s="90"/>
      <c r="BG384" s="90"/>
      <c r="BH384" s="73" t="s">
        <v>199</v>
      </c>
      <c r="BI384" s="30" t="str">
        <f>IF(COUNTA(Tabelle32[[#This Row],[Type:Vid_1080i50]:[Type:Anc_Prot]])&gt;0,"x","")</f>
        <v/>
      </c>
      <c r="BJ38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84" s="59"/>
      <c r="BL384" s="59"/>
      <c r="BM384" s="63"/>
      <c r="BN384" s="63"/>
      <c r="BO384" s="96"/>
      <c r="BP384" s="96"/>
      <c r="BQ384" s="75">
        <f>LEN(Tabelle32[[#This Row],[Label 1
GFX-Unit]])</f>
        <v>0</v>
      </c>
      <c r="BR384" s="63"/>
      <c r="BS384" s="63"/>
      <c r="BT384" s="59"/>
      <c r="BU384" s="59"/>
      <c r="BV384" s="59" t="s">
        <v>211</v>
      </c>
      <c r="BW384" s="59" t="s">
        <v>212</v>
      </c>
      <c r="BX384" s="59" t="s">
        <v>803</v>
      </c>
      <c r="BY384" s="59">
        <v>19</v>
      </c>
    </row>
    <row r="385" spans="1:77" x14ac:dyDescent="0.2">
      <c r="A385" s="58" t="str">
        <f>CONCATENATE(Tabelle32[[#This Row],[Device ID]],".",Tabelle32[[#This Row],[Streamcounter]])</f>
        <v>396.19201</v>
      </c>
      <c r="B38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VGW-103_SDI19_AUDsend_0001</v>
      </c>
      <c r="C385" s="60"/>
      <c r="D385" s="61"/>
      <c r="E385" s="62"/>
      <c r="F385" s="59" t="str">
        <f>IFERROR(VLOOKUP(Tabelle32[[#This Row],[Device ID]],BOM!$B$3:$BQ$35,16,FALSE),"")</f>
        <v>EditPC-09 OUT</v>
      </c>
      <c r="G385" s="63">
        <f>VLOOKUP(Tabelle32[[#This Row],[SDI Interface]],BOM!$A$4:$B$35,2,FALSE)</f>
        <v>396</v>
      </c>
      <c r="H385" s="59" t="str">
        <f>BOM!$C$4</f>
        <v>VGW-103</v>
      </c>
      <c r="I385" s="59" t="str">
        <f>IFERROR(VLOOKUP(Tabelle32[[#This Row],[Device ID]],BOM!$B$3:$BQ$35,12,FALSE),"")</f>
        <v>Edit Suite</v>
      </c>
      <c r="J385" s="59" t="str">
        <f>IFERROR(VLOOKUP(Tabelle32[[#This Row],[Device ID]],BOM!$B$3:$BQ$35,13,FALSE),"")</f>
        <v>TC.U1.223 | MDC</v>
      </c>
      <c r="K385" s="59" t="str">
        <f>IFERROR(VLOOKUP(Tabelle32[[#This Row],[Device ID]],BOM!$B$3:$BQ$35,14,FALSE),"")</f>
        <v>Imagine Comunications</v>
      </c>
      <c r="L385" s="59" t="str">
        <f>IFERROR(VLOOKUP(Tabelle32[[#This Row],[Device ID]],BOM!$B$3:$BQ$35,16,FALSE),"")</f>
        <v>EditPC-09 OUT</v>
      </c>
      <c r="M385" s="63" t="str">
        <f>IFERROR(VLOOKUP(Tabelle32[[#This Row],[Device ID]],BOM!$B$3:$BQ$35,17,FALSE),"")</f>
        <v>EDIT SUITE 09</v>
      </c>
      <c r="N385" s="59" t="str">
        <f>IFERROR(VLOOKUP(Tabelle32[[#This Row],[Device ID]],BOM!$B$3:$BQ$35,18,FALSE),"")</f>
        <v>TC.03.030 | Edit 09</v>
      </c>
      <c r="O385" s="64"/>
      <c r="P385" s="64">
        <f>IFERROR(VLOOKUP(Tabelle32[[#This Row],[Device ID]],BOM!$B$3:$BO$50,20,FALSE),"")</f>
        <v>0</v>
      </c>
      <c r="Q385" s="64">
        <f>IFERROR(VLOOKUP(Tabelle32[[#This Row],[Device ID]],BOM!$B$3:$BO$50,21,FALSE),"")</f>
        <v>1</v>
      </c>
      <c r="R385" s="64">
        <f>IFERROR(VLOOKUP(Tabelle32[[#This Row],[Device ID]],BOM!$B$3:$BO$50,22,FALSE),"")</f>
        <v>0</v>
      </c>
      <c r="S385" s="64"/>
      <c r="T385" s="64"/>
      <c r="U385" s="59" t="str">
        <f>IFERROR(VLOOKUP(Tabelle32[[#This Row],[Device ID]],BOM!$B$3:$BQ$35,25,FALSE),"")</f>
        <v>Luis/Ivo</v>
      </c>
      <c r="V385" s="59" t="str">
        <f>IFERROR(VLOOKUP(Tabelle32[[#This Row],[Device ID]],BOM!$B$3:$BQ$35,26,FALSE),"")</f>
        <v>tpco-megw-vgw103.rta.st-net.media.int</v>
      </c>
      <c r="W385" s="59" t="str">
        <f>IFERROR(VLOOKUP(Tabelle32[[#This Row],[Device ID]],BOM!$B$3:$BQ$35,27,FALSE),"")</f>
        <v>10.120.236.50</v>
      </c>
      <c r="X385" s="59" t="str">
        <f>IFERROR(VLOOKUP(Tabelle32[[#This Row],[Device ID]],BOM!$B$3:$BQ$35,28,FALSE),"")</f>
        <v>AVCoreA</v>
      </c>
      <c r="Y385" s="59" t="str">
        <f>IFERROR(VLOOKUP(Tabelle32[[#This Row],[Device ID]],BOM!$B$3:$BQ$35,29,FALSE),"")</f>
        <v>5_36_1</v>
      </c>
      <c r="Z385" s="59" t="str">
        <f>IFERROR(VLOOKUP(Tabelle32[[#This Row],[Device ID]],BOM!$B$3:$BQ$35,30,FALSE),"")</f>
        <v>tpco-megw-vgw103.rtb.st-net.media.int</v>
      </c>
      <c r="AA385" s="59" t="str">
        <f>IFERROR(VLOOKUP(Tabelle32[[#This Row],[Device ID]],BOM!$B$3:$BQ$35,31,FALSE),"")</f>
        <v>10.120.236.54</v>
      </c>
      <c r="AB385" s="59" t="str">
        <f>IFERROR(VLOOKUP(Tabelle32[[#This Row],[Device ID]],BOM!$B$3:$BQ$35,32,FALSE),"")</f>
        <v>AVCoreB</v>
      </c>
      <c r="AC385" s="59" t="str">
        <f>IFERROR(VLOOKUP(Tabelle32[[#This Row],[Device ID]],BOM!$B$3:$BQ$35,33,FALSE),"")</f>
        <v>5_36_1</v>
      </c>
      <c r="AD385" s="59" t="str">
        <f>IFERROR(VLOOKUP(Tabelle32[[#This Row],[Device ID]],BOM!$B$3:$BQ$35,34,FALSE),"")</f>
        <v>tpco-megw-vgw103.st-net.media.int</v>
      </c>
      <c r="AE385" s="59" t="str">
        <f>IFERROR(VLOOKUP(Tabelle32[[#This Row],[Device ID]],BOM!$B$3:$BQ$35,35,FALSE),"")</f>
        <v>10.120.67.141</v>
      </c>
      <c r="AF385" s="59">
        <f>IFERROR(VLOOKUP(Tabelle32[[#This Row],[Device ID]],BOM!$B$3:$BQ$35,36,FALSE),"")</f>
        <v>0</v>
      </c>
      <c r="AG385" s="59">
        <f>IFERROR(VLOOKUP(Tabelle32[[#This Row],[Device ID]],BOM!$B$3:$BQ$35,37,FALSE),"")</f>
        <v>0</v>
      </c>
      <c r="AH385" s="59"/>
      <c r="AI385" s="59"/>
      <c r="AJ385" s="59"/>
      <c r="AK385" s="59"/>
      <c r="AL385" s="59" t="str">
        <f>IFERROR(VLOOKUP(Tabelle32[[#This Row],[Device ID]],BOM!$B$3:$BQ$35,42,FALSE),"")</f>
        <v>Imagine Communications SNP</v>
      </c>
      <c r="AM385" s="59" t="str">
        <f>IFERROR(VLOOKUP(Tabelle32[[#This Row],[Device ID]],BOM!$B$3:$BQ$35,43,FALSE),"")</f>
        <v>no</v>
      </c>
      <c r="AN385" s="59" t="str">
        <f>IFERROR(VLOOKUP(Tabelle32[[#This Row],[Device ID]],BOM!$B$3:$BQ$35,44,FALSE),"")</f>
        <v>yes</v>
      </c>
      <c r="AO385" s="59" t="str">
        <f>IFERROR(VLOOKUP(Tabelle32[[#This Row],[Device ID]],BOM!$B$3:$BQ$35,45,FALSE),"")</f>
        <v>no</v>
      </c>
      <c r="AP385" s="59" t="str">
        <f>IFERROR(CONCATENATE(Tabelle32[[#This Row],[Family
GFX-Unit]]," | ",Tabelle32[[#This Row],[Label 1
GFX-Unit]]," | ",Tabelle32[[#This Row],[Attached Device if Gateway]]),"")</f>
        <v>MEDEM Edits Out | Out Edit09-01 | EditPC-09 OUT</v>
      </c>
      <c r="AQ385" s="59"/>
      <c r="AR385" s="96"/>
      <c r="AS385" s="96"/>
      <c r="AT385" s="96"/>
      <c r="AU385" s="96"/>
      <c r="AV385" s="96"/>
      <c r="AW385" s="96"/>
      <c r="AX385" s="96" t="s">
        <v>199</v>
      </c>
      <c r="AY385" s="96" t="s">
        <v>199</v>
      </c>
      <c r="AZ385" s="96" t="s">
        <v>97</v>
      </c>
      <c r="BA385" s="96"/>
      <c r="BB385" s="96"/>
      <c r="BC385" s="96"/>
      <c r="BD385" s="96"/>
      <c r="BE385" s="96"/>
      <c r="BF385" s="96"/>
      <c r="BG385" s="96"/>
      <c r="BH385" s="73" t="s">
        <v>199</v>
      </c>
      <c r="BI385" s="30" t="str">
        <f>IF(COUNTA(Tabelle32[[#This Row],[Type:Vid_1080i50]:[Type:Anc_Prot]])&gt;0,"x","")</f>
        <v>x</v>
      </c>
      <c r="BJ38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85" s="59"/>
      <c r="BL385" s="59"/>
      <c r="BM385" s="63"/>
      <c r="BN385" s="63"/>
      <c r="BO385" s="97" t="s">
        <v>732</v>
      </c>
      <c r="BP385" s="97" t="s">
        <v>804</v>
      </c>
      <c r="BQ385" s="75">
        <f>LEN(Tabelle32[[#This Row],[Label 1
GFX-Unit]])</f>
        <v>13</v>
      </c>
      <c r="BR385" s="63"/>
      <c r="BS385" s="63"/>
      <c r="BT385" s="59"/>
      <c r="BU385" s="59"/>
      <c r="BV385" s="59" t="s">
        <v>214</v>
      </c>
      <c r="BW385" s="59" t="s">
        <v>215</v>
      </c>
      <c r="BX385" s="59" t="s">
        <v>805</v>
      </c>
      <c r="BY385" s="59">
        <v>19</v>
      </c>
    </row>
    <row r="386" spans="1:77" x14ac:dyDescent="0.2">
      <c r="A386" s="58" t="str">
        <f>CONCATENATE(Tabelle32[[#This Row],[Device ID]],".",Tabelle32[[#This Row],[Streamcounter]])</f>
        <v>396.19202</v>
      </c>
      <c r="B38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VGW-103_SDI19_AUDsend_0002</v>
      </c>
      <c r="C386" s="67"/>
      <c r="D386" s="61"/>
      <c r="E386" s="67"/>
      <c r="F386" s="59" t="str">
        <f>IFERROR(VLOOKUP(Tabelle32[[#This Row],[Device ID]],BOM!$B$3:$BQ$35,16,FALSE),"")</f>
        <v>EditPC-09 OUT</v>
      </c>
      <c r="G386" s="63">
        <f>VLOOKUP(Tabelle32[[#This Row],[SDI Interface]],BOM!$A$4:$B$35,2,FALSE)</f>
        <v>396</v>
      </c>
      <c r="H386" s="59" t="str">
        <f>BOM!$C$4</f>
        <v>VGW-103</v>
      </c>
      <c r="I386" s="59" t="str">
        <f>IFERROR(VLOOKUP(Tabelle32[[#This Row],[Device ID]],BOM!$B$3:$BQ$35,12,FALSE),"")</f>
        <v>Edit Suite</v>
      </c>
      <c r="J386" s="59" t="str">
        <f>IFERROR(VLOOKUP(Tabelle32[[#This Row],[Device ID]],BOM!$B$3:$BQ$35,13,FALSE),"")</f>
        <v>TC.U1.223 | MDC</v>
      </c>
      <c r="K386" s="59" t="str">
        <f>IFERROR(VLOOKUP(Tabelle32[[#This Row],[Device ID]],BOM!$B$3:$BQ$35,14,FALSE),"")</f>
        <v>Imagine Comunications</v>
      </c>
      <c r="L386" s="59" t="str">
        <f>IFERROR(VLOOKUP(Tabelle32[[#This Row],[Device ID]],BOM!$B$3:$BQ$35,16,FALSE),"")</f>
        <v>EditPC-09 OUT</v>
      </c>
      <c r="M386" s="63" t="str">
        <f>IFERROR(VLOOKUP(Tabelle32[[#This Row],[Device ID]],BOM!$B$3:$BQ$35,17,FALSE),"")</f>
        <v>EDIT SUITE 09</v>
      </c>
      <c r="N386" s="59" t="str">
        <f>IFERROR(VLOOKUP(Tabelle32[[#This Row],[Device ID]],BOM!$B$3:$BQ$35,18,FALSE),"")</f>
        <v>TC.03.030 | Edit 09</v>
      </c>
      <c r="O386" s="64"/>
      <c r="P386" s="64">
        <f>IFERROR(VLOOKUP(Tabelle32[[#This Row],[Device ID]],BOM!$B$3:$BO$50,20,FALSE),"")</f>
        <v>0</v>
      </c>
      <c r="Q386" s="64">
        <f>IFERROR(VLOOKUP(Tabelle32[[#This Row],[Device ID]],BOM!$B$3:$BO$50,21,FALSE),"")</f>
        <v>1</v>
      </c>
      <c r="R386" s="64">
        <f>IFERROR(VLOOKUP(Tabelle32[[#This Row],[Device ID]],BOM!$B$3:$BO$50,22,FALSE),"")</f>
        <v>0</v>
      </c>
      <c r="S386" s="64"/>
      <c r="T386" s="64"/>
      <c r="U386" s="59" t="str">
        <f>IFERROR(VLOOKUP(Tabelle32[[#This Row],[Device ID]],BOM!$B$3:$BQ$35,25,FALSE),"")</f>
        <v>Luis/Ivo</v>
      </c>
      <c r="V386" s="59" t="str">
        <f>IFERROR(VLOOKUP(Tabelle32[[#This Row],[Device ID]],BOM!$B$3:$BQ$35,26,FALSE),"")</f>
        <v>tpco-megw-vgw103.rta.st-net.media.int</v>
      </c>
      <c r="W386" s="59" t="str">
        <f>IFERROR(VLOOKUP(Tabelle32[[#This Row],[Device ID]],BOM!$B$3:$BQ$35,27,FALSE),"")</f>
        <v>10.120.236.50</v>
      </c>
      <c r="X386" s="59" t="str">
        <f>IFERROR(VLOOKUP(Tabelle32[[#This Row],[Device ID]],BOM!$B$3:$BQ$35,28,FALSE),"")</f>
        <v>AVCoreA</v>
      </c>
      <c r="Y386" s="59" t="str">
        <f>IFERROR(VLOOKUP(Tabelle32[[#This Row],[Device ID]],BOM!$B$3:$BQ$35,29,FALSE),"")</f>
        <v>5_36_1</v>
      </c>
      <c r="Z386" s="59" t="str">
        <f>IFERROR(VLOOKUP(Tabelle32[[#This Row],[Device ID]],BOM!$B$3:$BQ$35,30,FALSE),"")</f>
        <v>tpco-megw-vgw103.rtb.st-net.media.int</v>
      </c>
      <c r="AA386" s="59" t="str">
        <f>IFERROR(VLOOKUP(Tabelle32[[#This Row],[Device ID]],BOM!$B$3:$BQ$35,31,FALSE),"")</f>
        <v>10.120.236.54</v>
      </c>
      <c r="AB386" s="59" t="str">
        <f>IFERROR(VLOOKUP(Tabelle32[[#This Row],[Device ID]],BOM!$B$3:$BQ$35,32,FALSE),"")</f>
        <v>AVCoreB</v>
      </c>
      <c r="AC386" s="59" t="str">
        <f>IFERROR(VLOOKUP(Tabelle32[[#This Row],[Device ID]],BOM!$B$3:$BQ$35,33,FALSE),"")</f>
        <v>5_36_1</v>
      </c>
      <c r="AD386" s="59" t="str">
        <f>IFERROR(VLOOKUP(Tabelle32[[#This Row],[Device ID]],BOM!$B$3:$BQ$35,34,FALSE),"")</f>
        <v>tpco-megw-vgw103.st-net.media.int</v>
      </c>
      <c r="AE386" s="59" t="str">
        <f>IFERROR(VLOOKUP(Tabelle32[[#This Row],[Device ID]],BOM!$B$3:$BQ$35,35,FALSE),"")</f>
        <v>10.120.67.141</v>
      </c>
      <c r="AF386" s="59">
        <f>IFERROR(VLOOKUP(Tabelle32[[#This Row],[Device ID]],BOM!$B$3:$BQ$35,36,FALSE),"")</f>
        <v>0</v>
      </c>
      <c r="AG386" s="59">
        <f>IFERROR(VLOOKUP(Tabelle32[[#This Row],[Device ID]],BOM!$B$3:$BQ$35,37,FALSE),"")</f>
        <v>0</v>
      </c>
      <c r="AH386" s="59"/>
      <c r="AI386" s="59"/>
      <c r="AJ386" s="59"/>
      <c r="AK386" s="59"/>
      <c r="AL386" s="59" t="str">
        <f>IFERROR(VLOOKUP(Tabelle32[[#This Row],[Device ID]],BOM!$B$3:$BQ$35,42,FALSE),"")</f>
        <v>Imagine Communications SNP</v>
      </c>
      <c r="AM386" s="59" t="str">
        <f>IFERROR(VLOOKUP(Tabelle32[[#This Row],[Device ID]],BOM!$B$3:$BQ$35,43,FALSE),"")</f>
        <v>no</v>
      </c>
      <c r="AN386" s="59" t="str">
        <f>IFERROR(VLOOKUP(Tabelle32[[#This Row],[Device ID]],BOM!$B$3:$BQ$35,44,FALSE),"")</f>
        <v>yes</v>
      </c>
      <c r="AO386" s="59" t="str">
        <f>IFERROR(VLOOKUP(Tabelle32[[#This Row],[Device ID]],BOM!$B$3:$BQ$35,45,FALSE),"")</f>
        <v>no</v>
      </c>
      <c r="AP386" s="59" t="str">
        <f>IFERROR(CONCATENATE(Tabelle32[[#This Row],[Family
GFX-Unit]]," | ",Tabelle32[[#This Row],[Label 1
GFX-Unit]]," | ",Tabelle32[[#This Row],[Attached Device if Gateway]]),"")</f>
        <v>MEDEM Edits Out | Out Edit09-02 | EditPC-09 OUT</v>
      </c>
      <c r="AQ386" s="59"/>
      <c r="AR386" s="96"/>
      <c r="AS386" s="96"/>
      <c r="AT386" s="96"/>
      <c r="AU386" s="96"/>
      <c r="AV386" s="96"/>
      <c r="AW386" s="96" t="s">
        <v>97</v>
      </c>
      <c r="AX386" s="96" t="s">
        <v>199</v>
      </c>
      <c r="AY386" s="96" t="s">
        <v>199</v>
      </c>
      <c r="AZ386" s="96"/>
      <c r="BA386" s="96"/>
      <c r="BB386" s="96"/>
      <c r="BC386" s="96"/>
      <c r="BD386" s="96"/>
      <c r="BE386" s="96"/>
      <c r="BF386" s="96"/>
      <c r="BG386" s="96"/>
      <c r="BH386" s="73" t="s">
        <v>199</v>
      </c>
      <c r="BI386" s="30" t="str">
        <f>IF(COUNTA(Tabelle32[[#This Row],[Type:Vid_1080i50]:[Type:Anc_Prot]])&gt;0,"x","")</f>
        <v>x</v>
      </c>
      <c r="BJ38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86" s="59"/>
      <c r="BL386" s="59"/>
      <c r="BM386" s="63"/>
      <c r="BN386" s="63"/>
      <c r="BO386" s="97" t="s">
        <v>732</v>
      </c>
      <c r="BP386" s="97" t="s">
        <v>806</v>
      </c>
      <c r="BQ386" s="75">
        <f>LEN(Tabelle32[[#This Row],[Label 1
GFX-Unit]])</f>
        <v>13</v>
      </c>
      <c r="BR386" s="63"/>
      <c r="BS386" s="63"/>
      <c r="BT386" s="59"/>
      <c r="BU386" s="59"/>
      <c r="BV386" s="59" t="s">
        <v>218</v>
      </c>
      <c r="BW386" s="59" t="s">
        <v>219</v>
      </c>
      <c r="BX386" s="59" t="s">
        <v>807</v>
      </c>
      <c r="BY386" s="59">
        <v>19</v>
      </c>
    </row>
    <row r="387" spans="1:77" x14ac:dyDescent="0.2">
      <c r="A387" s="58" t="str">
        <f>CONCATENATE(Tabelle32[[#This Row],[Device ID]],".",Tabelle32[[#This Row],[Streamcounter]])</f>
        <v>396.19203</v>
      </c>
      <c r="B38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VGW-103_SDI19_AUDsend_0003</v>
      </c>
      <c r="C387" s="67"/>
      <c r="D387" s="61"/>
      <c r="E387" s="67"/>
      <c r="F387" s="59" t="str">
        <f>IFERROR(VLOOKUP(Tabelle32[[#This Row],[Device ID]],BOM!$B$3:$BQ$35,16,FALSE),"")</f>
        <v>EditPC-09 OUT</v>
      </c>
      <c r="G387" s="63">
        <f>VLOOKUP(Tabelle32[[#This Row],[SDI Interface]],BOM!$A$4:$B$35,2,FALSE)</f>
        <v>396</v>
      </c>
      <c r="H387" s="59" t="str">
        <f>BOM!$C$4</f>
        <v>VGW-103</v>
      </c>
      <c r="I387" s="59" t="str">
        <f>IFERROR(VLOOKUP(Tabelle32[[#This Row],[Device ID]],BOM!$B$3:$BQ$35,12,FALSE),"")</f>
        <v>Edit Suite</v>
      </c>
      <c r="J387" s="59" t="str">
        <f>IFERROR(VLOOKUP(Tabelle32[[#This Row],[Device ID]],BOM!$B$3:$BQ$35,13,FALSE),"")</f>
        <v>TC.U1.223 | MDC</v>
      </c>
      <c r="K387" s="59" t="str">
        <f>IFERROR(VLOOKUP(Tabelle32[[#This Row],[Device ID]],BOM!$B$3:$BQ$35,14,FALSE),"")</f>
        <v>Imagine Comunications</v>
      </c>
      <c r="L387" s="59" t="str">
        <f>IFERROR(VLOOKUP(Tabelle32[[#This Row],[Device ID]],BOM!$B$3:$BQ$35,16,FALSE),"")</f>
        <v>EditPC-09 OUT</v>
      </c>
      <c r="M387" s="63" t="str">
        <f>IFERROR(VLOOKUP(Tabelle32[[#This Row],[Device ID]],BOM!$B$3:$BQ$35,17,FALSE),"")</f>
        <v>EDIT SUITE 09</v>
      </c>
      <c r="N387" s="59" t="str">
        <f>IFERROR(VLOOKUP(Tabelle32[[#This Row],[Device ID]],BOM!$B$3:$BQ$35,18,FALSE),"")</f>
        <v>TC.03.030 | Edit 09</v>
      </c>
      <c r="O387" s="64"/>
      <c r="P387" s="64">
        <f>IFERROR(VLOOKUP(Tabelle32[[#This Row],[Device ID]],BOM!$B$3:$BO$50,20,FALSE),"")</f>
        <v>0</v>
      </c>
      <c r="Q387" s="64">
        <f>IFERROR(VLOOKUP(Tabelle32[[#This Row],[Device ID]],BOM!$B$3:$BO$50,21,FALSE),"")</f>
        <v>1</v>
      </c>
      <c r="R387" s="64">
        <f>IFERROR(VLOOKUP(Tabelle32[[#This Row],[Device ID]],BOM!$B$3:$BO$50,22,FALSE),"")</f>
        <v>0</v>
      </c>
      <c r="S387" s="64"/>
      <c r="T387" s="64"/>
      <c r="U387" s="59" t="str">
        <f>IFERROR(VLOOKUP(Tabelle32[[#This Row],[Device ID]],BOM!$B$3:$BQ$35,25,FALSE),"")</f>
        <v>Luis/Ivo</v>
      </c>
      <c r="V387" s="59" t="str">
        <f>IFERROR(VLOOKUP(Tabelle32[[#This Row],[Device ID]],BOM!$B$3:$BQ$35,26,FALSE),"")</f>
        <v>tpco-megw-vgw103.rta.st-net.media.int</v>
      </c>
      <c r="W387" s="59" t="str">
        <f>IFERROR(VLOOKUP(Tabelle32[[#This Row],[Device ID]],BOM!$B$3:$BQ$35,27,FALSE),"")</f>
        <v>10.120.236.50</v>
      </c>
      <c r="X387" s="59" t="str">
        <f>IFERROR(VLOOKUP(Tabelle32[[#This Row],[Device ID]],BOM!$B$3:$BQ$35,28,FALSE),"")</f>
        <v>AVCoreA</v>
      </c>
      <c r="Y387" s="59" t="str">
        <f>IFERROR(VLOOKUP(Tabelle32[[#This Row],[Device ID]],BOM!$B$3:$BQ$35,29,FALSE),"")</f>
        <v>5_36_1</v>
      </c>
      <c r="Z387" s="59" t="str">
        <f>IFERROR(VLOOKUP(Tabelle32[[#This Row],[Device ID]],BOM!$B$3:$BQ$35,30,FALSE),"")</f>
        <v>tpco-megw-vgw103.rtb.st-net.media.int</v>
      </c>
      <c r="AA387" s="59" t="str">
        <f>IFERROR(VLOOKUP(Tabelle32[[#This Row],[Device ID]],BOM!$B$3:$BQ$35,31,FALSE),"")</f>
        <v>10.120.236.54</v>
      </c>
      <c r="AB387" s="59" t="str">
        <f>IFERROR(VLOOKUP(Tabelle32[[#This Row],[Device ID]],BOM!$B$3:$BQ$35,32,FALSE),"")</f>
        <v>AVCoreB</v>
      </c>
      <c r="AC387" s="59" t="str">
        <f>IFERROR(VLOOKUP(Tabelle32[[#This Row],[Device ID]],BOM!$B$3:$BQ$35,33,FALSE),"")</f>
        <v>5_36_1</v>
      </c>
      <c r="AD387" s="59" t="str">
        <f>IFERROR(VLOOKUP(Tabelle32[[#This Row],[Device ID]],BOM!$B$3:$BQ$35,34,FALSE),"")</f>
        <v>tpco-megw-vgw103.st-net.media.int</v>
      </c>
      <c r="AE387" s="59" t="str">
        <f>IFERROR(VLOOKUP(Tabelle32[[#This Row],[Device ID]],BOM!$B$3:$BQ$35,35,FALSE),"")</f>
        <v>10.120.67.141</v>
      </c>
      <c r="AF387" s="59">
        <f>IFERROR(VLOOKUP(Tabelle32[[#This Row],[Device ID]],BOM!$B$3:$BQ$35,36,FALSE),"")</f>
        <v>0</v>
      </c>
      <c r="AG387" s="59">
        <f>IFERROR(VLOOKUP(Tabelle32[[#This Row],[Device ID]],BOM!$B$3:$BQ$35,37,FALSE),"")</f>
        <v>0</v>
      </c>
      <c r="AH387" s="59"/>
      <c r="AI387" s="59"/>
      <c r="AJ387" s="59"/>
      <c r="AK387" s="59"/>
      <c r="AL387" s="59" t="str">
        <f>IFERROR(VLOOKUP(Tabelle32[[#This Row],[Device ID]],BOM!$B$3:$BQ$35,42,FALSE),"")</f>
        <v>Imagine Communications SNP</v>
      </c>
      <c r="AM387" s="59" t="str">
        <f>IFERROR(VLOOKUP(Tabelle32[[#This Row],[Device ID]],BOM!$B$3:$BQ$35,43,FALSE),"")</f>
        <v>no</v>
      </c>
      <c r="AN387" s="59" t="str">
        <f>IFERROR(VLOOKUP(Tabelle32[[#This Row],[Device ID]],BOM!$B$3:$BQ$35,44,FALSE),"")</f>
        <v>yes</v>
      </c>
      <c r="AO387" s="59" t="str">
        <f>IFERROR(VLOOKUP(Tabelle32[[#This Row],[Device ID]],BOM!$B$3:$BQ$35,45,FALSE),"")</f>
        <v>no</v>
      </c>
      <c r="AP387" s="59" t="str">
        <f>IFERROR(CONCATENATE(Tabelle32[[#This Row],[Family
GFX-Unit]]," | ",Tabelle32[[#This Row],[Label 1
GFX-Unit]]," | ",Tabelle32[[#This Row],[Attached Device if Gateway]]),"")</f>
        <v>MEDEM Edits Out | Out Edit09-03 | EditPC-09 OUT</v>
      </c>
      <c r="AQ387" s="59"/>
      <c r="AR387" s="96"/>
      <c r="AS387" s="96"/>
      <c r="AT387" s="96"/>
      <c r="AU387" s="96"/>
      <c r="AV387" s="96"/>
      <c r="AW387" s="96" t="s">
        <v>97</v>
      </c>
      <c r="AX387" s="96" t="s">
        <v>199</v>
      </c>
      <c r="AY387" s="96" t="s">
        <v>199</v>
      </c>
      <c r="AZ387" s="96"/>
      <c r="BA387" s="96"/>
      <c r="BB387" s="96"/>
      <c r="BC387" s="96"/>
      <c r="BD387" s="96"/>
      <c r="BE387" s="96"/>
      <c r="BF387" s="96"/>
      <c r="BG387" s="96"/>
      <c r="BH387" s="73" t="s">
        <v>199</v>
      </c>
      <c r="BI387" s="30" t="str">
        <f>IF(COUNTA(Tabelle32[[#This Row],[Type:Vid_1080i50]:[Type:Anc_Prot]])&gt;0,"x","")</f>
        <v>x</v>
      </c>
      <c r="BJ38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87" s="59"/>
      <c r="BL387" s="59"/>
      <c r="BM387" s="63"/>
      <c r="BN387" s="63"/>
      <c r="BO387" s="97" t="s">
        <v>732</v>
      </c>
      <c r="BP387" s="97" t="s">
        <v>808</v>
      </c>
      <c r="BQ387" s="75">
        <f>LEN(Tabelle32[[#This Row],[Label 1
GFX-Unit]])</f>
        <v>13</v>
      </c>
      <c r="BR387" s="63"/>
      <c r="BS387" s="63"/>
      <c r="BT387" s="59"/>
      <c r="BU387" s="59"/>
      <c r="BV387" s="59" t="s">
        <v>222</v>
      </c>
      <c r="BW387" s="59" t="s">
        <v>223</v>
      </c>
      <c r="BX387" s="59" t="s">
        <v>809</v>
      </c>
      <c r="BY387" s="59">
        <v>19</v>
      </c>
    </row>
    <row r="388" spans="1:77" x14ac:dyDescent="0.2">
      <c r="A388" s="58" t="str">
        <f>CONCATENATE(Tabelle32[[#This Row],[Device ID]],".",Tabelle32[[#This Row],[Streamcounter]])</f>
        <v>396.19204</v>
      </c>
      <c r="B38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VGW-103_SDI19_AUDsend_0004</v>
      </c>
      <c r="C388" s="60"/>
      <c r="D388" s="61"/>
      <c r="E388" s="62"/>
      <c r="F388" s="59" t="str">
        <f>IFERROR(VLOOKUP(Tabelle32[[#This Row],[Device ID]],BOM!$B$3:$BQ$35,16,FALSE),"")</f>
        <v>EditPC-09 OUT</v>
      </c>
      <c r="G388" s="63">
        <f>VLOOKUP(Tabelle32[[#This Row],[SDI Interface]],BOM!$A$4:$B$35,2,FALSE)</f>
        <v>396</v>
      </c>
      <c r="H388" s="59" t="str">
        <f>BOM!$C$4</f>
        <v>VGW-103</v>
      </c>
      <c r="I388" s="59" t="str">
        <f>IFERROR(VLOOKUP(Tabelle32[[#This Row],[Device ID]],BOM!$B$3:$BQ$35,12,FALSE),"")</f>
        <v>Edit Suite</v>
      </c>
      <c r="J388" s="59" t="str">
        <f>IFERROR(VLOOKUP(Tabelle32[[#This Row],[Device ID]],BOM!$B$3:$BQ$35,13,FALSE),"")</f>
        <v>TC.U1.223 | MDC</v>
      </c>
      <c r="K388" s="59" t="str">
        <f>IFERROR(VLOOKUP(Tabelle32[[#This Row],[Device ID]],BOM!$B$3:$BQ$35,14,FALSE),"")</f>
        <v>Imagine Comunications</v>
      </c>
      <c r="L388" s="59" t="str">
        <f>IFERROR(VLOOKUP(Tabelle32[[#This Row],[Device ID]],BOM!$B$3:$BQ$35,16,FALSE),"")</f>
        <v>EditPC-09 OUT</v>
      </c>
      <c r="M388" s="63" t="str">
        <f>IFERROR(VLOOKUP(Tabelle32[[#This Row],[Device ID]],BOM!$B$3:$BQ$35,17,FALSE),"")</f>
        <v>EDIT SUITE 09</v>
      </c>
      <c r="N388" s="59" t="str">
        <f>IFERROR(VLOOKUP(Tabelle32[[#This Row],[Device ID]],BOM!$B$3:$BQ$35,18,FALSE),"")</f>
        <v>TC.03.030 | Edit 09</v>
      </c>
      <c r="O388" s="64"/>
      <c r="P388" s="64">
        <f>IFERROR(VLOOKUP(Tabelle32[[#This Row],[Device ID]],BOM!$B$3:$BO$50,20,FALSE),"")</f>
        <v>0</v>
      </c>
      <c r="Q388" s="64">
        <f>IFERROR(VLOOKUP(Tabelle32[[#This Row],[Device ID]],BOM!$B$3:$BO$50,21,FALSE),"")</f>
        <v>1</v>
      </c>
      <c r="R388" s="64">
        <f>IFERROR(VLOOKUP(Tabelle32[[#This Row],[Device ID]],BOM!$B$3:$BO$50,22,FALSE),"")</f>
        <v>0</v>
      </c>
      <c r="S388" s="64"/>
      <c r="T388" s="64"/>
      <c r="U388" s="59" t="str">
        <f>IFERROR(VLOOKUP(Tabelle32[[#This Row],[Device ID]],BOM!$B$3:$BQ$35,25,FALSE),"")</f>
        <v>Luis/Ivo</v>
      </c>
      <c r="V388" s="59" t="str">
        <f>IFERROR(VLOOKUP(Tabelle32[[#This Row],[Device ID]],BOM!$B$3:$BQ$35,26,FALSE),"")</f>
        <v>tpco-megw-vgw103.rta.st-net.media.int</v>
      </c>
      <c r="W388" s="59" t="str">
        <f>IFERROR(VLOOKUP(Tabelle32[[#This Row],[Device ID]],BOM!$B$3:$BQ$35,27,FALSE),"")</f>
        <v>10.120.236.50</v>
      </c>
      <c r="X388" s="59" t="str">
        <f>IFERROR(VLOOKUP(Tabelle32[[#This Row],[Device ID]],BOM!$B$3:$BQ$35,28,FALSE),"")</f>
        <v>AVCoreA</v>
      </c>
      <c r="Y388" s="59" t="str">
        <f>IFERROR(VLOOKUP(Tabelle32[[#This Row],[Device ID]],BOM!$B$3:$BQ$35,29,FALSE),"")</f>
        <v>5_36_1</v>
      </c>
      <c r="Z388" s="59" t="str">
        <f>IFERROR(VLOOKUP(Tabelle32[[#This Row],[Device ID]],BOM!$B$3:$BQ$35,30,FALSE),"")</f>
        <v>tpco-megw-vgw103.rtb.st-net.media.int</v>
      </c>
      <c r="AA388" s="59" t="str">
        <f>IFERROR(VLOOKUP(Tabelle32[[#This Row],[Device ID]],BOM!$B$3:$BQ$35,31,FALSE),"")</f>
        <v>10.120.236.54</v>
      </c>
      <c r="AB388" s="59" t="str">
        <f>IFERROR(VLOOKUP(Tabelle32[[#This Row],[Device ID]],BOM!$B$3:$BQ$35,32,FALSE),"")</f>
        <v>AVCoreB</v>
      </c>
      <c r="AC388" s="59" t="str">
        <f>IFERROR(VLOOKUP(Tabelle32[[#This Row],[Device ID]],BOM!$B$3:$BQ$35,33,FALSE),"")</f>
        <v>5_36_1</v>
      </c>
      <c r="AD388" s="59" t="str">
        <f>IFERROR(VLOOKUP(Tabelle32[[#This Row],[Device ID]],BOM!$B$3:$BQ$35,34,FALSE),"")</f>
        <v>tpco-megw-vgw103.st-net.media.int</v>
      </c>
      <c r="AE388" s="59" t="str">
        <f>IFERROR(VLOOKUP(Tabelle32[[#This Row],[Device ID]],BOM!$B$3:$BQ$35,35,FALSE),"")</f>
        <v>10.120.67.141</v>
      </c>
      <c r="AF388" s="59">
        <f>IFERROR(VLOOKUP(Tabelle32[[#This Row],[Device ID]],BOM!$B$3:$BQ$35,36,FALSE),"")</f>
        <v>0</v>
      </c>
      <c r="AG388" s="59">
        <f>IFERROR(VLOOKUP(Tabelle32[[#This Row],[Device ID]],BOM!$B$3:$BQ$35,37,FALSE),"")</f>
        <v>0</v>
      </c>
      <c r="AH388" s="59"/>
      <c r="AI388" s="59"/>
      <c r="AJ388" s="59"/>
      <c r="AK388" s="59"/>
      <c r="AL388" s="59" t="str">
        <f>IFERROR(VLOOKUP(Tabelle32[[#This Row],[Device ID]],BOM!$B$3:$BQ$35,42,FALSE),"")</f>
        <v>Imagine Communications SNP</v>
      </c>
      <c r="AM388" s="59" t="str">
        <f>IFERROR(VLOOKUP(Tabelle32[[#This Row],[Device ID]],BOM!$B$3:$BQ$35,43,FALSE),"")</f>
        <v>no</v>
      </c>
      <c r="AN388" s="59" t="str">
        <f>IFERROR(VLOOKUP(Tabelle32[[#This Row],[Device ID]],BOM!$B$3:$BQ$35,44,FALSE),"")</f>
        <v>yes</v>
      </c>
      <c r="AO388" s="59" t="str">
        <f>IFERROR(VLOOKUP(Tabelle32[[#This Row],[Device ID]],BOM!$B$3:$BQ$35,45,FALSE),"")</f>
        <v>no</v>
      </c>
      <c r="AP388" s="59" t="str">
        <f>IFERROR(CONCATENATE(Tabelle32[[#This Row],[Family
GFX-Unit]]," | ",Tabelle32[[#This Row],[Label 1
GFX-Unit]]," | ",Tabelle32[[#This Row],[Attached Device if Gateway]]),"")</f>
        <v>MEDEM Edits Out | Out Edit09-04 | EditPC-09 OUT</v>
      </c>
      <c r="AQ388" s="59"/>
      <c r="AR388" s="96"/>
      <c r="AS388" s="96"/>
      <c r="AT388" s="96"/>
      <c r="AU388" s="96"/>
      <c r="AV388" s="96"/>
      <c r="AW388" s="96"/>
      <c r="AX388" s="96" t="s">
        <v>199</v>
      </c>
      <c r="AY388" s="96" t="s">
        <v>199</v>
      </c>
      <c r="AZ388" s="96" t="s">
        <v>97</v>
      </c>
      <c r="BA388" s="96"/>
      <c r="BB388" s="96"/>
      <c r="BC388" s="96"/>
      <c r="BD388" s="96"/>
      <c r="BE388" s="96"/>
      <c r="BF388" s="96"/>
      <c r="BG388" s="96"/>
      <c r="BH388" s="73" t="s">
        <v>199</v>
      </c>
      <c r="BI388" s="30" t="str">
        <f>IF(COUNTA(Tabelle32[[#This Row],[Type:Vid_1080i50]:[Type:Anc_Prot]])&gt;0,"x","")</f>
        <v>x</v>
      </c>
      <c r="BJ38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88" s="59"/>
      <c r="BL388" s="59"/>
      <c r="BM388" s="63"/>
      <c r="BN388" s="63"/>
      <c r="BO388" s="97" t="s">
        <v>732</v>
      </c>
      <c r="BP388" s="97" t="s">
        <v>810</v>
      </c>
      <c r="BQ388" s="75">
        <f>LEN(Tabelle32[[#This Row],[Label 1
GFX-Unit]])</f>
        <v>13</v>
      </c>
      <c r="BR388" s="63"/>
      <c r="BS388" s="63"/>
      <c r="BT388" s="59"/>
      <c r="BU388" s="59"/>
      <c r="BV388" s="59" t="s">
        <v>226</v>
      </c>
      <c r="BW388" s="59" t="s">
        <v>227</v>
      </c>
      <c r="BX388" s="59" t="s">
        <v>811</v>
      </c>
      <c r="BY388" s="59">
        <v>19</v>
      </c>
    </row>
    <row r="389" spans="1:77" x14ac:dyDescent="0.2">
      <c r="A389" s="58" t="str">
        <f>CONCATENATE(Tabelle32[[#This Row],[Device ID]],".",Tabelle32[[#This Row],[Streamcounter]])</f>
        <v>396.19205</v>
      </c>
      <c r="B38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VGW-103_SDI19_AUDsend_0005</v>
      </c>
      <c r="C389" s="60"/>
      <c r="D389" s="61"/>
      <c r="E389" s="62"/>
      <c r="F389" s="59" t="str">
        <f>IFERROR(VLOOKUP(Tabelle32[[#This Row],[Device ID]],BOM!$B$3:$BQ$35,16,FALSE),"")</f>
        <v>EditPC-09 OUT</v>
      </c>
      <c r="G389" s="63">
        <f>VLOOKUP(Tabelle32[[#This Row],[SDI Interface]],BOM!$A$4:$B$35,2,FALSE)</f>
        <v>396</v>
      </c>
      <c r="H389" s="59" t="str">
        <f>BOM!$C$4</f>
        <v>VGW-103</v>
      </c>
      <c r="I389" s="59" t="str">
        <f>IFERROR(VLOOKUP(Tabelle32[[#This Row],[Device ID]],BOM!$B$3:$BQ$35,12,FALSE),"")</f>
        <v>Edit Suite</v>
      </c>
      <c r="J389" s="59" t="str">
        <f>IFERROR(VLOOKUP(Tabelle32[[#This Row],[Device ID]],BOM!$B$3:$BQ$35,13,FALSE),"")</f>
        <v>TC.U1.223 | MDC</v>
      </c>
      <c r="K389" s="59" t="str">
        <f>IFERROR(VLOOKUP(Tabelle32[[#This Row],[Device ID]],BOM!$B$3:$BQ$35,14,FALSE),"")</f>
        <v>Imagine Comunications</v>
      </c>
      <c r="L389" s="59" t="str">
        <f>IFERROR(VLOOKUP(Tabelle32[[#This Row],[Device ID]],BOM!$B$3:$BQ$35,16,FALSE),"")</f>
        <v>EditPC-09 OUT</v>
      </c>
      <c r="M389" s="63" t="str">
        <f>IFERROR(VLOOKUP(Tabelle32[[#This Row],[Device ID]],BOM!$B$3:$BQ$35,17,FALSE),"")</f>
        <v>EDIT SUITE 09</v>
      </c>
      <c r="N389" s="59" t="str">
        <f>IFERROR(VLOOKUP(Tabelle32[[#This Row],[Device ID]],BOM!$B$3:$BQ$35,18,FALSE),"")</f>
        <v>TC.03.030 | Edit 09</v>
      </c>
      <c r="O389" s="64"/>
      <c r="P389" s="64">
        <f>IFERROR(VLOOKUP(Tabelle32[[#This Row],[Device ID]],BOM!$B$3:$BO$50,20,FALSE),"")</f>
        <v>0</v>
      </c>
      <c r="Q389" s="64">
        <f>IFERROR(VLOOKUP(Tabelle32[[#This Row],[Device ID]],BOM!$B$3:$BO$50,21,FALSE),"")</f>
        <v>1</v>
      </c>
      <c r="R389" s="64">
        <f>IFERROR(VLOOKUP(Tabelle32[[#This Row],[Device ID]],BOM!$B$3:$BO$50,22,FALSE),"")</f>
        <v>0</v>
      </c>
      <c r="S389" s="64"/>
      <c r="T389" s="64"/>
      <c r="U389" s="59" t="str">
        <f>IFERROR(VLOOKUP(Tabelle32[[#This Row],[Device ID]],BOM!$B$3:$BQ$35,25,FALSE),"")</f>
        <v>Luis/Ivo</v>
      </c>
      <c r="V389" s="59" t="str">
        <f>IFERROR(VLOOKUP(Tabelle32[[#This Row],[Device ID]],BOM!$B$3:$BQ$35,26,FALSE),"")</f>
        <v>tpco-megw-vgw103.rta.st-net.media.int</v>
      </c>
      <c r="W389" s="59" t="str">
        <f>IFERROR(VLOOKUP(Tabelle32[[#This Row],[Device ID]],BOM!$B$3:$BQ$35,27,FALSE),"")</f>
        <v>10.120.236.50</v>
      </c>
      <c r="X389" s="59" t="str">
        <f>IFERROR(VLOOKUP(Tabelle32[[#This Row],[Device ID]],BOM!$B$3:$BQ$35,28,FALSE),"")</f>
        <v>AVCoreA</v>
      </c>
      <c r="Y389" s="59" t="str">
        <f>IFERROR(VLOOKUP(Tabelle32[[#This Row],[Device ID]],BOM!$B$3:$BQ$35,29,FALSE),"")</f>
        <v>5_36_1</v>
      </c>
      <c r="Z389" s="59" t="str">
        <f>IFERROR(VLOOKUP(Tabelle32[[#This Row],[Device ID]],BOM!$B$3:$BQ$35,30,FALSE),"")</f>
        <v>tpco-megw-vgw103.rtb.st-net.media.int</v>
      </c>
      <c r="AA389" s="59" t="str">
        <f>IFERROR(VLOOKUP(Tabelle32[[#This Row],[Device ID]],BOM!$B$3:$BQ$35,31,FALSE),"")</f>
        <v>10.120.236.54</v>
      </c>
      <c r="AB389" s="59" t="str">
        <f>IFERROR(VLOOKUP(Tabelle32[[#This Row],[Device ID]],BOM!$B$3:$BQ$35,32,FALSE),"")</f>
        <v>AVCoreB</v>
      </c>
      <c r="AC389" s="59" t="str">
        <f>IFERROR(VLOOKUP(Tabelle32[[#This Row],[Device ID]],BOM!$B$3:$BQ$35,33,FALSE),"")</f>
        <v>5_36_1</v>
      </c>
      <c r="AD389" s="59" t="str">
        <f>IFERROR(VLOOKUP(Tabelle32[[#This Row],[Device ID]],BOM!$B$3:$BQ$35,34,FALSE),"")</f>
        <v>tpco-megw-vgw103.st-net.media.int</v>
      </c>
      <c r="AE389" s="59" t="str">
        <f>IFERROR(VLOOKUP(Tabelle32[[#This Row],[Device ID]],BOM!$B$3:$BQ$35,35,FALSE),"")</f>
        <v>10.120.67.141</v>
      </c>
      <c r="AF389" s="59">
        <f>IFERROR(VLOOKUP(Tabelle32[[#This Row],[Device ID]],BOM!$B$3:$BQ$35,36,FALSE),"")</f>
        <v>0</v>
      </c>
      <c r="AG389" s="59">
        <f>IFERROR(VLOOKUP(Tabelle32[[#This Row],[Device ID]],BOM!$B$3:$BQ$35,37,FALSE),"")</f>
        <v>0</v>
      </c>
      <c r="AH389" s="59"/>
      <c r="AI389" s="59"/>
      <c r="AJ389" s="59"/>
      <c r="AK389" s="59"/>
      <c r="AL389" s="59" t="str">
        <f>IFERROR(VLOOKUP(Tabelle32[[#This Row],[Device ID]],BOM!$B$3:$BQ$35,42,FALSE),"")</f>
        <v>Imagine Communications SNP</v>
      </c>
      <c r="AM389" s="59" t="str">
        <f>IFERROR(VLOOKUP(Tabelle32[[#This Row],[Device ID]],BOM!$B$3:$BQ$35,43,FALSE),"")</f>
        <v>no</v>
      </c>
      <c r="AN389" s="59" t="str">
        <f>IFERROR(VLOOKUP(Tabelle32[[#This Row],[Device ID]],BOM!$B$3:$BQ$35,44,FALSE),"")</f>
        <v>yes</v>
      </c>
      <c r="AO389" s="59" t="str">
        <f>IFERROR(VLOOKUP(Tabelle32[[#This Row],[Device ID]],BOM!$B$3:$BQ$35,45,FALSE),"")</f>
        <v>no</v>
      </c>
      <c r="AP389" s="59" t="str">
        <f>IFERROR(CONCATENATE(Tabelle32[[#This Row],[Family
GFX-Unit]]," | ",Tabelle32[[#This Row],[Label 1
GFX-Unit]]," | ",Tabelle32[[#This Row],[Attached Device if Gateway]]),"")</f>
        <v>MEDEM Edits Out | Out Edit09-05 | EditPC-09 OUT</v>
      </c>
      <c r="AQ389" s="59"/>
      <c r="AR389" s="96"/>
      <c r="AS389" s="96"/>
      <c r="AT389" s="96"/>
      <c r="AU389" s="96"/>
      <c r="AV389" s="96"/>
      <c r="AW389" s="96" t="s">
        <v>97</v>
      </c>
      <c r="AX389" s="96" t="s">
        <v>199</v>
      </c>
      <c r="AY389" s="96" t="s">
        <v>199</v>
      </c>
      <c r="AZ389" s="96"/>
      <c r="BA389" s="96"/>
      <c r="BB389" s="96"/>
      <c r="BC389" s="96"/>
      <c r="BD389" s="96"/>
      <c r="BE389" s="96"/>
      <c r="BF389" s="96"/>
      <c r="BG389" s="96"/>
      <c r="BH389" s="73" t="s">
        <v>199</v>
      </c>
      <c r="BI389" s="30" t="str">
        <f>IF(COUNTA(Tabelle32[[#This Row],[Type:Vid_1080i50]:[Type:Anc_Prot]])&gt;0,"x","")</f>
        <v>x</v>
      </c>
      <c r="BJ38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89" s="59"/>
      <c r="BL389" s="59"/>
      <c r="BM389" s="63"/>
      <c r="BN389" s="63"/>
      <c r="BO389" s="97" t="s">
        <v>732</v>
      </c>
      <c r="BP389" s="97" t="s">
        <v>812</v>
      </c>
      <c r="BQ389" s="75">
        <f>LEN(Tabelle32[[#This Row],[Label 1
GFX-Unit]])</f>
        <v>13</v>
      </c>
      <c r="BR389" s="63"/>
      <c r="BS389" s="63"/>
      <c r="BT389" s="59"/>
      <c r="BU389" s="59"/>
      <c r="BV389" s="59" t="s">
        <v>230</v>
      </c>
      <c r="BW389" s="59" t="s">
        <v>231</v>
      </c>
      <c r="BX389" s="59" t="s">
        <v>813</v>
      </c>
      <c r="BY389" s="59">
        <v>19</v>
      </c>
    </row>
    <row r="390" spans="1:77" x14ac:dyDescent="0.2">
      <c r="A390" s="58" t="str">
        <f>CONCATENATE(Tabelle32[[#This Row],[Device ID]],".",Tabelle32[[#This Row],[Streamcounter]])</f>
        <v>396.19206</v>
      </c>
      <c r="B39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VGW-103_SDI19_AUDsend_0006</v>
      </c>
      <c r="C390" s="60"/>
      <c r="D390" s="61"/>
      <c r="E390" s="62"/>
      <c r="F390" s="59" t="str">
        <f>IFERROR(VLOOKUP(Tabelle32[[#This Row],[Device ID]],BOM!$B$3:$BQ$35,16,FALSE),"")</f>
        <v>EditPC-09 OUT</v>
      </c>
      <c r="G390" s="63">
        <f>VLOOKUP(Tabelle32[[#This Row],[SDI Interface]],BOM!$A$4:$B$35,2,FALSE)</f>
        <v>396</v>
      </c>
      <c r="H390" s="59" t="str">
        <f>BOM!$C$4</f>
        <v>VGW-103</v>
      </c>
      <c r="I390" s="59" t="str">
        <f>IFERROR(VLOOKUP(Tabelle32[[#This Row],[Device ID]],BOM!$B$3:$BQ$35,12,FALSE),"")</f>
        <v>Edit Suite</v>
      </c>
      <c r="J390" s="59" t="str">
        <f>IFERROR(VLOOKUP(Tabelle32[[#This Row],[Device ID]],BOM!$B$3:$BQ$35,13,FALSE),"")</f>
        <v>TC.U1.223 | MDC</v>
      </c>
      <c r="K390" s="59" t="str">
        <f>IFERROR(VLOOKUP(Tabelle32[[#This Row],[Device ID]],BOM!$B$3:$BQ$35,14,FALSE),"")</f>
        <v>Imagine Comunications</v>
      </c>
      <c r="L390" s="59" t="str">
        <f>IFERROR(VLOOKUP(Tabelle32[[#This Row],[Device ID]],BOM!$B$3:$BQ$35,16,FALSE),"")</f>
        <v>EditPC-09 OUT</v>
      </c>
      <c r="M390" s="63" t="str">
        <f>IFERROR(VLOOKUP(Tabelle32[[#This Row],[Device ID]],BOM!$B$3:$BQ$35,17,FALSE),"")</f>
        <v>EDIT SUITE 09</v>
      </c>
      <c r="N390" s="59" t="str">
        <f>IFERROR(VLOOKUP(Tabelle32[[#This Row],[Device ID]],BOM!$B$3:$BQ$35,18,FALSE),"")</f>
        <v>TC.03.030 | Edit 09</v>
      </c>
      <c r="O390" s="64"/>
      <c r="P390" s="64">
        <f>IFERROR(VLOOKUP(Tabelle32[[#This Row],[Device ID]],BOM!$B$3:$BO$50,20,FALSE),"")</f>
        <v>0</v>
      </c>
      <c r="Q390" s="64">
        <f>IFERROR(VLOOKUP(Tabelle32[[#This Row],[Device ID]],BOM!$B$3:$BO$50,21,FALSE),"")</f>
        <v>1</v>
      </c>
      <c r="R390" s="64">
        <f>IFERROR(VLOOKUP(Tabelle32[[#This Row],[Device ID]],BOM!$B$3:$BO$50,22,FALSE),"")</f>
        <v>0</v>
      </c>
      <c r="S390" s="64"/>
      <c r="T390" s="64"/>
      <c r="U390" s="59" t="str">
        <f>IFERROR(VLOOKUP(Tabelle32[[#This Row],[Device ID]],BOM!$B$3:$BQ$35,25,FALSE),"")</f>
        <v>Luis/Ivo</v>
      </c>
      <c r="V390" s="59" t="str">
        <f>IFERROR(VLOOKUP(Tabelle32[[#This Row],[Device ID]],BOM!$B$3:$BQ$35,26,FALSE),"")</f>
        <v>tpco-megw-vgw103.rta.st-net.media.int</v>
      </c>
      <c r="W390" s="59" t="str">
        <f>IFERROR(VLOOKUP(Tabelle32[[#This Row],[Device ID]],BOM!$B$3:$BQ$35,27,FALSE),"")</f>
        <v>10.120.236.50</v>
      </c>
      <c r="X390" s="59" t="str">
        <f>IFERROR(VLOOKUP(Tabelle32[[#This Row],[Device ID]],BOM!$B$3:$BQ$35,28,FALSE),"")</f>
        <v>AVCoreA</v>
      </c>
      <c r="Y390" s="59" t="str">
        <f>IFERROR(VLOOKUP(Tabelle32[[#This Row],[Device ID]],BOM!$B$3:$BQ$35,29,FALSE),"")</f>
        <v>5_36_1</v>
      </c>
      <c r="Z390" s="59" t="str">
        <f>IFERROR(VLOOKUP(Tabelle32[[#This Row],[Device ID]],BOM!$B$3:$BQ$35,30,FALSE),"")</f>
        <v>tpco-megw-vgw103.rtb.st-net.media.int</v>
      </c>
      <c r="AA390" s="59" t="str">
        <f>IFERROR(VLOOKUP(Tabelle32[[#This Row],[Device ID]],BOM!$B$3:$BQ$35,31,FALSE),"")</f>
        <v>10.120.236.54</v>
      </c>
      <c r="AB390" s="59" t="str">
        <f>IFERROR(VLOOKUP(Tabelle32[[#This Row],[Device ID]],BOM!$B$3:$BQ$35,32,FALSE),"")</f>
        <v>AVCoreB</v>
      </c>
      <c r="AC390" s="59" t="str">
        <f>IFERROR(VLOOKUP(Tabelle32[[#This Row],[Device ID]],BOM!$B$3:$BQ$35,33,FALSE),"")</f>
        <v>5_36_1</v>
      </c>
      <c r="AD390" s="59" t="str">
        <f>IFERROR(VLOOKUP(Tabelle32[[#This Row],[Device ID]],BOM!$B$3:$BQ$35,34,FALSE),"")</f>
        <v>tpco-megw-vgw103.st-net.media.int</v>
      </c>
      <c r="AE390" s="59" t="str">
        <f>IFERROR(VLOOKUP(Tabelle32[[#This Row],[Device ID]],BOM!$B$3:$BQ$35,35,FALSE),"")</f>
        <v>10.120.67.141</v>
      </c>
      <c r="AF390" s="59">
        <f>IFERROR(VLOOKUP(Tabelle32[[#This Row],[Device ID]],BOM!$B$3:$BQ$35,36,FALSE),"")</f>
        <v>0</v>
      </c>
      <c r="AG390" s="59">
        <f>IFERROR(VLOOKUP(Tabelle32[[#This Row],[Device ID]],BOM!$B$3:$BQ$35,37,FALSE),"")</f>
        <v>0</v>
      </c>
      <c r="AH390" s="59"/>
      <c r="AI390" s="59"/>
      <c r="AJ390" s="59"/>
      <c r="AK390" s="59"/>
      <c r="AL390" s="59" t="str">
        <f>IFERROR(VLOOKUP(Tabelle32[[#This Row],[Device ID]],BOM!$B$3:$BQ$35,42,FALSE),"")</f>
        <v>Imagine Communications SNP</v>
      </c>
      <c r="AM390" s="59" t="str">
        <f>IFERROR(VLOOKUP(Tabelle32[[#This Row],[Device ID]],BOM!$B$3:$BQ$35,43,FALSE),"")</f>
        <v>no</v>
      </c>
      <c r="AN390" s="59" t="str">
        <f>IFERROR(VLOOKUP(Tabelle32[[#This Row],[Device ID]],BOM!$B$3:$BQ$35,44,FALSE),"")</f>
        <v>yes</v>
      </c>
      <c r="AO390" s="59" t="str">
        <f>IFERROR(VLOOKUP(Tabelle32[[#This Row],[Device ID]],BOM!$B$3:$BQ$35,45,FALSE),"")</f>
        <v>no</v>
      </c>
      <c r="AP390" s="59" t="str">
        <f>IFERROR(CONCATENATE(Tabelle32[[#This Row],[Family
GFX-Unit]]," | ",Tabelle32[[#This Row],[Label 1
GFX-Unit]]," | ",Tabelle32[[#This Row],[Attached Device if Gateway]]),"")</f>
        <v>MEDEM Edits Out | Out Edit09-06 | EditPC-09 OUT</v>
      </c>
      <c r="AQ390" s="59"/>
      <c r="AR390" s="96"/>
      <c r="AS390" s="96"/>
      <c r="AT390" s="96"/>
      <c r="AU390" s="96"/>
      <c r="AV390" s="96"/>
      <c r="AW390" s="96" t="s">
        <v>97</v>
      </c>
      <c r="AX390" s="96" t="s">
        <v>199</v>
      </c>
      <c r="AY390" s="96" t="s">
        <v>199</v>
      </c>
      <c r="AZ390" s="96"/>
      <c r="BA390" s="96"/>
      <c r="BB390" s="96"/>
      <c r="BC390" s="96"/>
      <c r="BD390" s="96"/>
      <c r="BE390" s="96"/>
      <c r="BF390" s="96"/>
      <c r="BG390" s="96"/>
      <c r="BH390" s="73" t="s">
        <v>199</v>
      </c>
      <c r="BI390" s="30" t="str">
        <f>IF(COUNTA(Tabelle32[[#This Row],[Type:Vid_1080i50]:[Type:Anc_Prot]])&gt;0,"x","")</f>
        <v>x</v>
      </c>
      <c r="BJ39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390" s="59"/>
      <c r="BL390" s="59"/>
      <c r="BM390" s="63"/>
      <c r="BN390" s="63"/>
      <c r="BO390" s="97" t="s">
        <v>732</v>
      </c>
      <c r="BP390" s="97" t="s">
        <v>814</v>
      </c>
      <c r="BQ390" s="75">
        <f>LEN(Tabelle32[[#This Row],[Label 1
GFX-Unit]])</f>
        <v>13</v>
      </c>
      <c r="BR390" s="63"/>
      <c r="BS390" s="63"/>
      <c r="BT390" s="59"/>
      <c r="BU390" s="59"/>
      <c r="BV390" s="59" t="s">
        <v>234</v>
      </c>
      <c r="BW390" s="59" t="s">
        <v>235</v>
      </c>
      <c r="BX390" s="59" t="s">
        <v>815</v>
      </c>
      <c r="BY390" s="59">
        <v>19</v>
      </c>
    </row>
    <row r="391" spans="1:77" x14ac:dyDescent="0.2">
      <c r="A391" s="58" t="str">
        <f>CONCATENATE(Tabelle32[[#This Row],[Device ID]],".",Tabelle32[[#This Row],[Streamcounter]])</f>
        <v>396.19207</v>
      </c>
      <c r="B39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VGW-103_SDI19_AUDsend_0007</v>
      </c>
      <c r="C391" s="60"/>
      <c r="D391" s="61"/>
      <c r="E391" s="62"/>
      <c r="F391" s="59" t="str">
        <f>IFERROR(VLOOKUP(Tabelle32[[#This Row],[Device ID]],BOM!$B$3:$BQ$35,16,FALSE),"")</f>
        <v>EditPC-09 OUT</v>
      </c>
      <c r="G391" s="63">
        <f>VLOOKUP(Tabelle32[[#This Row],[SDI Interface]],BOM!$A$4:$B$35,2,FALSE)</f>
        <v>396</v>
      </c>
      <c r="H391" s="59" t="str">
        <f>BOM!$C$4</f>
        <v>VGW-103</v>
      </c>
      <c r="I391" s="59" t="str">
        <f>IFERROR(VLOOKUP(Tabelle32[[#This Row],[Device ID]],BOM!$B$3:$BQ$35,12,FALSE),"")</f>
        <v>Edit Suite</v>
      </c>
      <c r="J391" s="59" t="str">
        <f>IFERROR(VLOOKUP(Tabelle32[[#This Row],[Device ID]],BOM!$B$3:$BQ$35,13,FALSE),"")</f>
        <v>TC.U1.223 | MDC</v>
      </c>
      <c r="K391" s="59" t="str">
        <f>IFERROR(VLOOKUP(Tabelle32[[#This Row],[Device ID]],BOM!$B$3:$BQ$35,14,FALSE),"")</f>
        <v>Imagine Comunications</v>
      </c>
      <c r="L391" s="59" t="str">
        <f>IFERROR(VLOOKUP(Tabelle32[[#This Row],[Device ID]],BOM!$B$3:$BQ$35,16,FALSE),"")</f>
        <v>EditPC-09 OUT</v>
      </c>
      <c r="M391" s="63" t="str">
        <f>IFERROR(VLOOKUP(Tabelle32[[#This Row],[Device ID]],BOM!$B$3:$BQ$35,17,FALSE),"")</f>
        <v>EDIT SUITE 09</v>
      </c>
      <c r="N391" s="59" t="str">
        <f>IFERROR(VLOOKUP(Tabelle32[[#This Row],[Device ID]],BOM!$B$3:$BQ$35,18,FALSE),"")</f>
        <v>TC.03.030 | Edit 09</v>
      </c>
      <c r="O391" s="64"/>
      <c r="P391" s="64">
        <f>IFERROR(VLOOKUP(Tabelle32[[#This Row],[Device ID]],BOM!$B$3:$BO$50,20,FALSE),"")</f>
        <v>0</v>
      </c>
      <c r="Q391" s="64">
        <f>IFERROR(VLOOKUP(Tabelle32[[#This Row],[Device ID]],BOM!$B$3:$BO$50,21,FALSE),"")</f>
        <v>1</v>
      </c>
      <c r="R391" s="64">
        <f>IFERROR(VLOOKUP(Tabelle32[[#This Row],[Device ID]],BOM!$B$3:$BO$50,22,FALSE),"")</f>
        <v>0</v>
      </c>
      <c r="S391" s="64"/>
      <c r="T391" s="64"/>
      <c r="U391" s="59" t="str">
        <f>IFERROR(VLOOKUP(Tabelle32[[#This Row],[Device ID]],BOM!$B$3:$BQ$35,25,FALSE),"")</f>
        <v>Luis/Ivo</v>
      </c>
      <c r="V391" s="59" t="str">
        <f>IFERROR(VLOOKUP(Tabelle32[[#This Row],[Device ID]],BOM!$B$3:$BQ$35,26,FALSE),"")</f>
        <v>tpco-megw-vgw103.rta.st-net.media.int</v>
      </c>
      <c r="W391" s="59" t="str">
        <f>IFERROR(VLOOKUP(Tabelle32[[#This Row],[Device ID]],BOM!$B$3:$BQ$35,27,FALSE),"")</f>
        <v>10.120.236.50</v>
      </c>
      <c r="X391" s="59" t="str">
        <f>IFERROR(VLOOKUP(Tabelle32[[#This Row],[Device ID]],BOM!$B$3:$BQ$35,28,FALSE),"")</f>
        <v>AVCoreA</v>
      </c>
      <c r="Y391" s="59" t="str">
        <f>IFERROR(VLOOKUP(Tabelle32[[#This Row],[Device ID]],BOM!$B$3:$BQ$35,29,FALSE),"")</f>
        <v>5_36_1</v>
      </c>
      <c r="Z391" s="59" t="str">
        <f>IFERROR(VLOOKUP(Tabelle32[[#This Row],[Device ID]],BOM!$B$3:$BQ$35,30,FALSE),"")</f>
        <v>tpco-megw-vgw103.rtb.st-net.media.int</v>
      </c>
      <c r="AA391" s="59" t="str">
        <f>IFERROR(VLOOKUP(Tabelle32[[#This Row],[Device ID]],BOM!$B$3:$BQ$35,31,FALSE),"")</f>
        <v>10.120.236.54</v>
      </c>
      <c r="AB391" s="59" t="str">
        <f>IFERROR(VLOOKUP(Tabelle32[[#This Row],[Device ID]],BOM!$B$3:$BQ$35,32,FALSE),"")</f>
        <v>AVCoreB</v>
      </c>
      <c r="AC391" s="59" t="str">
        <f>IFERROR(VLOOKUP(Tabelle32[[#This Row],[Device ID]],BOM!$B$3:$BQ$35,33,FALSE),"")</f>
        <v>5_36_1</v>
      </c>
      <c r="AD391" s="59" t="str">
        <f>IFERROR(VLOOKUP(Tabelle32[[#This Row],[Device ID]],BOM!$B$3:$BQ$35,34,FALSE),"")</f>
        <v>tpco-megw-vgw103.st-net.media.int</v>
      </c>
      <c r="AE391" s="59" t="str">
        <f>IFERROR(VLOOKUP(Tabelle32[[#This Row],[Device ID]],BOM!$B$3:$BQ$35,35,FALSE),"")</f>
        <v>10.120.67.141</v>
      </c>
      <c r="AF391" s="59">
        <f>IFERROR(VLOOKUP(Tabelle32[[#This Row],[Device ID]],BOM!$B$3:$BQ$35,36,FALSE),"")</f>
        <v>0</v>
      </c>
      <c r="AG391" s="59">
        <f>IFERROR(VLOOKUP(Tabelle32[[#This Row],[Device ID]],BOM!$B$3:$BQ$35,37,FALSE),"")</f>
        <v>0</v>
      </c>
      <c r="AH391" s="59"/>
      <c r="AI391" s="59"/>
      <c r="AJ391" s="59"/>
      <c r="AK391" s="59"/>
      <c r="AL391" s="59" t="str">
        <f>IFERROR(VLOOKUP(Tabelle32[[#This Row],[Device ID]],BOM!$B$3:$BQ$35,42,FALSE),"")</f>
        <v>Imagine Communications SNP</v>
      </c>
      <c r="AM391" s="59" t="str">
        <f>IFERROR(VLOOKUP(Tabelle32[[#This Row],[Device ID]],BOM!$B$3:$BQ$35,43,FALSE),"")</f>
        <v>no</v>
      </c>
      <c r="AN391" s="59" t="str">
        <f>IFERROR(VLOOKUP(Tabelle32[[#This Row],[Device ID]],BOM!$B$3:$BQ$35,44,FALSE),"")</f>
        <v>yes</v>
      </c>
      <c r="AO391" s="59" t="str">
        <f>IFERROR(VLOOKUP(Tabelle32[[#This Row],[Device ID]],BOM!$B$3:$BQ$35,45,FALSE),"")</f>
        <v>no</v>
      </c>
      <c r="AP391" s="59" t="str">
        <f>IFERROR(CONCATENATE(Tabelle32[[#This Row],[Family
GFX-Unit]]," | ",Tabelle32[[#This Row],[Label 1
GFX-Unit]]," | ",Tabelle32[[#This Row],[Attached Device if Gateway]]),"")</f>
        <v>MEDEM Edits Out | Out Edit09-07 | EditPC-09 OUT</v>
      </c>
      <c r="AQ391" s="59"/>
      <c r="AR391" s="96"/>
      <c r="AS391" s="96"/>
      <c r="AT391" s="96"/>
      <c r="AU391" s="96"/>
      <c r="AV391" s="96"/>
      <c r="AW391" s="96"/>
      <c r="AX391" s="96" t="s">
        <v>199</v>
      </c>
      <c r="AY391" s="96" t="s">
        <v>199</v>
      </c>
      <c r="AZ391" s="96" t="s">
        <v>97</v>
      </c>
      <c r="BA391" s="96"/>
      <c r="BB391" s="96"/>
      <c r="BC391" s="96"/>
      <c r="BD391" s="96"/>
      <c r="BE391" s="96"/>
      <c r="BF391" s="96"/>
      <c r="BG391" s="96"/>
      <c r="BH391" s="73" t="s">
        <v>199</v>
      </c>
      <c r="BI391" s="30" t="str">
        <f>IF(COUNTA(Tabelle32[[#This Row],[Type:Vid_1080i50]:[Type:Anc_Prot]])&gt;0,"x","")</f>
        <v>x</v>
      </c>
      <c r="BJ39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391" s="59"/>
      <c r="BL391" s="59"/>
      <c r="BM391" s="63"/>
      <c r="BN391" s="63"/>
      <c r="BO391" s="97" t="s">
        <v>732</v>
      </c>
      <c r="BP391" s="97" t="s">
        <v>816</v>
      </c>
      <c r="BQ391" s="75">
        <f>LEN(Tabelle32[[#This Row],[Label 1
GFX-Unit]])</f>
        <v>13</v>
      </c>
      <c r="BR391" s="63"/>
      <c r="BS391" s="63"/>
      <c r="BT391" s="59"/>
      <c r="BU391" s="59"/>
      <c r="BV391" s="59" t="s">
        <v>238</v>
      </c>
      <c r="BW391" s="59" t="s">
        <v>239</v>
      </c>
      <c r="BX391" s="59" t="s">
        <v>817</v>
      </c>
      <c r="BY391" s="59">
        <v>19</v>
      </c>
    </row>
    <row r="392" spans="1:77" x14ac:dyDescent="0.2">
      <c r="A392" s="58" t="str">
        <f>CONCATENATE(Tabelle32[[#This Row],[Device ID]],".",Tabelle32[[#This Row],[Streamcounter]])</f>
        <v>396.19208</v>
      </c>
      <c r="B39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VGW-103_SDI19_AUDsend_0008</v>
      </c>
      <c r="C392" s="60"/>
      <c r="D392" s="61"/>
      <c r="E392" s="62"/>
      <c r="F392" s="59" t="str">
        <f>IFERROR(VLOOKUP(Tabelle32[[#This Row],[Device ID]],BOM!$B$3:$BQ$35,16,FALSE),"")</f>
        <v>EditPC-09 OUT</v>
      </c>
      <c r="G392" s="63">
        <f>VLOOKUP(Tabelle32[[#This Row],[SDI Interface]],BOM!$A$4:$B$35,2,FALSE)</f>
        <v>396</v>
      </c>
      <c r="H392" s="59" t="str">
        <f>BOM!$C$4</f>
        <v>VGW-103</v>
      </c>
      <c r="I392" s="59" t="str">
        <f>IFERROR(VLOOKUP(Tabelle32[[#This Row],[Device ID]],BOM!$B$3:$BQ$35,12,FALSE),"")</f>
        <v>Edit Suite</v>
      </c>
      <c r="J392" s="59" t="str">
        <f>IFERROR(VLOOKUP(Tabelle32[[#This Row],[Device ID]],BOM!$B$3:$BQ$35,13,FALSE),"")</f>
        <v>TC.U1.223 | MDC</v>
      </c>
      <c r="K392" s="59" t="str">
        <f>IFERROR(VLOOKUP(Tabelle32[[#This Row],[Device ID]],BOM!$B$3:$BQ$35,14,FALSE),"")</f>
        <v>Imagine Comunications</v>
      </c>
      <c r="L392" s="59" t="str">
        <f>IFERROR(VLOOKUP(Tabelle32[[#This Row],[Device ID]],BOM!$B$3:$BQ$35,16,FALSE),"")</f>
        <v>EditPC-09 OUT</v>
      </c>
      <c r="M392" s="63" t="str">
        <f>IFERROR(VLOOKUP(Tabelle32[[#This Row],[Device ID]],BOM!$B$3:$BQ$35,17,FALSE),"")</f>
        <v>EDIT SUITE 09</v>
      </c>
      <c r="N392" s="59" t="str">
        <f>IFERROR(VLOOKUP(Tabelle32[[#This Row],[Device ID]],BOM!$B$3:$BQ$35,18,FALSE),"")</f>
        <v>TC.03.030 | Edit 09</v>
      </c>
      <c r="O392" s="64"/>
      <c r="P392" s="64">
        <f>IFERROR(VLOOKUP(Tabelle32[[#This Row],[Device ID]],BOM!$B$3:$BO$50,20,FALSE),"")</f>
        <v>0</v>
      </c>
      <c r="Q392" s="64">
        <f>IFERROR(VLOOKUP(Tabelle32[[#This Row],[Device ID]],BOM!$B$3:$BO$50,21,FALSE),"")</f>
        <v>1</v>
      </c>
      <c r="R392" s="64">
        <f>IFERROR(VLOOKUP(Tabelle32[[#This Row],[Device ID]],BOM!$B$3:$BO$50,22,FALSE),"")</f>
        <v>0</v>
      </c>
      <c r="S392" s="64"/>
      <c r="T392" s="64"/>
      <c r="U392" s="59" t="str">
        <f>IFERROR(VLOOKUP(Tabelle32[[#This Row],[Device ID]],BOM!$B$3:$BQ$35,25,FALSE),"")</f>
        <v>Luis/Ivo</v>
      </c>
      <c r="V392" s="59" t="str">
        <f>IFERROR(VLOOKUP(Tabelle32[[#This Row],[Device ID]],BOM!$B$3:$BQ$35,26,FALSE),"")</f>
        <v>tpco-megw-vgw103.rta.st-net.media.int</v>
      </c>
      <c r="W392" s="59" t="str">
        <f>IFERROR(VLOOKUP(Tabelle32[[#This Row],[Device ID]],BOM!$B$3:$BQ$35,27,FALSE),"")</f>
        <v>10.120.236.50</v>
      </c>
      <c r="X392" s="59" t="str">
        <f>IFERROR(VLOOKUP(Tabelle32[[#This Row],[Device ID]],BOM!$B$3:$BQ$35,28,FALSE),"")</f>
        <v>AVCoreA</v>
      </c>
      <c r="Y392" s="59" t="str">
        <f>IFERROR(VLOOKUP(Tabelle32[[#This Row],[Device ID]],BOM!$B$3:$BQ$35,29,FALSE),"")</f>
        <v>5_36_1</v>
      </c>
      <c r="Z392" s="59" t="str">
        <f>IFERROR(VLOOKUP(Tabelle32[[#This Row],[Device ID]],BOM!$B$3:$BQ$35,30,FALSE),"")</f>
        <v>tpco-megw-vgw103.rtb.st-net.media.int</v>
      </c>
      <c r="AA392" s="59" t="str">
        <f>IFERROR(VLOOKUP(Tabelle32[[#This Row],[Device ID]],BOM!$B$3:$BQ$35,31,FALSE),"")</f>
        <v>10.120.236.54</v>
      </c>
      <c r="AB392" s="59" t="str">
        <f>IFERROR(VLOOKUP(Tabelle32[[#This Row],[Device ID]],BOM!$B$3:$BQ$35,32,FALSE),"")</f>
        <v>AVCoreB</v>
      </c>
      <c r="AC392" s="59" t="str">
        <f>IFERROR(VLOOKUP(Tabelle32[[#This Row],[Device ID]],BOM!$B$3:$BQ$35,33,FALSE),"")</f>
        <v>5_36_1</v>
      </c>
      <c r="AD392" s="59" t="str">
        <f>IFERROR(VLOOKUP(Tabelle32[[#This Row],[Device ID]],BOM!$B$3:$BQ$35,34,FALSE),"")</f>
        <v>tpco-megw-vgw103.st-net.media.int</v>
      </c>
      <c r="AE392" s="59" t="str">
        <f>IFERROR(VLOOKUP(Tabelle32[[#This Row],[Device ID]],BOM!$B$3:$BQ$35,35,FALSE),"")</f>
        <v>10.120.67.141</v>
      </c>
      <c r="AF392" s="59">
        <f>IFERROR(VLOOKUP(Tabelle32[[#This Row],[Device ID]],BOM!$B$3:$BQ$35,36,FALSE),"")</f>
        <v>0</v>
      </c>
      <c r="AG392" s="59">
        <f>IFERROR(VLOOKUP(Tabelle32[[#This Row],[Device ID]],BOM!$B$3:$BQ$35,37,FALSE),"")</f>
        <v>0</v>
      </c>
      <c r="AH392" s="59"/>
      <c r="AI392" s="59"/>
      <c r="AJ392" s="59"/>
      <c r="AK392" s="59"/>
      <c r="AL392" s="59" t="str">
        <f>IFERROR(VLOOKUP(Tabelle32[[#This Row],[Device ID]],BOM!$B$3:$BQ$35,42,FALSE),"")</f>
        <v>Imagine Communications SNP</v>
      </c>
      <c r="AM392" s="59" t="str">
        <f>IFERROR(VLOOKUP(Tabelle32[[#This Row],[Device ID]],BOM!$B$3:$BQ$35,43,FALSE),"")</f>
        <v>no</v>
      </c>
      <c r="AN392" s="59" t="str">
        <f>IFERROR(VLOOKUP(Tabelle32[[#This Row],[Device ID]],BOM!$B$3:$BQ$35,44,FALSE),"")</f>
        <v>yes</v>
      </c>
      <c r="AO392" s="59" t="str">
        <f>IFERROR(VLOOKUP(Tabelle32[[#This Row],[Device ID]],BOM!$B$3:$BQ$35,45,FALSE),"")</f>
        <v>no</v>
      </c>
      <c r="AP392" s="59" t="str">
        <f>IFERROR(CONCATENATE(Tabelle32[[#This Row],[Family
GFX-Unit]]," | ",Tabelle32[[#This Row],[Label 1
GFX-Unit]]," | ",Tabelle32[[#This Row],[Attached Device if Gateway]]),"")</f>
        <v>MEDEM Edits Out | Out Edit09-08 | EditPC-09 OUT</v>
      </c>
      <c r="AQ392" s="59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 t="s">
        <v>97</v>
      </c>
      <c r="BD392" s="96"/>
      <c r="BE392" s="96"/>
      <c r="BF392" s="96"/>
      <c r="BG392" s="96"/>
      <c r="BH392" s="73" t="s">
        <v>199</v>
      </c>
      <c r="BI392" s="30" t="str">
        <f>IF(COUNTA(Tabelle32[[#This Row],[Type:Vid_1080i50]:[Type:Anc_Prot]])&gt;0,"x","")</f>
        <v>x</v>
      </c>
      <c r="BJ39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392" s="59"/>
      <c r="BL392" s="59"/>
      <c r="BM392" s="63"/>
      <c r="BN392" s="63"/>
      <c r="BO392" s="97" t="s">
        <v>732</v>
      </c>
      <c r="BP392" s="97" t="s">
        <v>818</v>
      </c>
      <c r="BQ392" s="75">
        <f>LEN(Tabelle32[[#This Row],[Label 1
GFX-Unit]])</f>
        <v>13</v>
      </c>
      <c r="BR392" s="63"/>
      <c r="BS392" s="63"/>
      <c r="BT392" s="59"/>
      <c r="BU392" s="59"/>
      <c r="BV392" s="59" t="s">
        <v>242</v>
      </c>
      <c r="BW392" s="59" t="s">
        <v>243</v>
      </c>
      <c r="BX392" s="59" t="s">
        <v>819</v>
      </c>
      <c r="BY392" s="59">
        <v>19</v>
      </c>
    </row>
    <row r="393" spans="1:77" hidden="1" x14ac:dyDescent="0.2">
      <c r="A393" s="58" t="str">
        <f>CONCATENATE(Tabelle32[[#This Row],[Device ID]],".",Tabelle32[[#This Row],[Streamcounter]])</f>
        <v>396.19209</v>
      </c>
      <c r="B39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VGW-103_SDI19_AUDsend_0009</v>
      </c>
      <c r="C393" s="60"/>
      <c r="D393" s="61"/>
      <c r="E393" s="62"/>
      <c r="F393" s="59" t="str">
        <f>IFERROR(VLOOKUP(Tabelle32[[#This Row],[Device ID]],BOM!$B$3:$BQ$35,16,FALSE),"")</f>
        <v>EditPC-09 OUT</v>
      </c>
      <c r="G393" s="63">
        <f>VLOOKUP(Tabelle32[[#This Row],[SDI Interface]],BOM!$A$4:$B$35,2,FALSE)</f>
        <v>396</v>
      </c>
      <c r="H393" s="59" t="str">
        <f>BOM!$C$4</f>
        <v>VGW-103</v>
      </c>
      <c r="I393" s="59" t="str">
        <f>IFERROR(VLOOKUP(Tabelle32[[#This Row],[Device ID]],BOM!$B$3:$BQ$35,12,FALSE),"")</f>
        <v>Edit Suite</v>
      </c>
      <c r="J393" s="59" t="str">
        <f>IFERROR(VLOOKUP(Tabelle32[[#This Row],[Device ID]],BOM!$B$3:$BQ$35,13,FALSE),"")</f>
        <v>TC.U1.223 | MDC</v>
      </c>
      <c r="K393" s="59" t="str">
        <f>IFERROR(VLOOKUP(Tabelle32[[#This Row],[Device ID]],BOM!$B$3:$BQ$35,14,FALSE),"")</f>
        <v>Imagine Comunications</v>
      </c>
      <c r="L393" s="59" t="str">
        <f>IFERROR(VLOOKUP(Tabelle32[[#This Row],[Device ID]],BOM!$B$3:$BQ$35,16,FALSE),"")</f>
        <v>EditPC-09 OUT</v>
      </c>
      <c r="M393" s="63" t="str">
        <f>IFERROR(VLOOKUP(Tabelle32[[#This Row],[Device ID]],BOM!$B$3:$BQ$35,17,FALSE),"")</f>
        <v>EDIT SUITE 09</v>
      </c>
      <c r="N393" s="59" t="str">
        <f>IFERROR(VLOOKUP(Tabelle32[[#This Row],[Device ID]],BOM!$B$3:$BQ$35,18,FALSE),"")</f>
        <v>TC.03.030 | Edit 09</v>
      </c>
      <c r="O393" s="64"/>
      <c r="P393" s="64">
        <f>IFERROR(VLOOKUP(Tabelle32[[#This Row],[Device ID]],BOM!$B$3:$BO$50,20,FALSE),"")</f>
        <v>0</v>
      </c>
      <c r="Q393" s="64">
        <f>IFERROR(VLOOKUP(Tabelle32[[#This Row],[Device ID]],BOM!$B$3:$BO$50,21,FALSE),"")</f>
        <v>1</v>
      </c>
      <c r="R393" s="64">
        <f>IFERROR(VLOOKUP(Tabelle32[[#This Row],[Device ID]],BOM!$B$3:$BO$50,22,FALSE),"")</f>
        <v>0</v>
      </c>
      <c r="S393" s="64"/>
      <c r="T393" s="64"/>
      <c r="U393" s="59" t="str">
        <f>IFERROR(VLOOKUP(Tabelle32[[#This Row],[Device ID]],BOM!$B$3:$BQ$35,25,FALSE),"")</f>
        <v>Luis/Ivo</v>
      </c>
      <c r="V393" s="59" t="str">
        <f>IFERROR(VLOOKUP(Tabelle32[[#This Row],[Device ID]],BOM!$B$3:$BQ$35,26,FALSE),"")</f>
        <v>tpco-megw-vgw103.rta.st-net.media.int</v>
      </c>
      <c r="W393" s="59" t="str">
        <f>IFERROR(VLOOKUP(Tabelle32[[#This Row],[Device ID]],BOM!$B$3:$BQ$35,27,FALSE),"")</f>
        <v>10.120.236.50</v>
      </c>
      <c r="X393" s="59" t="str">
        <f>IFERROR(VLOOKUP(Tabelle32[[#This Row],[Device ID]],BOM!$B$3:$BQ$35,28,FALSE),"")</f>
        <v>AVCoreA</v>
      </c>
      <c r="Y393" s="59" t="str">
        <f>IFERROR(VLOOKUP(Tabelle32[[#This Row],[Device ID]],BOM!$B$3:$BQ$35,29,FALSE),"")</f>
        <v>5_36_1</v>
      </c>
      <c r="Z393" s="59" t="str">
        <f>IFERROR(VLOOKUP(Tabelle32[[#This Row],[Device ID]],BOM!$B$3:$BQ$35,30,FALSE),"")</f>
        <v>tpco-megw-vgw103.rtb.st-net.media.int</v>
      </c>
      <c r="AA393" s="59" t="str">
        <f>IFERROR(VLOOKUP(Tabelle32[[#This Row],[Device ID]],BOM!$B$3:$BQ$35,31,FALSE),"")</f>
        <v>10.120.236.54</v>
      </c>
      <c r="AB393" s="59" t="str">
        <f>IFERROR(VLOOKUP(Tabelle32[[#This Row],[Device ID]],BOM!$B$3:$BQ$35,32,FALSE),"")</f>
        <v>AVCoreB</v>
      </c>
      <c r="AC393" s="59" t="str">
        <f>IFERROR(VLOOKUP(Tabelle32[[#This Row],[Device ID]],BOM!$B$3:$BQ$35,33,FALSE),"")</f>
        <v>5_36_1</v>
      </c>
      <c r="AD393" s="59" t="str">
        <f>IFERROR(VLOOKUP(Tabelle32[[#This Row],[Device ID]],BOM!$B$3:$BQ$35,34,FALSE),"")</f>
        <v>tpco-megw-vgw103.st-net.media.int</v>
      </c>
      <c r="AE393" s="59" t="str">
        <f>IFERROR(VLOOKUP(Tabelle32[[#This Row],[Device ID]],BOM!$B$3:$BQ$35,35,FALSE),"")</f>
        <v>10.120.67.141</v>
      </c>
      <c r="AF393" s="59">
        <f>IFERROR(VLOOKUP(Tabelle32[[#This Row],[Device ID]],BOM!$B$3:$BQ$35,36,FALSE),"")</f>
        <v>0</v>
      </c>
      <c r="AG393" s="59">
        <f>IFERROR(VLOOKUP(Tabelle32[[#This Row],[Device ID]],BOM!$B$3:$BQ$35,37,FALSE),"")</f>
        <v>0</v>
      </c>
      <c r="AH393" s="59"/>
      <c r="AI393" s="59"/>
      <c r="AJ393" s="59"/>
      <c r="AK393" s="59"/>
      <c r="AL393" s="59" t="str">
        <f>IFERROR(VLOOKUP(Tabelle32[[#This Row],[Device ID]],BOM!$B$3:$BQ$35,42,FALSE),"")</f>
        <v>Imagine Communications SNP</v>
      </c>
      <c r="AM393" s="59" t="str">
        <f>IFERROR(VLOOKUP(Tabelle32[[#This Row],[Device ID]],BOM!$B$3:$BQ$35,43,FALSE),"")</f>
        <v>no</v>
      </c>
      <c r="AN393" s="59" t="str">
        <f>IFERROR(VLOOKUP(Tabelle32[[#This Row],[Device ID]],BOM!$B$3:$BQ$35,44,FALSE),"")</f>
        <v>yes</v>
      </c>
      <c r="AO393" s="59" t="str">
        <f>IFERROR(VLOOKUP(Tabelle32[[#This Row],[Device ID]],BOM!$B$3:$BQ$35,45,FALSE),"")</f>
        <v>no</v>
      </c>
      <c r="AP393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93" s="59"/>
      <c r="AR393" s="90"/>
      <c r="AS393" s="90"/>
      <c r="AT393" s="90"/>
      <c r="AU393" s="90"/>
      <c r="AV393" s="90"/>
      <c r="AW393" s="90"/>
      <c r="AX393" s="90"/>
      <c r="AY393" s="90"/>
      <c r="AZ393" s="90"/>
      <c r="BA393" s="90"/>
      <c r="BB393" s="90"/>
      <c r="BC393" s="90"/>
      <c r="BD393" s="90"/>
      <c r="BE393" s="90"/>
      <c r="BF393" s="90"/>
      <c r="BG393" s="90"/>
      <c r="BH393" s="73" t="s">
        <v>199</v>
      </c>
      <c r="BI393" s="30" t="str">
        <f>IF(COUNTA(Tabelle32[[#This Row],[Type:Vid_1080i50]:[Type:Anc_Prot]])&gt;0,"x","")</f>
        <v/>
      </c>
      <c r="BJ39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93" s="59"/>
      <c r="BL393" s="59"/>
      <c r="BM393" s="63"/>
      <c r="BN393" s="63"/>
      <c r="BO393" s="96"/>
      <c r="BP393" s="96"/>
      <c r="BQ393" s="75">
        <f>LEN(Tabelle32[[#This Row],[Label 1
GFX-Unit]])</f>
        <v>0</v>
      </c>
      <c r="BR393" s="63"/>
      <c r="BS393" s="63"/>
      <c r="BT393" s="59"/>
      <c r="BU393" s="59"/>
      <c r="BV393" s="59" t="s">
        <v>245</v>
      </c>
      <c r="BW393" s="59" t="s">
        <v>246</v>
      </c>
      <c r="BX393" s="59" t="s">
        <v>820</v>
      </c>
      <c r="BY393" s="59">
        <v>19</v>
      </c>
    </row>
    <row r="394" spans="1:77" hidden="1" x14ac:dyDescent="0.2">
      <c r="A394" s="58" t="str">
        <f>CONCATENATE(Tabelle32[[#This Row],[Device ID]],".",Tabelle32[[#This Row],[Streamcounter]])</f>
        <v>396.19210</v>
      </c>
      <c r="B39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VGW-103_SDI19_AUDsend_0010</v>
      </c>
      <c r="C394" s="60"/>
      <c r="D394" s="61"/>
      <c r="E394" s="62"/>
      <c r="F394" s="59" t="str">
        <f>IFERROR(VLOOKUP(Tabelle32[[#This Row],[Device ID]],BOM!$B$3:$BQ$35,16,FALSE),"")</f>
        <v>EditPC-09 OUT</v>
      </c>
      <c r="G394" s="63">
        <f>VLOOKUP(Tabelle32[[#This Row],[SDI Interface]],BOM!$A$4:$B$35,2,FALSE)</f>
        <v>396</v>
      </c>
      <c r="H394" s="59" t="str">
        <f>BOM!$C$4</f>
        <v>VGW-103</v>
      </c>
      <c r="I394" s="59" t="str">
        <f>IFERROR(VLOOKUP(Tabelle32[[#This Row],[Device ID]],BOM!$B$3:$BQ$35,12,FALSE),"")</f>
        <v>Edit Suite</v>
      </c>
      <c r="J394" s="59" t="str">
        <f>IFERROR(VLOOKUP(Tabelle32[[#This Row],[Device ID]],BOM!$B$3:$BQ$35,13,FALSE),"")</f>
        <v>TC.U1.223 | MDC</v>
      </c>
      <c r="K394" s="59" t="str">
        <f>IFERROR(VLOOKUP(Tabelle32[[#This Row],[Device ID]],BOM!$B$3:$BQ$35,14,FALSE),"")</f>
        <v>Imagine Comunications</v>
      </c>
      <c r="L394" s="59" t="str">
        <f>IFERROR(VLOOKUP(Tabelle32[[#This Row],[Device ID]],BOM!$B$3:$BQ$35,16,FALSE),"")</f>
        <v>EditPC-09 OUT</v>
      </c>
      <c r="M394" s="63" t="str">
        <f>IFERROR(VLOOKUP(Tabelle32[[#This Row],[Device ID]],BOM!$B$3:$BQ$35,17,FALSE),"")</f>
        <v>EDIT SUITE 09</v>
      </c>
      <c r="N394" s="59" t="str">
        <f>IFERROR(VLOOKUP(Tabelle32[[#This Row],[Device ID]],BOM!$B$3:$BQ$35,18,FALSE),"")</f>
        <v>TC.03.030 | Edit 09</v>
      </c>
      <c r="O394" s="64"/>
      <c r="P394" s="64">
        <f>IFERROR(VLOOKUP(Tabelle32[[#This Row],[Device ID]],BOM!$B$3:$BO$50,20,FALSE),"")</f>
        <v>0</v>
      </c>
      <c r="Q394" s="64">
        <f>IFERROR(VLOOKUP(Tabelle32[[#This Row],[Device ID]],BOM!$B$3:$BO$50,21,FALSE),"")</f>
        <v>1</v>
      </c>
      <c r="R394" s="64">
        <f>IFERROR(VLOOKUP(Tabelle32[[#This Row],[Device ID]],BOM!$B$3:$BO$50,22,FALSE),"")</f>
        <v>0</v>
      </c>
      <c r="S394" s="64"/>
      <c r="T394" s="64"/>
      <c r="U394" s="59" t="str">
        <f>IFERROR(VLOOKUP(Tabelle32[[#This Row],[Device ID]],BOM!$B$3:$BQ$35,25,FALSE),"")</f>
        <v>Luis/Ivo</v>
      </c>
      <c r="V394" s="59" t="str">
        <f>IFERROR(VLOOKUP(Tabelle32[[#This Row],[Device ID]],BOM!$B$3:$BQ$35,26,FALSE),"")</f>
        <v>tpco-megw-vgw103.rta.st-net.media.int</v>
      </c>
      <c r="W394" s="59" t="str">
        <f>IFERROR(VLOOKUP(Tabelle32[[#This Row],[Device ID]],BOM!$B$3:$BQ$35,27,FALSE),"")</f>
        <v>10.120.236.50</v>
      </c>
      <c r="X394" s="59" t="str">
        <f>IFERROR(VLOOKUP(Tabelle32[[#This Row],[Device ID]],BOM!$B$3:$BQ$35,28,FALSE),"")</f>
        <v>AVCoreA</v>
      </c>
      <c r="Y394" s="59" t="str">
        <f>IFERROR(VLOOKUP(Tabelle32[[#This Row],[Device ID]],BOM!$B$3:$BQ$35,29,FALSE),"")</f>
        <v>5_36_1</v>
      </c>
      <c r="Z394" s="59" t="str">
        <f>IFERROR(VLOOKUP(Tabelle32[[#This Row],[Device ID]],BOM!$B$3:$BQ$35,30,FALSE),"")</f>
        <v>tpco-megw-vgw103.rtb.st-net.media.int</v>
      </c>
      <c r="AA394" s="59" t="str">
        <f>IFERROR(VLOOKUP(Tabelle32[[#This Row],[Device ID]],BOM!$B$3:$BQ$35,31,FALSE),"")</f>
        <v>10.120.236.54</v>
      </c>
      <c r="AB394" s="59" t="str">
        <f>IFERROR(VLOOKUP(Tabelle32[[#This Row],[Device ID]],BOM!$B$3:$BQ$35,32,FALSE),"")</f>
        <v>AVCoreB</v>
      </c>
      <c r="AC394" s="59" t="str">
        <f>IFERROR(VLOOKUP(Tabelle32[[#This Row],[Device ID]],BOM!$B$3:$BQ$35,33,FALSE),"")</f>
        <v>5_36_1</v>
      </c>
      <c r="AD394" s="59" t="str">
        <f>IFERROR(VLOOKUP(Tabelle32[[#This Row],[Device ID]],BOM!$B$3:$BQ$35,34,FALSE),"")</f>
        <v>tpco-megw-vgw103.st-net.media.int</v>
      </c>
      <c r="AE394" s="59" t="str">
        <f>IFERROR(VLOOKUP(Tabelle32[[#This Row],[Device ID]],BOM!$B$3:$BQ$35,35,FALSE),"")</f>
        <v>10.120.67.141</v>
      </c>
      <c r="AF394" s="59">
        <f>IFERROR(VLOOKUP(Tabelle32[[#This Row],[Device ID]],BOM!$B$3:$BQ$35,36,FALSE),"")</f>
        <v>0</v>
      </c>
      <c r="AG394" s="59">
        <f>IFERROR(VLOOKUP(Tabelle32[[#This Row],[Device ID]],BOM!$B$3:$BQ$35,37,FALSE),"")</f>
        <v>0</v>
      </c>
      <c r="AH394" s="59"/>
      <c r="AI394" s="59"/>
      <c r="AJ394" s="59"/>
      <c r="AK394" s="59"/>
      <c r="AL394" s="59" t="str">
        <f>IFERROR(VLOOKUP(Tabelle32[[#This Row],[Device ID]],BOM!$B$3:$BQ$35,42,FALSE),"")</f>
        <v>Imagine Communications SNP</v>
      </c>
      <c r="AM394" s="59" t="str">
        <f>IFERROR(VLOOKUP(Tabelle32[[#This Row],[Device ID]],BOM!$B$3:$BQ$35,43,FALSE),"")</f>
        <v>no</v>
      </c>
      <c r="AN394" s="59" t="str">
        <f>IFERROR(VLOOKUP(Tabelle32[[#This Row],[Device ID]],BOM!$B$3:$BQ$35,44,FALSE),"")</f>
        <v>yes</v>
      </c>
      <c r="AO394" s="59" t="str">
        <f>IFERROR(VLOOKUP(Tabelle32[[#This Row],[Device ID]],BOM!$B$3:$BQ$35,45,FALSE),"")</f>
        <v>no</v>
      </c>
      <c r="AP394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94" s="59"/>
      <c r="AR394" s="90"/>
      <c r="AS394" s="90"/>
      <c r="AT394" s="90"/>
      <c r="AU394" s="90"/>
      <c r="AV394" s="90"/>
      <c r="AW394" s="90"/>
      <c r="AX394" s="90"/>
      <c r="AY394" s="90"/>
      <c r="AZ394" s="90"/>
      <c r="BA394" s="90"/>
      <c r="BB394" s="90"/>
      <c r="BC394" s="90"/>
      <c r="BD394" s="90"/>
      <c r="BE394" s="90"/>
      <c r="BF394" s="90"/>
      <c r="BG394" s="90"/>
      <c r="BH394" s="73" t="s">
        <v>199</v>
      </c>
      <c r="BI394" s="30" t="str">
        <f>IF(COUNTA(Tabelle32[[#This Row],[Type:Vid_1080i50]:[Type:Anc_Prot]])&gt;0,"x","")</f>
        <v/>
      </c>
      <c r="BJ39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94" s="59"/>
      <c r="BL394" s="59"/>
      <c r="BM394" s="63"/>
      <c r="BN394" s="63"/>
      <c r="BO394" s="96"/>
      <c r="BP394" s="96"/>
      <c r="BQ394" s="75">
        <f>LEN(Tabelle32[[#This Row],[Label 1
GFX-Unit]])</f>
        <v>0</v>
      </c>
      <c r="BR394" s="63"/>
      <c r="BS394" s="63"/>
      <c r="BT394" s="59"/>
      <c r="BU394" s="59"/>
      <c r="BV394" s="59" t="s">
        <v>248</v>
      </c>
      <c r="BW394" s="59" t="s">
        <v>249</v>
      </c>
      <c r="BX394" s="59" t="s">
        <v>821</v>
      </c>
      <c r="BY394" s="59">
        <v>19</v>
      </c>
    </row>
    <row r="395" spans="1:77" hidden="1" x14ac:dyDescent="0.2">
      <c r="A395" s="58" t="str">
        <f>CONCATENATE(Tabelle32[[#This Row],[Device ID]],".",Tabelle32[[#This Row],[Streamcounter]])</f>
        <v>396.19211</v>
      </c>
      <c r="B39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VGW-103_SDI19_AUDsend_0011</v>
      </c>
      <c r="C395" s="60"/>
      <c r="D395" s="61"/>
      <c r="E395" s="62"/>
      <c r="F395" s="59" t="str">
        <f>IFERROR(VLOOKUP(Tabelle32[[#This Row],[Device ID]],BOM!$B$3:$BQ$35,16,FALSE),"")</f>
        <v>EditPC-09 OUT</v>
      </c>
      <c r="G395" s="63">
        <f>VLOOKUP(Tabelle32[[#This Row],[SDI Interface]],BOM!$A$4:$B$35,2,FALSE)</f>
        <v>396</v>
      </c>
      <c r="H395" s="59" t="str">
        <f>BOM!$C$4</f>
        <v>VGW-103</v>
      </c>
      <c r="I395" s="59" t="str">
        <f>IFERROR(VLOOKUP(Tabelle32[[#This Row],[Device ID]],BOM!$B$3:$BQ$35,12,FALSE),"")</f>
        <v>Edit Suite</v>
      </c>
      <c r="J395" s="59" t="str">
        <f>IFERROR(VLOOKUP(Tabelle32[[#This Row],[Device ID]],BOM!$B$3:$BQ$35,13,FALSE),"")</f>
        <v>TC.U1.223 | MDC</v>
      </c>
      <c r="K395" s="59" t="str">
        <f>IFERROR(VLOOKUP(Tabelle32[[#This Row],[Device ID]],BOM!$B$3:$BQ$35,14,FALSE),"")</f>
        <v>Imagine Comunications</v>
      </c>
      <c r="L395" s="59" t="str">
        <f>IFERROR(VLOOKUP(Tabelle32[[#This Row],[Device ID]],BOM!$B$3:$BQ$35,16,FALSE),"")</f>
        <v>EditPC-09 OUT</v>
      </c>
      <c r="M395" s="63" t="str">
        <f>IFERROR(VLOOKUP(Tabelle32[[#This Row],[Device ID]],BOM!$B$3:$BQ$35,17,FALSE),"")</f>
        <v>EDIT SUITE 09</v>
      </c>
      <c r="N395" s="59" t="str">
        <f>IFERROR(VLOOKUP(Tabelle32[[#This Row],[Device ID]],BOM!$B$3:$BQ$35,18,FALSE),"")</f>
        <v>TC.03.030 | Edit 09</v>
      </c>
      <c r="O395" s="64"/>
      <c r="P395" s="64">
        <f>IFERROR(VLOOKUP(Tabelle32[[#This Row],[Device ID]],BOM!$B$3:$BO$50,20,FALSE),"")</f>
        <v>0</v>
      </c>
      <c r="Q395" s="64">
        <f>IFERROR(VLOOKUP(Tabelle32[[#This Row],[Device ID]],BOM!$B$3:$BO$50,21,FALSE),"")</f>
        <v>1</v>
      </c>
      <c r="R395" s="64">
        <f>IFERROR(VLOOKUP(Tabelle32[[#This Row],[Device ID]],BOM!$B$3:$BO$50,22,FALSE),"")</f>
        <v>0</v>
      </c>
      <c r="S395" s="64"/>
      <c r="T395" s="64"/>
      <c r="U395" s="59" t="str">
        <f>IFERROR(VLOOKUP(Tabelle32[[#This Row],[Device ID]],BOM!$B$3:$BQ$35,25,FALSE),"")</f>
        <v>Luis/Ivo</v>
      </c>
      <c r="V395" s="59" t="str">
        <f>IFERROR(VLOOKUP(Tabelle32[[#This Row],[Device ID]],BOM!$B$3:$BQ$35,26,FALSE),"")</f>
        <v>tpco-megw-vgw103.rta.st-net.media.int</v>
      </c>
      <c r="W395" s="59" t="str">
        <f>IFERROR(VLOOKUP(Tabelle32[[#This Row],[Device ID]],BOM!$B$3:$BQ$35,27,FALSE),"")</f>
        <v>10.120.236.50</v>
      </c>
      <c r="X395" s="59" t="str">
        <f>IFERROR(VLOOKUP(Tabelle32[[#This Row],[Device ID]],BOM!$B$3:$BQ$35,28,FALSE),"")</f>
        <v>AVCoreA</v>
      </c>
      <c r="Y395" s="59" t="str">
        <f>IFERROR(VLOOKUP(Tabelle32[[#This Row],[Device ID]],BOM!$B$3:$BQ$35,29,FALSE),"")</f>
        <v>5_36_1</v>
      </c>
      <c r="Z395" s="59" t="str">
        <f>IFERROR(VLOOKUP(Tabelle32[[#This Row],[Device ID]],BOM!$B$3:$BQ$35,30,FALSE),"")</f>
        <v>tpco-megw-vgw103.rtb.st-net.media.int</v>
      </c>
      <c r="AA395" s="59" t="str">
        <f>IFERROR(VLOOKUP(Tabelle32[[#This Row],[Device ID]],BOM!$B$3:$BQ$35,31,FALSE),"")</f>
        <v>10.120.236.54</v>
      </c>
      <c r="AB395" s="59" t="str">
        <f>IFERROR(VLOOKUP(Tabelle32[[#This Row],[Device ID]],BOM!$B$3:$BQ$35,32,FALSE),"")</f>
        <v>AVCoreB</v>
      </c>
      <c r="AC395" s="59" t="str">
        <f>IFERROR(VLOOKUP(Tabelle32[[#This Row],[Device ID]],BOM!$B$3:$BQ$35,33,FALSE),"")</f>
        <v>5_36_1</v>
      </c>
      <c r="AD395" s="59" t="str">
        <f>IFERROR(VLOOKUP(Tabelle32[[#This Row],[Device ID]],BOM!$B$3:$BQ$35,34,FALSE),"")</f>
        <v>tpco-megw-vgw103.st-net.media.int</v>
      </c>
      <c r="AE395" s="59" t="str">
        <f>IFERROR(VLOOKUP(Tabelle32[[#This Row],[Device ID]],BOM!$B$3:$BQ$35,35,FALSE),"")</f>
        <v>10.120.67.141</v>
      </c>
      <c r="AF395" s="59">
        <f>IFERROR(VLOOKUP(Tabelle32[[#This Row],[Device ID]],BOM!$B$3:$BQ$35,36,FALSE),"")</f>
        <v>0</v>
      </c>
      <c r="AG395" s="59">
        <f>IFERROR(VLOOKUP(Tabelle32[[#This Row],[Device ID]],BOM!$B$3:$BQ$35,37,FALSE),"")</f>
        <v>0</v>
      </c>
      <c r="AH395" s="59"/>
      <c r="AI395" s="59"/>
      <c r="AJ395" s="59"/>
      <c r="AK395" s="59"/>
      <c r="AL395" s="59" t="str">
        <f>IFERROR(VLOOKUP(Tabelle32[[#This Row],[Device ID]],BOM!$B$3:$BQ$35,42,FALSE),"")</f>
        <v>Imagine Communications SNP</v>
      </c>
      <c r="AM395" s="59" t="str">
        <f>IFERROR(VLOOKUP(Tabelle32[[#This Row],[Device ID]],BOM!$B$3:$BQ$35,43,FALSE),"")</f>
        <v>no</v>
      </c>
      <c r="AN395" s="59" t="str">
        <f>IFERROR(VLOOKUP(Tabelle32[[#This Row],[Device ID]],BOM!$B$3:$BQ$35,44,FALSE),"")</f>
        <v>yes</v>
      </c>
      <c r="AO395" s="59" t="str">
        <f>IFERROR(VLOOKUP(Tabelle32[[#This Row],[Device ID]],BOM!$B$3:$BQ$35,45,FALSE),"")</f>
        <v>no</v>
      </c>
      <c r="AP395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95" s="59"/>
      <c r="AR395" s="90"/>
      <c r="AS395" s="90"/>
      <c r="AT395" s="90"/>
      <c r="AU395" s="90"/>
      <c r="AV395" s="90"/>
      <c r="AW395" s="90"/>
      <c r="AX395" s="90"/>
      <c r="AY395" s="90"/>
      <c r="AZ395" s="90"/>
      <c r="BA395" s="90"/>
      <c r="BB395" s="90"/>
      <c r="BC395" s="90"/>
      <c r="BD395" s="90"/>
      <c r="BE395" s="90"/>
      <c r="BF395" s="90"/>
      <c r="BG395" s="90"/>
      <c r="BH395" s="73" t="s">
        <v>199</v>
      </c>
      <c r="BI395" s="30" t="str">
        <f>IF(COUNTA(Tabelle32[[#This Row],[Type:Vid_1080i50]:[Type:Anc_Prot]])&gt;0,"x","")</f>
        <v/>
      </c>
      <c r="BJ39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95" s="59"/>
      <c r="BL395" s="59"/>
      <c r="BM395" s="63"/>
      <c r="BN395" s="63"/>
      <c r="BO395" s="96"/>
      <c r="BP395" s="96"/>
      <c r="BQ395" s="75">
        <f>LEN(Tabelle32[[#This Row],[Label 1
GFX-Unit]])</f>
        <v>0</v>
      </c>
      <c r="BR395" s="63"/>
      <c r="BS395" s="63"/>
      <c r="BT395" s="59"/>
      <c r="BU395" s="59"/>
      <c r="BV395" s="59" t="s">
        <v>251</v>
      </c>
      <c r="BW395" s="59" t="s">
        <v>252</v>
      </c>
      <c r="BX395" s="59" t="s">
        <v>822</v>
      </c>
      <c r="BY395" s="59">
        <v>19</v>
      </c>
    </row>
    <row r="396" spans="1:77" hidden="1" x14ac:dyDescent="0.2">
      <c r="A396" s="58" t="str">
        <f>CONCATENATE(Tabelle32[[#This Row],[Device ID]],".",Tabelle32[[#This Row],[Streamcounter]])</f>
        <v>396.19212</v>
      </c>
      <c r="B39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VGW-103_SDI19_AUDsend_0012</v>
      </c>
      <c r="C396" s="60"/>
      <c r="D396" s="61"/>
      <c r="E396" s="62"/>
      <c r="F396" s="59" t="str">
        <f>IFERROR(VLOOKUP(Tabelle32[[#This Row],[Device ID]],BOM!$B$3:$BQ$35,16,FALSE),"")</f>
        <v>EditPC-09 OUT</v>
      </c>
      <c r="G396" s="63">
        <f>VLOOKUP(Tabelle32[[#This Row],[SDI Interface]],BOM!$A$4:$B$35,2,FALSE)</f>
        <v>396</v>
      </c>
      <c r="H396" s="59" t="str">
        <f>BOM!$C$4</f>
        <v>VGW-103</v>
      </c>
      <c r="I396" s="59" t="str">
        <f>IFERROR(VLOOKUP(Tabelle32[[#This Row],[Device ID]],BOM!$B$3:$BQ$35,12,FALSE),"")</f>
        <v>Edit Suite</v>
      </c>
      <c r="J396" s="59" t="str">
        <f>IFERROR(VLOOKUP(Tabelle32[[#This Row],[Device ID]],BOM!$B$3:$BQ$35,13,FALSE),"")</f>
        <v>TC.U1.223 | MDC</v>
      </c>
      <c r="K396" s="59" t="str">
        <f>IFERROR(VLOOKUP(Tabelle32[[#This Row],[Device ID]],BOM!$B$3:$BQ$35,14,FALSE),"")</f>
        <v>Imagine Comunications</v>
      </c>
      <c r="L396" s="59" t="str">
        <f>IFERROR(VLOOKUP(Tabelle32[[#This Row],[Device ID]],BOM!$B$3:$BQ$35,16,FALSE),"")</f>
        <v>EditPC-09 OUT</v>
      </c>
      <c r="M396" s="63" t="str">
        <f>IFERROR(VLOOKUP(Tabelle32[[#This Row],[Device ID]],BOM!$B$3:$BQ$35,17,FALSE),"")</f>
        <v>EDIT SUITE 09</v>
      </c>
      <c r="N396" s="59" t="str">
        <f>IFERROR(VLOOKUP(Tabelle32[[#This Row],[Device ID]],BOM!$B$3:$BQ$35,18,FALSE),"")</f>
        <v>TC.03.030 | Edit 09</v>
      </c>
      <c r="O396" s="64"/>
      <c r="P396" s="64">
        <f>IFERROR(VLOOKUP(Tabelle32[[#This Row],[Device ID]],BOM!$B$3:$BO$50,20,FALSE),"")</f>
        <v>0</v>
      </c>
      <c r="Q396" s="64">
        <f>IFERROR(VLOOKUP(Tabelle32[[#This Row],[Device ID]],BOM!$B$3:$BO$50,21,FALSE),"")</f>
        <v>1</v>
      </c>
      <c r="R396" s="64">
        <f>IFERROR(VLOOKUP(Tabelle32[[#This Row],[Device ID]],BOM!$B$3:$BO$50,22,FALSE),"")</f>
        <v>0</v>
      </c>
      <c r="S396" s="64"/>
      <c r="T396" s="64"/>
      <c r="U396" s="59" t="str">
        <f>IFERROR(VLOOKUP(Tabelle32[[#This Row],[Device ID]],BOM!$B$3:$BQ$35,25,FALSE),"")</f>
        <v>Luis/Ivo</v>
      </c>
      <c r="V396" s="59" t="str">
        <f>IFERROR(VLOOKUP(Tabelle32[[#This Row],[Device ID]],BOM!$B$3:$BQ$35,26,FALSE),"")</f>
        <v>tpco-megw-vgw103.rta.st-net.media.int</v>
      </c>
      <c r="W396" s="59" t="str">
        <f>IFERROR(VLOOKUP(Tabelle32[[#This Row],[Device ID]],BOM!$B$3:$BQ$35,27,FALSE),"")</f>
        <v>10.120.236.50</v>
      </c>
      <c r="X396" s="59" t="str">
        <f>IFERROR(VLOOKUP(Tabelle32[[#This Row],[Device ID]],BOM!$B$3:$BQ$35,28,FALSE),"")</f>
        <v>AVCoreA</v>
      </c>
      <c r="Y396" s="59" t="str">
        <f>IFERROR(VLOOKUP(Tabelle32[[#This Row],[Device ID]],BOM!$B$3:$BQ$35,29,FALSE),"")</f>
        <v>5_36_1</v>
      </c>
      <c r="Z396" s="59" t="str">
        <f>IFERROR(VLOOKUP(Tabelle32[[#This Row],[Device ID]],BOM!$B$3:$BQ$35,30,FALSE),"")</f>
        <v>tpco-megw-vgw103.rtb.st-net.media.int</v>
      </c>
      <c r="AA396" s="59" t="str">
        <f>IFERROR(VLOOKUP(Tabelle32[[#This Row],[Device ID]],BOM!$B$3:$BQ$35,31,FALSE),"")</f>
        <v>10.120.236.54</v>
      </c>
      <c r="AB396" s="59" t="str">
        <f>IFERROR(VLOOKUP(Tabelle32[[#This Row],[Device ID]],BOM!$B$3:$BQ$35,32,FALSE),"")</f>
        <v>AVCoreB</v>
      </c>
      <c r="AC396" s="59" t="str">
        <f>IFERROR(VLOOKUP(Tabelle32[[#This Row],[Device ID]],BOM!$B$3:$BQ$35,33,FALSE),"")</f>
        <v>5_36_1</v>
      </c>
      <c r="AD396" s="59" t="str">
        <f>IFERROR(VLOOKUP(Tabelle32[[#This Row],[Device ID]],BOM!$B$3:$BQ$35,34,FALSE),"")</f>
        <v>tpco-megw-vgw103.st-net.media.int</v>
      </c>
      <c r="AE396" s="59" t="str">
        <f>IFERROR(VLOOKUP(Tabelle32[[#This Row],[Device ID]],BOM!$B$3:$BQ$35,35,FALSE),"")</f>
        <v>10.120.67.141</v>
      </c>
      <c r="AF396" s="59">
        <f>IFERROR(VLOOKUP(Tabelle32[[#This Row],[Device ID]],BOM!$B$3:$BQ$35,36,FALSE),"")</f>
        <v>0</v>
      </c>
      <c r="AG396" s="59">
        <f>IFERROR(VLOOKUP(Tabelle32[[#This Row],[Device ID]],BOM!$B$3:$BQ$35,37,FALSE),"")</f>
        <v>0</v>
      </c>
      <c r="AH396" s="59"/>
      <c r="AI396" s="59"/>
      <c r="AJ396" s="59"/>
      <c r="AK396" s="59"/>
      <c r="AL396" s="59" t="str">
        <f>IFERROR(VLOOKUP(Tabelle32[[#This Row],[Device ID]],BOM!$B$3:$BQ$35,42,FALSE),"")</f>
        <v>Imagine Communications SNP</v>
      </c>
      <c r="AM396" s="59" t="str">
        <f>IFERROR(VLOOKUP(Tabelle32[[#This Row],[Device ID]],BOM!$B$3:$BQ$35,43,FALSE),"")</f>
        <v>no</v>
      </c>
      <c r="AN396" s="59" t="str">
        <f>IFERROR(VLOOKUP(Tabelle32[[#This Row],[Device ID]],BOM!$B$3:$BQ$35,44,FALSE),"")</f>
        <v>yes</v>
      </c>
      <c r="AO396" s="59" t="str">
        <f>IFERROR(VLOOKUP(Tabelle32[[#This Row],[Device ID]],BOM!$B$3:$BQ$35,45,FALSE),"")</f>
        <v>no</v>
      </c>
      <c r="AP396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96" s="59"/>
      <c r="AR396" s="101"/>
      <c r="AS396" s="101"/>
      <c r="AT396" s="101"/>
      <c r="AU396" s="101"/>
      <c r="AV396" s="101"/>
      <c r="AW396" s="101"/>
      <c r="AX396" s="101"/>
      <c r="AY396" s="101"/>
      <c r="AZ396" s="101"/>
      <c r="BA396" s="101"/>
      <c r="BB396" s="101"/>
      <c r="BC396" s="101"/>
      <c r="BD396" s="101"/>
      <c r="BE396" s="101"/>
      <c r="BF396" s="101"/>
      <c r="BG396" s="101"/>
      <c r="BH396" s="73" t="s">
        <v>199</v>
      </c>
      <c r="BI396" s="30" t="str">
        <f>IF(COUNTA(Tabelle32[[#This Row],[Type:Vid_1080i50]:[Type:Anc_Prot]])&gt;0,"x","")</f>
        <v/>
      </c>
      <c r="BJ39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96" s="59"/>
      <c r="BL396" s="59"/>
      <c r="BM396" s="63"/>
      <c r="BN396" s="63"/>
      <c r="BO396" s="96"/>
      <c r="BP396" s="96"/>
      <c r="BQ396" s="75">
        <f>LEN(Tabelle32[[#This Row],[Label 1
GFX-Unit]])</f>
        <v>0</v>
      </c>
      <c r="BR396" s="63"/>
      <c r="BS396" s="63"/>
      <c r="BT396" s="59"/>
      <c r="BU396" s="59"/>
      <c r="BV396" s="59" t="s">
        <v>254</v>
      </c>
      <c r="BW396" s="59" t="s">
        <v>255</v>
      </c>
      <c r="BX396" s="59" t="s">
        <v>823</v>
      </c>
      <c r="BY396" s="59">
        <v>19</v>
      </c>
    </row>
    <row r="397" spans="1:77" hidden="1" x14ac:dyDescent="0.2">
      <c r="A397" s="58" t="str">
        <f>CONCATENATE(Tabelle32[[#This Row],[Device ID]],".",Tabelle32[[#This Row],[Streamcounter]])</f>
        <v>396.19213</v>
      </c>
      <c r="B39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VGW-103_SDI19_AUDsend_0013</v>
      </c>
      <c r="C397" s="60"/>
      <c r="D397" s="61"/>
      <c r="E397" s="62"/>
      <c r="F397" s="59" t="str">
        <f>IFERROR(VLOOKUP(Tabelle32[[#This Row],[Device ID]],BOM!$B$3:$BQ$35,16,FALSE),"")</f>
        <v>EditPC-09 OUT</v>
      </c>
      <c r="G397" s="63">
        <f>VLOOKUP(Tabelle32[[#This Row],[SDI Interface]],BOM!$A$4:$B$35,2,FALSE)</f>
        <v>396</v>
      </c>
      <c r="H397" s="59" t="str">
        <f>BOM!$C$4</f>
        <v>VGW-103</v>
      </c>
      <c r="I397" s="59" t="str">
        <f>IFERROR(VLOOKUP(Tabelle32[[#This Row],[Device ID]],BOM!$B$3:$BQ$35,12,FALSE),"")</f>
        <v>Edit Suite</v>
      </c>
      <c r="J397" s="59" t="str">
        <f>IFERROR(VLOOKUP(Tabelle32[[#This Row],[Device ID]],BOM!$B$3:$BQ$35,13,FALSE),"")</f>
        <v>TC.U1.223 | MDC</v>
      </c>
      <c r="K397" s="59" t="str">
        <f>IFERROR(VLOOKUP(Tabelle32[[#This Row],[Device ID]],BOM!$B$3:$BQ$35,14,FALSE),"")</f>
        <v>Imagine Comunications</v>
      </c>
      <c r="L397" s="59" t="str">
        <f>IFERROR(VLOOKUP(Tabelle32[[#This Row],[Device ID]],BOM!$B$3:$BQ$35,16,FALSE),"")</f>
        <v>EditPC-09 OUT</v>
      </c>
      <c r="M397" s="63" t="str">
        <f>IFERROR(VLOOKUP(Tabelle32[[#This Row],[Device ID]],BOM!$B$3:$BQ$35,17,FALSE),"")</f>
        <v>EDIT SUITE 09</v>
      </c>
      <c r="N397" s="59" t="str">
        <f>IFERROR(VLOOKUP(Tabelle32[[#This Row],[Device ID]],BOM!$B$3:$BQ$35,18,FALSE),"")</f>
        <v>TC.03.030 | Edit 09</v>
      </c>
      <c r="O397" s="64"/>
      <c r="P397" s="64">
        <f>IFERROR(VLOOKUP(Tabelle32[[#This Row],[Device ID]],BOM!$B$3:$BO$50,20,FALSE),"")</f>
        <v>0</v>
      </c>
      <c r="Q397" s="64">
        <f>IFERROR(VLOOKUP(Tabelle32[[#This Row],[Device ID]],BOM!$B$3:$BO$50,21,FALSE),"")</f>
        <v>1</v>
      </c>
      <c r="R397" s="64">
        <f>IFERROR(VLOOKUP(Tabelle32[[#This Row],[Device ID]],BOM!$B$3:$BO$50,22,FALSE),"")</f>
        <v>0</v>
      </c>
      <c r="S397" s="64"/>
      <c r="T397" s="64"/>
      <c r="U397" s="59" t="str">
        <f>IFERROR(VLOOKUP(Tabelle32[[#This Row],[Device ID]],BOM!$B$3:$BQ$35,25,FALSE),"")</f>
        <v>Luis/Ivo</v>
      </c>
      <c r="V397" s="59" t="str">
        <f>IFERROR(VLOOKUP(Tabelle32[[#This Row],[Device ID]],BOM!$B$3:$BQ$35,26,FALSE),"")</f>
        <v>tpco-megw-vgw103.rta.st-net.media.int</v>
      </c>
      <c r="W397" s="59" t="str">
        <f>IFERROR(VLOOKUP(Tabelle32[[#This Row],[Device ID]],BOM!$B$3:$BQ$35,27,FALSE),"")</f>
        <v>10.120.236.50</v>
      </c>
      <c r="X397" s="59" t="str">
        <f>IFERROR(VLOOKUP(Tabelle32[[#This Row],[Device ID]],BOM!$B$3:$BQ$35,28,FALSE),"")</f>
        <v>AVCoreA</v>
      </c>
      <c r="Y397" s="59" t="str">
        <f>IFERROR(VLOOKUP(Tabelle32[[#This Row],[Device ID]],BOM!$B$3:$BQ$35,29,FALSE),"")</f>
        <v>5_36_1</v>
      </c>
      <c r="Z397" s="59" t="str">
        <f>IFERROR(VLOOKUP(Tabelle32[[#This Row],[Device ID]],BOM!$B$3:$BQ$35,30,FALSE),"")</f>
        <v>tpco-megw-vgw103.rtb.st-net.media.int</v>
      </c>
      <c r="AA397" s="59" t="str">
        <f>IFERROR(VLOOKUP(Tabelle32[[#This Row],[Device ID]],BOM!$B$3:$BQ$35,31,FALSE),"")</f>
        <v>10.120.236.54</v>
      </c>
      <c r="AB397" s="59" t="str">
        <f>IFERROR(VLOOKUP(Tabelle32[[#This Row],[Device ID]],BOM!$B$3:$BQ$35,32,FALSE),"")</f>
        <v>AVCoreB</v>
      </c>
      <c r="AC397" s="59" t="str">
        <f>IFERROR(VLOOKUP(Tabelle32[[#This Row],[Device ID]],BOM!$B$3:$BQ$35,33,FALSE),"")</f>
        <v>5_36_1</v>
      </c>
      <c r="AD397" s="59" t="str">
        <f>IFERROR(VLOOKUP(Tabelle32[[#This Row],[Device ID]],BOM!$B$3:$BQ$35,34,FALSE),"")</f>
        <v>tpco-megw-vgw103.st-net.media.int</v>
      </c>
      <c r="AE397" s="59" t="str">
        <f>IFERROR(VLOOKUP(Tabelle32[[#This Row],[Device ID]],BOM!$B$3:$BQ$35,35,FALSE),"")</f>
        <v>10.120.67.141</v>
      </c>
      <c r="AF397" s="59">
        <f>IFERROR(VLOOKUP(Tabelle32[[#This Row],[Device ID]],BOM!$B$3:$BQ$35,36,FALSE),"")</f>
        <v>0</v>
      </c>
      <c r="AG397" s="59">
        <f>IFERROR(VLOOKUP(Tabelle32[[#This Row],[Device ID]],BOM!$B$3:$BQ$35,37,FALSE),"")</f>
        <v>0</v>
      </c>
      <c r="AH397" s="59"/>
      <c r="AI397" s="59"/>
      <c r="AJ397" s="59"/>
      <c r="AK397" s="59"/>
      <c r="AL397" s="59" t="str">
        <f>IFERROR(VLOOKUP(Tabelle32[[#This Row],[Device ID]],BOM!$B$3:$BQ$35,42,FALSE),"")</f>
        <v>Imagine Communications SNP</v>
      </c>
      <c r="AM397" s="59" t="str">
        <f>IFERROR(VLOOKUP(Tabelle32[[#This Row],[Device ID]],BOM!$B$3:$BQ$35,43,FALSE),"")</f>
        <v>no</v>
      </c>
      <c r="AN397" s="59" t="str">
        <f>IFERROR(VLOOKUP(Tabelle32[[#This Row],[Device ID]],BOM!$B$3:$BQ$35,44,FALSE),"")</f>
        <v>yes</v>
      </c>
      <c r="AO397" s="59" t="str">
        <f>IFERROR(VLOOKUP(Tabelle32[[#This Row],[Device ID]],BOM!$B$3:$BQ$35,45,FALSE),"")</f>
        <v>no</v>
      </c>
      <c r="AP397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97" s="59"/>
      <c r="AR397" s="101"/>
      <c r="AS397" s="101"/>
      <c r="AT397" s="101"/>
      <c r="AU397" s="101"/>
      <c r="AV397" s="101"/>
      <c r="AW397" s="101"/>
      <c r="AX397" s="101"/>
      <c r="AY397" s="101"/>
      <c r="AZ397" s="101"/>
      <c r="BA397" s="101"/>
      <c r="BB397" s="101"/>
      <c r="BC397" s="101"/>
      <c r="BD397" s="101"/>
      <c r="BE397" s="101"/>
      <c r="BF397" s="101"/>
      <c r="BG397" s="101"/>
      <c r="BH397" s="73" t="s">
        <v>199</v>
      </c>
      <c r="BI397" s="30" t="str">
        <f>IF(COUNTA(Tabelle32[[#This Row],[Type:Vid_1080i50]:[Type:Anc_Prot]])&gt;0,"x","")</f>
        <v/>
      </c>
      <c r="BJ39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97" s="59"/>
      <c r="BL397" s="59"/>
      <c r="BM397" s="63"/>
      <c r="BN397" s="63"/>
      <c r="BO397" s="96"/>
      <c r="BP397" s="96"/>
      <c r="BQ397" s="75">
        <f>LEN(Tabelle32[[#This Row],[Label 1
GFX-Unit]])</f>
        <v>0</v>
      </c>
      <c r="BR397" s="63"/>
      <c r="BS397" s="63"/>
      <c r="BT397" s="59"/>
      <c r="BU397" s="59"/>
      <c r="BV397" s="59" t="s">
        <v>257</v>
      </c>
      <c r="BW397" s="59" t="s">
        <v>258</v>
      </c>
      <c r="BX397" s="59" t="s">
        <v>824</v>
      </c>
      <c r="BY397" s="59">
        <v>19</v>
      </c>
    </row>
    <row r="398" spans="1:77" hidden="1" x14ac:dyDescent="0.2">
      <c r="A398" s="58" t="str">
        <f>CONCATENATE(Tabelle32[[#This Row],[Device ID]],".",Tabelle32[[#This Row],[Streamcounter]])</f>
        <v>396.19214</v>
      </c>
      <c r="B39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VGW-103_SDI19_AUDsend_0014</v>
      </c>
      <c r="C398" s="60"/>
      <c r="D398" s="61"/>
      <c r="E398" s="62"/>
      <c r="F398" s="59" t="str">
        <f>IFERROR(VLOOKUP(Tabelle32[[#This Row],[Device ID]],BOM!$B$3:$BQ$35,16,FALSE),"")</f>
        <v>EditPC-09 OUT</v>
      </c>
      <c r="G398" s="63">
        <f>VLOOKUP(Tabelle32[[#This Row],[SDI Interface]],BOM!$A$4:$B$35,2,FALSE)</f>
        <v>396</v>
      </c>
      <c r="H398" s="59" t="str">
        <f>BOM!$C$4</f>
        <v>VGW-103</v>
      </c>
      <c r="I398" s="59" t="str">
        <f>IFERROR(VLOOKUP(Tabelle32[[#This Row],[Device ID]],BOM!$B$3:$BQ$35,12,FALSE),"")</f>
        <v>Edit Suite</v>
      </c>
      <c r="J398" s="59" t="str">
        <f>IFERROR(VLOOKUP(Tabelle32[[#This Row],[Device ID]],BOM!$B$3:$BQ$35,13,FALSE),"")</f>
        <v>TC.U1.223 | MDC</v>
      </c>
      <c r="K398" s="59" t="str">
        <f>IFERROR(VLOOKUP(Tabelle32[[#This Row],[Device ID]],BOM!$B$3:$BQ$35,14,FALSE),"")</f>
        <v>Imagine Comunications</v>
      </c>
      <c r="L398" s="59" t="str">
        <f>IFERROR(VLOOKUP(Tabelle32[[#This Row],[Device ID]],BOM!$B$3:$BQ$35,16,FALSE),"")</f>
        <v>EditPC-09 OUT</v>
      </c>
      <c r="M398" s="63" t="str">
        <f>IFERROR(VLOOKUP(Tabelle32[[#This Row],[Device ID]],BOM!$B$3:$BQ$35,17,FALSE),"")</f>
        <v>EDIT SUITE 09</v>
      </c>
      <c r="N398" s="59" t="str">
        <f>IFERROR(VLOOKUP(Tabelle32[[#This Row],[Device ID]],BOM!$B$3:$BQ$35,18,FALSE),"")</f>
        <v>TC.03.030 | Edit 09</v>
      </c>
      <c r="O398" s="64"/>
      <c r="P398" s="64">
        <f>IFERROR(VLOOKUP(Tabelle32[[#This Row],[Device ID]],BOM!$B$3:$BO$50,20,FALSE),"")</f>
        <v>0</v>
      </c>
      <c r="Q398" s="64">
        <f>IFERROR(VLOOKUP(Tabelle32[[#This Row],[Device ID]],BOM!$B$3:$BO$50,21,FALSE),"")</f>
        <v>1</v>
      </c>
      <c r="R398" s="64">
        <f>IFERROR(VLOOKUP(Tabelle32[[#This Row],[Device ID]],BOM!$B$3:$BO$50,22,FALSE),"")</f>
        <v>0</v>
      </c>
      <c r="S398" s="64"/>
      <c r="T398" s="64"/>
      <c r="U398" s="59" t="str">
        <f>IFERROR(VLOOKUP(Tabelle32[[#This Row],[Device ID]],BOM!$B$3:$BQ$35,25,FALSE),"")</f>
        <v>Luis/Ivo</v>
      </c>
      <c r="V398" s="59" t="str">
        <f>IFERROR(VLOOKUP(Tabelle32[[#This Row],[Device ID]],BOM!$B$3:$BQ$35,26,FALSE),"")</f>
        <v>tpco-megw-vgw103.rta.st-net.media.int</v>
      </c>
      <c r="W398" s="59" t="str">
        <f>IFERROR(VLOOKUP(Tabelle32[[#This Row],[Device ID]],BOM!$B$3:$BQ$35,27,FALSE),"")</f>
        <v>10.120.236.50</v>
      </c>
      <c r="X398" s="59" t="str">
        <f>IFERROR(VLOOKUP(Tabelle32[[#This Row],[Device ID]],BOM!$B$3:$BQ$35,28,FALSE),"")</f>
        <v>AVCoreA</v>
      </c>
      <c r="Y398" s="59" t="str">
        <f>IFERROR(VLOOKUP(Tabelle32[[#This Row],[Device ID]],BOM!$B$3:$BQ$35,29,FALSE),"")</f>
        <v>5_36_1</v>
      </c>
      <c r="Z398" s="59" t="str">
        <f>IFERROR(VLOOKUP(Tabelle32[[#This Row],[Device ID]],BOM!$B$3:$BQ$35,30,FALSE),"")</f>
        <v>tpco-megw-vgw103.rtb.st-net.media.int</v>
      </c>
      <c r="AA398" s="59" t="str">
        <f>IFERROR(VLOOKUP(Tabelle32[[#This Row],[Device ID]],BOM!$B$3:$BQ$35,31,FALSE),"")</f>
        <v>10.120.236.54</v>
      </c>
      <c r="AB398" s="59" t="str">
        <f>IFERROR(VLOOKUP(Tabelle32[[#This Row],[Device ID]],BOM!$B$3:$BQ$35,32,FALSE),"")</f>
        <v>AVCoreB</v>
      </c>
      <c r="AC398" s="59" t="str">
        <f>IFERROR(VLOOKUP(Tabelle32[[#This Row],[Device ID]],BOM!$B$3:$BQ$35,33,FALSE),"")</f>
        <v>5_36_1</v>
      </c>
      <c r="AD398" s="59" t="str">
        <f>IFERROR(VLOOKUP(Tabelle32[[#This Row],[Device ID]],BOM!$B$3:$BQ$35,34,FALSE),"")</f>
        <v>tpco-megw-vgw103.st-net.media.int</v>
      </c>
      <c r="AE398" s="59" t="str">
        <f>IFERROR(VLOOKUP(Tabelle32[[#This Row],[Device ID]],BOM!$B$3:$BQ$35,35,FALSE),"")</f>
        <v>10.120.67.141</v>
      </c>
      <c r="AF398" s="59">
        <f>IFERROR(VLOOKUP(Tabelle32[[#This Row],[Device ID]],BOM!$B$3:$BQ$35,36,FALSE),"")</f>
        <v>0</v>
      </c>
      <c r="AG398" s="59">
        <f>IFERROR(VLOOKUP(Tabelle32[[#This Row],[Device ID]],BOM!$B$3:$BQ$35,37,FALSE),"")</f>
        <v>0</v>
      </c>
      <c r="AH398" s="59"/>
      <c r="AI398" s="59"/>
      <c r="AJ398" s="59"/>
      <c r="AK398" s="59"/>
      <c r="AL398" s="59" t="str">
        <f>IFERROR(VLOOKUP(Tabelle32[[#This Row],[Device ID]],BOM!$B$3:$BQ$35,42,FALSE),"")</f>
        <v>Imagine Communications SNP</v>
      </c>
      <c r="AM398" s="59" t="str">
        <f>IFERROR(VLOOKUP(Tabelle32[[#This Row],[Device ID]],BOM!$B$3:$BQ$35,43,FALSE),"")</f>
        <v>no</v>
      </c>
      <c r="AN398" s="59" t="str">
        <f>IFERROR(VLOOKUP(Tabelle32[[#This Row],[Device ID]],BOM!$B$3:$BQ$35,44,FALSE),"")</f>
        <v>yes</v>
      </c>
      <c r="AO398" s="59" t="str">
        <f>IFERROR(VLOOKUP(Tabelle32[[#This Row],[Device ID]],BOM!$B$3:$BQ$35,45,FALSE),"")</f>
        <v>no</v>
      </c>
      <c r="AP398" s="59" t="str">
        <f>IFERROR(CONCATENATE(Tabelle32[[#This Row],[Family
GFX-Unit]]," | ",Tabelle32[[#This Row],[Label 1
GFX-Unit]]," | ",Tabelle32[[#This Row],[Attached Device if Gateway]]),"")</f>
        <v xml:space="preserve"> |  | EditPC-09 OUT</v>
      </c>
      <c r="AQ398" s="59"/>
      <c r="AR398" s="90"/>
      <c r="AS398" s="90"/>
      <c r="AT398" s="90"/>
      <c r="AU398" s="90"/>
      <c r="AV398" s="90"/>
      <c r="AW398" s="90"/>
      <c r="AX398" s="90"/>
      <c r="AY398" s="90"/>
      <c r="AZ398" s="90"/>
      <c r="BA398" s="90"/>
      <c r="BB398" s="90"/>
      <c r="BC398" s="90"/>
      <c r="BD398" s="90"/>
      <c r="BE398" s="90"/>
      <c r="BF398" s="90"/>
      <c r="BG398" s="90"/>
      <c r="BH398" s="73" t="s">
        <v>199</v>
      </c>
      <c r="BI398" s="30" t="str">
        <f>IF(COUNTA(Tabelle32[[#This Row],[Type:Vid_1080i50]:[Type:Anc_Prot]])&gt;0,"x","")</f>
        <v/>
      </c>
      <c r="BJ39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398" s="59"/>
      <c r="BL398" s="59"/>
      <c r="BM398" s="63"/>
      <c r="BN398" s="63"/>
      <c r="BO398" s="96"/>
      <c r="BP398" s="96"/>
      <c r="BQ398" s="75">
        <f>LEN(Tabelle32[[#This Row],[Label 1
GFX-Unit]])</f>
        <v>0</v>
      </c>
      <c r="BR398" s="63"/>
      <c r="BS398" s="63"/>
      <c r="BT398" s="59"/>
      <c r="BU398" s="59"/>
      <c r="BV398" s="59" t="s">
        <v>260</v>
      </c>
      <c r="BW398" s="59" t="s">
        <v>261</v>
      </c>
      <c r="BX398" s="59" t="s">
        <v>825</v>
      </c>
      <c r="BY398" s="59">
        <v>19</v>
      </c>
    </row>
    <row r="399" spans="1:77" x14ac:dyDescent="0.2">
      <c r="A399" s="58" t="str">
        <f>CONCATENATE(Tabelle32[[#This Row],[Device ID]],".",Tabelle32[[#This Row],[Streamcounter]])</f>
        <v>396.19215</v>
      </c>
      <c r="B39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VGW-103_SDI19_AUDsend_0015</v>
      </c>
      <c r="C399" s="60"/>
      <c r="D399" s="61"/>
      <c r="E399" s="62"/>
      <c r="F399" s="59" t="str">
        <f>IFERROR(VLOOKUP(Tabelle32[[#This Row],[Device ID]],BOM!$B$3:$BQ$35,16,FALSE),"")</f>
        <v>EditPC-09 OUT</v>
      </c>
      <c r="G399" s="63">
        <f>VLOOKUP(Tabelle32[[#This Row],[SDI Interface]],BOM!$A$4:$B$35,2,FALSE)</f>
        <v>396</v>
      </c>
      <c r="H399" s="59" t="str">
        <f>BOM!$C$4</f>
        <v>VGW-103</v>
      </c>
      <c r="I399" s="59" t="str">
        <f>IFERROR(VLOOKUP(Tabelle32[[#This Row],[Device ID]],BOM!$B$3:$BQ$35,12,FALSE),"")</f>
        <v>Edit Suite</v>
      </c>
      <c r="J399" s="59" t="str">
        <f>IFERROR(VLOOKUP(Tabelle32[[#This Row],[Device ID]],BOM!$B$3:$BQ$35,13,FALSE),"")</f>
        <v>TC.U1.223 | MDC</v>
      </c>
      <c r="K399" s="59" t="str">
        <f>IFERROR(VLOOKUP(Tabelle32[[#This Row],[Device ID]],BOM!$B$3:$BQ$35,14,FALSE),"")</f>
        <v>Imagine Comunications</v>
      </c>
      <c r="L399" s="59" t="str">
        <f>IFERROR(VLOOKUP(Tabelle32[[#This Row],[Device ID]],BOM!$B$3:$BQ$35,16,FALSE),"")</f>
        <v>EditPC-09 OUT</v>
      </c>
      <c r="M399" s="63" t="str">
        <f>IFERROR(VLOOKUP(Tabelle32[[#This Row],[Device ID]],BOM!$B$3:$BQ$35,17,FALSE),"")</f>
        <v>EDIT SUITE 09</v>
      </c>
      <c r="N399" s="59" t="str">
        <f>IFERROR(VLOOKUP(Tabelle32[[#This Row],[Device ID]],BOM!$B$3:$BQ$35,18,FALSE),"")</f>
        <v>TC.03.030 | Edit 09</v>
      </c>
      <c r="O399" s="64"/>
      <c r="P399" s="64">
        <f>IFERROR(VLOOKUP(Tabelle32[[#This Row],[Device ID]],BOM!$B$3:$BO$50,20,FALSE),"")</f>
        <v>0</v>
      </c>
      <c r="Q399" s="64">
        <f>IFERROR(VLOOKUP(Tabelle32[[#This Row],[Device ID]],BOM!$B$3:$BO$50,21,FALSE),"")</f>
        <v>1</v>
      </c>
      <c r="R399" s="64">
        <f>IFERROR(VLOOKUP(Tabelle32[[#This Row],[Device ID]],BOM!$B$3:$BO$50,22,FALSE),"")</f>
        <v>0</v>
      </c>
      <c r="S399" s="64"/>
      <c r="T399" s="64"/>
      <c r="U399" s="59" t="str">
        <f>IFERROR(VLOOKUP(Tabelle32[[#This Row],[Device ID]],BOM!$B$3:$BQ$35,25,FALSE),"")</f>
        <v>Luis/Ivo</v>
      </c>
      <c r="V399" s="59" t="str">
        <f>IFERROR(VLOOKUP(Tabelle32[[#This Row],[Device ID]],BOM!$B$3:$BQ$35,26,FALSE),"")</f>
        <v>tpco-megw-vgw103.rta.st-net.media.int</v>
      </c>
      <c r="W399" s="59" t="str">
        <f>IFERROR(VLOOKUP(Tabelle32[[#This Row],[Device ID]],BOM!$B$3:$BQ$35,27,FALSE),"")</f>
        <v>10.120.236.50</v>
      </c>
      <c r="X399" s="59" t="str">
        <f>IFERROR(VLOOKUP(Tabelle32[[#This Row],[Device ID]],BOM!$B$3:$BQ$35,28,FALSE),"")</f>
        <v>AVCoreA</v>
      </c>
      <c r="Y399" s="59" t="str">
        <f>IFERROR(VLOOKUP(Tabelle32[[#This Row],[Device ID]],BOM!$B$3:$BQ$35,29,FALSE),"")</f>
        <v>5_36_1</v>
      </c>
      <c r="Z399" s="59" t="str">
        <f>IFERROR(VLOOKUP(Tabelle32[[#This Row],[Device ID]],BOM!$B$3:$BQ$35,30,FALSE),"")</f>
        <v>tpco-megw-vgw103.rtb.st-net.media.int</v>
      </c>
      <c r="AA399" s="59" t="str">
        <f>IFERROR(VLOOKUP(Tabelle32[[#This Row],[Device ID]],BOM!$B$3:$BQ$35,31,FALSE),"")</f>
        <v>10.120.236.54</v>
      </c>
      <c r="AB399" s="59" t="str">
        <f>IFERROR(VLOOKUP(Tabelle32[[#This Row],[Device ID]],BOM!$B$3:$BQ$35,32,FALSE),"")</f>
        <v>AVCoreB</v>
      </c>
      <c r="AC399" s="59" t="str">
        <f>IFERROR(VLOOKUP(Tabelle32[[#This Row],[Device ID]],BOM!$B$3:$BQ$35,33,FALSE),"")</f>
        <v>5_36_1</v>
      </c>
      <c r="AD399" s="59" t="str">
        <f>IFERROR(VLOOKUP(Tabelle32[[#This Row],[Device ID]],BOM!$B$3:$BQ$35,34,FALSE),"")</f>
        <v>tpco-megw-vgw103.st-net.media.int</v>
      </c>
      <c r="AE399" s="59" t="str">
        <f>IFERROR(VLOOKUP(Tabelle32[[#This Row],[Device ID]],BOM!$B$3:$BQ$35,35,FALSE),"")</f>
        <v>10.120.67.141</v>
      </c>
      <c r="AF399" s="59">
        <f>IFERROR(VLOOKUP(Tabelle32[[#This Row],[Device ID]],BOM!$B$3:$BQ$35,36,FALSE),"")</f>
        <v>0</v>
      </c>
      <c r="AG399" s="59">
        <f>IFERROR(VLOOKUP(Tabelle32[[#This Row],[Device ID]],BOM!$B$3:$BQ$35,37,FALSE),"")</f>
        <v>0</v>
      </c>
      <c r="AH399" s="59"/>
      <c r="AI399" s="59"/>
      <c r="AJ399" s="59"/>
      <c r="AK399" s="59"/>
      <c r="AL399" s="59" t="str">
        <f>IFERROR(VLOOKUP(Tabelle32[[#This Row],[Device ID]],BOM!$B$3:$BQ$35,42,FALSE),"")</f>
        <v>Imagine Communications SNP</v>
      </c>
      <c r="AM399" s="59" t="str">
        <f>IFERROR(VLOOKUP(Tabelle32[[#This Row],[Device ID]],BOM!$B$3:$BQ$35,43,FALSE),"")</f>
        <v>no</v>
      </c>
      <c r="AN399" s="59" t="str">
        <f>IFERROR(VLOOKUP(Tabelle32[[#This Row],[Device ID]],BOM!$B$3:$BQ$35,44,FALSE),"")</f>
        <v>yes</v>
      </c>
      <c r="AO399" s="59" t="str">
        <f>IFERROR(VLOOKUP(Tabelle32[[#This Row],[Device ID]],BOM!$B$3:$BQ$35,45,FALSE),"")</f>
        <v>no</v>
      </c>
      <c r="AP399" s="59" t="str">
        <f>IFERROR(CONCATENATE(Tabelle32[[#This Row],[Family
GFX-Unit]]," | ",Tabelle32[[#This Row],[Label 1
GFX-Unit]]," | ",Tabelle32[[#This Row],[Attached Device if Gateway]]),"")</f>
        <v>MEDEM Edits Out | Out Edit09-15 | EditPC-09 OUT</v>
      </c>
      <c r="AQ399" s="59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 t="s">
        <v>97</v>
      </c>
      <c r="BE399" s="96"/>
      <c r="BF399" s="96"/>
      <c r="BG399" s="96"/>
      <c r="BH399" s="73" t="s">
        <v>199</v>
      </c>
      <c r="BI399" s="30" t="str">
        <f>IF(COUNTA(Tabelle32[[#This Row],[Type:Vid_1080i50]:[Type:Anc_Prot]])&gt;0,"x","")</f>
        <v>x</v>
      </c>
      <c r="BJ39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399" s="59"/>
      <c r="BL399" s="59"/>
      <c r="BM399" s="63"/>
      <c r="BN399" s="63"/>
      <c r="BO399" s="97" t="s">
        <v>732</v>
      </c>
      <c r="BP399" s="97" t="s">
        <v>826</v>
      </c>
      <c r="BQ399" s="75">
        <f>LEN(Tabelle32[[#This Row],[Label 1
GFX-Unit]])</f>
        <v>13</v>
      </c>
      <c r="BR399" s="63"/>
      <c r="BS399" s="63"/>
      <c r="BT399" s="59"/>
      <c r="BU399" s="59"/>
      <c r="BV399" s="59" t="s">
        <v>264</v>
      </c>
      <c r="BW399" s="59" t="s">
        <v>265</v>
      </c>
      <c r="BX399" s="59" t="s">
        <v>827</v>
      </c>
      <c r="BY399" s="59">
        <v>19</v>
      </c>
    </row>
    <row r="400" spans="1:77" x14ac:dyDescent="0.2">
      <c r="A400" s="58" t="str">
        <f>CONCATENATE(Tabelle32[[#This Row],[Device ID]],".",Tabelle32[[#This Row],[Streamcounter]])</f>
        <v>396.19216</v>
      </c>
      <c r="B40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VGW-103_SDI19_AUDsend_0016</v>
      </c>
      <c r="C400" s="60"/>
      <c r="D400" s="61"/>
      <c r="E400" s="62"/>
      <c r="F400" s="59" t="str">
        <f>IFERROR(VLOOKUP(Tabelle32[[#This Row],[Device ID]],BOM!$B$3:$BQ$35,16,FALSE),"")</f>
        <v>EditPC-09 OUT</v>
      </c>
      <c r="G400" s="63">
        <f>VLOOKUP(Tabelle32[[#This Row],[SDI Interface]],BOM!$A$4:$B$35,2,FALSE)</f>
        <v>396</v>
      </c>
      <c r="H400" s="59" t="str">
        <f>BOM!$C$4</f>
        <v>VGW-103</v>
      </c>
      <c r="I400" s="59" t="str">
        <f>IFERROR(VLOOKUP(Tabelle32[[#This Row],[Device ID]],BOM!$B$3:$BQ$35,12,FALSE),"")</f>
        <v>Edit Suite</v>
      </c>
      <c r="J400" s="59" t="str">
        <f>IFERROR(VLOOKUP(Tabelle32[[#This Row],[Device ID]],BOM!$B$3:$BQ$35,13,FALSE),"")</f>
        <v>TC.U1.223 | MDC</v>
      </c>
      <c r="K400" s="59" t="str">
        <f>IFERROR(VLOOKUP(Tabelle32[[#This Row],[Device ID]],BOM!$B$3:$BQ$35,14,FALSE),"")</f>
        <v>Imagine Comunications</v>
      </c>
      <c r="L400" s="59" t="str">
        <f>IFERROR(VLOOKUP(Tabelle32[[#This Row],[Device ID]],BOM!$B$3:$BQ$35,16,FALSE),"")</f>
        <v>EditPC-09 OUT</v>
      </c>
      <c r="M400" s="63" t="str">
        <f>IFERROR(VLOOKUP(Tabelle32[[#This Row],[Device ID]],BOM!$B$3:$BQ$35,17,FALSE),"")</f>
        <v>EDIT SUITE 09</v>
      </c>
      <c r="N400" s="59" t="str">
        <f>IFERROR(VLOOKUP(Tabelle32[[#This Row],[Device ID]],BOM!$B$3:$BQ$35,18,FALSE),"")</f>
        <v>TC.03.030 | Edit 09</v>
      </c>
      <c r="O400" s="64"/>
      <c r="P400" s="64">
        <f>IFERROR(VLOOKUP(Tabelle32[[#This Row],[Device ID]],BOM!$B$3:$BO$50,20,FALSE),"")</f>
        <v>0</v>
      </c>
      <c r="Q400" s="64">
        <f>IFERROR(VLOOKUP(Tabelle32[[#This Row],[Device ID]],BOM!$B$3:$BO$50,21,FALSE),"")</f>
        <v>1</v>
      </c>
      <c r="R400" s="64">
        <f>IFERROR(VLOOKUP(Tabelle32[[#This Row],[Device ID]],BOM!$B$3:$BO$50,22,FALSE),"")</f>
        <v>0</v>
      </c>
      <c r="S400" s="64"/>
      <c r="T400" s="64"/>
      <c r="U400" s="59" t="str">
        <f>IFERROR(VLOOKUP(Tabelle32[[#This Row],[Device ID]],BOM!$B$3:$BQ$35,25,FALSE),"")</f>
        <v>Luis/Ivo</v>
      </c>
      <c r="V400" s="59" t="str">
        <f>IFERROR(VLOOKUP(Tabelle32[[#This Row],[Device ID]],BOM!$B$3:$BQ$35,26,FALSE),"")</f>
        <v>tpco-megw-vgw103.rta.st-net.media.int</v>
      </c>
      <c r="W400" s="59" t="str">
        <f>IFERROR(VLOOKUP(Tabelle32[[#This Row],[Device ID]],BOM!$B$3:$BQ$35,27,FALSE),"")</f>
        <v>10.120.236.50</v>
      </c>
      <c r="X400" s="59" t="str">
        <f>IFERROR(VLOOKUP(Tabelle32[[#This Row],[Device ID]],BOM!$B$3:$BQ$35,28,FALSE),"")</f>
        <v>AVCoreA</v>
      </c>
      <c r="Y400" s="59" t="str">
        <f>IFERROR(VLOOKUP(Tabelle32[[#This Row],[Device ID]],BOM!$B$3:$BQ$35,29,FALSE),"")</f>
        <v>5_36_1</v>
      </c>
      <c r="Z400" s="59" t="str">
        <f>IFERROR(VLOOKUP(Tabelle32[[#This Row],[Device ID]],BOM!$B$3:$BQ$35,30,FALSE),"")</f>
        <v>tpco-megw-vgw103.rtb.st-net.media.int</v>
      </c>
      <c r="AA400" s="59" t="str">
        <f>IFERROR(VLOOKUP(Tabelle32[[#This Row],[Device ID]],BOM!$B$3:$BQ$35,31,FALSE),"")</f>
        <v>10.120.236.54</v>
      </c>
      <c r="AB400" s="59" t="str">
        <f>IFERROR(VLOOKUP(Tabelle32[[#This Row],[Device ID]],BOM!$B$3:$BQ$35,32,FALSE),"")</f>
        <v>AVCoreB</v>
      </c>
      <c r="AC400" s="59" t="str">
        <f>IFERROR(VLOOKUP(Tabelle32[[#This Row],[Device ID]],BOM!$B$3:$BQ$35,33,FALSE),"")</f>
        <v>5_36_1</v>
      </c>
      <c r="AD400" s="59" t="str">
        <f>IFERROR(VLOOKUP(Tabelle32[[#This Row],[Device ID]],BOM!$B$3:$BQ$35,34,FALSE),"")</f>
        <v>tpco-megw-vgw103.st-net.media.int</v>
      </c>
      <c r="AE400" s="59" t="str">
        <f>IFERROR(VLOOKUP(Tabelle32[[#This Row],[Device ID]],BOM!$B$3:$BQ$35,35,FALSE),"")</f>
        <v>10.120.67.141</v>
      </c>
      <c r="AF400" s="59">
        <f>IFERROR(VLOOKUP(Tabelle32[[#This Row],[Device ID]],BOM!$B$3:$BQ$35,36,FALSE),"")</f>
        <v>0</v>
      </c>
      <c r="AG400" s="59">
        <f>IFERROR(VLOOKUP(Tabelle32[[#This Row],[Device ID]],BOM!$B$3:$BQ$35,37,FALSE),"")</f>
        <v>0</v>
      </c>
      <c r="AH400" s="59"/>
      <c r="AI400" s="59"/>
      <c r="AJ400" s="59"/>
      <c r="AK400" s="59"/>
      <c r="AL400" s="59" t="str">
        <f>IFERROR(VLOOKUP(Tabelle32[[#This Row],[Device ID]],BOM!$B$3:$BQ$35,42,FALSE),"")</f>
        <v>Imagine Communications SNP</v>
      </c>
      <c r="AM400" s="59" t="str">
        <f>IFERROR(VLOOKUP(Tabelle32[[#This Row],[Device ID]],BOM!$B$3:$BQ$35,43,FALSE),"")</f>
        <v>no</v>
      </c>
      <c r="AN400" s="59" t="str">
        <f>IFERROR(VLOOKUP(Tabelle32[[#This Row],[Device ID]],BOM!$B$3:$BQ$35,44,FALSE),"")</f>
        <v>yes</v>
      </c>
      <c r="AO400" s="59" t="str">
        <f>IFERROR(VLOOKUP(Tabelle32[[#This Row],[Device ID]],BOM!$B$3:$BQ$35,45,FALSE),"")</f>
        <v>no</v>
      </c>
      <c r="AP400" s="59" t="str">
        <f>IFERROR(CONCATENATE(Tabelle32[[#This Row],[Family
GFX-Unit]]," | ",Tabelle32[[#This Row],[Label 1
GFX-Unit]]," | ",Tabelle32[[#This Row],[Attached Device if Gateway]]),"")</f>
        <v>MEDEM Edits Out | Out Edit09-16 | EditPC-09 OUT</v>
      </c>
      <c r="AQ400" s="59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 t="s">
        <v>97</v>
      </c>
      <c r="BE400" s="96"/>
      <c r="BF400" s="96"/>
      <c r="BG400" s="96"/>
      <c r="BH400" s="73" t="s">
        <v>199</v>
      </c>
      <c r="BI400" s="30" t="str">
        <f>IF(COUNTA(Tabelle32[[#This Row],[Type:Vid_1080i50]:[Type:Anc_Prot]])&gt;0,"x","")</f>
        <v>x</v>
      </c>
      <c r="BJ40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400" s="59"/>
      <c r="BL400" s="59"/>
      <c r="BM400" s="63"/>
      <c r="BN400" s="63"/>
      <c r="BO400" s="97" t="s">
        <v>732</v>
      </c>
      <c r="BP400" s="97" t="s">
        <v>828</v>
      </c>
      <c r="BQ400" s="75">
        <f>LEN(Tabelle32[[#This Row],[Label 1
GFX-Unit]])</f>
        <v>13</v>
      </c>
      <c r="BR400" s="63"/>
      <c r="BS400" s="63"/>
      <c r="BT400" s="59"/>
      <c r="BU400" s="59"/>
      <c r="BV400" s="59" t="s">
        <v>268</v>
      </c>
      <c r="BW400" s="59" t="s">
        <v>269</v>
      </c>
      <c r="BX400" s="59" t="s">
        <v>829</v>
      </c>
      <c r="BY400" s="59">
        <v>19</v>
      </c>
    </row>
    <row r="401" spans="1:77" x14ac:dyDescent="0.2">
      <c r="A401" s="58" t="str">
        <f>CONCATENATE(Tabelle32[[#This Row],[Device ID]],".",Tabelle32[[#This Row],[Streamcounter]])</f>
        <v>396.19101</v>
      </c>
      <c r="B40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VGW-103_SDI19_VIDsend_0001</v>
      </c>
      <c r="C401" s="60"/>
      <c r="D401" s="61"/>
      <c r="E401" s="62"/>
      <c r="F401" s="59" t="str">
        <f>IFERROR(VLOOKUP(Tabelle32[[#This Row],[Device ID]],BOM!$B$3:$BQ$35,16,FALSE),"")</f>
        <v>EditPC-09 OUT</v>
      </c>
      <c r="G401" s="63">
        <f>VLOOKUP(Tabelle32[[#This Row],[SDI Interface]],BOM!$A$4:$B$35,2,FALSE)</f>
        <v>396</v>
      </c>
      <c r="H401" s="59" t="str">
        <f>BOM!$C$4</f>
        <v>VGW-103</v>
      </c>
      <c r="I401" s="59" t="str">
        <f>IFERROR(VLOOKUP(Tabelle32[[#This Row],[Device ID]],BOM!$B$3:$BQ$35,12,FALSE),"")</f>
        <v>Edit Suite</v>
      </c>
      <c r="J401" s="59" t="str">
        <f>IFERROR(VLOOKUP(Tabelle32[[#This Row],[Device ID]],BOM!$B$3:$BQ$35,13,FALSE),"")</f>
        <v>TC.U1.223 | MDC</v>
      </c>
      <c r="K401" s="59" t="str">
        <f>IFERROR(VLOOKUP(Tabelle32[[#This Row],[Device ID]],BOM!$B$3:$BQ$35,14,FALSE),"")</f>
        <v>Imagine Comunications</v>
      </c>
      <c r="L401" s="59" t="str">
        <f>IFERROR(VLOOKUP(Tabelle32[[#This Row],[Device ID]],BOM!$B$3:$BQ$35,16,FALSE),"")</f>
        <v>EditPC-09 OUT</v>
      </c>
      <c r="M401" s="63" t="str">
        <f>IFERROR(VLOOKUP(Tabelle32[[#This Row],[Device ID]],BOM!$B$3:$BQ$35,17,FALSE),"")</f>
        <v>EDIT SUITE 09</v>
      </c>
      <c r="N401" s="59" t="str">
        <f>IFERROR(VLOOKUP(Tabelle32[[#This Row],[Device ID]],BOM!$B$3:$BQ$35,18,FALSE),"")</f>
        <v>TC.03.030 | Edit 09</v>
      </c>
      <c r="O401" s="64"/>
      <c r="P401" s="64">
        <f>IFERROR(VLOOKUP(Tabelle32[[#This Row],[Device ID]],BOM!$B$3:$BO$50,20,FALSE),"")</f>
        <v>0</v>
      </c>
      <c r="Q401" s="64">
        <f>IFERROR(VLOOKUP(Tabelle32[[#This Row],[Device ID]],BOM!$B$3:$BO$50,21,FALSE),"")</f>
        <v>1</v>
      </c>
      <c r="R401" s="64">
        <f>IFERROR(VLOOKUP(Tabelle32[[#This Row],[Device ID]],BOM!$B$3:$BO$50,22,FALSE),"")</f>
        <v>0</v>
      </c>
      <c r="S401" s="64"/>
      <c r="T401" s="64"/>
      <c r="U401" s="59" t="str">
        <f>IFERROR(VLOOKUP(Tabelle32[[#This Row],[Device ID]],BOM!$B$3:$BQ$35,25,FALSE),"")</f>
        <v>Luis/Ivo</v>
      </c>
      <c r="V401" s="59" t="str">
        <f>IFERROR(VLOOKUP(Tabelle32[[#This Row],[Device ID]],BOM!$B$3:$BQ$35,26,FALSE),"")</f>
        <v>tpco-megw-vgw103.rta.st-net.media.int</v>
      </c>
      <c r="W401" s="59" t="str">
        <f>IFERROR(VLOOKUP(Tabelle32[[#This Row],[Device ID]],BOM!$B$3:$BQ$35,27,FALSE),"")</f>
        <v>10.120.236.50</v>
      </c>
      <c r="X401" s="59" t="str">
        <f>IFERROR(VLOOKUP(Tabelle32[[#This Row],[Device ID]],BOM!$B$3:$BQ$35,28,FALSE),"")</f>
        <v>AVCoreA</v>
      </c>
      <c r="Y401" s="59" t="str">
        <f>IFERROR(VLOOKUP(Tabelle32[[#This Row],[Device ID]],BOM!$B$3:$BQ$35,29,FALSE),"")</f>
        <v>5_36_1</v>
      </c>
      <c r="Z401" s="59" t="str">
        <f>IFERROR(VLOOKUP(Tabelle32[[#This Row],[Device ID]],BOM!$B$3:$BQ$35,30,FALSE),"")</f>
        <v>tpco-megw-vgw103.rtb.st-net.media.int</v>
      </c>
      <c r="AA401" s="59" t="str">
        <f>IFERROR(VLOOKUP(Tabelle32[[#This Row],[Device ID]],BOM!$B$3:$BQ$35,31,FALSE),"")</f>
        <v>10.120.236.54</v>
      </c>
      <c r="AB401" s="59" t="str">
        <f>IFERROR(VLOOKUP(Tabelle32[[#This Row],[Device ID]],BOM!$B$3:$BQ$35,32,FALSE),"")</f>
        <v>AVCoreB</v>
      </c>
      <c r="AC401" s="59" t="str">
        <f>IFERROR(VLOOKUP(Tabelle32[[#This Row],[Device ID]],BOM!$B$3:$BQ$35,33,FALSE),"")</f>
        <v>5_36_1</v>
      </c>
      <c r="AD401" s="59" t="str">
        <f>IFERROR(VLOOKUP(Tabelle32[[#This Row],[Device ID]],BOM!$B$3:$BQ$35,34,FALSE),"")</f>
        <v>tpco-megw-vgw103.st-net.media.int</v>
      </c>
      <c r="AE401" s="59" t="str">
        <f>IFERROR(VLOOKUP(Tabelle32[[#This Row],[Device ID]],BOM!$B$3:$BQ$35,35,FALSE),"")</f>
        <v>10.120.67.141</v>
      </c>
      <c r="AF401" s="59">
        <f>IFERROR(VLOOKUP(Tabelle32[[#This Row],[Device ID]],BOM!$B$3:$BQ$35,36,FALSE),"")</f>
        <v>0</v>
      </c>
      <c r="AG401" s="59">
        <f>IFERROR(VLOOKUP(Tabelle32[[#This Row],[Device ID]],BOM!$B$3:$BQ$35,37,FALSE),"")</f>
        <v>0</v>
      </c>
      <c r="AH401" s="59"/>
      <c r="AI401" s="59"/>
      <c r="AJ401" s="59"/>
      <c r="AK401" s="59"/>
      <c r="AL401" s="59" t="str">
        <f>IFERROR(VLOOKUP(Tabelle32[[#This Row],[Device ID]],BOM!$B$3:$BQ$35,42,FALSE),"")</f>
        <v>Imagine Communications SNP</v>
      </c>
      <c r="AM401" s="59" t="str">
        <f>IFERROR(VLOOKUP(Tabelle32[[#This Row],[Device ID]],BOM!$B$3:$BQ$35,43,FALSE),"")</f>
        <v>no</v>
      </c>
      <c r="AN401" s="59" t="str">
        <f>IFERROR(VLOOKUP(Tabelle32[[#This Row],[Device ID]],BOM!$B$3:$BQ$35,44,FALSE),"")</f>
        <v>yes</v>
      </c>
      <c r="AO401" s="59" t="str">
        <f>IFERROR(VLOOKUP(Tabelle32[[#This Row],[Device ID]],BOM!$B$3:$BQ$35,45,FALSE),"")</f>
        <v>no</v>
      </c>
      <c r="AP401" s="59" t="str">
        <f>IFERROR(CONCATENATE(Tabelle32[[#This Row],[Family
GFX-Unit]]," | ",Tabelle32[[#This Row],[Label 1
GFX-Unit]]," | ",Tabelle32[[#This Row],[Attached Device if Gateway]]),"")</f>
        <v>MEDEM Edits Out | Out Edit09 | EditPC-09 OUT</v>
      </c>
      <c r="AQ401" s="59"/>
      <c r="AR401" s="96" t="s">
        <v>97</v>
      </c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73" t="s">
        <v>199</v>
      </c>
      <c r="BI401" s="30" t="str">
        <f>IF(COUNTA(Tabelle32[[#This Row],[Type:Vid_1080i50]:[Type:Anc_Prot]])&gt;0,"x","")</f>
        <v>x</v>
      </c>
      <c r="BJ40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401" s="59"/>
      <c r="BL401" s="59"/>
      <c r="BM401" s="63"/>
      <c r="BN401" s="63"/>
      <c r="BO401" s="97" t="s">
        <v>732</v>
      </c>
      <c r="BP401" s="97" t="s">
        <v>830</v>
      </c>
      <c r="BQ401" s="75">
        <f>LEN(Tabelle32[[#This Row],[Label 1
GFX-Unit]])</f>
        <v>10</v>
      </c>
      <c r="BR401" s="63"/>
      <c r="BS401" s="63"/>
      <c r="BT401" s="59"/>
      <c r="BU401" s="59"/>
      <c r="BV401" s="59" t="s">
        <v>272</v>
      </c>
      <c r="BW401" s="59" t="s">
        <v>273</v>
      </c>
      <c r="BX401" s="59" t="s">
        <v>831</v>
      </c>
      <c r="BY401" s="59">
        <v>19</v>
      </c>
    </row>
    <row r="402" spans="1:77" x14ac:dyDescent="0.2">
      <c r="A402" s="58" t="str">
        <f>CONCATENATE(Tabelle32[[#This Row],[Device ID]],".",Tabelle32[[#This Row],[Streamcounter]])</f>
        <v>397.20301</v>
      </c>
      <c r="B40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VGW-103_SDI20_ANCsend_0001</v>
      </c>
      <c r="C402" s="60"/>
      <c r="D402" s="61"/>
      <c r="E402" s="62"/>
      <c r="F402" s="59" t="str">
        <f>IFERROR(VLOOKUP(Tabelle32[[#This Row],[Device ID]],BOM!$B$3:$BQ$35,16,FALSE),"")</f>
        <v>EditPC-10 OUT</v>
      </c>
      <c r="G402" s="63">
        <f>VLOOKUP(Tabelle32[[#This Row],[SDI Interface]],BOM!$A$4:$B$35,2,FALSE)</f>
        <v>397</v>
      </c>
      <c r="H402" s="59" t="str">
        <f>BOM!$C$4</f>
        <v>VGW-103</v>
      </c>
      <c r="I402" s="59" t="str">
        <f>IFERROR(VLOOKUP(Tabelle32[[#This Row],[Device ID]],BOM!$B$3:$BQ$35,12,FALSE),"")</f>
        <v>Edit Suite</v>
      </c>
      <c r="J402" s="59" t="str">
        <f>IFERROR(VLOOKUP(Tabelle32[[#This Row],[Device ID]],BOM!$B$3:$BQ$35,13,FALSE),"")</f>
        <v>TC.U1.223 | MDC</v>
      </c>
      <c r="K402" s="59" t="str">
        <f>IFERROR(VLOOKUP(Tabelle32[[#This Row],[Device ID]],BOM!$B$3:$BQ$35,14,FALSE),"")</f>
        <v>Imagine Comunications</v>
      </c>
      <c r="L402" s="59" t="str">
        <f>IFERROR(VLOOKUP(Tabelle32[[#This Row],[Device ID]],BOM!$B$3:$BQ$35,16,FALSE),"")</f>
        <v>EditPC-10 OUT</v>
      </c>
      <c r="M402" s="63" t="str">
        <f>IFERROR(VLOOKUP(Tabelle32[[#This Row],[Device ID]],BOM!$B$3:$BQ$35,17,FALSE),"")</f>
        <v>EDIT SUITE 10</v>
      </c>
      <c r="N402" s="59" t="str">
        <f>IFERROR(VLOOKUP(Tabelle32[[#This Row],[Device ID]],BOM!$B$3:$BQ$35,18,FALSE),"")</f>
        <v>TC.03.017 | Edit 10</v>
      </c>
      <c r="O402" s="64"/>
      <c r="P402" s="64">
        <f>IFERROR(VLOOKUP(Tabelle32[[#This Row],[Device ID]],BOM!$B$3:$BO$50,20,FALSE),"")</f>
        <v>0</v>
      </c>
      <c r="Q402" s="64">
        <f>IFERROR(VLOOKUP(Tabelle32[[#This Row],[Device ID]],BOM!$B$3:$BO$50,21,FALSE),"")</f>
        <v>1</v>
      </c>
      <c r="R402" s="64">
        <f>IFERROR(VLOOKUP(Tabelle32[[#This Row],[Device ID]],BOM!$B$3:$BO$50,22,FALSE),"")</f>
        <v>0</v>
      </c>
      <c r="S402" s="64"/>
      <c r="T402" s="64"/>
      <c r="U402" s="59" t="str">
        <f>IFERROR(VLOOKUP(Tabelle32[[#This Row],[Device ID]],BOM!$B$3:$BQ$35,25,FALSE),"")</f>
        <v>Luis/Ivo</v>
      </c>
      <c r="V402" s="59" t="str">
        <f>IFERROR(VLOOKUP(Tabelle32[[#This Row],[Device ID]],BOM!$B$3:$BQ$35,26,FALSE),"")</f>
        <v>tpco-megw-vgw103.rta.st-net.media.int</v>
      </c>
      <c r="W402" s="59" t="str">
        <f>IFERROR(VLOOKUP(Tabelle32[[#This Row],[Device ID]],BOM!$B$3:$BQ$35,27,FALSE),"")</f>
        <v>10.120.236.50</v>
      </c>
      <c r="X402" s="59" t="str">
        <f>IFERROR(VLOOKUP(Tabelle32[[#This Row],[Device ID]],BOM!$B$3:$BQ$35,28,FALSE),"")</f>
        <v>AVCoreA</v>
      </c>
      <c r="Y402" s="59" t="str">
        <f>IFERROR(VLOOKUP(Tabelle32[[#This Row],[Device ID]],BOM!$B$3:$BQ$35,29,FALSE),"")</f>
        <v>5_36_1</v>
      </c>
      <c r="Z402" s="59" t="str">
        <f>IFERROR(VLOOKUP(Tabelle32[[#This Row],[Device ID]],BOM!$B$3:$BQ$35,30,FALSE),"")</f>
        <v>tpco-megw-vgw103.rtb.st-net.media.int</v>
      </c>
      <c r="AA402" s="59" t="str">
        <f>IFERROR(VLOOKUP(Tabelle32[[#This Row],[Device ID]],BOM!$B$3:$BQ$35,31,FALSE),"")</f>
        <v>10.120.236.54</v>
      </c>
      <c r="AB402" s="59" t="str">
        <f>IFERROR(VLOOKUP(Tabelle32[[#This Row],[Device ID]],BOM!$B$3:$BQ$35,32,FALSE),"")</f>
        <v>AVCoreB</v>
      </c>
      <c r="AC402" s="59" t="str">
        <f>IFERROR(VLOOKUP(Tabelle32[[#This Row],[Device ID]],BOM!$B$3:$BQ$35,33,FALSE),"")</f>
        <v>5_36_1</v>
      </c>
      <c r="AD402" s="59" t="str">
        <f>IFERROR(VLOOKUP(Tabelle32[[#This Row],[Device ID]],BOM!$B$3:$BQ$35,34,FALSE),"")</f>
        <v>tpco-megw-vgw103.st-net.media.int</v>
      </c>
      <c r="AE402" s="59" t="str">
        <f>IFERROR(VLOOKUP(Tabelle32[[#This Row],[Device ID]],BOM!$B$3:$BQ$35,35,FALSE),"")</f>
        <v>10.120.67.141</v>
      </c>
      <c r="AF402" s="59">
        <f>IFERROR(VLOOKUP(Tabelle32[[#This Row],[Device ID]],BOM!$B$3:$BQ$35,36,FALSE),"")</f>
        <v>0</v>
      </c>
      <c r="AG402" s="59">
        <f>IFERROR(VLOOKUP(Tabelle32[[#This Row],[Device ID]],BOM!$B$3:$BQ$35,37,FALSE),"")</f>
        <v>0</v>
      </c>
      <c r="AH402" s="59"/>
      <c r="AI402" s="59"/>
      <c r="AJ402" s="59"/>
      <c r="AK402" s="59"/>
      <c r="AL402" s="59" t="str">
        <f>IFERROR(VLOOKUP(Tabelle32[[#This Row],[Device ID]],BOM!$B$3:$BQ$35,42,FALSE),"")</f>
        <v>Imagine Communications SNP</v>
      </c>
      <c r="AM402" s="59" t="str">
        <f>IFERROR(VLOOKUP(Tabelle32[[#This Row],[Device ID]],BOM!$B$3:$BQ$35,43,FALSE),"")</f>
        <v>no</v>
      </c>
      <c r="AN402" s="59" t="str">
        <f>IFERROR(VLOOKUP(Tabelle32[[#This Row],[Device ID]],BOM!$B$3:$BQ$35,44,FALSE),"")</f>
        <v>yes</v>
      </c>
      <c r="AO402" s="59" t="str">
        <f>IFERROR(VLOOKUP(Tabelle32[[#This Row],[Device ID]],BOM!$B$3:$BQ$35,45,FALSE),"")</f>
        <v>no</v>
      </c>
      <c r="AP402" s="59" t="str">
        <f>IFERROR(CONCATENATE(Tabelle32[[#This Row],[Family
GFX-Unit]]," | ",Tabelle32[[#This Row],[Label 1
GFX-Unit]]," | ",Tabelle32[[#This Row],[Attached Device if Gateway]]),"")</f>
        <v>MEDEM Edits Out | Out Edit10-ANC1 | EditPC-10 OUT</v>
      </c>
      <c r="AQ402" s="5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 t="s">
        <v>97</v>
      </c>
      <c r="BH402" s="73" t="s">
        <v>199</v>
      </c>
      <c r="BI402" s="30" t="str">
        <f>IF(COUNTA(Tabelle32[[#This Row],[Type:Vid_1080i50]:[Type:Anc_Prot]])&gt;0,"x","")</f>
        <v>x</v>
      </c>
      <c r="BJ40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402" s="59"/>
      <c r="BL402" s="59"/>
      <c r="BM402" s="63"/>
      <c r="BN402" s="63"/>
      <c r="BO402" s="97" t="s">
        <v>732</v>
      </c>
      <c r="BP402" s="97" t="s">
        <v>832</v>
      </c>
      <c r="BQ402" s="75">
        <f>LEN(Tabelle32[[#This Row],[Label 1
GFX-Unit]])</f>
        <v>15</v>
      </c>
      <c r="BR402" s="63"/>
      <c r="BS402" s="63"/>
      <c r="BT402" s="59"/>
      <c r="BU402" s="59"/>
      <c r="BV402" s="59" t="s">
        <v>202</v>
      </c>
      <c r="BW402" s="59" t="s">
        <v>203</v>
      </c>
      <c r="BX402" s="59" t="s">
        <v>833</v>
      </c>
      <c r="BY402" s="59">
        <v>20</v>
      </c>
    </row>
    <row r="403" spans="1:77" hidden="1" x14ac:dyDescent="0.2">
      <c r="A403" s="58" t="str">
        <f>CONCATENATE(Tabelle32[[#This Row],[Device ID]],".",Tabelle32[[#This Row],[Streamcounter]])</f>
        <v>397.20302</v>
      </c>
      <c r="B40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VGW-103_SDI20_ANCsend_0002</v>
      </c>
      <c r="C403" s="60"/>
      <c r="D403" s="61"/>
      <c r="E403" s="62"/>
      <c r="F403" s="59" t="str">
        <f>IFERROR(VLOOKUP(Tabelle32[[#This Row],[Device ID]],BOM!$B$3:$BQ$35,16,FALSE),"")</f>
        <v>EditPC-10 OUT</v>
      </c>
      <c r="G403" s="63">
        <f>VLOOKUP(Tabelle32[[#This Row],[SDI Interface]],BOM!$A$4:$B$35,2,FALSE)</f>
        <v>397</v>
      </c>
      <c r="H403" s="59" t="str">
        <f>BOM!$C$4</f>
        <v>VGW-103</v>
      </c>
      <c r="I403" s="59" t="str">
        <f>IFERROR(VLOOKUP(Tabelle32[[#This Row],[Device ID]],BOM!$B$3:$BQ$35,12,FALSE),"")</f>
        <v>Edit Suite</v>
      </c>
      <c r="J403" s="59" t="str">
        <f>IFERROR(VLOOKUP(Tabelle32[[#This Row],[Device ID]],BOM!$B$3:$BQ$35,13,FALSE),"")</f>
        <v>TC.U1.223 | MDC</v>
      </c>
      <c r="K403" s="59" t="str">
        <f>IFERROR(VLOOKUP(Tabelle32[[#This Row],[Device ID]],BOM!$B$3:$BQ$35,14,FALSE),"")</f>
        <v>Imagine Comunications</v>
      </c>
      <c r="L403" s="59" t="str">
        <f>IFERROR(VLOOKUP(Tabelle32[[#This Row],[Device ID]],BOM!$B$3:$BQ$35,16,FALSE),"")</f>
        <v>EditPC-10 OUT</v>
      </c>
      <c r="M403" s="63" t="str">
        <f>IFERROR(VLOOKUP(Tabelle32[[#This Row],[Device ID]],BOM!$B$3:$BQ$35,17,FALSE),"")</f>
        <v>EDIT SUITE 10</v>
      </c>
      <c r="N403" s="59" t="str">
        <f>IFERROR(VLOOKUP(Tabelle32[[#This Row],[Device ID]],BOM!$B$3:$BQ$35,18,FALSE),"")</f>
        <v>TC.03.017 | Edit 10</v>
      </c>
      <c r="O403" s="64"/>
      <c r="P403" s="64">
        <f>IFERROR(VLOOKUP(Tabelle32[[#This Row],[Device ID]],BOM!$B$3:$BO$50,20,FALSE),"")</f>
        <v>0</v>
      </c>
      <c r="Q403" s="64">
        <f>IFERROR(VLOOKUP(Tabelle32[[#This Row],[Device ID]],BOM!$B$3:$BO$50,21,FALSE),"")</f>
        <v>1</v>
      </c>
      <c r="R403" s="64">
        <f>IFERROR(VLOOKUP(Tabelle32[[#This Row],[Device ID]],BOM!$B$3:$BO$50,22,FALSE),"")</f>
        <v>0</v>
      </c>
      <c r="S403" s="64"/>
      <c r="T403" s="64"/>
      <c r="U403" s="59" t="str">
        <f>IFERROR(VLOOKUP(Tabelle32[[#This Row],[Device ID]],BOM!$B$3:$BQ$35,25,FALSE),"")</f>
        <v>Luis/Ivo</v>
      </c>
      <c r="V403" s="59" t="str">
        <f>IFERROR(VLOOKUP(Tabelle32[[#This Row],[Device ID]],BOM!$B$3:$BQ$35,26,FALSE),"")</f>
        <v>tpco-megw-vgw103.rta.st-net.media.int</v>
      </c>
      <c r="W403" s="59" t="str">
        <f>IFERROR(VLOOKUP(Tabelle32[[#This Row],[Device ID]],BOM!$B$3:$BQ$35,27,FALSE),"")</f>
        <v>10.120.236.50</v>
      </c>
      <c r="X403" s="59" t="str">
        <f>IFERROR(VLOOKUP(Tabelle32[[#This Row],[Device ID]],BOM!$B$3:$BQ$35,28,FALSE),"")</f>
        <v>AVCoreA</v>
      </c>
      <c r="Y403" s="59" t="str">
        <f>IFERROR(VLOOKUP(Tabelle32[[#This Row],[Device ID]],BOM!$B$3:$BQ$35,29,FALSE),"")</f>
        <v>5_36_1</v>
      </c>
      <c r="Z403" s="59" t="str">
        <f>IFERROR(VLOOKUP(Tabelle32[[#This Row],[Device ID]],BOM!$B$3:$BQ$35,30,FALSE),"")</f>
        <v>tpco-megw-vgw103.rtb.st-net.media.int</v>
      </c>
      <c r="AA403" s="59" t="str">
        <f>IFERROR(VLOOKUP(Tabelle32[[#This Row],[Device ID]],BOM!$B$3:$BQ$35,31,FALSE),"")</f>
        <v>10.120.236.54</v>
      </c>
      <c r="AB403" s="59" t="str">
        <f>IFERROR(VLOOKUP(Tabelle32[[#This Row],[Device ID]],BOM!$B$3:$BQ$35,32,FALSE),"")</f>
        <v>AVCoreB</v>
      </c>
      <c r="AC403" s="59" t="str">
        <f>IFERROR(VLOOKUP(Tabelle32[[#This Row],[Device ID]],BOM!$B$3:$BQ$35,33,FALSE),"")</f>
        <v>5_36_1</v>
      </c>
      <c r="AD403" s="59" t="str">
        <f>IFERROR(VLOOKUP(Tabelle32[[#This Row],[Device ID]],BOM!$B$3:$BQ$35,34,FALSE),"")</f>
        <v>tpco-megw-vgw103.st-net.media.int</v>
      </c>
      <c r="AE403" s="59" t="str">
        <f>IFERROR(VLOOKUP(Tabelle32[[#This Row],[Device ID]],BOM!$B$3:$BQ$35,35,FALSE),"")</f>
        <v>10.120.67.141</v>
      </c>
      <c r="AF403" s="59">
        <f>IFERROR(VLOOKUP(Tabelle32[[#This Row],[Device ID]],BOM!$B$3:$BQ$35,36,FALSE),"")</f>
        <v>0</v>
      </c>
      <c r="AG403" s="59">
        <f>IFERROR(VLOOKUP(Tabelle32[[#This Row],[Device ID]],BOM!$B$3:$BQ$35,37,FALSE),"")</f>
        <v>0</v>
      </c>
      <c r="AH403" s="59"/>
      <c r="AI403" s="59"/>
      <c r="AJ403" s="59"/>
      <c r="AK403" s="59"/>
      <c r="AL403" s="59" t="str">
        <f>IFERROR(VLOOKUP(Tabelle32[[#This Row],[Device ID]],BOM!$B$3:$BQ$35,42,FALSE),"")</f>
        <v>Imagine Communications SNP</v>
      </c>
      <c r="AM403" s="59" t="str">
        <f>IFERROR(VLOOKUP(Tabelle32[[#This Row],[Device ID]],BOM!$B$3:$BQ$35,43,FALSE),"")</f>
        <v>no</v>
      </c>
      <c r="AN403" s="59" t="str">
        <f>IFERROR(VLOOKUP(Tabelle32[[#This Row],[Device ID]],BOM!$B$3:$BQ$35,44,FALSE),"")</f>
        <v>yes</v>
      </c>
      <c r="AO403" s="59" t="str">
        <f>IFERROR(VLOOKUP(Tabelle32[[#This Row],[Device ID]],BOM!$B$3:$BQ$35,45,FALSE),"")</f>
        <v>no</v>
      </c>
      <c r="AP403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03" s="59"/>
      <c r="AR403" s="90"/>
      <c r="AS403" s="90"/>
      <c r="AT403" s="90"/>
      <c r="AU403" s="90"/>
      <c r="AV403" s="90"/>
      <c r="AW403" s="90"/>
      <c r="AX403" s="90"/>
      <c r="AY403" s="90"/>
      <c r="AZ403" s="90"/>
      <c r="BA403" s="90"/>
      <c r="BB403" s="90"/>
      <c r="BC403" s="90"/>
      <c r="BD403" s="90"/>
      <c r="BE403" s="90"/>
      <c r="BF403" s="90"/>
      <c r="BG403" s="90"/>
      <c r="BH403" s="73" t="s">
        <v>199</v>
      </c>
      <c r="BI403" s="30" t="str">
        <f>IF(COUNTA(Tabelle32[[#This Row],[Type:Vid_1080i50]:[Type:Anc_Prot]])&gt;0,"x","")</f>
        <v/>
      </c>
      <c r="BJ40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03" s="59"/>
      <c r="BL403" s="59"/>
      <c r="BM403" s="63"/>
      <c r="BN403" s="63"/>
      <c r="BO403" s="96"/>
      <c r="BP403" s="96"/>
      <c r="BQ403" s="75">
        <f>LEN(Tabelle32[[#This Row],[Label 1
GFX-Unit]])</f>
        <v>0</v>
      </c>
      <c r="BR403" s="63"/>
      <c r="BS403" s="63"/>
      <c r="BT403" s="59"/>
      <c r="BU403" s="59"/>
      <c r="BV403" s="59" t="s">
        <v>205</v>
      </c>
      <c r="BW403" s="59" t="s">
        <v>206</v>
      </c>
      <c r="BX403" s="59" t="s">
        <v>834</v>
      </c>
      <c r="BY403" s="59">
        <v>20</v>
      </c>
    </row>
    <row r="404" spans="1:77" hidden="1" x14ac:dyDescent="0.2">
      <c r="A404" s="58" t="str">
        <f>CONCATENATE(Tabelle32[[#This Row],[Device ID]],".",Tabelle32[[#This Row],[Streamcounter]])</f>
        <v>397.20303</v>
      </c>
      <c r="B40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VGW-103_SDI20_ANCsend_0003</v>
      </c>
      <c r="C404" s="60"/>
      <c r="D404" s="61"/>
      <c r="E404" s="62"/>
      <c r="F404" s="59" t="str">
        <f>IFERROR(VLOOKUP(Tabelle32[[#This Row],[Device ID]],BOM!$B$3:$BQ$35,16,FALSE),"")</f>
        <v>EditPC-10 OUT</v>
      </c>
      <c r="G404" s="63">
        <f>VLOOKUP(Tabelle32[[#This Row],[SDI Interface]],BOM!$A$4:$B$35,2,FALSE)</f>
        <v>397</v>
      </c>
      <c r="H404" s="59" t="str">
        <f>BOM!$C$4</f>
        <v>VGW-103</v>
      </c>
      <c r="I404" s="59" t="str">
        <f>IFERROR(VLOOKUP(Tabelle32[[#This Row],[Device ID]],BOM!$B$3:$BQ$35,12,FALSE),"")</f>
        <v>Edit Suite</v>
      </c>
      <c r="J404" s="59" t="str">
        <f>IFERROR(VLOOKUP(Tabelle32[[#This Row],[Device ID]],BOM!$B$3:$BQ$35,13,FALSE),"")</f>
        <v>TC.U1.223 | MDC</v>
      </c>
      <c r="K404" s="59" t="str">
        <f>IFERROR(VLOOKUP(Tabelle32[[#This Row],[Device ID]],BOM!$B$3:$BQ$35,14,FALSE),"")</f>
        <v>Imagine Comunications</v>
      </c>
      <c r="L404" s="59" t="str">
        <f>IFERROR(VLOOKUP(Tabelle32[[#This Row],[Device ID]],BOM!$B$3:$BQ$35,16,FALSE),"")</f>
        <v>EditPC-10 OUT</v>
      </c>
      <c r="M404" s="63" t="str">
        <f>IFERROR(VLOOKUP(Tabelle32[[#This Row],[Device ID]],BOM!$B$3:$BQ$35,17,FALSE),"")</f>
        <v>EDIT SUITE 10</v>
      </c>
      <c r="N404" s="59" t="str">
        <f>IFERROR(VLOOKUP(Tabelle32[[#This Row],[Device ID]],BOM!$B$3:$BQ$35,18,FALSE),"")</f>
        <v>TC.03.017 | Edit 10</v>
      </c>
      <c r="O404" s="64"/>
      <c r="P404" s="64">
        <f>IFERROR(VLOOKUP(Tabelle32[[#This Row],[Device ID]],BOM!$B$3:$BO$50,20,FALSE),"")</f>
        <v>0</v>
      </c>
      <c r="Q404" s="64">
        <f>IFERROR(VLOOKUP(Tabelle32[[#This Row],[Device ID]],BOM!$B$3:$BO$50,21,FALSE),"")</f>
        <v>1</v>
      </c>
      <c r="R404" s="64">
        <f>IFERROR(VLOOKUP(Tabelle32[[#This Row],[Device ID]],BOM!$B$3:$BO$50,22,FALSE),"")</f>
        <v>0</v>
      </c>
      <c r="S404" s="64"/>
      <c r="T404" s="64"/>
      <c r="U404" s="59" t="str">
        <f>IFERROR(VLOOKUP(Tabelle32[[#This Row],[Device ID]],BOM!$B$3:$BQ$35,25,FALSE),"")</f>
        <v>Luis/Ivo</v>
      </c>
      <c r="V404" s="59" t="str">
        <f>IFERROR(VLOOKUP(Tabelle32[[#This Row],[Device ID]],BOM!$B$3:$BQ$35,26,FALSE),"")</f>
        <v>tpco-megw-vgw103.rta.st-net.media.int</v>
      </c>
      <c r="W404" s="59" t="str">
        <f>IFERROR(VLOOKUP(Tabelle32[[#This Row],[Device ID]],BOM!$B$3:$BQ$35,27,FALSE),"")</f>
        <v>10.120.236.50</v>
      </c>
      <c r="X404" s="59" t="str">
        <f>IFERROR(VLOOKUP(Tabelle32[[#This Row],[Device ID]],BOM!$B$3:$BQ$35,28,FALSE),"")</f>
        <v>AVCoreA</v>
      </c>
      <c r="Y404" s="59" t="str">
        <f>IFERROR(VLOOKUP(Tabelle32[[#This Row],[Device ID]],BOM!$B$3:$BQ$35,29,FALSE),"")</f>
        <v>5_36_1</v>
      </c>
      <c r="Z404" s="59" t="str">
        <f>IFERROR(VLOOKUP(Tabelle32[[#This Row],[Device ID]],BOM!$B$3:$BQ$35,30,FALSE),"")</f>
        <v>tpco-megw-vgw103.rtb.st-net.media.int</v>
      </c>
      <c r="AA404" s="59" t="str">
        <f>IFERROR(VLOOKUP(Tabelle32[[#This Row],[Device ID]],BOM!$B$3:$BQ$35,31,FALSE),"")</f>
        <v>10.120.236.54</v>
      </c>
      <c r="AB404" s="59" t="str">
        <f>IFERROR(VLOOKUP(Tabelle32[[#This Row],[Device ID]],BOM!$B$3:$BQ$35,32,FALSE),"")</f>
        <v>AVCoreB</v>
      </c>
      <c r="AC404" s="59" t="str">
        <f>IFERROR(VLOOKUP(Tabelle32[[#This Row],[Device ID]],BOM!$B$3:$BQ$35,33,FALSE),"")</f>
        <v>5_36_1</v>
      </c>
      <c r="AD404" s="59" t="str">
        <f>IFERROR(VLOOKUP(Tabelle32[[#This Row],[Device ID]],BOM!$B$3:$BQ$35,34,FALSE),"")</f>
        <v>tpco-megw-vgw103.st-net.media.int</v>
      </c>
      <c r="AE404" s="59" t="str">
        <f>IFERROR(VLOOKUP(Tabelle32[[#This Row],[Device ID]],BOM!$B$3:$BQ$35,35,FALSE),"")</f>
        <v>10.120.67.141</v>
      </c>
      <c r="AF404" s="59">
        <f>IFERROR(VLOOKUP(Tabelle32[[#This Row],[Device ID]],BOM!$B$3:$BQ$35,36,FALSE),"")</f>
        <v>0</v>
      </c>
      <c r="AG404" s="59">
        <f>IFERROR(VLOOKUP(Tabelle32[[#This Row],[Device ID]],BOM!$B$3:$BQ$35,37,FALSE),"")</f>
        <v>0</v>
      </c>
      <c r="AH404" s="59"/>
      <c r="AI404" s="59"/>
      <c r="AJ404" s="59"/>
      <c r="AK404" s="59"/>
      <c r="AL404" s="59" t="str">
        <f>IFERROR(VLOOKUP(Tabelle32[[#This Row],[Device ID]],BOM!$B$3:$BQ$35,42,FALSE),"")</f>
        <v>Imagine Communications SNP</v>
      </c>
      <c r="AM404" s="59" t="str">
        <f>IFERROR(VLOOKUP(Tabelle32[[#This Row],[Device ID]],BOM!$B$3:$BQ$35,43,FALSE),"")</f>
        <v>no</v>
      </c>
      <c r="AN404" s="59" t="str">
        <f>IFERROR(VLOOKUP(Tabelle32[[#This Row],[Device ID]],BOM!$B$3:$BQ$35,44,FALSE),"")</f>
        <v>yes</v>
      </c>
      <c r="AO404" s="59" t="str">
        <f>IFERROR(VLOOKUP(Tabelle32[[#This Row],[Device ID]],BOM!$B$3:$BQ$35,45,FALSE),"")</f>
        <v>no</v>
      </c>
      <c r="AP404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04" s="59"/>
      <c r="AR404" s="90"/>
      <c r="AS404" s="90"/>
      <c r="AT404" s="90"/>
      <c r="AU404" s="90"/>
      <c r="AV404" s="90"/>
      <c r="AW404" s="90"/>
      <c r="AX404" s="90"/>
      <c r="AY404" s="90"/>
      <c r="AZ404" s="90"/>
      <c r="BA404" s="90"/>
      <c r="BB404" s="90"/>
      <c r="BC404" s="90"/>
      <c r="BD404" s="90"/>
      <c r="BE404" s="90"/>
      <c r="BF404" s="90"/>
      <c r="BG404" s="90"/>
      <c r="BH404" s="73" t="s">
        <v>199</v>
      </c>
      <c r="BI404" s="30" t="str">
        <f>IF(COUNTA(Tabelle32[[#This Row],[Type:Vid_1080i50]:[Type:Anc_Prot]])&gt;0,"x","")</f>
        <v/>
      </c>
      <c r="BJ40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04" s="59"/>
      <c r="BL404" s="59"/>
      <c r="BM404" s="63"/>
      <c r="BN404" s="63"/>
      <c r="BO404" s="96"/>
      <c r="BP404" s="96"/>
      <c r="BQ404" s="75">
        <f>LEN(Tabelle32[[#This Row],[Label 1
GFX-Unit]])</f>
        <v>0</v>
      </c>
      <c r="BR404" s="63"/>
      <c r="BS404" s="63"/>
      <c r="BT404" s="59"/>
      <c r="BU404" s="59"/>
      <c r="BV404" s="59" t="s">
        <v>208</v>
      </c>
      <c r="BW404" s="59" t="s">
        <v>209</v>
      </c>
      <c r="BX404" s="59" t="s">
        <v>835</v>
      </c>
      <c r="BY404" s="59">
        <v>20</v>
      </c>
    </row>
    <row r="405" spans="1:77" hidden="1" x14ac:dyDescent="0.2">
      <c r="A405" s="58" t="str">
        <f>CONCATENATE(Tabelle32[[#This Row],[Device ID]],".",Tabelle32[[#This Row],[Streamcounter]])</f>
        <v>397.20304</v>
      </c>
      <c r="B40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VGW-103_SDI20_ANCsend_0004</v>
      </c>
      <c r="C405" s="60"/>
      <c r="D405" s="61"/>
      <c r="E405" s="62"/>
      <c r="F405" s="59" t="str">
        <f>IFERROR(VLOOKUP(Tabelle32[[#This Row],[Device ID]],BOM!$B$3:$BQ$35,16,FALSE),"")</f>
        <v>EditPC-10 OUT</v>
      </c>
      <c r="G405" s="63">
        <f>VLOOKUP(Tabelle32[[#This Row],[SDI Interface]],BOM!$A$4:$B$35,2,FALSE)</f>
        <v>397</v>
      </c>
      <c r="H405" s="59" t="str">
        <f>BOM!$C$4</f>
        <v>VGW-103</v>
      </c>
      <c r="I405" s="59" t="str">
        <f>IFERROR(VLOOKUP(Tabelle32[[#This Row],[Device ID]],BOM!$B$3:$BQ$35,12,FALSE),"")</f>
        <v>Edit Suite</v>
      </c>
      <c r="J405" s="59" t="str">
        <f>IFERROR(VLOOKUP(Tabelle32[[#This Row],[Device ID]],BOM!$B$3:$BQ$35,13,FALSE),"")</f>
        <v>TC.U1.223 | MDC</v>
      </c>
      <c r="K405" s="59" t="str">
        <f>IFERROR(VLOOKUP(Tabelle32[[#This Row],[Device ID]],BOM!$B$3:$BQ$35,14,FALSE),"")</f>
        <v>Imagine Comunications</v>
      </c>
      <c r="L405" s="59" t="str">
        <f>IFERROR(VLOOKUP(Tabelle32[[#This Row],[Device ID]],BOM!$B$3:$BQ$35,16,FALSE),"")</f>
        <v>EditPC-10 OUT</v>
      </c>
      <c r="M405" s="63" t="str">
        <f>IFERROR(VLOOKUP(Tabelle32[[#This Row],[Device ID]],BOM!$B$3:$BQ$35,17,FALSE),"")</f>
        <v>EDIT SUITE 10</v>
      </c>
      <c r="N405" s="59" t="str">
        <f>IFERROR(VLOOKUP(Tabelle32[[#This Row],[Device ID]],BOM!$B$3:$BQ$35,18,FALSE),"")</f>
        <v>TC.03.017 | Edit 10</v>
      </c>
      <c r="O405" s="64"/>
      <c r="P405" s="64">
        <f>IFERROR(VLOOKUP(Tabelle32[[#This Row],[Device ID]],BOM!$B$3:$BO$50,20,FALSE),"")</f>
        <v>0</v>
      </c>
      <c r="Q405" s="64">
        <f>IFERROR(VLOOKUP(Tabelle32[[#This Row],[Device ID]],BOM!$B$3:$BO$50,21,FALSE),"")</f>
        <v>1</v>
      </c>
      <c r="R405" s="64">
        <f>IFERROR(VLOOKUP(Tabelle32[[#This Row],[Device ID]],BOM!$B$3:$BO$50,22,FALSE),"")</f>
        <v>0</v>
      </c>
      <c r="S405" s="64"/>
      <c r="T405" s="64"/>
      <c r="U405" s="59" t="str">
        <f>IFERROR(VLOOKUP(Tabelle32[[#This Row],[Device ID]],BOM!$B$3:$BQ$35,25,FALSE),"")</f>
        <v>Luis/Ivo</v>
      </c>
      <c r="V405" s="59" t="str">
        <f>IFERROR(VLOOKUP(Tabelle32[[#This Row],[Device ID]],BOM!$B$3:$BQ$35,26,FALSE),"")</f>
        <v>tpco-megw-vgw103.rta.st-net.media.int</v>
      </c>
      <c r="W405" s="59" t="str">
        <f>IFERROR(VLOOKUP(Tabelle32[[#This Row],[Device ID]],BOM!$B$3:$BQ$35,27,FALSE),"")</f>
        <v>10.120.236.50</v>
      </c>
      <c r="X405" s="59" t="str">
        <f>IFERROR(VLOOKUP(Tabelle32[[#This Row],[Device ID]],BOM!$B$3:$BQ$35,28,FALSE),"")</f>
        <v>AVCoreA</v>
      </c>
      <c r="Y405" s="59" t="str">
        <f>IFERROR(VLOOKUP(Tabelle32[[#This Row],[Device ID]],BOM!$B$3:$BQ$35,29,FALSE),"")</f>
        <v>5_36_1</v>
      </c>
      <c r="Z405" s="59" t="str">
        <f>IFERROR(VLOOKUP(Tabelle32[[#This Row],[Device ID]],BOM!$B$3:$BQ$35,30,FALSE),"")</f>
        <v>tpco-megw-vgw103.rtb.st-net.media.int</v>
      </c>
      <c r="AA405" s="59" t="str">
        <f>IFERROR(VLOOKUP(Tabelle32[[#This Row],[Device ID]],BOM!$B$3:$BQ$35,31,FALSE),"")</f>
        <v>10.120.236.54</v>
      </c>
      <c r="AB405" s="59" t="str">
        <f>IFERROR(VLOOKUP(Tabelle32[[#This Row],[Device ID]],BOM!$B$3:$BQ$35,32,FALSE),"")</f>
        <v>AVCoreB</v>
      </c>
      <c r="AC405" s="59" t="str">
        <f>IFERROR(VLOOKUP(Tabelle32[[#This Row],[Device ID]],BOM!$B$3:$BQ$35,33,FALSE),"")</f>
        <v>5_36_1</v>
      </c>
      <c r="AD405" s="59" t="str">
        <f>IFERROR(VLOOKUP(Tabelle32[[#This Row],[Device ID]],BOM!$B$3:$BQ$35,34,FALSE),"")</f>
        <v>tpco-megw-vgw103.st-net.media.int</v>
      </c>
      <c r="AE405" s="59" t="str">
        <f>IFERROR(VLOOKUP(Tabelle32[[#This Row],[Device ID]],BOM!$B$3:$BQ$35,35,FALSE),"")</f>
        <v>10.120.67.141</v>
      </c>
      <c r="AF405" s="59">
        <f>IFERROR(VLOOKUP(Tabelle32[[#This Row],[Device ID]],BOM!$B$3:$BQ$35,36,FALSE),"")</f>
        <v>0</v>
      </c>
      <c r="AG405" s="59">
        <f>IFERROR(VLOOKUP(Tabelle32[[#This Row],[Device ID]],BOM!$B$3:$BQ$35,37,FALSE),"")</f>
        <v>0</v>
      </c>
      <c r="AH405" s="59"/>
      <c r="AI405" s="59"/>
      <c r="AJ405" s="59"/>
      <c r="AK405" s="59"/>
      <c r="AL405" s="59" t="str">
        <f>IFERROR(VLOOKUP(Tabelle32[[#This Row],[Device ID]],BOM!$B$3:$BQ$35,42,FALSE),"")</f>
        <v>Imagine Communications SNP</v>
      </c>
      <c r="AM405" s="59" t="str">
        <f>IFERROR(VLOOKUP(Tabelle32[[#This Row],[Device ID]],BOM!$B$3:$BQ$35,43,FALSE),"")</f>
        <v>no</v>
      </c>
      <c r="AN405" s="59" t="str">
        <f>IFERROR(VLOOKUP(Tabelle32[[#This Row],[Device ID]],BOM!$B$3:$BQ$35,44,FALSE),"")</f>
        <v>yes</v>
      </c>
      <c r="AO405" s="59" t="str">
        <f>IFERROR(VLOOKUP(Tabelle32[[#This Row],[Device ID]],BOM!$B$3:$BQ$35,45,FALSE),"")</f>
        <v>no</v>
      </c>
      <c r="AP405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05" s="59"/>
      <c r="AR405" s="90"/>
      <c r="AS405" s="90"/>
      <c r="AT405" s="90"/>
      <c r="AU405" s="90"/>
      <c r="AV405" s="90"/>
      <c r="AW405" s="90"/>
      <c r="AX405" s="90"/>
      <c r="AY405" s="90"/>
      <c r="AZ405" s="90"/>
      <c r="BA405" s="90"/>
      <c r="BB405" s="90"/>
      <c r="BC405" s="90"/>
      <c r="BD405" s="90"/>
      <c r="BE405" s="90"/>
      <c r="BF405" s="90"/>
      <c r="BG405" s="90"/>
      <c r="BH405" s="73" t="s">
        <v>199</v>
      </c>
      <c r="BI405" s="30" t="str">
        <f>IF(COUNTA(Tabelle32[[#This Row],[Type:Vid_1080i50]:[Type:Anc_Prot]])&gt;0,"x","")</f>
        <v/>
      </c>
      <c r="BJ40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05" s="59"/>
      <c r="BL405" s="59"/>
      <c r="BM405" s="63"/>
      <c r="BN405" s="63"/>
      <c r="BO405" s="96"/>
      <c r="BP405" s="96"/>
      <c r="BQ405" s="75">
        <f>LEN(Tabelle32[[#This Row],[Label 1
GFX-Unit]])</f>
        <v>0</v>
      </c>
      <c r="BR405" s="63"/>
      <c r="BS405" s="63"/>
      <c r="BT405" s="59"/>
      <c r="BU405" s="59"/>
      <c r="BV405" s="59" t="s">
        <v>211</v>
      </c>
      <c r="BW405" s="59" t="s">
        <v>212</v>
      </c>
      <c r="BX405" s="59" t="s">
        <v>836</v>
      </c>
      <c r="BY405" s="59">
        <v>20</v>
      </c>
    </row>
    <row r="406" spans="1:77" x14ac:dyDescent="0.2">
      <c r="A406" s="58" t="str">
        <f>CONCATENATE(Tabelle32[[#This Row],[Device ID]],".",Tabelle32[[#This Row],[Streamcounter]])</f>
        <v>397.20201</v>
      </c>
      <c r="B40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VGW-103_SDI20_AUDsend_0001</v>
      </c>
      <c r="C406" s="60"/>
      <c r="D406" s="61"/>
      <c r="E406" s="62"/>
      <c r="F406" s="59" t="str">
        <f>IFERROR(VLOOKUP(Tabelle32[[#This Row],[Device ID]],BOM!$B$3:$BQ$35,16,FALSE),"")</f>
        <v>EditPC-10 OUT</v>
      </c>
      <c r="G406" s="63">
        <f>VLOOKUP(Tabelle32[[#This Row],[SDI Interface]],BOM!$A$4:$B$35,2,FALSE)</f>
        <v>397</v>
      </c>
      <c r="H406" s="59" t="str">
        <f>BOM!$C$4</f>
        <v>VGW-103</v>
      </c>
      <c r="I406" s="59" t="str">
        <f>IFERROR(VLOOKUP(Tabelle32[[#This Row],[Device ID]],BOM!$B$3:$BQ$35,12,FALSE),"")</f>
        <v>Edit Suite</v>
      </c>
      <c r="J406" s="59" t="str">
        <f>IFERROR(VLOOKUP(Tabelle32[[#This Row],[Device ID]],BOM!$B$3:$BQ$35,13,FALSE),"")</f>
        <v>TC.U1.223 | MDC</v>
      </c>
      <c r="K406" s="59" t="str">
        <f>IFERROR(VLOOKUP(Tabelle32[[#This Row],[Device ID]],BOM!$B$3:$BQ$35,14,FALSE),"")</f>
        <v>Imagine Comunications</v>
      </c>
      <c r="L406" s="59" t="str">
        <f>IFERROR(VLOOKUP(Tabelle32[[#This Row],[Device ID]],BOM!$B$3:$BQ$35,16,FALSE),"")</f>
        <v>EditPC-10 OUT</v>
      </c>
      <c r="M406" s="63" t="str">
        <f>IFERROR(VLOOKUP(Tabelle32[[#This Row],[Device ID]],BOM!$B$3:$BQ$35,17,FALSE),"")</f>
        <v>EDIT SUITE 10</v>
      </c>
      <c r="N406" s="59" t="str">
        <f>IFERROR(VLOOKUP(Tabelle32[[#This Row],[Device ID]],BOM!$B$3:$BQ$35,18,FALSE),"")</f>
        <v>TC.03.017 | Edit 10</v>
      </c>
      <c r="O406" s="64"/>
      <c r="P406" s="64">
        <f>IFERROR(VLOOKUP(Tabelle32[[#This Row],[Device ID]],BOM!$B$3:$BO$50,20,FALSE),"")</f>
        <v>0</v>
      </c>
      <c r="Q406" s="64">
        <f>IFERROR(VLOOKUP(Tabelle32[[#This Row],[Device ID]],BOM!$B$3:$BO$50,21,FALSE),"")</f>
        <v>1</v>
      </c>
      <c r="R406" s="64">
        <f>IFERROR(VLOOKUP(Tabelle32[[#This Row],[Device ID]],BOM!$B$3:$BO$50,22,FALSE),"")</f>
        <v>0</v>
      </c>
      <c r="S406" s="64"/>
      <c r="T406" s="64"/>
      <c r="U406" s="59" t="str">
        <f>IFERROR(VLOOKUP(Tabelle32[[#This Row],[Device ID]],BOM!$B$3:$BQ$35,25,FALSE),"")</f>
        <v>Luis/Ivo</v>
      </c>
      <c r="V406" s="59" t="str">
        <f>IFERROR(VLOOKUP(Tabelle32[[#This Row],[Device ID]],BOM!$B$3:$BQ$35,26,FALSE),"")</f>
        <v>tpco-megw-vgw103.rta.st-net.media.int</v>
      </c>
      <c r="W406" s="59" t="str">
        <f>IFERROR(VLOOKUP(Tabelle32[[#This Row],[Device ID]],BOM!$B$3:$BQ$35,27,FALSE),"")</f>
        <v>10.120.236.50</v>
      </c>
      <c r="X406" s="59" t="str">
        <f>IFERROR(VLOOKUP(Tabelle32[[#This Row],[Device ID]],BOM!$B$3:$BQ$35,28,FALSE),"")</f>
        <v>AVCoreA</v>
      </c>
      <c r="Y406" s="59" t="str">
        <f>IFERROR(VLOOKUP(Tabelle32[[#This Row],[Device ID]],BOM!$B$3:$BQ$35,29,FALSE),"")</f>
        <v>5_36_1</v>
      </c>
      <c r="Z406" s="59" t="str">
        <f>IFERROR(VLOOKUP(Tabelle32[[#This Row],[Device ID]],BOM!$B$3:$BQ$35,30,FALSE),"")</f>
        <v>tpco-megw-vgw103.rtb.st-net.media.int</v>
      </c>
      <c r="AA406" s="59" t="str">
        <f>IFERROR(VLOOKUP(Tabelle32[[#This Row],[Device ID]],BOM!$B$3:$BQ$35,31,FALSE),"")</f>
        <v>10.120.236.54</v>
      </c>
      <c r="AB406" s="59" t="str">
        <f>IFERROR(VLOOKUP(Tabelle32[[#This Row],[Device ID]],BOM!$B$3:$BQ$35,32,FALSE),"")</f>
        <v>AVCoreB</v>
      </c>
      <c r="AC406" s="59" t="str">
        <f>IFERROR(VLOOKUP(Tabelle32[[#This Row],[Device ID]],BOM!$B$3:$BQ$35,33,FALSE),"")</f>
        <v>5_36_1</v>
      </c>
      <c r="AD406" s="59" t="str">
        <f>IFERROR(VLOOKUP(Tabelle32[[#This Row],[Device ID]],BOM!$B$3:$BQ$35,34,FALSE),"")</f>
        <v>tpco-megw-vgw103.st-net.media.int</v>
      </c>
      <c r="AE406" s="59" t="str">
        <f>IFERROR(VLOOKUP(Tabelle32[[#This Row],[Device ID]],BOM!$B$3:$BQ$35,35,FALSE),"")</f>
        <v>10.120.67.141</v>
      </c>
      <c r="AF406" s="59">
        <f>IFERROR(VLOOKUP(Tabelle32[[#This Row],[Device ID]],BOM!$B$3:$BQ$35,36,FALSE),"")</f>
        <v>0</v>
      </c>
      <c r="AG406" s="59">
        <f>IFERROR(VLOOKUP(Tabelle32[[#This Row],[Device ID]],BOM!$B$3:$BQ$35,37,FALSE),"")</f>
        <v>0</v>
      </c>
      <c r="AH406" s="59"/>
      <c r="AI406" s="59"/>
      <c r="AJ406" s="59"/>
      <c r="AK406" s="59"/>
      <c r="AL406" s="59" t="str">
        <f>IFERROR(VLOOKUP(Tabelle32[[#This Row],[Device ID]],BOM!$B$3:$BQ$35,42,FALSE),"")</f>
        <v>Imagine Communications SNP</v>
      </c>
      <c r="AM406" s="59" t="str">
        <f>IFERROR(VLOOKUP(Tabelle32[[#This Row],[Device ID]],BOM!$B$3:$BQ$35,43,FALSE),"")</f>
        <v>no</v>
      </c>
      <c r="AN406" s="59" t="str">
        <f>IFERROR(VLOOKUP(Tabelle32[[#This Row],[Device ID]],BOM!$B$3:$BQ$35,44,FALSE),"")</f>
        <v>yes</v>
      </c>
      <c r="AO406" s="59" t="str">
        <f>IFERROR(VLOOKUP(Tabelle32[[#This Row],[Device ID]],BOM!$B$3:$BQ$35,45,FALSE),"")</f>
        <v>no</v>
      </c>
      <c r="AP406" s="59" t="str">
        <f>IFERROR(CONCATENATE(Tabelle32[[#This Row],[Family
GFX-Unit]]," | ",Tabelle32[[#This Row],[Label 1
GFX-Unit]]," | ",Tabelle32[[#This Row],[Attached Device if Gateway]]),"")</f>
        <v>MEDEM Edits Out | Out Edit10-01 | EditPC-10 OUT</v>
      </c>
      <c r="AQ406" s="59"/>
      <c r="AR406" s="96"/>
      <c r="AS406" s="96"/>
      <c r="AT406" s="96"/>
      <c r="AU406" s="96"/>
      <c r="AV406" s="96"/>
      <c r="AW406" s="96"/>
      <c r="AX406" s="96" t="s">
        <v>199</v>
      </c>
      <c r="AY406" s="96" t="s">
        <v>199</v>
      </c>
      <c r="AZ406" s="96" t="s">
        <v>97</v>
      </c>
      <c r="BA406" s="96"/>
      <c r="BB406" s="96"/>
      <c r="BC406" s="96"/>
      <c r="BD406" s="96"/>
      <c r="BE406" s="96"/>
      <c r="BF406" s="96"/>
      <c r="BG406" s="96"/>
      <c r="BH406" s="73" t="s">
        <v>199</v>
      </c>
      <c r="BI406" s="30" t="str">
        <f>IF(COUNTA(Tabelle32[[#This Row],[Type:Vid_1080i50]:[Type:Anc_Prot]])&gt;0,"x","")</f>
        <v>x</v>
      </c>
      <c r="BJ40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406" s="59"/>
      <c r="BL406" s="59"/>
      <c r="BM406" s="63"/>
      <c r="BN406" s="63"/>
      <c r="BO406" s="97" t="s">
        <v>732</v>
      </c>
      <c r="BP406" s="97" t="s">
        <v>837</v>
      </c>
      <c r="BQ406" s="75">
        <f>LEN(Tabelle32[[#This Row],[Label 1
GFX-Unit]])</f>
        <v>13</v>
      </c>
      <c r="BR406" s="63"/>
      <c r="BS406" s="63"/>
      <c r="BT406" s="59"/>
      <c r="BU406" s="59"/>
      <c r="BV406" s="59" t="s">
        <v>214</v>
      </c>
      <c r="BW406" s="59" t="s">
        <v>215</v>
      </c>
      <c r="BX406" s="59" t="s">
        <v>838</v>
      </c>
      <c r="BY406" s="59">
        <v>20</v>
      </c>
    </row>
    <row r="407" spans="1:77" x14ac:dyDescent="0.2">
      <c r="A407" s="58" t="str">
        <f>CONCATENATE(Tabelle32[[#This Row],[Device ID]],".",Tabelle32[[#This Row],[Streamcounter]])</f>
        <v>397.20202</v>
      </c>
      <c r="B40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VGW-103_SDI20_AUDsend_0002</v>
      </c>
      <c r="C407" s="67"/>
      <c r="D407" s="61"/>
      <c r="E407" s="67"/>
      <c r="F407" s="59" t="str">
        <f>IFERROR(VLOOKUP(Tabelle32[[#This Row],[Device ID]],BOM!$B$3:$BQ$35,16,FALSE),"")</f>
        <v>EditPC-10 OUT</v>
      </c>
      <c r="G407" s="63">
        <f>VLOOKUP(Tabelle32[[#This Row],[SDI Interface]],BOM!$A$4:$B$35,2,FALSE)</f>
        <v>397</v>
      </c>
      <c r="H407" s="59" t="str">
        <f>BOM!$C$4</f>
        <v>VGW-103</v>
      </c>
      <c r="I407" s="59" t="str">
        <f>IFERROR(VLOOKUP(Tabelle32[[#This Row],[Device ID]],BOM!$B$3:$BQ$35,12,FALSE),"")</f>
        <v>Edit Suite</v>
      </c>
      <c r="J407" s="59" t="str">
        <f>IFERROR(VLOOKUP(Tabelle32[[#This Row],[Device ID]],BOM!$B$3:$BQ$35,13,FALSE),"")</f>
        <v>TC.U1.223 | MDC</v>
      </c>
      <c r="K407" s="59" t="str">
        <f>IFERROR(VLOOKUP(Tabelle32[[#This Row],[Device ID]],BOM!$B$3:$BQ$35,14,FALSE),"")</f>
        <v>Imagine Comunications</v>
      </c>
      <c r="L407" s="59" t="str">
        <f>IFERROR(VLOOKUP(Tabelle32[[#This Row],[Device ID]],BOM!$B$3:$BQ$35,16,FALSE),"")</f>
        <v>EditPC-10 OUT</v>
      </c>
      <c r="M407" s="63" t="str">
        <f>IFERROR(VLOOKUP(Tabelle32[[#This Row],[Device ID]],BOM!$B$3:$BQ$35,17,FALSE),"")</f>
        <v>EDIT SUITE 10</v>
      </c>
      <c r="N407" s="59" t="str">
        <f>IFERROR(VLOOKUP(Tabelle32[[#This Row],[Device ID]],BOM!$B$3:$BQ$35,18,FALSE),"")</f>
        <v>TC.03.017 | Edit 10</v>
      </c>
      <c r="O407" s="64"/>
      <c r="P407" s="64">
        <f>IFERROR(VLOOKUP(Tabelle32[[#This Row],[Device ID]],BOM!$B$3:$BO$50,20,FALSE),"")</f>
        <v>0</v>
      </c>
      <c r="Q407" s="64">
        <f>IFERROR(VLOOKUP(Tabelle32[[#This Row],[Device ID]],BOM!$B$3:$BO$50,21,FALSE),"")</f>
        <v>1</v>
      </c>
      <c r="R407" s="64">
        <f>IFERROR(VLOOKUP(Tabelle32[[#This Row],[Device ID]],BOM!$B$3:$BO$50,22,FALSE),"")</f>
        <v>0</v>
      </c>
      <c r="S407" s="64"/>
      <c r="T407" s="64"/>
      <c r="U407" s="59" t="str">
        <f>IFERROR(VLOOKUP(Tabelle32[[#This Row],[Device ID]],BOM!$B$3:$BQ$35,25,FALSE),"")</f>
        <v>Luis/Ivo</v>
      </c>
      <c r="V407" s="59" t="str">
        <f>IFERROR(VLOOKUP(Tabelle32[[#This Row],[Device ID]],BOM!$B$3:$BQ$35,26,FALSE),"")</f>
        <v>tpco-megw-vgw103.rta.st-net.media.int</v>
      </c>
      <c r="W407" s="59" t="str">
        <f>IFERROR(VLOOKUP(Tabelle32[[#This Row],[Device ID]],BOM!$B$3:$BQ$35,27,FALSE),"")</f>
        <v>10.120.236.50</v>
      </c>
      <c r="X407" s="59" t="str">
        <f>IFERROR(VLOOKUP(Tabelle32[[#This Row],[Device ID]],BOM!$B$3:$BQ$35,28,FALSE),"")</f>
        <v>AVCoreA</v>
      </c>
      <c r="Y407" s="59" t="str">
        <f>IFERROR(VLOOKUP(Tabelle32[[#This Row],[Device ID]],BOM!$B$3:$BQ$35,29,FALSE),"")</f>
        <v>5_36_1</v>
      </c>
      <c r="Z407" s="59" t="str">
        <f>IFERROR(VLOOKUP(Tabelle32[[#This Row],[Device ID]],BOM!$B$3:$BQ$35,30,FALSE),"")</f>
        <v>tpco-megw-vgw103.rtb.st-net.media.int</v>
      </c>
      <c r="AA407" s="59" t="str">
        <f>IFERROR(VLOOKUP(Tabelle32[[#This Row],[Device ID]],BOM!$B$3:$BQ$35,31,FALSE),"")</f>
        <v>10.120.236.54</v>
      </c>
      <c r="AB407" s="59" t="str">
        <f>IFERROR(VLOOKUP(Tabelle32[[#This Row],[Device ID]],BOM!$B$3:$BQ$35,32,FALSE),"")</f>
        <v>AVCoreB</v>
      </c>
      <c r="AC407" s="59" t="str">
        <f>IFERROR(VLOOKUP(Tabelle32[[#This Row],[Device ID]],BOM!$B$3:$BQ$35,33,FALSE),"")</f>
        <v>5_36_1</v>
      </c>
      <c r="AD407" s="59" t="str">
        <f>IFERROR(VLOOKUP(Tabelle32[[#This Row],[Device ID]],BOM!$B$3:$BQ$35,34,FALSE),"")</f>
        <v>tpco-megw-vgw103.st-net.media.int</v>
      </c>
      <c r="AE407" s="59" t="str">
        <f>IFERROR(VLOOKUP(Tabelle32[[#This Row],[Device ID]],BOM!$B$3:$BQ$35,35,FALSE),"")</f>
        <v>10.120.67.141</v>
      </c>
      <c r="AF407" s="59">
        <f>IFERROR(VLOOKUP(Tabelle32[[#This Row],[Device ID]],BOM!$B$3:$BQ$35,36,FALSE),"")</f>
        <v>0</v>
      </c>
      <c r="AG407" s="59">
        <f>IFERROR(VLOOKUP(Tabelle32[[#This Row],[Device ID]],BOM!$B$3:$BQ$35,37,FALSE),"")</f>
        <v>0</v>
      </c>
      <c r="AH407" s="59"/>
      <c r="AI407" s="59"/>
      <c r="AJ407" s="59"/>
      <c r="AK407" s="59"/>
      <c r="AL407" s="59" t="str">
        <f>IFERROR(VLOOKUP(Tabelle32[[#This Row],[Device ID]],BOM!$B$3:$BQ$35,42,FALSE),"")</f>
        <v>Imagine Communications SNP</v>
      </c>
      <c r="AM407" s="59" t="str">
        <f>IFERROR(VLOOKUP(Tabelle32[[#This Row],[Device ID]],BOM!$B$3:$BQ$35,43,FALSE),"")</f>
        <v>no</v>
      </c>
      <c r="AN407" s="59" t="str">
        <f>IFERROR(VLOOKUP(Tabelle32[[#This Row],[Device ID]],BOM!$B$3:$BQ$35,44,FALSE),"")</f>
        <v>yes</v>
      </c>
      <c r="AO407" s="59" t="str">
        <f>IFERROR(VLOOKUP(Tabelle32[[#This Row],[Device ID]],BOM!$B$3:$BQ$35,45,FALSE),"")</f>
        <v>no</v>
      </c>
      <c r="AP407" s="59" t="str">
        <f>IFERROR(CONCATENATE(Tabelle32[[#This Row],[Family
GFX-Unit]]," | ",Tabelle32[[#This Row],[Label 1
GFX-Unit]]," | ",Tabelle32[[#This Row],[Attached Device if Gateway]]),"")</f>
        <v>MEDEM Edits Out | Out Edit10-02 | EditPC-10 OUT</v>
      </c>
      <c r="AQ407" s="59"/>
      <c r="AR407" s="96"/>
      <c r="AS407" s="96"/>
      <c r="AT407" s="96"/>
      <c r="AU407" s="96"/>
      <c r="AV407" s="96"/>
      <c r="AW407" s="96" t="s">
        <v>97</v>
      </c>
      <c r="AX407" s="96" t="s">
        <v>199</v>
      </c>
      <c r="AY407" s="96" t="s">
        <v>199</v>
      </c>
      <c r="AZ407" s="96"/>
      <c r="BA407" s="96"/>
      <c r="BB407" s="96"/>
      <c r="BC407" s="96"/>
      <c r="BD407" s="96"/>
      <c r="BE407" s="96"/>
      <c r="BF407" s="96"/>
      <c r="BG407" s="96"/>
      <c r="BH407" s="73" t="s">
        <v>199</v>
      </c>
      <c r="BI407" s="30" t="str">
        <f>IF(COUNTA(Tabelle32[[#This Row],[Type:Vid_1080i50]:[Type:Anc_Prot]])&gt;0,"x","")</f>
        <v>x</v>
      </c>
      <c r="BJ40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407" s="59"/>
      <c r="BL407" s="59"/>
      <c r="BM407" s="63"/>
      <c r="BN407" s="63"/>
      <c r="BO407" s="97" t="s">
        <v>732</v>
      </c>
      <c r="BP407" s="97" t="s">
        <v>839</v>
      </c>
      <c r="BQ407" s="75">
        <f>LEN(Tabelle32[[#This Row],[Label 1
GFX-Unit]])</f>
        <v>13</v>
      </c>
      <c r="BR407" s="63"/>
      <c r="BS407" s="63"/>
      <c r="BT407" s="59"/>
      <c r="BU407" s="59"/>
      <c r="BV407" s="59" t="s">
        <v>218</v>
      </c>
      <c r="BW407" s="59" t="s">
        <v>219</v>
      </c>
      <c r="BX407" s="59" t="s">
        <v>840</v>
      </c>
      <c r="BY407" s="59">
        <v>20</v>
      </c>
    </row>
    <row r="408" spans="1:77" x14ac:dyDescent="0.2">
      <c r="A408" s="58" t="str">
        <f>CONCATENATE(Tabelle32[[#This Row],[Device ID]],".",Tabelle32[[#This Row],[Streamcounter]])</f>
        <v>397.20203</v>
      </c>
      <c r="B40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VGW-103_SDI20_AUDsend_0003</v>
      </c>
      <c r="C408" s="67"/>
      <c r="D408" s="61"/>
      <c r="E408" s="67"/>
      <c r="F408" s="59" t="str">
        <f>IFERROR(VLOOKUP(Tabelle32[[#This Row],[Device ID]],BOM!$B$3:$BQ$35,16,FALSE),"")</f>
        <v>EditPC-10 OUT</v>
      </c>
      <c r="G408" s="63">
        <f>VLOOKUP(Tabelle32[[#This Row],[SDI Interface]],BOM!$A$4:$B$35,2,FALSE)</f>
        <v>397</v>
      </c>
      <c r="H408" s="59" t="str">
        <f>BOM!$C$4</f>
        <v>VGW-103</v>
      </c>
      <c r="I408" s="59" t="str">
        <f>IFERROR(VLOOKUP(Tabelle32[[#This Row],[Device ID]],BOM!$B$3:$BQ$35,12,FALSE),"")</f>
        <v>Edit Suite</v>
      </c>
      <c r="J408" s="59" t="str">
        <f>IFERROR(VLOOKUP(Tabelle32[[#This Row],[Device ID]],BOM!$B$3:$BQ$35,13,FALSE),"")</f>
        <v>TC.U1.223 | MDC</v>
      </c>
      <c r="K408" s="59" t="str">
        <f>IFERROR(VLOOKUP(Tabelle32[[#This Row],[Device ID]],BOM!$B$3:$BQ$35,14,FALSE),"")</f>
        <v>Imagine Comunications</v>
      </c>
      <c r="L408" s="59" t="str">
        <f>IFERROR(VLOOKUP(Tabelle32[[#This Row],[Device ID]],BOM!$B$3:$BQ$35,16,FALSE),"")</f>
        <v>EditPC-10 OUT</v>
      </c>
      <c r="M408" s="63" t="str">
        <f>IFERROR(VLOOKUP(Tabelle32[[#This Row],[Device ID]],BOM!$B$3:$BQ$35,17,FALSE),"")</f>
        <v>EDIT SUITE 10</v>
      </c>
      <c r="N408" s="59" t="str">
        <f>IFERROR(VLOOKUP(Tabelle32[[#This Row],[Device ID]],BOM!$B$3:$BQ$35,18,FALSE),"")</f>
        <v>TC.03.017 | Edit 10</v>
      </c>
      <c r="O408" s="64"/>
      <c r="P408" s="64">
        <f>IFERROR(VLOOKUP(Tabelle32[[#This Row],[Device ID]],BOM!$B$3:$BO$50,20,FALSE),"")</f>
        <v>0</v>
      </c>
      <c r="Q408" s="64">
        <f>IFERROR(VLOOKUP(Tabelle32[[#This Row],[Device ID]],BOM!$B$3:$BO$50,21,FALSE),"")</f>
        <v>1</v>
      </c>
      <c r="R408" s="64">
        <f>IFERROR(VLOOKUP(Tabelle32[[#This Row],[Device ID]],BOM!$B$3:$BO$50,22,FALSE),"")</f>
        <v>0</v>
      </c>
      <c r="S408" s="64"/>
      <c r="T408" s="64"/>
      <c r="U408" s="59" t="str">
        <f>IFERROR(VLOOKUP(Tabelle32[[#This Row],[Device ID]],BOM!$B$3:$BQ$35,25,FALSE),"")</f>
        <v>Luis/Ivo</v>
      </c>
      <c r="V408" s="59" t="str">
        <f>IFERROR(VLOOKUP(Tabelle32[[#This Row],[Device ID]],BOM!$B$3:$BQ$35,26,FALSE),"")</f>
        <v>tpco-megw-vgw103.rta.st-net.media.int</v>
      </c>
      <c r="W408" s="59" t="str">
        <f>IFERROR(VLOOKUP(Tabelle32[[#This Row],[Device ID]],BOM!$B$3:$BQ$35,27,FALSE),"")</f>
        <v>10.120.236.50</v>
      </c>
      <c r="X408" s="59" t="str">
        <f>IFERROR(VLOOKUP(Tabelle32[[#This Row],[Device ID]],BOM!$B$3:$BQ$35,28,FALSE),"")</f>
        <v>AVCoreA</v>
      </c>
      <c r="Y408" s="59" t="str">
        <f>IFERROR(VLOOKUP(Tabelle32[[#This Row],[Device ID]],BOM!$B$3:$BQ$35,29,FALSE),"")</f>
        <v>5_36_1</v>
      </c>
      <c r="Z408" s="59" t="str">
        <f>IFERROR(VLOOKUP(Tabelle32[[#This Row],[Device ID]],BOM!$B$3:$BQ$35,30,FALSE),"")</f>
        <v>tpco-megw-vgw103.rtb.st-net.media.int</v>
      </c>
      <c r="AA408" s="59" t="str">
        <f>IFERROR(VLOOKUP(Tabelle32[[#This Row],[Device ID]],BOM!$B$3:$BQ$35,31,FALSE),"")</f>
        <v>10.120.236.54</v>
      </c>
      <c r="AB408" s="59" t="str">
        <f>IFERROR(VLOOKUP(Tabelle32[[#This Row],[Device ID]],BOM!$B$3:$BQ$35,32,FALSE),"")</f>
        <v>AVCoreB</v>
      </c>
      <c r="AC408" s="59" t="str">
        <f>IFERROR(VLOOKUP(Tabelle32[[#This Row],[Device ID]],BOM!$B$3:$BQ$35,33,FALSE),"")</f>
        <v>5_36_1</v>
      </c>
      <c r="AD408" s="59" t="str">
        <f>IFERROR(VLOOKUP(Tabelle32[[#This Row],[Device ID]],BOM!$B$3:$BQ$35,34,FALSE),"")</f>
        <v>tpco-megw-vgw103.st-net.media.int</v>
      </c>
      <c r="AE408" s="59" t="str">
        <f>IFERROR(VLOOKUP(Tabelle32[[#This Row],[Device ID]],BOM!$B$3:$BQ$35,35,FALSE),"")</f>
        <v>10.120.67.141</v>
      </c>
      <c r="AF408" s="59">
        <f>IFERROR(VLOOKUP(Tabelle32[[#This Row],[Device ID]],BOM!$B$3:$BQ$35,36,FALSE),"")</f>
        <v>0</v>
      </c>
      <c r="AG408" s="59">
        <f>IFERROR(VLOOKUP(Tabelle32[[#This Row],[Device ID]],BOM!$B$3:$BQ$35,37,FALSE),"")</f>
        <v>0</v>
      </c>
      <c r="AH408" s="59"/>
      <c r="AI408" s="59"/>
      <c r="AJ408" s="59"/>
      <c r="AK408" s="59"/>
      <c r="AL408" s="59" t="str">
        <f>IFERROR(VLOOKUP(Tabelle32[[#This Row],[Device ID]],BOM!$B$3:$BQ$35,42,FALSE),"")</f>
        <v>Imagine Communications SNP</v>
      </c>
      <c r="AM408" s="59" t="str">
        <f>IFERROR(VLOOKUP(Tabelle32[[#This Row],[Device ID]],BOM!$B$3:$BQ$35,43,FALSE),"")</f>
        <v>no</v>
      </c>
      <c r="AN408" s="59" t="str">
        <f>IFERROR(VLOOKUP(Tabelle32[[#This Row],[Device ID]],BOM!$B$3:$BQ$35,44,FALSE),"")</f>
        <v>yes</v>
      </c>
      <c r="AO408" s="59" t="str">
        <f>IFERROR(VLOOKUP(Tabelle32[[#This Row],[Device ID]],BOM!$B$3:$BQ$35,45,FALSE),"")</f>
        <v>no</v>
      </c>
      <c r="AP408" s="59" t="str">
        <f>IFERROR(CONCATENATE(Tabelle32[[#This Row],[Family
GFX-Unit]]," | ",Tabelle32[[#This Row],[Label 1
GFX-Unit]]," | ",Tabelle32[[#This Row],[Attached Device if Gateway]]),"")</f>
        <v>MEDEM Edits Out | Out Edit10-03 | EditPC-10 OUT</v>
      </c>
      <c r="AQ408" s="59"/>
      <c r="AR408" s="96"/>
      <c r="AS408" s="96"/>
      <c r="AT408" s="96"/>
      <c r="AU408" s="96"/>
      <c r="AV408" s="96"/>
      <c r="AW408" s="96" t="s">
        <v>97</v>
      </c>
      <c r="AX408" s="96" t="s">
        <v>199</v>
      </c>
      <c r="AY408" s="96" t="s">
        <v>199</v>
      </c>
      <c r="AZ408" s="96"/>
      <c r="BA408" s="96"/>
      <c r="BB408" s="96"/>
      <c r="BC408" s="96"/>
      <c r="BD408" s="96"/>
      <c r="BE408" s="96"/>
      <c r="BF408" s="96"/>
      <c r="BG408" s="96"/>
      <c r="BH408" s="73" t="s">
        <v>199</v>
      </c>
      <c r="BI408" s="30" t="str">
        <f>IF(COUNTA(Tabelle32[[#This Row],[Type:Vid_1080i50]:[Type:Anc_Prot]])&gt;0,"x","")</f>
        <v>x</v>
      </c>
      <c r="BJ40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408" s="59"/>
      <c r="BL408" s="59"/>
      <c r="BM408" s="63"/>
      <c r="BN408" s="63"/>
      <c r="BO408" s="97" t="s">
        <v>732</v>
      </c>
      <c r="BP408" s="97" t="s">
        <v>841</v>
      </c>
      <c r="BQ408" s="75">
        <f>LEN(Tabelle32[[#This Row],[Label 1
GFX-Unit]])</f>
        <v>13</v>
      </c>
      <c r="BR408" s="63"/>
      <c r="BS408" s="63"/>
      <c r="BT408" s="59"/>
      <c r="BU408" s="59"/>
      <c r="BV408" s="59" t="s">
        <v>222</v>
      </c>
      <c r="BW408" s="59" t="s">
        <v>223</v>
      </c>
      <c r="BX408" s="59" t="s">
        <v>842</v>
      </c>
      <c r="BY408" s="59">
        <v>20</v>
      </c>
    </row>
    <row r="409" spans="1:77" x14ac:dyDescent="0.2">
      <c r="A409" s="58" t="str">
        <f>CONCATENATE(Tabelle32[[#This Row],[Device ID]],".",Tabelle32[[#This Row],[Streamcounter]])</f>
        <v>397.20204</v>
      </c>
      <c r="B40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VGW-103_SDI20_AUDsend_0004</v>
      </c>
      <c r="C409" s="60"/>
      <c r="D409" s="61"/>
      <c r="E409" s="62"/>
      <c r="F409" s="59" t="str">
        <f>IFERROR(VLOOKUP(Tabelle32[[#This Row],[Device ID]],BOM!$B$3:$BQ$35,16,FALSE),"")</f>
        <v>EditPC-10 OUT</v>
      </c>
      <c r="G409" s="63">
        <f>VLOOKUP(Tabelle32[[#This Row],[SDI Interface]],BOM!$A$4:$B$35,2,FALSE)</f>
        <v>397</v>
      </c>
      <c r="H409" s="59" t="str">
        <f>BOM!$C$4</f>
        <v>VGW-103</v>
      </c>
      <c r="I409" s="59" t="str">
        <f>IFERROR(VLOOKUP(Tabelle32[[#This Row],[Device ID]],BOM!$B$3:$BQ$35,12,FALSE),"")</f>
        <v>Edit Suite</v>
      </c>
      <c r="J409" s="59" t="str">
        <f>IFERROR(VLOOKUP(Tabelle32[[#This Row],[Device ID]],BOM!$B$3:$BQ$35,13,FALSE),"")</f>
        <v>TC.U1.223 | MDC</v>
      </c>
      <c r="K409" s="59" t="str">
        <f>IFERROR(VLOOKUP(Tabelle32[[#This Row],[Device ID]],BOM!$B$3:$BQ$35,14,FALSE),"")</f>
        <v>Imagine Comunications</v>
      </c>
      <c r="L409" s="59" t="str">
        <f>IFERROR(VLOOKUP(Tabelle32[[#This Row],[Device ID]],BOM!$B$3:$BQ$35,16,FALSE),"")</f>
        <v>EditPC-10 OUT</v>
      </c>
      <c r="M409" s="63" t="str">
        <f>IFERROR(VLOOKUP(Tabelle32[[#This Row],[Device ID]],BOM!$B$3:$BQ$35,17,FALSE),"")</f>
        <v>EDIT SUITE 10</v>
      </c>
      <c r="N409" s="59" t="str">
        <f>IFERROR(VLOOKUP(Tabelle32[[#This Row],[Device ID]],BOM!$B$3:$BQ$35,18,FALSE),"")</f>
        <v>TC.03.017 | Edit 10</v>
      </c>
      <c r="O409" s="64"/>
      <c r="P409" s="64">
        <f>IFERROR(VLOOKUP(Tabelle32[[#This Row],[Device ID]],BOM!$B$3:$BO$50,20,FALSE),"")</f>
        <v>0</v>
      </c>
      <c r="Q409" s="64">
        <f>IFERROR(VLOOKUP(Tabelle32[[#This Row],[Device ID]],BOM!$B$3:$BO$50,21,FALSE),"")</f>
        <v>1</v>
      </c>
      <c r="R409" s="64">
        <f>IFERROR(VLOOKUP(Tabelle32[[#This Row],[Device ID]],BOM!$B$3:$BO$50,22,FALSE),"")</f>
        <v>0</v>
      </c>
      <c r="S409" s="64"/>
      <c r="T409" s="64"/>
      <c r="U409" s="59" t="str">
        <f>IFERROR(VLOOKUP(Tabelle32[[#This Row],[Device ID]],BOM!$B$3:$BQ$35,25,FALSE),"")</f>
        <v>Luis/Ivo</v>
      </c>
      <c r="V409" s="59" t="str">
        <f>IFERROR(VLOOKUP(Tabelle32[[#This Row],[Device ID]],BOM!$B$3:$BQ$35,26,FALSE),"")</f>
        <v>tpco-megw-vgw103.rta.st-net.media.int</v>
      </c>
      <c r="W409" s="59" t="str">
        <f>IFERROR(VLOOKUP(Tabelle32[[#This Row],[Device ID]],BOM!$B$3:$BQ$35,27,FALSE),"")</f>
        <v>10.120.236.50</v>
      </c>
      <c r="X409" s="59" t="str">
        <f>IFERROR(VLOOKUP(Tabelle32[[#This Row],[Device ID]],BOM!$B$3:$BQ$35,28,FALSE),"")</f>
        <v>AVCoreA</v>
      </c>
      <c r="Y409" s="59" t="str">
        <f>IFERROR(VLOOKUP(Tabelle32[[#This Row],[Device ID]],BOM!$B$3:$BQ$35,29,FALSE),"")</f>
        <v>5_36_1</v>
      </c>
      <c r="Z409" s="59" t="str">
        <f>IFERROR(VLOOKUP(Tabelle32[[#This Row],[Device ID]],BOM!$B$3:$BQ$35,30,FALSE),"")</f>
        <v>tpco-megw-vgw103.rtb.st-net.media.int</v>
      </c>
      <c r="AA409" s="59" t="str">
        <f>IFERROR(VLOOKUP(Tabelle32[[#This Row],[Device ID]],BOM!$B$3:$BQ$35,31,FALSE),"")</f>
        <v>10.120.236.54</v>
      </c>
      <c r="AB409" s="59" t="str">
        <f>IFERROR(VLOOKUP(Tabelle32[[#This Row],[Device ID]],BOM!$B$3:$BQ$35,32,FALSE),"")</f>
        <v>AVCoreB</v>
      </c>
      <c r="AC409" s="59" t="str">
        <f>IFERROR(VLOOKUP(Tabelle32[[#This Row],[Device ID]],BOM!$B$3:$BQ$35,33,FALSE),"")</f>
        <v>5_36_1</v>
      </c>
      <c r="AD409" s="59" t="str">
        <f>IFERROR(VLOOKUP(Tabelle32[[#This Row],[Device ID]],BOM!$B$3:$BQ$35,34,FALSE),"")</f>
        <v>tpco-megw-vgw103.st-net.media.int</v>
      </c>
      <c r="AE409" s="59" t="str">
        <f>IFERROR(VLOOKUP(Tabelle32[[#This Row],[Device ID]],BOM!$B$3:$BQ$35,35,FALSE),"")</f>
        <v>10.120.67.141</v>
      </c>
      <c r="AF409" s="59">
        <f>IFERROR(VLOOKUP(Tabelle32[[#This Row],[Device ID]],BOM!$B$3:$BQ$35,36,FALSE),"")</f>
        <v>0</v>
      </c>
      <c r="AG409" s="59">
        <f>IFERROR(VLOOKUP(Tabelle32[[#This Row],[Device ID]],BOM!$B$3:$BQ$35,37,FALSE),"")</f>
        <v>0</v>
      </c>
      <c r="AH409" s="59"/>
      <c r="AI409" s="59"/>
      <c r="AJ409" s="59"/>
      <c r="AK409" s="59"/>
      <c r="AL409" s="59" t="str">
        <f>IFERROR(VLOOKUP(Tabelle32[[#This Row],[Device ID]],BOM!$B$3:$BQ$35,42,FALSE),"")</f>
        <v>Imagine Communications SNP</v>
      </c>
      <c r="AM409" s="59" t="str">
        <f>IFERROR(VLOOKUP(Tabelle32[[#This Row],[Device ID]],BOM!$B$3:$BQ$35,43,FALSE),"")</f>
        <v>no</v>
      </c>
      <c r="AN409" s="59" t="str">
        <f>IFERROR(VLOOKUP(Tabelle32[[#This Row],[Device ID]],BOM!$B$3:$BQ$35,44,FALSE),"")</f>
        <v>yes</v>
      </c>
      <c r="AO409" s="59" t="str">
        <f>IFERROR(VLOOKUP(Tabelle32[[#This Row],[Device ID]],BOM!$B$3:$BQ$35,45,FALSE),"")</f>
        <v>no</v>
      </c>
      <c r="AP409" s="59" t="str">
        <f>IFERROR(CONCATENATE(Tabelle32[[#This Row],[Family
GFX-Unit]]," | ",Tabelle32[[#This Row],[Label 1
GFX-Unit]]," | ",Tabelle32[[#This Row],[Attached Device if Gateway]]),"")</f>
        <v>MEDEM Edits Out | Out Edit10-04 | EditPC-10 OUT</v>
      </c>
      <c r="AQ409" s="59"/>
      <c r="AR409" s="96"/>
      <c r="AS409" s="96"/>
      <c r="AT409" s="96"/>
      <c r="AU409" s="96"/>
      <c r="AV409" s="96"/>
      <c r="AW409" s="96"/>
      <c r="AX409" s="96" t="s">
        <v>199</v>
      </c>
      <c r="AY409" s="96" t="s">
        <v>199</v>
      </c>
      <c r="AZ409" s="96" t="s">
        <v>97</v>
      </c>
      <c r="BA409" s="96"/>
      <c r="BB409" s="96"/>
      <c r="BC409" s="96"/>
      <c r="BD409" s="96"/>
      <c r="BE409" s="96"/>
      <c r="BF409" s="96"/>
      <c r="BG409" s="96"/>
      <c r="BH409" s="73" t="s">
        <v>199</v>
      </c>
      <c r="BI409" s="30" t="str">
        <f>IF(COUNTA(Tabelle32[[#This Row],[Type:Vid_1080i50]:[Type:Anc_Prot]])&gt;0,"x","")</f>
        <v>x</v>
      </c>
      <c r="BJ40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409" s="59"/>
      <c r="BL409" s="59"/>
      <c r="BM409" s="63"/>
      <c r="BN409" s="63"/>
      <c r="BO409" s="97" t="s">
        <v>732</v>
      </c>
      <c r="BP409" s="97" t="s">
        <v>843</v>
      </c>
      <c r="BQ409" s="75">
        <f>LEN(Tabelle32[[#This Row],[Label 1
GFX-Unit]])</f>
        <v>13</v>
      </c>
      <c r="BR409" s="63"/>
      <c r="BS409" s="63"/>
      <c r="BT409" s="59"/>
      <c r="BU409" s="59"/>
      <c r="BV409" s="59" t="s">
        <v>226</v>
      </c>
      <c r="BW409" s="59" t="s">
        <v>227</v>
      </c>
      <c r="BX409" s="59" t="s">
        <v>844</v>
      </c>
      <c r="BY409" s="59">
        <v>20</v>
      </c>
    </row>
    <row r="410" spans="1:77" x14ac:dyDescent="0.2">
      <c r="A410" s="58" t="str">
        <f>CONCATENATE(Tabelle32[[#This Row],[Device ID]],".",Tabelle32[[#This Row],[Streamcounter]])</f>
        <v>397.20205</v>
      </c>
      <c r="B41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VGW-103_SDI20_AUDsend_0005</v>
      </c>
      <c r="C410" s="60"/>
      <c r="D410" s="61"/>
      <c r="E410" s="62"/>
      <c r="F410" s="59" t="str">
        <f>IFERROR(VLOOKUP(Tabelle32[[#This Row],[Device ID]],BOM!$B$3:$BQ$35,16,FALSE),"")</f>
        <v>EditPC-10 OUT</v>
      </c>
      <c r="G410" s="63">
        <f>VLOOKUP(Tabelle32[[#This Row],[SDI Interface]],BOM!$A$4:$B$35,2,FALSE)</f>
        <v>397</v>
      </c>
      <c r="H410" s="59" t="str">
        <f>BOM!$C$4</f>
        <v>VGW-103</v>
      </c>
      <c r="I410" s="59" t="str">
        <f>IFERROR(VLOOKUP(Tabelle32[[#This Row],[Device ID]],BOM!$B$3:$BQ$35,12,FALSE),"")</f>
        <v>Edit Suite</v>
      </c>
      <c r="J410" s="59" t="str">
        <f>IFERROR(VLOOKUP(Tabelle32[[#This Row],[Device ID]],BOM!$B$3:$BQ$35,13,FALSE),"")</f>
        <v>TC.U1.223 | MDC</v>
      </c>
      <c r="K410" s="59" t="str">
        <f>IFERROR(VLOOKUP(Tabelle32[[#This Row],[Device ID]],BOM!$B$3:$BQ$35,14,FALSE),"")</f>
        <v>Imagine Comunications</v>
      </c>
      <c r="L410" s="59" t="str">
        <f>IFERROR(VLOOKUP(Tabelle32[[#This Row],[Device ID]],BOM!$B$3:$BQ$35,16,FALSE),"")</f>
        <v>EditPC-10 OUT</v>
      </c>
      <c r="M410" s="63" t="str">
        <f>IFERROR(VLOOKUP(Tabelle32[[#This Row],[Device ID]],BOM!$B$3:$BQ$35,17,FALSE),"")</f>
        <v>EDIT SUITE 10</v>
      </c>
      <c r="N410" s="59" t="str">
        <f>IFERROR(VLOOKUP(Tabelle32[[#This Row],[Device ID]],BOM!$B$3:$BQ$35,18,FALSE),"")</f>
        <v>TC.03.017 | Edit 10</v>
      </c>
      <c r="O410" s="64"/>
      <c r="P410" s="64">
        <f>IFERROR(VLOOKUP(Tabelle32[[#This Row],[Device ID]],BOM!$B$3:$BO$50,20,FALSE),"")</f>
        <v>0</v>
      </c>
      <c r="Q410" s="64">
        <f>IFERROR(VLOOKUP(Tabelle32[[#This Row],[Device ID]],BOM!$B$3:$BO$50,21,FALSE),"")</f>
        <v>1</v>
      </c>
      <c r="R410" s="64">
        <f>IFERROR(VLOOKUP(Tabelle32[[#This Row],[Device ID]],BOM!$B$3:$BO$50,22,FALSE),"")</f>
        <v>0</v>
      </c>
      <c r="S410" s="64"/>
      <c r="T410" s="64"/>
      <c r="U410" s="59" t="str">
        <f>IFERROR(VLOOKUP(Tabelle32[[#This Row],[Device ID]],BOM!$B$3:$BQ$35,25,FALSE),"")</f>
        <v>Luis/Ivo</v>
      </c>
      <c r="V410" s="59" t="str">
        <f>IFERROR(VLOOKUP(Tabelle32[[#This Row],[Device ID]],BOM!$B$3:$BQ$35,26,FALSE),"")</f>
        <v>tpco-megw-vgw103.rta.st-net.media.int</v>
      </c>
      <c r="W410" s="59" t="str">
        <f>IFERROR(VLOOKUP(Tabelle32[[#This Row],[Device ID]],BOM!$B$3:$BQ$35,27,FALSE),"")</f>
        <v>10.120.236.50</v>
      </c>
      <c r="X410" s="59" t="str">
        <f>IFERROR(VLOOKUP(Tabelle32[[#This Row],[Device ID]],BOM!$B$3:$BQ$35,28,FALSE),"")</f>
        <v>AVCoreA</v>
      </c>
      <c r="Y410" s="59" t="str">
        <f>IFERROR(VLOOKUP(Tabelle32[[#This Row],[Device ID]],BOM!$B$3:$BQ$35,29,FALSE),"")</f>
        <v>5_36_1</v>
      </c>
      <c r="Z410" s="59" t="str">
        <f>IFERROR(VLOOKUP(Tabelle32[[#This Row],[Device ID]],BOM!$B$3:$BQ$35,30,FALSE),"")</f>
        <v>tpco-megw-vgw103.rtb.st-net.media.int</v>
      </c>
      <c r="AA410" s="59" t="str">
        <f>IFERROR(VLOOKUP(Tabelle32[[#This Row],[Device ID]],BOM!$B$3:$BQ$35,31,FALSE),"")</f>
        <v>10.120.236.54</v>
      </c>
      <c r="AB410" s="59" t="str">
        <f>IFERROR(VLOOKUP(Tabelle32[[#This Row],[Device ID]],BOM!$B$3:$BQ$35,32,FALSE),"")</f>
        <v>AVCoreB</v>
      </c>
      <c r="AC410" s="59" t="str">
        <f>IFERROR(VLOOKUP(Tabelle32[[#This Row],[Device ID]],BOM!$B$3:$BQ$35,33,FALSE),"")</f>
        <v>5_36_1</v>
      </c>
      <c r="AD410" s="59" t="str">
        <f>IFERROR(VLOOKUP(Tabelle32[[#This Row],[Device ID]],BOM!$B$3:$BQ$35,34,FALSE),"")</f>
        <v>tpco-megw-vgw103.st-net.media.int</v>
      </c>
      <c r="AE410" s="59" t="str">
        <f>IFERROR(VLOOKUP(Tabelle32[[#This Row],[Device ID]],BOM!$B$3:$BQ$35,35,FALSE),"")</f>
        <v>10.120.67.141</v>
      </c>
      <c r="AF410" s="59">
        <f>IFERROR(VLOOKUP(Tabelle32[[#This Row],[Device ID]],BOM!$B$3:$BQ$35,36,FALSE),"")</f>
        <v>0</v>
      </c>
      <c r="AG410" s="59">
        <f>IFERROR(VLOOKUP(Tabelle32[[#This Row],[Device ID]],BOM!$B$3:$BQ$35,37,FALSE),"")</f>
        <v>0</v>
      </c>
      <c r="AH410" s="59"/>
      <c r="AI410" s="59"/>
      <c r="AJ410" s="59"/>
      <c r="AK410" s="59"/>
      <c r="AL410" s="59" t="str">
        <f>IFERROR(VLOOKUP(Tabelle32[[#This Row],[Device ID]],BOM!$B$3:$BQ$35,42,FALSE),"")</f>
        <v>Imagine Communications SNP</v>
      </c>
      <c r="AM410" s="59" t="str">
        <f>IFERROR(VLOOKUP(Tabelle32[[#This Row],[Device ID]],BOM!$B$3:$BQ$35,43,FALSE),"")</f>
        <v>no</v>
      </c>
      <c r="AN410" s="59" t="str">
        <f>IFERROR(VLOOKUP(Tabelle32[[#This Row],[Device ID]],BOM!$B$3:$BQ$35,44,FALSE),"")</f>
        <v>yes</v>
      </c>
      <c r="AO410" s="59" t="str">
        <f>IFERROR(VLOOKUP(Tabelle32[[#This Row],[Device ID]],BOM!$B$3:$BQ$35,45,FALSE),"")</f>
        <v>no</v>
      </c>
      <c r="AP410" s="59" t="str">
        <f>IFERROR(CONCATENATE(Tabelle32[[#This Row],[Family
GFX-Unit]]," | ",Tabelle32[[#This Row],[Label 1
GFX-Unit]]," | ",Tabelle32[[#This Row],[Attached Device if Gateway]]),"")</f>
        <v>MEDEM Edits Out | Out Edit10-05 | EditPC-10 OUT</v>
      </c>
      <c r="AQ410" s="59"/>
      <c r="AR410" s="96"/>
      <c r="AS410" s="96"/>
      <c r="AT410" s="96"/>
      <c r="AU410" s="96"/>
      <c r="AV410" s="96"/>
      <c r="AW410" s="96" t="s">
        <v>97</v>
      </c>
      <c r="AX410" s="96" t="s">
        <v>199</v>
      </c>
      <c r="AY410" s="96" t="s">
        <v>199</v>
      </c>
      <c r="AZ410" s="96"/>
      <c r="BA410" s="96"/>
      <c r="BB410" s="96"/>
      <c r="BC410" s="96"/>
      <c r="BD410" s="96"/>
      <c r="BE410" s="96"/>
      <c r="BF410" s="96"/>
      <c r="BG410" s="96"/>
      <c r="BH410" s="73" t="s">
        <v>199</v>
      </c>
      <c r="BI410" s="30" t="str">
        <f>IF(COUNTA(Tabelle32[[#This Row],[Type:Vid_1080i50]:[Type:Anc_Prot]])&gt;0,"x","")</f>
        <v>x</v>
      </c>
      <c r="BJ41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410" s="59"/>
      <c r="BL410" s="59"/>
      <c r="BM410" s="63"/>
      <c r="BN410" s="63"/>
      <c r="BO410" s="97" t="s">
        <v>732</v>
      </c>
      <c r="BP410" s="97" t="s">
        <v>845</v>
      </c>
      <c r="BQ410" s="75">
        <f>LEN(Tabelle32[[#This Row],[Label 1
GFX-Unit]])</f>
        <v>13</v>
      </c>
      <c r="BR410" s="63"/>
      <c r="BS410" s="63"/>
      <c r="BT410" s="59"/>
      <c r="BU410" s="59"/>
      <c r="BV410" s="59" t="s">
        <v>230</v>
      </c>
      <c r="BW410" s="59" t="s">
        <v>231</v>
      </c>
      <c r="BX410" s="59" t="s">
        <v>846</v>
      </c>
      <c r="BY410" s="59">
        <v>20</v>
      </c>
    </row>
    <row r="411" spans="1:77" x14ac:dyDescent="0.2">
      <c r="A411" s="58" t="str">
        <f>CONCATENATE(Tabelle32[[#This Row],[Device ID]],".",Tabelle32[[#This Row],[Streamcounter]])</f>
        <v>397.20206</v>
      </c>
      <c r="B41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VGW-103_SDI20_AUDsend_0006</v>
      </c>
      <c r="C411" s="60"/>
      <c r="D411" s="61"/>
      <c r="E411" s="62"/>
      <c r="F411" s="59" t="str">
        <f>IFERROR(VLOOKUP(Tabelle32[[#This Row],[Device ID]],BOM!$B$3:$BQ$35,16,FALSE),"")</f>
        <v>EditPC-10 OUT</v>
      </c>
      <c r="G411" s="63">
        <f>VLOOKUP(Tabelle32[[#This Row],[SDI Interface]],BOM!$A$4:$B$35,2,FALSE)</f>
        <v>397</v>
      </c>
      <c r="H411" s="59" t="str">
        <f>BOM!$C$4</f>
        <v>VGW-103</v>
      </c>
      <c r="I411" s="59" t="str">
        <f>IFERROR(VLOOKUP(Tabelle32[[#This Row],[Device ID]],BOM!$B$3:$BQ$35,12,FALSE),"")</f>
        <v>Edit Suite</v>
      </c>
      <c r="J411" s="59" t="str">
        <f>IFERROR(VLOOKUP(Tabelle32[[#This Row],[Device ID]],BOM!$B$3:$BQ$35,13,FALSE),"")</f>
        <v>TC.U1.223 | MDC</v>
      </c>
      <c r="K411" s="59" t="str">
        <f>IFERROR(VLOOKUP(Tabelle32[[#This Row],[Device ID]],BOM!$B$3:$BQ$35,14,FALSE),"")</f>
        <v>Imagine Comunications</v>
      </c>
      <c r="L411" s="59" t="str">
        <f>IFERROR(VLOOKUP(Tabelle32[[#This Row],[Device ID]],BOM!$B$3:$BQ$35,16,FALSE),"")</f>
        <v>EditPC-10 OUT</v>
      </c>
      <c r="M411" s="63" t="str">
        <f>IFERROR(VLOOKUP(Tabelle32[[#This Row],[Device ID]],BOM!$B$3:$BQ$35,17,FALSE),"")</f>
        <v>EDIT SUITE 10</v>
      </c>
      <c r="N411" s="59" t="str">
        <f>IFERROR(VLOOKUP(Tabelle32[[#This Row],[Device ID]],BOM!$B$3:$BQ$35,18,FALSE),"")</f>
        <v>TC.03.017 | Edit 10</v>
      </c>
      <c r="O411" s="64"/>
      <c r="P411" s="64">
        <f>IFERROR(VLOOKUP(Tabelle32[[#This Row],[Device ID]],BOM!$B$3:$BO$50,20,FALSE),"")</f>
        <v>0</v>
      </c>
      <c r="Q411" s="64">
        <f>IFERROR(VLOOKUP(Tabelle32[[#This Row],[Device ID]],BOM!$B$3:$BO$50,21,FALSE),"")</f>
        <v>1</v>
      </c>
      <c r="R411" s="64">
        <f>IFERROR(VLOOKUP(Tabelle32[[#This Row],[Device ID]],BOM!$B$3:$BO$50,22,FALSE),"")</f>
        <v>0</v>
      </c>
      <c r="S411" s="64"/>
      <c r="T411" s="64"/>
      <c r="U411" s="59" t="str">
        <f>IFERROR(VLOOKUP(Tabelle32[[#This Row],[Device ID]],BOM!$B$3:$BQ$35,25,FALSE),"")</f>
        <v>Luis/Ivo</v>
      </c>
      <c r="V411" s="59" t="str">
        <f>IFERROR(VLOOKUP(Tabelle32[[#This Row],[Device ID]],BOM!$B$3:$BQ$35,26,FALSE),"")</f>
        <v>tpco-megw-vgw103.rta.st-net.media.int</v>
      </c>
      <c r="W411" s="59" t="str">
        <f>IFERROR(VLOOKUP(Tabelle32[[#This Row],[Device ID]],BOM!$B$3:$BQ$35,27,FALSE),"")</f>
        <v>10.120.236.50</v>
      </c>
      <c r="X411" s="59" t="str">
        <f>IFERROR(VLOOKUP(Tabelle32[[#This Row],[Device ID]],BOM!$B$3:$BQ$35,28,FALSE),"")</f>
        <v>AVCoreA</v>
      </c>
      <c r="Y411" s="59" t="str">
        <f>IFERROR(VLOOKUP(Tabelle32[[#This Row],[Device ID]],BOM!$B$3:$BQ$35,29,FALSE),"")</f>
        <v>5_36_1</v>
      </c>
      <c r="Z411" s="59" t="str">
        <f>IFERROR(VLOOKUP(Tabelle32[[#This Row],[Device ID]],BOM!$B$3:$BQ$35,30,FALSE),"")</f>
        <v>tpco-megw-vgw103.rtb.st-net.media.int</v>
      </c>
      <c r="AA411" s="59" t="str">
        <f>IFERROR(VLOOKUP(Tabelle32[[#This Row],[Device ID]],BOM!$B$3:$BQ$35,31,FALSE),"")</f>
        <v>10.120.236.54</v>
      </c>
      <c r="AB411" s="59" t="str">
        <f>IFERROR(VLOOKUP(Tabelle32[[#This Row],[Device ID]],BOM!$B$3:$BQ$35,32,FALSE),"")</f>
        <v>AVCoreB</v>
      </c>
      <c r="AC411" s="59" t="str">
        <f>IFERROR(VLOOKUP(Tabelle32[[#This Row],[Device ID]],BOM!$B$3:$BQ$35,33,FALSE),"")</f>
        <v>5_36_1</v>
      </c>
      <c r="AD411" s="59" t="str">
        <f>IFERROR(VLOOKUP(Tabelle32[[#This Row],[Device ID]],BOM!$B$3:$BQ$35,34,FALSE),"")</f>
        <v>tpco-megw-vgw103.st-net.media.int</v>
      </c>
      <c r="AE411" s="59" t="str">
        <f>IFERROR(VLOOKUP(Tabelle32[[#This Row],[Device ID]],BOM!$B$3:$BQ$35,35,FALSE),"")</f>
        <v>10.120.67.141</v>
      </c>
      <c r="AF411" s="59">
        <f>IFERROR(VLOOKUP(Tabelle32[[#This Row],[Device ID]],BOM!$B$3:$BQ$35,36,FALSE),"")</f>
        <v>0</v>
      </c>
      <c r="AG411" s="59">
        <f>IFERROR(VLOOKUP(Tabelle32[[#This Row],[Device ID]],BOM!$B$3:$BQ$35,37,FALSE),"")</f>
        <v>0</v>
      </c>
      <c r="AH411" s="59"/>
      <c r="AI411" s="59"/>
      <c r="AJ411" s="59"/>
      <c r="AK411" s="59"/>
      <c r="AL411" s="59" t="str">
        <f>IFERROR(VLOOKUP(Tabelle32[[#This Row],[Device ID]],BOM!$B$3:$BQ$35,42,FALSE),"")</f>
        <v>Imagine Communications SNP</v>
      </c>
      <c r="AM411" s="59" t="str">
        <f>IFERROR(VLOOKUP(Tabelle32[[#This Row],[Device ID]],BOM!$B$3:$BQ$35,43,FALSE),"")</f>
        <v>no</v>
      </c>
      <c r="AN411" s="59" t="str">
        <f>IFERROR(VLOOKUP(Tabelle32[[#This Row],[Device ID]],BOM!$B$3:$BQ$35,44,FALSE),"")</f>
        <v>yes</v>
      </c>
      <c r="AO411" s="59" t="str">
        <f>IFERROR(VLOOKUP(Tabelle32[[#This Row],[Device ID]],BOM!$B$3:$BQ$35,45,FALSE),"")</f>
        <v>no</v>
      </c>
      <c r="AP411" s="59" t="str">
        <f>IFERROR(CONCATENATE(Tabelle32[[#This Row],[Family
GFX-Unit]]," | ",Tabelle32[[#This Row],[Label 1
GFX-Unit]]," | ",Tabelle32[[#This Row],[Attached Device if Gateway]]),"")</f>
        <v>MEDEM Edits Out | Out Edit10-06 | EditPC-10 OUT</v>
      </c>
      <c r="AQ411" s="59"/>
      <c r="AR411" s="96"/>
      <c r="AS411" s="96"/>
      <c r="AT411" s="96"/>
      <c r="AU411" s="96"/>
      <c r="AV411" s="96"/>
      <c r="AW411" s="96" t="s">
        <v>97</v>
      </c>
      <c r="AX411" s="96" t="s">
        <v>199</v>
      </c>
      <c r="AY411" s="96" t="s">
        <v>199</v>
      </c>
      <c r="AZ411" s="96"/>
      <c r="BA411" s="96"/>
      <c r="BB411" s="96"/>
      <c r="BC411" s="96"/>
      <c r="BD411" s="96"/>
      <c r="BE411" s="96"/>
      <c r="BF411" s="96"/>
      <c r="BG411" s="96"/>
      <c r="BH411" s="73" t="s">
        <v>199</v>
      </c>
      <c r="BI411" s="30" t="str">
        <f>IF(COUNTA(Tabelle32[[#This Row],[Type:Vid_1080i50]:[Type:Anc_Prot]])&gt;0,"x","")</f>
        <v>x</v>
      </c>
      <c r="BJ41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411" s="59"/>
      <c r="BL411" s="59"/>
      <c r="BM411" s="63"/>
      <c r="BN411" s="63"/>
      <c r="BO411" s="97" t="s">
        <v>732</v>
      </c>
      <c r="BP411" s="97" t="s">
        <v>847</v>
      </c>
      <c r="BQ411" s="75">
        <f>LEN(Tabelle32[[#This Row],[Label 1
GFX-Unit]])</f>
        <v>13</v>
      </c>
      <c r="BR411" s="63"/>
      <c r="BS411" s="63"/>
      <c r="BT411" s="59"/>
      <c r="BU411" s="59"/>
      <c r="BV411" s="59" t="s">
        <v>234</v>
      </c>
      <c r="BW411" s="59" t="s">
        <v>235</v>
      </c>
      <c r="BX411" s="59" t="s">
        <v>848</v>
      </c>
      <c r="BY411" s="59">
        <v>20</v>
      </c>
    </row>
    <row r="412" spans="1:77" x14ac:dyDescent="0.2">
      <c r="A412" s="58" t="str">
        <f>CONCATENATE(Tabelle32[[#This Row],[Device ID]],".",Tabelle32[[#This Row],[Streamcounter]])</f>
        <v>397.20207</v>
      </c>
      <c r="B41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VGW-103_SDI20_AUDsend_0007</v>
      </c>
      <c r="C412" s="60"/>
      <c r="D412" s="61"/>
      <c r="E412" s="62"/>
      <c r="F412" s="59" t="str">
        <f>IFERROR(VLOOKUP(Tabelle32[[#This Row],[Device ID]],BOM!$B$3:$BQ$35,16,FALSE),"")</f>
        <v>EditPC-10 OUT</v>
      </c>
      <c r="G412" s="63">
        <f>VLOOKUP(Tabelle32[[#This Row],[SDI Interface]],BOM!$A$4:$B$35,2,FALSE)</f>
        <v>397</v>
      </c>
      <c r="H412" s="59" t="str">
        <f>BOM!$C$4</f>
        <v>VGW-103</v>
      </c>
      <c r="I412" s="59" t="str">
        <f>IFERROR(VLOOKUP(Tabelle32[[#This Row],[Device ID]],BOM!$B$3:$BQ$35,12,FALSE),"")</f>
        <v>Edit Suite</v>
      </c>
      <c r="J412" s="59" t="str">
        <f>IFERROR(VLOOKUP(Tabelle32[[#This Row],[Device ID]],BOM!$B$3:$BQ$35,13,FALSE),"")</f>
        <v>TC.U1.223 | MDC</v>
      </c>
      <c r="K412" s="59" t="str">
        <f>IFERROR(VLOOKUP(Tabelle32[[#This Row],[Device ID]],BOM!$B$3:$BQ$35,14,FALSE),"")</f>
        <v>Imagine Comunications</v>
      </c>
      <c r="L412" s="59" t="str">
        <f>IFERROR(VLOOKUP(Tabelle32[[#This Row],[Device ID]],BOM!$B$3:$BQ$35,16,FALSE),"")</f>
        <v>EditPC-10 OUT</v>
      </c>
      <c r="M412" s="63" t="str">
        <f>IFERROR(VLOOKUP(Tabelle32[[#This Row],[Device ID]],BOM!$B$3:$BQ$35,17,FALSE),"")</f>
        <v>EDIT SUITE 10</v>
      </c>
      <c r="N412" s="59" t="str">
        <f>IFERROR(VLOOKUP(Tabelle32[[#This Row],[Device ID]],BOM!$B$3:$BQ$35,18,FALSE),"")</f>
        <v>TC.03.017 | Edit 10</v>
      </c>
      <c r="O412" s="64"/>
      <c r="P412" s="64">
        <f>IFERROR(VLOOKUP(Tabelle32[[#This Row],[Device ID]],BOM!$B$3:$BO$50,20,FALSE),"")</f>
        <v>0</v>
      </c>
      <c r="Q412" s="64">
        <f>IFERROR(VLOOKUP(Tabelle32[[#This Row],[Device ID]],BOM!$B$3:$BO$50,21,FALSE),"")</f>
        <v>1</v>
      </c>
      <c r="R412" s="64">
        <f>IFERROR(VLOOKUP(Tabelle32[[#This Row],[Device ID]],BOM!$B$3:$BO$50,22,FALSE),"")</f>
        <v>0</v>
      </c>
      <c r="S412" s="64"/>
      <c r="T412" s="64"/>
      <c r="U412" s="59" t="str">
        <f>IFERROR(VLOOKUP(Tabelle32[[#This Row],[Device ID]],BOM!$B$3:$BQ$35,25,FALSE),"")</f>
        <v>Luis/Ivo</v>
      </c>
      <c r="V412" s="59" t="str">
        <f>IFERROR(VLOOKUP(Tabelle32[[#This Row],[Device ID]],BOM!$B$3:$BQ$35,26,FALSE),"")</f>
        <v>tpco-megw-vgw103.rta.st-net.media.int</v>
      </c>
      <c r="W412" s="59" t="str">
        <f>IFERROR(VLOOKUP(Tabelle32[[#This Row],[Device ID]],BOM!$B$3:$BQ$35,27,FALSE),"")</f>
        <v>10.120.236.50</v>
      </c>
      <c r="X412" s="59" t="str">
        <f>IFERROR(VLOOKUP(Tabelle32[[#This Row],[Device ID]],BOM!$B$3:$BQ$35,28,FALSE),"")</f>
        <v>AVCoreA</v>
      </c>
      <c r="Y412" s="59" t="str">
        <f>IFERROR(VLOOKUP(Tabelle32[[#This Row],[Device ID]],BOM!$B$3:$BQ$35,29,FALSE),"")</f>
        <v>5_36_1</v>
      </c>
      <c r="Z412" s="59" t="str">
        <f>IFERROR(VLOOKUP(Tabelle32[[#This Row],[Device ID]],BOM!$B$3:$BQ$35,30,FALSE),"")</f>
        <v>tpco-megw-vgw103.rtb.st-net.media.int</v>
      </c>
      <c r="AA412" s="59" t="str">
        <f>IFERROR(VLOOKUP(Tabelle32[[#This Row],[Device ID]],BOM!$B$3:$BQ$35,31,FALSE),"")</f>
        <v>10.120.236.54</v>
      </c>
      <c r="AB412" s="59" t="str">
        <f>IFERROR(VLOOKUP(Tabelle32[[#This Row],[Device ID]],BOM!$B$3:$BQ$35,32,FALSE),"")</f>
        <v>AVCoreB</v>
      </c>
      <c r="AC412" s="59" t="str">
        <f>IFERROR(VLOOKUP(Tabelle32[[#This Row],[Device ID]],BOM!$B$3:$BQ$35,33,FALSE),"")</f>
        <v>5_36_1</v>
      </c>
      <c r="AD412" s="59" t="str">
        <f>IFERROR(VLOOKUP(Tabelle32[[#This Row],[Device ID]],BOM!$B$3:$BQ$35,34,FALSE),"")</f>
        <v>tpco-megw-vgw103.st-net.media.int</v>
      </c>
      <c r="AE412" s="59" t="str">
        <f>IFERROR(VLOOKUP(Tabelle32[[#This Row],[Device ID]],BOM!$B$3:$BQ$35,35,FALSE),"")</f>
        <v>10.120.67.141</v>
      </c>
      <c r="AF412" s="59">
        <f>IFERROR(VLOOKUP(Tabelle32[[#This Row],[Device ID]],BOM!$B$3:$BQ$35,36,FALSE),"")</f>
        <v>0</v>
      </c>
      <c r="AG412" s="59">
        <f>IFERROR(VLOOKUP(Tabelle32[[#This Row],[Device ID]],BOM!$B$3:$BQ$35,37,FALSE),"")</f>
        <v>0</v>
      </c>
      <c r="AH412" s="59"/>
      <c r="AI412" s="59"/>
      <c r="AJ412" s="59"/>
      <c r="AK412" s="59"/>
      <c r="AL412" s="59" t="str">
        <f>IFERROR(VLOOKUP(Tabelle32[[#This Row],[Device ID]],BOM!$B$3:$BQ$35,42,FALSE),"")</f>
        <v>Imagine Communications SNP</v>
      </c>
      <c r="AM412" s="59" t="str">
        <f>IFERROR(VLOOKUP(Tabelle32[[#This Row],[Device ID]],BOM!$B$3:$BQ$35,43,FALSE),"")</f>
        <v>no</v>
      </c>
      <c r="AN412" s="59" t="str">
        <f>IFERROR(VLOOKUP(Tabelle32[[#This Row],[Device ID]],BOM!$B$3:$BQ$35,44,FALSE),"")</f>
        <v>yes</v>
      </c>
      <c r="AO412" s="59" t="str">
        <f>IFERROR(VLOOKUP(Tabelle32[[#This Row],[Device ID]],BOM!$B$3:$BQ$35,45,FALSE),"")</f>
        <v>no</v>
      </c>
      <c r="AP412" s="59" t="str">
        <f>IFERROR(CONCATENATE(Tabelle32[[#This Row],[Family
GFX-Unit]]," | ",Tabelle32[[#This Row],[Label 1
GFX-Unit]]," | ",Tabelle32[[#This Row],[Attached Device if Gateway]]),"")</f>
        <v>MEDEM Edits Out | Out Edit10-07 | EditPC-10 OUT</v>
      </c>
      <c r="AQ412" s="59"/>
      <c r="AR412" s="96"/>
      <c r="AS412" s="96"/>
      <c r="AT412" s="96"/>
      <c r="AU412" s="96"/>
      <c r="AV412" s="96"/>
      <c r="AW412" s="96"/>
      <c r="AX412" s="96" t="s">
        <v>199</v>
      </c>
      <c r="AY412" s="96" t="s">
        <v>199</v>
      </c>
      <c r="AZ412" s="96" t="s">
        <v>97</v>
      </c>
      <c r="BA412" s="96"/>
      <c r="BB412" s="96"/>
      <c r="BC412" s="96"/>
      <c r="BD412" s="96"/>
      <c r="BE412" s="96"/>
      <c r="BF412" s="96"/>
      <c r="BG412" s="96"/>
      <c r="BH412" s="73" t="s">
        <v>199</v>
      </c>
      <c r="BI412" s="30" t="str">
        <f>IF(COUNTA(Tabelle32[[#This Row],[Type:Vid_1080i50]:[Type:Anc_Prot]])&gt;0,"x","")</f>
        <v>x</v>
      </c>
      <c r="BJ41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412" s="59"/>
      <c r="BL412" s="59"/>
      <c r="BM412" s="63"/>
      <c r="BN412" s="63"/>
      <c r="BO412" s="97" t="s">
        <v>732</v>
      </c>
      <c r="BP412" s="97" t="s">
        <v>849</v>
      </c>
      <c r="BQ412" s="75">
        <f>LEN(Tabelle32[[#This Row],[Label 1
GFX-Unit]])</f>
        <v>13</v>
      </c>
      <c r="BR412" s="63"/>
      <c r="BS412" s="63"/>
      <c r="BT412" s="59"/>
      <c r="BU412" s="59"/>
      <c r="BV412" s="59" t="s">
        <v>238</v>
      </c>
      <c r="BW412" s="59" t="s">
        <v>239</v>
      </c>
      <c r="BX412" s="59" t="s">
        <v>850</v>
      </c>
      <c r="BY412" s="59">
        <v>20</v>
      </c>
    </row>
    <row r="413" spans="1:77" x14ac:dyDescent="0.2">
      <c r="A413" s="58" t="str">
        <f>CONCATENATE(Tabelle32[[#This Row],[Device ID]],".",Tabelle32[[#This Row],[Streamcounter]])</f>
        <v>397.20208</v>
      </c>
      <c r="B41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VGW-103_SDI20_AUDsend_0008</v>
      </c>
      <c r="C413" s="60"/>
      <c r="D413" s="61"/>
      <c r="E413" s="62"/>
      <c r="F413" s="59" t="str">
        <f>IFERROR(VLOOKUP(Tabelle32[[#This Row],[Device ID]],BOM!$B$3:$BQ$35,16,FALSE),"")</f>
        <v>EditPC-10 OUT</v>
      </c>
      <c r="G413" s="63">
        <f>VLOOKUP(Tabelle32[[#This Row],[SDI Interface]],BOM!$A$4:$B$35,2,FALSE)</f>
        <v>397</v>
      </c>
      <c r="H413" s="59" t="str">
        <f>BOM!$C$4</f>
        <v>VGW-103</v>
      </c>
      <c r="I413" s="59" t="str">
        <f>IFERROR(VLOOKUP(Tabelle32[[#This Row],[Device ID]],BOM!$B$3:$BQ$35,12,FALSE),"")</f>
        <v>Edit Suite</v>
      </c>
      <c r="J413" s="59" t="str">
        <f>IFERROR(VLOOKUP(Tabelle32[[#This Row],[Device ID]],BOM!$B$3:$BQ$35,13,FALSE),"")</f>
        <v>TC.U1.223 | MDC</v>
      </c>
      <c r="K413" s="59" t="str">
        <f>IFERROR(VLOOKUP(Tabelle32[[#This Row],[Device ID]],BOM!$B$3:$BQ$35,14,FALSE),"")</f>
        <v>Imagine Comunications</v>
      </c>
      <c r="L413" s="59" t="str">
        <f>IFERROR(VLOOKUP(Tabelle32[[#This Row],[Device ID]],BOM!$B$3:$BQ$35,16,FALSE),"")</f>
        <v>EditPC-10 OUT</v>
      </c>
      <c r="M413" s="63" t="str">
        <f>IFERROR(VLOOKUP(Tabelle32[[#This Row],[Device ID]],BOM!$B$3:$BQ$35,17,FALSE),"")</f>
        <v>EDIT SUITE 10</v>
      </c>
      <c r="N413" s="59" t="str">
        <f>IFERROR(VLOOKUP(Tabelle32[[#This Row],[Device ID]],BOM!$B$3:$BQ$35,18,FALSE),"")</f>
        <v>TC.03.017 | Edit 10</v>
      </c>
      <c r="O413" s="64"/>
      <c r="P413" s="64">
        <f>IFERROR(VLOOKUP(Tabelle32[[#This Row],[Device ID]],BOM!$B$3:$BO$50,20,FALSE),"")</f>
        <v>0</v>
      </c>
      <c r="Q413" s="64">
        <f>IFERROR(VLOOKUP(Tabelle32[[#This Row],[Device ID]],BOM!$B$3:$BO$50,21,FALSE),"")</f>
        <v>1</v>
      </c>
      <c r="R413" s="64">
        <f>IFERROR(VLOOKUP(Tabelle32[[#This Row],[Device ID]],BOM!$B$3:$BO$50,22,FALSE),"")</f>
        <v>0</v>
      </c>
      <c r="S413" s="64"/>
      <c r="T413" s="64"/>
      <c r="U413" s="59" t="str">
        <f>IFERROR(VLOOKUP(Tabelle32[[#This Row],[Device ID]],BOM!$B$3:$BQ$35,25,FALSE),"")</f>
        <v>Luis/Ivo</v>
      </c>
      <c r="V413" s="59" t="str">
        <f>IFERROR(VLOOKUP(Tabelle32[[#This Row],[Device ID]],BOM!$B$3:$BQ$35,26,FALSE),"")</f>
        <v>tpco-megw-vgw103.rta.st-net.media.int</v>
      </c>
      <c r="W413" s="59" t="str">
        <f>IFERROR(VLOOKUP(Tabelle32[[#This Row],[Device ID]],BOM!$B$3:$BQ$35,27,FALSE),"")</f>
        <v>10.120.236.50</v>
      </c>
      <c r="X413" s="59" t="str">
        <f>IFERROR(VLOOKUP(Tabelle32[[#This Row],[Device ID]],BOM!$B$3:$BQ$35,28,FALSE),"")</f>
        <v>AVCoreA</v>
      </c>
      <c r="Y413" s="59" t="str">
        <f>IFERROR(VLOOKUP(Tabelle32[[#This Row],[Device ID]],BOM!$B$3:$BQ$35,29,FALSE),"")</f>
        <v>5_36_1</v>
      </c>
      <c r="Z413" s="59" t="str">
        <f>IFERROR(VLOOKUP(Tabelle32[[#This Row],[Device ID]],BOM!$B$3:$BQ$35,30,FALSE),"")</f>
        <v>tpco-megw-vgw103.rtb.st-net.media.int</v>
      </c>
      <c r="AA413" s="59" t="str">
        <f>IFERROR(VLOOKUP(Tabelle32[[#This Row],[Device ID]],BOM!$B$3:$BQ$35,31,FALSE),"")</f>
        <v>10.120.236.54</v>
      </c>
      <c r="AB413" s="59" t="str">
        <f>IFERROR(VLOOKUP(Tabelle32[[#This Row],[Device ID]],BOM!$B$3:$BQ$35,32,FALSE),"")</f>
        <v>AVCoreB</v>
      </c>
      <c r="AC413" s="59" t="str">
        <f>IFERROR(VLOOKUP(Tabelle32[[#This Row],[Device ID]],BOM!$B$3:$BQ$35,33,FALSE),"")</f>
        <v>5_36_1</v>
      </c>
      <c r="AD413" s="59" t="str">
        <f>IFERROR(VLOOKUP(Tabelle32[[#This Row],[Device ID]],BOM!$B$3:$BQ$35,34,FALSE),"")</f>
        <v>tpco-megw-vgw103.st-net.media.int</v>
      </c>
      <c r="AE413" s="59" t="str">
        <f>IFERROR(VLOOKUP(Tabelle32[[#This Row],[Device ID]],BOM!$B$3:$BQ$35,35,FALSE),"")</f>
        <v>10.120.67.141</v>
      </c>
      <c r="AF413" s="59">
        <f>IFERROR(VLOOKUP(Tabelle32[[#This Row],[Device ID]],BOM!$B$3:$BQ$35,36,FALSE),"")</f>
        <v>0</v>
      </c>
      <c r="AG413" s="59">
        <f>IFERROR(VLOOKUP(Tabelle32[[#This Row],[Device ID]],BOM!$B$3:$BQ$35,37,FALSE),"")</f>
        <v>0</v>
      </c>
      <c r="AH413" s="59"/>
      <c r="AI413" s="59"/>
      <c r="AJ413" s="59"/>
      <c r="AK413" s="59"/>
      <c r="AL413" s="59" t="str">
        <f>IFERROR(VLOOKUP(Tabelle32[[#This Row],[Device ID]],BOM!$B$3:$BQ$35,42,FALSE),"")</f>
        <v>Imagine Communications SNP</v>
      </c>
      <c r="AM413" s="59" t="str">
        <f>IFERROR(VLOOKUP(Tabelle32[[#This Row],[Device ID]],BOM!$B$3:$BQ$35,43,FALSE),"")</f>
        <v>no</v>
      </c>
      <c r="AN413" s="59" t="str">
        <f>IFERROR(VLOOKUP(Tabelle32[[#This Row],[Device ID]],BOM!$B$3:$BQ$35,44,FALSE),"")</f>
        <v>yes</v>
      </c>
      <c r="AO413" s="59" t="str">
        <f>IFERROR(VLOOKUP(Tabelle32[[#This Row],[Device ID]],BOM!$B$3:$BQ$35,45,FALSE),"")</f>
        <v>no</v>
      </c>
      <c r="AP413" s="59" t="str">
        <f>IFERROR(CONCATENATE(Tabelle32[[#This Row],[Family
GFX-Unit]]," | ",Tabelle32[[#This Row],[Label 1
GFX-Unit]]," | ",Tabelle32[[#This Row],[Attached Device if Gateway]]),"")</f>
        <v>MEDEM Edits Out | Out Edit10-08 | EditPC-10 OUT</v>
      </c>
      <c r="AQ413" s="59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 t="s">
        <v>97</v>
      </c>
      <c r="BD413" s="96"/>
      <c r="BE413" s="96"/>
      <c r="BF413" s="96"/>
      <c r="BG413" s="96"/>
      <c r="BH413" s="73" t="s">
        <v>199</v>
      </c>
      <c r="BI413" s="30" t="str">
        <f>IF(COUNTA(Tabelle32[[#This Row],[Type:Vid_1080i50]:[Type:Anc_Prot]])&gt;0,"x","")</f>
        <v>x</v>
      </c>
      <c r="BJ41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413" s="59"/>
      <c r="BL413" s="59"/>
      <c r="BM413" s="63"/>
      <c r="BN413" s="63"/>
      <c r="BO413" s="97" t="s">
        <v>732</v>
      </c>
      <c r="BP413" s="97" t="s">
        <v>851</v>
      </c>
      <c r="BQ413" s="75">
        <f>LEN(Tabelle32[[#This Row],[Label 1
GFX-Unit]])</f>
        <v>13</v>
      </c>
      <c r="BR413" s="63"/>
      <c r="BS413" s="63"/>
      <c r="BT413" s="59"/>
      <c r="BU413" s="59"/>
      <c r="BV413" s="59" t="s">
        <v>242</v>
      </c>
      <c r="BW413" s="59" t="s">
        <v>243</v>
      </c>
      <c r="BX413" s="59" t="s">
        <v>852</v>
      </c>
      <c r="BY413" s="59">
        <v>20</v>
      </c>
    </row>
    <row r="414" spans="1:77" hidden="1" x14ac:dyDescent="0.2">
      <c r="A414" s="58" t="str">
        <f>CONCATENATE(Tabelle32[[#This Row],[Device ID]],".",Tabelle32[[#This Row],[Streamcounter]])</f>
        <v>397.20209</v>
      </c>
      <c r="B41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VGW-103_SDI20_AUDsend_0009</v>
      </c>
      <c r="C414" s="60"/>
      <c r="D414" s="61"/>
      <c r="E414" s="62"/>
      <c r="F414" s="59" t="str">
        <f>IFERROR(VLOOKUP(Tabelle32[[#This Row],[Device ID]],BOM!$B$3:$BQ$35,16,FALSE),"")</f>
        <v>EditPC-10 OUT</v>
      </c>
      <c r="G414" s="63">
        <f>VLOOKUP(Tabelle32[[#This Row],[SDI Interface]],BOM!$A$4:$B$35,2,FALSE)</f>
        <v>397</v>
      </c>
      <c r="H414" s="59" t="str">
        <f>BOM!$C$4</f>
        <v>VGW-103</v>
      </c>
      <c r="I414" s="59" t="str">
        <f>IFERROR(VLOOKUP(Tabelle32[[#This Row],[Device ID]],BOM!$B$3:$BQ$35,12,FALSE),"")</f>
        <v>Edit Suite</v>
      </c>
      <c r="J414" s="59" t="str">
        <f>IFERROR(VLOOKUP(Tabelle32[[#This Row],[Device ID]],BOM!$B$3:$BQ$35,13,FALSE),"")</f>
        <v>TC.U1.223 | MDC</v>
      </c>
      <c r="K414" s="59" t="str">
        <f>IFERROR(VLOOKUP(Tabelle32[[#This Row],[Device ID]],BOM!$B$3:$BQ$35,14,FALSE),"")</f>
        <v>Imagine Comunications</v>
      </c>
      <c r="L414" s="59" t="str">
        <f>IFERROR(VLOOKUP(Tabelle32[[#This Row],[Device ID]],BOM!$B$3:$BQ$35,16,FALSE),"")</f>
        <v>EditPC-10 OUT</v>
      </c>
      <c r="M414" s="63" t="str">
        <f>IFERROR(VLOOKUP(Tabelle32[[#This Row],[Device ID]],BOM!$B$3:$BQ$35,17,FALSE),"")</f>
        <v>EDIT SUITE 10</v>
      </c>
      <c r="N414" s="59" t="str">
        <f>IFERROR(VLOOKUP(Tabelle32[[#This Row],[Device ID]],BOM!$B$3:$BQ$35,18,FALSE),"")</f>
        <v>TC.03.017 | Edit 10</v>
      </c>
      <c r="O414" s="64"/>
      <c r="P414" s="64">
        <f>IFERROR(VLOOKUP(Tabelle32[[#This Row],[Device ID]],BOM!$B$3:$BO$50,20,FALSE),"")</f>
        <v>0</v>
      </c>
      <c r="Q414" s="64">
        <f>IFERROR(VLOOKUP(Tabelle32[[#This Row],[Device ID]],BOM!$B$3:$BO$50,21,FALSE),"")</f>
        <v>1</v>
      </c>
      <c r="R414" s="64">
        <f>IFERROR(VLOOKUP(Tabelle32[[#This Row],[Device ID]],BOM!$B$3:$BO$50,22,FALSE),"")</f>
        <v>0</v>
      </c>
      <c r="S414" s="64"/>
      <c r="T414" s="64"/>
      <c r="U414" s="59" t="str">
        <f>IFERROR(VLOOKUP(Tabelle32[[#This Row],[Device ID]],BOM!$B$3:$BQ$35,25,FALSE),"")</f>
        <v>Luis/Ivo</v>
      </c>
      <c r="V414" s="59" t="str">
        <f>IFERROR(VLOOKUP(Tabelle32[[#This Row],[Device ID]],BOM!$B$3:$BQ$35,26,FALSE),"")</f>
        <v>tpco-megw-vgw103.rta.st-net.media.int</v>
      </c>
      <c r="W414" s="59" t="str">
        <f>IFERROR(VLOOKUP(Tabelle32[[#This Row],[Device ID]],BOM!$B$3:$BQ$35,27,FALSE),"")</f>
        <v>10.120.236.50</v>
      </c>
      <c r="X414" s="59" t="str">
        <f>IFERROR(VLOOKUP(Tabelle32[[#This Row],[Device ID]],BOM!$B$3:$BQ$35,28,FALSE),"")</f>
        <v>AVCoreA</v>
      </c>
      <c r="Y414" s="59" t="str">
        <f>IFERROR(VLOOKUP(Tabelle32[[#This Row],[Device ID]],BOM!$B$3:$BQ$35,29,FALSE),"")</f>
        <v>5_36_1</v>
      </c>
      <c r="Z414" s="59" t="str">
        <f>IFERROR(VLOOKUP(Tabelle32[[#This Row],[Device ID]],BOM!$B$3:$BQ$35,30,FALSE),"")</f>
        <v>tpco-megw-vgw103.rtb.st-net.media.int</v>
      </c>
      <c r="AA414" s="59" t="str">
        <f>IFERROR(VLOOKUP(Tabelle32[[#This Row],[Device ID]],BOM!$B$3:$BQ$35,31,FALSE),"")</f>
        <v>10.120.236.54</v>
      </c>
      <c r="AB414" s="59" t="str">
        <f>IFERROR(VLOOKUP(Tabelle32[[#This Row],[Device ID]],BOM!$B$3:$BQ$35,32,FALSE),"")</f>
        <v>AVCoreB</v>
      </c>
      <c r="AC414" s="59" t="str">
        <f>IFERROR(VLOOKUP(Tabelle32[[#This Row],[Device ID]],BOM!$B$3:$BQ$35,33,FALSE),"")</f>
        <v>5_36_1</v>
      </c>
      <c r="AD414" s="59" t="str">
        <f>IFERROR(VLOOKUP(Tabelle32[[#This Row],[Device ID]],BOM!$B$3:$BQ$35,34,FALSE),"")</f>
        <v>tpco-megw-vgw103.st-net.media.int</v>
      </c>
      <c r="AE414" s="59" t="str">
        <f>IFERROR(VLOOKUP(Tabelle32[[#This Row],[Device ID]],BOM!$B$3:$BQ$35,35,FALSE),"")</f>
        <v>10.120.67.141</v>
      </c>
      <c r="AF414" s="59">
        <f>IFERROR(VLOOKUP(Tabelle32[[#This Row],[Device ID]],BOM!$B$3:$BQ$35,36,FALSE),"")</f>
        <v>0</v>
      </c>
      <c r="AG414" s="59">
        <f>IFERROR(VLOOKUP(Tabelle32[[#This Row],[Device ID]],BOM!$B$3:$BQ$35,37,FALSE),"")</f>
        <v>0</v>
      </c>
      <c r="AH414" s="59"/>
      <c r="AI414" s="59"/>
      <c r="AJ414" s="59"/>
      <c r="AK414" s="59"/>
      <c r="AL414" s="59" t="str">
        <f>IFERROR(VLOOKUP(Tabelle32[[#This Row],[Device ID]],BOM!$B$3:$BQ$35,42,FALSE),"")</f>
        <v>Imagine Communications SNP</v>
      </c>
      <c r="AM414" s="59" t="str">
        <f>IFERROR(VLOOKUP(Tabelle32[[#This Row],[Device ID]],BOM!$B$3:$BQ$35,43,FALSE),"")</f>
        <v>no</v>
      </c>
      <c r="AN414" s="59" t="str">
        <f>IFERROR(VLOOKUP(Tabelle32[[#This Row],[Device ID]],BOM!$B$3:$BQ$35,44,FALSE),"")</f>
        <v>yes</v>
      </c>
      <c r="AO414" s="59" t="str">
        <f>IFERROR(VLOOKUP(Tabelle32[[#This Row],[Device ID]],BOM!$B$3:$BQ$35,45,FALSE),"")</f>
        <v>no</v>
      </c>
      <c r="AP414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14" s="59"/>
      <c r="AR414" s="90"/>
      <c r="AS414" s="90"/>
      <c r="AT414" s="90"/>
      <c r="AU414" s="90"/>
      <c r="AV414" s="90"/>
      <c r="AW414" s="90"/>
      <c r="AX414" s="90"/>
      <c r="AY414" s="90"/>
      <c r="AZ414" s="90"/>
      <c r="BA414" s="90"/>
      <c r="BB414" s="90"/>
      <c r="BC414" s="90"/>
      <c r="BD414" s="90"/>
      <c r="BE414" s="90"/>
      <c r="BF414" s="90"/>
      <c r="BG414" s="90"/>
      <c r="BH414" s="73" t="s">
        <v>199</v>
      </c>
      <c r="BI414" s="30" t="str">
        <f>IF(COUNTA(Tabelle32[[#This Row],[Type:Vid_1080i50]:[Type:Anc_Prot]])&gt;0,"x","")</f>
        <v/>
      </c>
      <c r="BJ41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14" s="59"/>
      <c r="BL414" s="59"/>
      <c r="BM414" s="63"/>
      <c r="BN414" s="63"/>
      <c r="BO414" s="96"/>
      <c r="BP414" s="96"/>
      <c r="BQ414" s="75">
        <f>LEN(Tabelle32[[#This Row],[Label 1
GFX-Unit]])</f>
        <v>0</v>
      </c>
      <c r="BR414" s="63"/>
      <c r="BS414" s="63"/>
      <c r="BT414" s="59"/>
      <c r="BU414" s="59"/>
      <c r="BV414" s="59" t="s">
        <v>245</v>
      </c>
      <c r="BW414" s="59" t="s">
        <v>246</v>
      </c>
      <c r="BX414" s="59" t="s">
        <v>853</v>
      </c>
      <c r="BY414" s="59">
        <v>20</v>
      </c>
    </row>
    <row r="415" spans="1:77" hidden="1" x14ac:dyDescent="0.2">
      <c r="A415" s="58" t="str">
        <f>CONCATENATE(Tabelle32[[#This Row],[Device ID]],".",Tabelle32[[#This Row],[Streamcounter]])</f>
        <v>397.20210</v>
      </c>
      <c r="B41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VGW-103_SDI20_AUDsend_0010</v>
      </c>
      <c r="C415" s="60"/>
      <c r="D415" s="61"/>
      <c r="E415" s="62"/>
      <c r="F415" s="59" t="str">
        <f>IFERROR(VLOOKUP(Tabelle32[[#This Row],[Device ID]],BOM!$B$3:$BQ$35,16,FALSE),"")</f>
        <v>EditPC-10 OUT</v>
      </c>
      <c r="G415" s="63">
        <f>VLOOKUP(Tabelle32[[#This Row],[SDI Interface]],BOM!$A$4:$B$35,2,FALSE)</f>
        <v>397</v>
      </c>
      <c r="H415" s="59" t="str">
        <f>BOM!$C$4</f>
        <v>VGW-103</v>
      </c>
      <c r="I415" s="59" t="str">
        <f>IFERROR(VLOOKUP(Tabelle32[[#This Row],[Device ID]],BOM!$B$3:$BQ$35,12,FALSE),"")</f>
        <v>Edit Suite</v>
      </c>
      <c r="J415" s="59" t="str">
        <f>IFERROR(VLOOKUP(Tabelle32[[#This Row],[Device ID]],BOM!$B$3:$BQ$35,13,FALSE),"")</f>
        <v>TC.U1.223 | MDC</v>
      </c>
      <c r="K415" s="59" t="str">
        <f>IFERROR(VLOOKUP(Tabelle32[[#This Row],[Device ID]],BOM!$B$3:$BQ$35,14,FALSE),"")</f>
        <v>Imagine Comunications</v>
      </c>
      <c r="L415" s="59" t="str">
        <f>IFERROR(VLOOKUP(Tabelle32[[#This Row],[Device ID]],BOM!$B$3:$BQ$35,16,FALSE),"")</f>
        <v>EditPC-10 OUT</v>
      </c>
      <c r="M415" s="63" t="str">
        <f>IFERROR(VLOOKUP(Tabelle32[[#This Row],[Device ID]],BOM!$B$3:$BQ$35,17,FALSE),"")</f>
        <v>EDIT SUITE 10</v>
      </c>
      <c r="N415" s="59" t="str">
        <f>IFERROR(VLOOKUP(Tabelle32[[#This Row],[Device ID]],BOM!$B$3:$BQ$35,18,FALSE),"")</f>
        <v>TC.03.017 | Edit 10</v>
      </c>
      <c r="O415" s="64"/>
      <c r="P415" s="64">
        <f>IFERROR(VLOOKUP(Tabelle32[[#This Row],[Device ID]],BOM!$B$3:$BO$50,20,FALSE),"")</f>
        <v>0</v>
      </c>
      <c r="Q415" s="64">
        <f>IFERROR(VLOOKUP(Tabelle32[[#This Row],[Device ID]],BOM!$B$3:$BO$50,21,FALSE),"")</f>
        <v>1</v>
      </c>
      <c r="R415" s="64">
        <f>IFERROR(VLOOKUP(Tabelle32[[#This Row],[Device ID]],BOM!$B$3:$BO$50,22,FALSE),"")</f>
        <v>0</v>
      </c>
      <c r="S415" s="64"/>
      <c r="T415" s="64"/>
      <c r="U415" s="59" t="str">
        <f>IFERROR(VLOOKUP(Tabelle32[[#This Row],[Device ID]],BOM!$B$3:$BQ$35,25,FALSE),"")</f>
        <v>Luis/Ivo</v>
      </c>
      <c r="V415" s="59" t="str">
        <f>IFERROR(VLOOKUP(Tabelle32[[#This Row],[Device ID]],BOM!$B$3:$BQ$35,26,FALSE),"")</f>
        <v>tpco-megw-vgw103.rta.st-net.media.int</v>
      </c>
      <c r="W415" s="59" t="str">
        <f>IFERROR(VLOOKUP(Tabelle32[[#This Row],[Device ID]],BOM!$B$3:$BQ$35,27,FALSE),"")</f>
        <v>10.120.236.50</v>
      </c>
      <c r="X415" s="59" t="str">
        <f>IFERROR(VLOOKUP(Tabelle32[[#This Row],[Device ID]],BOM!$B$3:$BQ$35,28,FALSE),"")</f>
        <v>AVCoreA</v>
      </c>
      <c r="Y415" s="59" t="str">
        <f>IFERROR(VLOOKUP(Tabelle32[[#This Row],[Device ID]],BOM!$B$3:$BQ$35,29,FALSE),"")</f>
        <v>5_36_1</v>
      </c>
      <c r="Z415" s="59" t="str">
        <f>IFERROR(VLOOKUP(Tabelle32[[#This Row],[Device ID]],BOM!$B$3:$BQ$35,30,FALSE),"")</f>
        <v>tpco-megw-vgw103.rtb.st-net.media.int</v>
      </c>
      <c r="AA415" s="59" t="str">
        <f>IFERROR(VLOOKUP(Tabelle32[[#This Row],[Device ID]],BOM!$B$3:$BQ$35,31,FALSE),"")</f>
        <v>10.120.236.54</v>
      </c>
      <c r="AB415" s="59" t="str">
        <f>IFERROR(VLOOKUP(Tabelle32[[#This Row],[Device ID]],BOM!$B$3:$BQ$35,32,FALSE),"")</f>
        <v>AVCoreB</v>
      </c>
      <c r="AC415" s="59" t="str">
        <f>IFERROR(VLOOKUP(Tabelle32[[#This Row],[Device ID]],BOM!$B$3:$BQ$35,33,FALSE),"")</f>
        <v>5_36_1</v>
      </c>
      <c r="AD415" s="59" t="str">
        <f>IFERROR(VLOOKUP(Tabelle32[[#This Row],[Device ID]],BOM!$B$3:$BQ$35,34,FALSE),"")</f>
        <v>tpco-megw-vgw103.st-net.media.int</v>
      </c>
      <c r="AE415" s="59" t="str">
        <f>IFERROR(VLOOKUP(Tabelle32[[#This Row],[Device ID]],BOM!$B$3:$BQ$35,35,FALSE),"")</f>
        <v>10.120.67.141</v>
      </c>
      <c r="AF415" s="59">
        <f>IFERROR(VLOOKUP(Tabelle32[[#This Row],[Device ID]],BOM!$B$3:$BQ$35,36,FALSE),"")</f>
        <v>0</v>
      </c>
      <c r="AG415" s="59">
        <f>IFERROR(VLOOKUP(Tabelle32[[#This Row],[Device ID]],BOM!$B$3:$BQ$35,37,FALSE),"")</f>
        <v>0</v>
      </c>
      <c r="AH415" s="59"/>
      <c r="AI415" s="59"/>
      <c r="AJ415" s="59"/>
      <c r="AK415" s="59"/>
      <c r="AL415" s="59" t="str">
        <f>IFERROR(VLOOKUP(Tabelle32[[#This Row],[Device ID]],BOM!$B$3:$BQ$35,42,FALSE),"")</f>
        <v>Imagine Communications SNP</v>
      </c>
      <c r="AM415" s="59" t="str">
        <f>IFERROR(VLOOKUP(Tabelle32[[#This Row],[Device ID]],BOM!$B$3:$BQ$35,43,FALSE),"")</f>
        <v>no</v>
      </c>
      <c r="AN415" s="59" t="str">
        <f>IFERROR(VLOOKUP(Tabelle32[[#This Row],[Device ID]],BOM!$B$3:$BQ$35,44,FALSE),"")</f>
        <v>yes</v>
      </c>
      <c r="AO415" s="59" t="str">
        <f>IFERROR(VLOOKUP(Tabelle32[[#This Row],[Device ID]],BOM!$B$3:$BQ$35,45,FALSE),"")</f>
        <v>no</v>
      </c>
      <c r="AP415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15" s="59"/>
      <c r="AR415" s="90"/>
      <c r="AS415" s="90"/>
      <c r="AT415" s="90"/>
      <c r="AU415" s="90"/>
      <c r="AV415" s="90"/>
      <c r="AW415" s="90"/>
      <c r="AX415" s="90"/>
      <c r="AY415" s="90"/>
      <c r="AZ415" s="90"/>
      <c r="BA415" s="90"/>
      <c r="BB415" s="90"/>
      <c r="BC415" s="90"/>
      <c r="BD415" s="90"/>
      <c r="BE415" s="90"/>
      <c r="BF415" s="90"/>
      <c r="BG415" s="90"/>
      <c r="BH415" s="73" t="s">
        <v>199</v>
      </c>
      <c r="BI415" s="30" t="str">
        <f>IF(COUNTA(Tabelle32[[#This Row],[Type:Vid_1080i50]:[Type:Anc_Prot]])&gt;0,"x","")</f>
        <v/>
      </c>
      <c r="BJ41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15" s="59"/>
      <c r="BL415" s="59"/>
      <c r="BM415" s="63"/>
      <c r="BN415" s="63"/>
      <c r="BO415" s="96"/>
      <c r="BP415" s="96"/>
      <c r="BQ415" s="75">
        <f>LEN(Tabelle32[[#This Row],[Label 1
GFX-Unit]])</f>
        <v>0</v>
      </c>
      <c r="BR415" s="63"/>
      <c r="BS415" s="63"/>
      <c r="BT415" s="59"/>
      <c r="BU415" s="59"/>
      <c r="BV415" s="59" t="s">
        <v>248</v>
      </c>
      <c r="BW415" s="59" t="s">
        <v>249</v>
      </c>
      <c r="BX415" s="59" t="s">
        <v>854</v>
      </c>
      <c r="BY415" s="59">
        <v>20</v>
      </c>
    </row>
    <row r="416" spans="1:77" hidden="1" x14ac:dyDescent="0.2">
      <c r="A416" s="58" t="str">
        <f>CONCATENATE(Tabelle32[[#This Row],[Device ID]],".",Tabelle32[[#This Row],[Streamcounter]])</f>
        <v>397.20211</v>
      </c>
      <c r="B41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VGW-103_SDI20_AUDsend_0011</v>
      </c>
      <c r="C416" s="60"/>
      <c r="D416" s="61"/>
      <c r="E416" s="62"/>
      <c r="F416" s="59" t="str">
        <f>IFERROR(VLOOKUP(Tabelle32[[#This Row],[Device ID]],BOM!$B$3:$BQ$35,16,FALSE),"")</f>
        <v>EditPC-10 OUT</v>
      </c>
      <c r="G416" s="63">
        <f>VLOOKUP(Tabelle32[[#This Row],[SDI Interface]],BOM!$A$4:$B$35,2,FALSE)</f>
        <v>397</v>
      </c>
      <c r="H416" s="59" t="str">
        <f>BOM!$C$4</f>
        <v>VGW-103</v>
      </c>
      <c r="I416" s="59" t="str">
        <f>IFERROR(VLOOKUP(Tabelle32[[#This Row],[Device ID]],BOM!$B$3:$BQ$35,12,FALSE),"")</f>
        <v>Edit Suite</v>
      </c>
      <c r="J416" s="59" t="str">
        <f>IFERROR(VLOOKUP(Tabelle32[[#This Row],[Device ID]],BOM!$B$3:$BQ$35,13,FALSE),"")</f>
        <v>TC.U1.223 | MDC</v>
      </c>
      <c r="K416" s="59" t="str">
        <f>IFERROR(VLOOKUP(Tabelle32[[#This Row],[Device ID]],BOM!$B$3:$BQ$35,14,FALSE),"")</f>
        <v>Imagine Comunications</v>
      </c>
      <c r="L416" s="59" t="str">
        <f>IFERROR(VLOOKUP(Tabelle32[[#This Row],[Device ID]],BOM!$B$3:$BQ$35,16,FALSE),"")</f>
        <v>EditPC-10 OUT</v>
      </c>
      <c r="M416" s="63" t="str">
        <f>IFERROR(VLOOKUP(Tabelle32[[#This Row],[Device ID]],BOM!$B$3:$BQ$35,17,FALSE),"")</f>
        <v>EDIT SUITE 10</v>
      </c>
      <c r="N416" s="59" t="str">
        <f>IFERROR(VLOOKUP(Tabelle32[[#This Row],[Device ID]],BOM!$B$3:$BQ$35,18,FALSE),"")</f>
        <v>TC.03.017 | Edit 10</v>
      </c>
      <c r="O416" s="64"/>
      <c r="P416" s="64">
        <f>IFERROR(VLOOKUP(Tabelle32[[#This Row],[Device ID]],BOM!$B$3:$BO$50,20,FALSE),"")</f>
        <v>0</v>
      </c>
      <c r="Q416" s="64">
        <f>IFERROR(VLOOKUP(Tabelle32[[#This Row],[Device ID]],BOM!$B$3:$BO$50,21,FALSE),"")</f>
        <v>1</v>
      </c>
      <c r="R416" s="64">
        <f>IFERROR(VLOOKUP(Tabelle32[[#This Row],[Device ID]],BOM!$B$3:$BO$50,22,FALSE),"")</f>
        <v>0</v>
      </c>
      <c r="S416" s="64"/>
      <c r="T416" s="64"/>
      <c r="U416" s="59" t="str">
        <f>IFERROR(VLOOKUP(Tabelle32[[#This Row],[Device ID]],BOM!$B$3:$BQ$35,25,FALSE),"")</f>
        <v>Luis/Ivo</v>
      </c>
      <c r="V416" s="59" t="str">
        <f>IFERROR(VLOOKUP(Tabelle32[[#This Row],[Device ID]],BOM!$B$3:$BQ$35,26,FALSE),"")</f>
        <v>tpco-megw-vgw103.rta.st-net.media.int</v>
      </c>
      <c r="W416" s="59" t="str">
        <f>IFERROR(VLOOKUP(Tabelle32[[#This Row],[Device ID]],BOM!$B$3:$BQ$35,27,FALSE),"")</f>
        <v>10.120.236.50</v>
      </c>
      <c r="X416" s="59" t="str">
        <f>IFERROR(VLOOKUP(Tabelle32[[#This Row],[Device ID]],BOM!$B$3:$BQ$35,28,FALSE),"")</f>
        <v>AVCoreA</v>
      </c>
      <c r="Y416" s="59" t="str">
        <f>IFERROR(VLOOKUP(Tabelle32[[#This Row],[Device ID]],BOM!$B$3:$BQ$35,29,FALSE),"")</f>
        <v>5_36_1</v>
      </c>
      <c r="Z416" s="59" t="str">
        <f>IFERROR(VLOOKUP(Tabelle32[[#This Row],[Device ID]],BOM!$B$3:$BQ$35,30,FALSE),"")</f>
        <v>tpco-megw-vgw103.rtb.st-net.media.int</v>
      </c>
      <c r="AA416" s="59" t="str">
        <f>IFERROR(VLOOKUP(Tabelle32[[#This Row],[Device ID]],BOM!$B$3:$BQ$35,31,FALSE),"")</f>
        <v>10.120.236.54</v>
      </c>
      <c r="AB416" s="59" t="str">
        <f>IFERROR(VLOOKUP(Tabelle32[[#This Row],[Device ID]],BOM!$B$3:$BQ$35,32,FALSE),"")</f>
        <v>AVCoreB</v>
      </c>
      <c r="AC416" s="59" t="str">
        <f>IFERROR(VLOOKUP(Tabelle32[[#This Row],[Device ID]],BOM!$B$3:$BQ$35,33,FALSE),"")</f>
        <v>5_36_1</v>
      </c>
      <c r="AD416" s="59" t="str">
        <f>IFERROR(VLOOKUP(Tabelle32[[#This Row],[Device ID]],BOM!$B$3:$BQ$35,34,FALSE),"")</f>
        <v>tpco-megw-vgw103.st-net.media.int</v>
      </c>
      <c r="AE416" s="59" t="str">
        <f>IFERROR(VLOOKUP(Tabelle32[[#This Row],[Device ID]],BOM!$B$3:$BQ$35,35,FALSE),"")</f>
        <v>10.120.67.141</v>
      </c>
      <c r="AF416" s="59">
        <f>IFERROR(VLOOKUP(Tabelle32[[#This Row],[Device ID]],BOM!$B$3:$BQ$35,36,FALSE),"")</f>
        <v>0</v>
      </c>
      <c r="AG416" s="59">
        <f>IFERROR(VLOOKUP(Tabelle32[[#This Row],[Device ID]],BOM!$B$3:$BQ$35,37,FALSE),"")</f>
        <v>0</v>
      </c>
      <c r="AH416" s="59"/>
      <c r="AI416" s="59"/>
      <c r="AJ416" s="59"/>
      <c r="AK416" s="59"/>
      <c r="AL416" s="59" t="str">
        <f>IFERROR(VLOOKUP(Tabelle32[[#This Row],[Device ID]],BOM!$B$3:$BQ$35,42,FALSE),"")</f>
        <v>Imagine Communications SNP</v>
      </c>
      <c r="AM416" s="59" t="str">
        <f>IFERROR(VLOOKUP(Tabelle32[[#This Row],[Device ID]],BOM!$B$3:$BQ$35,43,FALSE),"")</f>
        <v>no</v>
      </c>
      <c r="AN416" s="59" t="str">
        <f>IFERROR(VLOOKUP(Tabelle32[[#This Row],[Device ID]],BOM!$B$3:$BQ$35,44,FALSE),"")</f>
        <v>yes</v>
      </c>
      <c r="AO416" s="59" t="str">
        <f>IFERROR(VLOOKUP(Tabelle32[[#This Row],[Device ID]],BOM!$B$3:$BQ$35,45,FALSE),"")</f>
        <v>no</v>
      </c>
      <c r="AP416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16" s="59"/>
      <c r="AR416" s="90"/>
      <c r="AS416" s="90"/>
      <c r="AT416" s="90"/>
      <c r="AU416" s="90"/>
      <c r="AV416" s="90"/>
      <c r="AW416" s="90"/>
      <c r="AX416" s="90"/>
      <c r="AY416" s="90"/>
      <c r="AZ416" s="90"/>
      <c r="BA416" s="90"/>
      <c r="BB416" s="90"/>
      <c r="BC416" s="90"/>
      <c r="BD416" s="90"/>
      <c r="BE416" s="90"/>
      <c r="BF416" s="90"/>
      <c r="BG416" s="90"/>
      <c r="BH416" s="73" t="s">
        <v>199</v>
      </c>
      <c r="BI416" s="30" t="str">
        <f>IF(COUNTA(Tabelle32[[#This Row],[Type:Vid_1080i50]:[Type:Anc_Prot]])&gt;0,"x","")</f>
        <v/>
      </c>
      <c r="BJ41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16" s="59"/>
      <c r="BL416" s="59"/>
      <c r="BM416" s="63"/>
      <c r="BN416" s="63"/>
      <c r="BO416" s="96"/>
      <c r="BP416" s="96"/>
      <c r="BQ416" s="75">
        <f>LEN(Tabelle32[[#This Row],[Label 1
GFX-Unit]])</f>
        <v>0</v>
      </c>
      <c r="BR416" s="63"/>
      <c r="BS416" s="63"/>
      <c r="BT416" s="59"/>
      <c r="BU416" s="59"/>
      <c r="BV416" s="59" t="s">
        <v>251</v>
      </c>
      <c r="BW416" s="59" t="s">
        <v>252</v>
      </c>
      <c r="BX416" s="59" t="s">
        <v>855</v>
      </c>
      <c r="BY416" s="59">
        <v>20</v>
      </c>
    </row>
    <row r="417" spans="1:77" hidden="1" x14ac:dyDescent="0.2">
      <c r="A417" s="58" t="str">
        <f>CONCATENATE(Tabelle32[[#This Row],[Device ID]],".",Tabelle32[[#This Row],[Streamcounter]])</f>
        <v>397.20212</v>
      </c>
      <c r="B41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VGW-103_SDI20_AUDsend_0012</v>
      </c>
      <c r="C417" s="60"/>
      <c r="D417" s="61"/>
      <c r="E417" s="62"/>
      <c r="F417" s="59" t="str">
        <f>IFERROR(VLOOKUP(Tabelle32[[#This Row],[Device ID]],BOM!$B$3:$BQ$35,16,FALSE),"")</f>
        <v>EditPC-10 OUT</v>
      </c>
      <c r="G417" s="63">
        <f>VLOOKUP(Tabelle32[[#This Row],[SDI Interface]],BOM!$A$4:$B$35,2,FALSE)</f>
        <v>397</v>
      </c>
      <c r="H417" s="59" t="str">
        <f>BOM!$C$4</f>
        <v>VGW-103</v>
      </c>
      <c r="I417" s="59" t="str">
        <f>IFERROR(VLOOKUP(Tabelle32[[#This Row],[Device ID]],BOM!$B$3:$BQ$35,12,FALSE),"")</f>
        <v>Edit Suite</v>
      </c>
      <c r="J417" s="59" t="str">
        <f>IFERROR(VLOOKUP(Tabelle32[[#This Row],[Device ID]],BOM!$B$3:$BQ$35,13,FALSE),"")</f>
        <v>TC.U1.223 | MDC</v>
      </c>
      <c r="K417" s="59" t="str">
        <f>IFERROR(VLOOKUP(Tabelle32[[#This Row],[Device ID]],BOM!$B$3:$BQ$35,14,FALSE),"")</f>
        <v>Imagine Comunications</v>
      </c>
      <c r="L417" s="59" t="str">
        <f>IFERROR(VLOOKUP(Tabelle32[[#This Row],[Device ID]],BOM!$B$3:$BQ$35,16,FALSE),"")</f>
        <v>EditPC-10 OUT</v>
      </c>
      <c r="M417" s="63" t="str">
        <f>IFERROR(VLOOKUP(Tabelle32[[#This Row],[Device ID]],BOM!$B$3:$BQ$35,17,FALSE),"")</f>
        <v>EDIT SUITE 10</v>
      </c>
      <c r="N417" s="59" t="str">
        <f>IFERROR(VLOOKUP(Tabelle32[[#This Row],[Device ID]],BOM!$B$3:$BQ$35,18,FALSE),"")</f>
        <v>TC.03.017 | Edit 10</v>
      </c>
      <c r="O417" s="64"/>
      <c r="P417" s="64">
        <f>IFERROR(VLOOKUP(Tabelle32[[#This Row],[Device ID]],BOM!$B$3:$BO$50,20,FALSE),"")</f>
        <v>0</v>
      </c>
      <c r="Q417" s="64">
        <f>IFERROR(VLOOKUP(Tabelle32[[#This Row],[Device ID]],BOM!$B$3:$BO$50,21,FALSE),"")</f>
        <v>1</v>
      </c>
      <c r="R417" s="64">
        <f>IFERROR(VLOOKUP(Tabelle32[[#This Row],[Device ID]],BOM!$B$3:$BO$50,22,FALSE),"")</f>
        <v>0</v>
      </c>
      <c r="S417" s="64"/>
      <c r="T417" s="64"/>
      <c r="U417" s="59" t="str">
        <f>IFERROR(VLOOKUP(Tabelle32[[#This Row],[Device ID]],BOM!$B$3:$BQ$35,25,FALSE),"")</f>
        <v>Luis/Ivo</v>
      </c>
      <c r="V417" s="59" t="str">
        <f>IFERROR(VLOOKUP(Tabelle32[[#This Row],[Device ID]],BOM!$B$3:$BQ$35,26,FALSE),"")</f>
        <v>tpco-megw-vgw103.rta.st-net.media.int</v>
      </c>
      <c r="W417" s="59" t="str">
        <f>IFERROR(VLOOKUP(Tabelle32[[#This Row],[Device ID]],BOM!$B$3:$BQ$35,27,FALSE),"")</f>
        <v>10.120.236.50</v>
      </c>
      <c r="X417" s="59" t="str">
        <f>IFERROR(VLOOKUP(Tabelle32[[#This Row],[Device ID]],BOM!$B$3:$BQ$35,28,FALSE),"")</f>
        <v>AVCoreA</v>
      </c>
      <c r="Y417" s="59" t="str">
        <f>IFERROR(VLOOKUP(Tabelle32[[#This Row],[Device ID]],BOM!$B$3:$BQ$35,29,FALSE),"")</f>
        <v>5_36_1</v>
      </c>
      <c r="Z417" s="59" t="str">
        <f>IFERROR(VLOOKUP(Tabelle32[[#This Row],[Device ID]],BOM!$B$3:$BQ$35,30,FALSE),"")</f>
        <v>tpco-megw-vgw103.rtb.st-net.media.int</v>
      </c>
      <c r="AA417" s="59" t="str">
        <f>IFERROR(VLOOKUP(Tabelle32[[#This Row],[Device ID]],BOM!$B$3:$BQ$35,31,FALSE),"")</f>
        <v>10.120.236.54</v>
      </c>
      <c r="AB417" s="59" t="str">
        <f>IFERROR(VLOOKUP(Tabelle32[[#This Row],[Device ID]],BOM!$B$3:$BQ$35,32,FALSE),"")</f>
        <v>AVCoreB</v>
      </c>
      <c r="AC417" s="59" t="str">
        <f>IFERROR(VLOOKUP(Tabelle32[[#This Row],[Device ID]],BOM!$B$3:$BQ$35,33,FALSE),"")</f>
        <v>5_36_1</v>
      </c>
      <c r="AD417" s="59" t="str">
        <f>IFERROR(VLOOKUP(Tabelle32[[#This Row],[Device ID]],BOM!$B$3:$BQ$35,34,FALSE),"")</f>
        <v>tpco-megw-vgw103.st-net.media.int</v>
      </c>
      <c r="AE417" s="59" t="str">
        <f>IFERROR(VLOOKUP(Tabelle32[[#This Row],[Device ID]],BOM!$B$3:$BQ$35,35,FALSE),"")</f>
        <v>10.120.67.141</v>
      </c>
      <c r="AF417" s="59">
        <f>IFERROR(VLOOKUP(Tabelle32[[#This Row],[Device ID]],BOM!$B$3:$BQ$35,36,FALSE),"")</f>
        <v>0</v>
      </c>
      <c r="AG417" s="59">
        <f>IFERROR(VLOOKUP(Tabelle32[[#This Row],[Device ID]],BOM!$B$3:$BQ$35,37,FALSE),"")</f>
        <v>0</v>
      </c>
      <c r="AH417" s="59"/>
      <c r="AI417" s="59"/>
      <c r="AJ417" s="59"/>
      <c r="AK417" s="59"/>
      <c r="AL417" s="59" t="str">
        <f>IFERROR(VLOOKUP(Tabelle32[[#This Row],[Device ID]],BOM!$B$3:$BQ$35,42,FALSE),"")</f>
        <v>Imagine Communications SNP</v>
      </c>
      <c r="AM417" s="59" t="str">
        <f>IFERROR(VLOOKUP(Tabelle32[[#This Row],[Device ID]],BOM!$B$3:$BQ$35,43,FALSE),"")</f>
        <v>no</v>
      </c>
      <c r="AN417" s="59" t="str">
        <f>IFERROR(VLOOKUP(Tabelle32[[#This Row],[Device ID]],BOM!$B$3:$BQ$35,44,FALSE),"")</f>
        <v>yes</v>
      </c>
      <c r="AO417" s="59" t="str">
        <f>IFERROR(VLOOKUP(Tabelle32[[#This Row],[Device ID]],BOM!$B$3:$BQ$35,45,FALSE),"")</f>
        <v>no</v>
      </c>
      <c r="AP417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17" s="59"/>
      <c r="AR417" s="101"/>
      <c r="AS417" s="101"/>
      <c r="AT417" s="101"/>
      <c r="AU417" s="101"/>
      <c r="AV417" s="101"/>
      <c r="AW417" s="101"/>
      <c r="AX417" s="101"/>
      <c r="AY417" s="101"/>
      <c r="AZ417" s="101"/>
      <c r="BA417" s="101"/>
      <c r="BB417" s="101"/>
      <c r="BC417" s="101"/>
      <c r="BD417" s="101"/>
      <c r="BE417" s="101"/>
      <c r="BF417" s="101"/>
      <c r="BG417" s="101"/>
      <c r="BH417" s="73" t="s">
        <v>199</v>
      </c>
      <c r="BI417" s="30" t="str">
        <f>IF(COUNTA(Tabelle32[[#This Row],[Type:Vid_1080i50]:[Type:Anc_Prot]])&gt;0,"x","")</f>
        <v/>
      </c>
      <c r="BJ41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17" s="59"/>
      <c r="BL417" s="59"/>
      <c r="BM417" s="63"/>
      <c r="BN417" s="63"/>
      <c r="BO417" s="96"/>
      <c r="BP417" s="96"/>
      <c r="BQ417" s="75">
        <f>LEN(Tabelle32[[#This Row],[Label 1
GFX-Unit]])</f>
        <v>0</v>
      </c>
      <c r="BR417" s="63"/>
      <c r="BS417" s="63"/>
      <c r="BT417" s="59"/>
      <c r="BU417" s="59"/>
      <c r="BV417" s="59" t="s">
        <v>254</v>
      </c>
      <c r="BW417" s="59" t="s">
        <v>255</v>
      </c>
      <c r="BX417" s="59" t="s">
        <v>856</v>
      </c>
      <c r="BY417" s="59">
        <v>20</v>
      </c>
    </row>
    <row r="418" spans="1:77" hidden="1" x14ac:dyDescent="0.2">
      <c r="A418" s="58" t="str">
        <f>CONCATENATE(Tabelle32[[#This Row],[Device ID]],".",Tabelle32[[#This Row],[Streamcounter]])</f>
        <v>397.20213</v>
      </c>
      <c r="B41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VGW-103_SDI20_AUDsend_0013</v>
      </c>
      <c r="C418" s="60"/>
      <c r="D418" s="61"/>
      <c r="E418" s="62"/>
      <c r="F418" s="59" t="str">
        <f>IFERROR(VLOOKUP(Tabelle32[[#This Row],[Device ID]],BOM!$B$3:$BQ$35,16,FALSE),"")</f>
        <v>EditPC-10 OUT</v>
      </c>
      <c r="G418" s="63">
        <f>VLOOKUP(Tabelle32[[#This Row],[SDI Interface]],BOM!$A$4:$B$35,2,FALSE)</f>
        <v>397</v>
      </c>
      <c r="H418" s="59" t="str">
        <f>BOM!$C$4</f>
        <v>VGW-103</v>
      </c>
      <c r="I418" s="59" t="str">
        <f>IFERROR(VLOOKUP(Tabelle32[[#This Row],[Device ID]],BOM!$B$3:$BQ$35,12,FALSE),"")</f>
        <v>Edit Suite</v>
      </c>
      <c r="J418" s="59" t="str">
        <f>IFERROR(VLOOKUP(Tabelle32[[#This Row],[Device ID]],BOM!$B$3:$BQ$35,13,FALSE),"")</f>
        <v>TC.U1.223 | MDC</v>
      </c>
      <c r="K418" s="59" t="str">
        <f>IFERROR(VLOOKUP(Tabelle32[[#This Row],[Device ID]],BOM!$B$3:$BQ$35,14,FALSE),"")</f>
        <v>Imagine Comunications</v>
      </c>
      <c r="L418" s="59" t="str">
        <f>IFERROR(VLOOKUP(Tabelle32[[#This Row],[Device ID]],BOM!$B$3:$BQ$35,16,FALSE),"")</f>
        <v>EditPC-10 OUT</v>
      </c>
      <c r="M418" s="63" t="str">
        <f>IFERROR(VLOOKUP(Tabelle32[[#This Row],[Device ID]],BOM!$B$3:$BQ$35,17,FALSE),"")</f>
        <v>EDIT SUITE 10</v>
      </c>
      <c r="N418" s="59" t="str">
        <f>IFERROR(VLOOKUP(Tabelle32[[#This Row],[Device ID]],BOM!$B$3:$BQ$35,18,FALSE),"")</f>
        <v>TC.03.017 | Edit 10</v>
      </c>
      <c r="O418" s="64"/>
      <c r="P418" s="64">
        <f>IFERROR(VLOOKUP(Tabelle32[[#This Row],[Device ID]],BOM!$B$3:$BO$50,20,FALSE),"")</f>
        <v>0</v>
      </c>
      <c r="Q418" s="64">
        <f>IFERROR(VLOOKUP(Tabelle32[[#This Row],[Device ID]],BOM!$B$3:$BO$50,21,FALSE),"")</f>
        <v>1</v>
      </c>
      <c r="R418" s="64">
        <f>IFERROR(VLOOKUP(Tabelle32[[#This Row],[Device ID]],BOM!$B$3:$BO$50,22,FALSE),"")</f>
        <v>0</v>
      </c>
      <c r="S418" s="64"/>
      <c r="T418" s="64"/>
      <c r="U418" s="59" t="str">
        <f>IFERROR(VLOOKUP(Tabelle32[[#This Row],[Device ID]],BOM!$B$3:$BQ$35,25,FALSE),"")</f>
        <v>Luis/Ivo</v>
      </c>
      <c r="V418" s="59" t="str">
        <f>IFERROR(VLOOKUP(Tabelle32[[#This Row],[Device ID]],BOM!$B$3:$BQ$35,26,FALSE),"")</f>
        <v>tpco-megw-vgw103.rta.st-net.media.int</v>
      </c>
      <c r="W418" s="59" t="str">
        <f>IFERROR(VLOOKUP(Tabelle32[[#This Row],[Device ID]],BOM!$B$3:$BQ$35,27,FALSE),"")</f>
        <v>10.120.236.50</v>
      </c>
      <c r="X418" s="59" t="str">
        <f>IFERROR(VLOOKUP(Tabelle32[[#This Row],[Device ID]],BOM!$B$3:$BQ$35,28,FALSE),"")</f>
        <v>AVCoreA</v>
      </c>
      <c r="Y418" s="59" t="str">
        <f>IFERROR(VLOOKUP(Tabelle32[[#This Row],[Device ID]],BOM!$B$3:$BQ$35,29,FALSE),"")</f>
        <v>5_36_1</v>
      </c>
      <c r="Z418" s="59" t="str">
        <f>IFERROR(VLOOKUP(Tabelle32[[#This Row],[Device ID]],BOM!$B$3:$BQ$35,30,FALSE),"")</f>
        <v>tpco-megw-vgw103.rtb.st-net.media.int</v>
      </c>
      <c r="AA418" s="59" t="str">
        <f>IFERROR(VLOOKUP(Tabelle32[[#This Row],[Device ID]],BOM!$B$3:$BQ$35,31,FALSE),"")</f>
        <v>10.120.236.54</v>
      </c>
      <c r="AB418" s="59" t="str">
        <f>IFERROR(VLOOKUP(Tabelle32[[#This Row],[Device ID]],BOM!$B$3:$BQ$35,32,FALSE),"")</f>
        <v>AVCoreB</v>
      </c>
      <c r="AC418" s="59" t="str">
        <f>IFERROR(VLOOKUP(Tabelle32[[#This Row],[Device ID]],BOM!$B$3:$BQ$35,33,FALSE),"")</f>
        <v>5_36_1</v>
      </c>
      <c r="AD418" s="59" t="str">
        <f>IFERROR(VLOOKUP(Tabelle32[[#This Row],[Device ID]],BOM!$B$3:$BQ$35,34,FALSE),"")</f>
        <v>tpco-megw-vgw103.st-net.media.int</v>
      </c>
      <c r="AE418" s="59" t="str">
        <f>IFERROR(VLOOKUP(Tabelle32[[#This Row],[Device ID]],BOM!$B$3:$BQ$35,35,FALSE),"")</f>
        <v>10.120.67.141</v>
      </c>
      <c r="AF418" s="59">
        <f>IFERROR(VLOOKUP(Tabelle32[[#This Row],[Device ID]],BOM!$B$3:$BQ$35,36,FALSE),"")</f>
        <v>0</v>
      </c>
      <c r="AG418" s="59">
        <f>IFERROR(VLOOKUP(Tabelle32[[#This Row],[Device ID]],BOM!$B$3:$BQ$35,37,FALSE),"")</f>
        <v>0</v>
      </c>
      <c r="AH418" s="59"/>
      <c r="AI418" s="59"/>
      <c r="AJ418" s="59"/>
      <c r="AK418" s="59"/>
      <c r="AL418" s="59" t="str">
        <f>IFERROR(VLOOKUP(Tabelle32[[#This Row],[Device ID]],BOM!$B$3:$BQ$35,42,FALSE),"")</f>
        <v>Imagine Communications SNP</v>
      </c>
      <c r="AM418" s="59" t="str">
        <f>IFERROR(VLOOKUP(Tabelle32[[#This Row],[Device ID]],BOM!$B$3:$BQ$35,43,FALSE),"")</f>
        <v>no</v>
      </c>
      <c r="AN418" s="59" t="str">
        <f>IFERROR(VLOOKUP(Tabelle32[[#This Row],[Device ID]],BOM!$B$3:$BQ$35,44,FALSE),"")</f>
        <v>yes</v>
      </c>
      <c r="AO418" s="59" t="str">
        <f>IFERROR(VLOOKUP(Tabelle32[[#This Row],[Device ID]],BOM!$B$3:$BQ$35,45,FALSE),"")</f>
        <v>no</v>
      </c>
      <c r="AP418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18" s="59"/>
      <c r="AR418" s="101"/>
      <c r="AS418" s="101"/>
      <c r="AT418" s="101"/>
      <c r="AU418" s="101"/>
      <c r="AV418" s="101"/>
      <c r="AW418" s="101"/>
      <c r="AX418" s="101"/>
      <c r="AY418" s="101"/>
      <c r="AZ418" s="101"/>
      <c r="BA418" s="101"/>
      <c r="BB418" s="101"/>
      <c r="BC418" s="101"/>
      <c r="BD418" s="101"/>
      <c r="BE418" s="101"/>
      <c r="BF418" s="101"/>
      <c r="BG418" s="101"/>
      <c r="BH418" s="73" t="s">
        <v>199</v>
      </c>
      <c r="BI418" s="30" t="str">
        <f>IF(COUNTA(Tabelle32[[#This Row],[Type:Vid_1080i50]:[Type:Anc_Prot]])&gt;0,"x","")</f>
        <v/>
      </c>
      <c r="BJ41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18" s="59"/>
      <c r="BL418" s="59"/>
      <c r="BM418" s="63"/>
      <c r="BN418" s="63"/>
      <c r="BO418" s="96"/>
      <c r="BP418" s="96"/>
      <c r="BQ418" s="75">
        <f>LEN(Tabelle32[[#This Row],[Label 1
GFX-Unit]])</f>
        <v>0</v>
      </c>
      <c r="BR418" s="63"/>
      <c r="BS418" s="63"/>
      <c r="BT418" s="59"/>
      <c r="BU418" s="59"/>
      <c r="BV418" s="59" t="s">
        <v>257</v>
      </c>
      <c r="BW418" s="59" t="s">
        <v>258</v>
      </c>
      <c r="BX418" s="59" t="s">
        <v>857</v>
      </c>
      <c r="BY418" s="59">
        <v>20</v>
      </c>
    </row>
    <row r="419" spans="1:77" hidden="1" x14ac:dyDescent="0.2">
      <c r="A419" s="58" t="str">
        <f>CONCATENATE(Tabelle32[[#This Row],[Device ID]],".",Tabelle32[[#This Row],[Streamcounter]])</f>
        <v>397.20214</v>
      </c>
      <c r="B41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VGW-103_SDI20_AUDsend_0014</v>
      </c>
      <c r="C419" s="60"/>
      <c r="D419" s="61"/>
      <c r="E419" s="62"/>
      <c r="F419" s="59" t="str">
        <f>IFERROR(VLOOKUP(Tabelle32[[#This Row],[Device ID]],BOM!$B$3:$BQ$35,16,FALSE),"")</f>
        <v>EditPC-10 OUT</v>
      </c>
      <c r="G419" s="63">
        <f>VLOOKUP(Tabelle32[[#This Row],[SDI Interface]],BOM!$A$4:$B$35,2,FALSE)</f>
        <v>397</v>
      </c>
      <c r="H419" s="59" t="str">
        <f>BOM!$C$4</f>
        <v>VGW-103</v>
      </c>
      <c r="I419" s="59" t="str">
        <f>IFERROR(VLOOKUP(Tabelle32[[#This Row],[Device ID]],BOM!$B$3:$BQ$35,12,FALSE),"")</f>
        <v>Edit Suite</v>
      </c>
      <c r="J419" s="59" t="str">
        <f>IFERROR(VLOOKUP(Tabelle32[[#This Row],[Device ID]],BOM!$B$3:$BQ$35,13,FALSE),"")</f>
        <v>TC.U1.223 | MDC</v>
      </c>
      <c r="K419" s="59" t="str">
        <f>IFERROR(VLOOKUP(Tabelle32[[#This Row],[Device ID]],BOM!$B$3:$BQ$35,14,FALSE),"")</f>
        <v>Imagine Comunications</v>
      </c>
      <c r="L419" s="59" t="str">
        <f>IFERROR(VLOOKUP(Tabelle32[[#This Row],[Device ID]],BOM!$B$3:$BQ$35,16,FALSE),"")</f>
        <v>EditPC-10 OUT</v>
      </c>
      <c r="M419" s="63" t="str">
        <f>IFERROR(VLOOKUP(Tabelle32[[#This Row],[Device ID]],BOM!$B$3:$BQ$35,17,FALSE),"")</f>
        <v>EDIT SUITE 10</v>
      </c>
      <c r="N419" s="59" t="str">
        <f>IFERROR(VLOOKUP(Tabelle32[[#This Row],[Device ID]],BOM!$B$3:$BQ$35,18,FALSE),"")</f>
        <v>TC.03.017 | Edit 10</v>
      </c>
      <c r="O419" s="64"/>
      <c r="P419" s="64">
        <f>IFERROR(VLOOKUP(Tabelle32[[#This Row],[Device ID]],BOM!$B$3:$BO$50,20,FALSE),"")</f>
        <v>0</v>
      </c>
      <c r="Q419" s="64">
        <f>IFERROR(VLOOKUP(Tabelle32[[#This Row],[Device ID]],BOM!$B$3:$BO$50,21,FALSE),"")</f>
        <v>1</v>
      </c>
      <c r="R419" s="64">
        <f>IFERROR(VLOOKUP(Tabelle32[[#This Row],[Device ID]],BOM!$B$3:$BO$50,22,FALSE),"")</f>
        <v>0</v>
      </c>
      <c r="S419" s="64"/>
      <c r="T419" s="64"/>
      <c r="U419" s="59" t="str">
        <f>IFERROR(VLOOKUP(Tabelle32[[#This Row],[Device ID]],BOM!$B$3:$BQ$35,25,FALSE),"")</f>
        <v>Luis/Ivo</v>
      </c>
      <c r="V419" s="59" t="str">
        <f>IFERROR(VLOOKUP(Tabelle32[[#This Row],[Device ID]],BOM!$B$3:$BQ$35,26,FALSE),"")</f>
        <v>tpco-megw-vgw103.rta.st-net.media.int</v>
      </c>
      <c r="W419" s="59" t="str">
        <f>IFERROR(VLOOKUP(Tabelle32[[#This Row],[Device ID]],BOM!$B$3:$BQ$35,27,FALSE),"")</f>
        <v>10.120.236.50</v>
      </c>
      <c r="X419" s="59" t="str">
        <f>IFERROR(VLOOKUP(Tabelle32[[#This Row],[Device ID]],BOM!$B$3:$BQ$35,28,FALSE),"")</f>
        <v>AVCoreA</v>
      </c>
      <c r="Y419" s="59" t="str">
        <f>IFERROR(VLOOKUP(Tabelle32[[#This Row],[Device ID]],BOM!$B$3:$BQ$35,29,FALSE),"")</f>
        <v>5_36_1</v>
      </c>
      <c r="Z419" s="59" t="str">
        <f>IFERROR(VLOOKUP(Tabelle32[[#This Row],[Device ID]],BOM!$B$3:$BQ$35,30,FALSE),"")</f>
        <v>tpco-megw-vgw103.rtb.st-net.media.int</v>
      </c>
      <c r="AA419" s="59" t="str">
        <f>IFERROR(VLOOKUP(Tabelle32[[#This Row],[Device ID]],BOM!$B$3:$BQ$35,31,FALSE),"")</f>
        <v>10.120.236.54</v>
      </c>
      <c r="AB419" s="59" t="str">
        <f>IFERROR(VLOOKUP(Tabelle32[[#This Row],[Device ID]],BOM!$B$3:$BQ$35,32,FALSE),"")</f>
        <v>AVCoreB</v>
      </c>
      <c r="AC419" s="59" t="str">
        <f>IFERROR(VLOOKUP(Tabelle32[[#This Row],[Device ID]],BOM!$B$3:$BQ$35,33,FALSE),"")</f>
        <v>5_36_1</v>
      </c>
      <c r="AD419" s="59" t="str">
        <f>IFERROR(VLOOKUP(Tabelle32[[#This Row],[Device ID]],BOM!$B$3:$BQ$35,34,FALSE),"")</f>
        <v>tpco-megw-vgw103.st-net.media.int</v>
      </c>
      <c r="AE419" s="59" t="str">
        <f>IFERROR(VLOOKUP(Tabelle32[[#This Row],[Device ID]],BOM!$B$3:$BQ$35,35,FALSE),"")</f>
        <v>10.120.67.141</v>
      </c>
      <c r="AF419" s="59">
        <f>IFERROR(VLOOKUP(Tabelle32[[#This Row],[Device ID]],BOM!$B$3:$BQ$35,36,FALSE),"")</f>
        <v>0</v>
      </c>
      <c r="AG419" s="59">
        <f>IFERROR(VLOOKUP(Tabelle32[[#This Row],[Device ID]],BOM!$B$3:$BQ$35,37,FALSE),"")</f>
        <v>0</v>
      </c>
      <c r="AH419" s="59"/>
      <c r="AI419" s="59"/>
      <c r="AJ419" s="59"/>
      <c r="AK419" s="59"/>
      <c r="AL419" s="59" t="str">
        <f>IFERROR(VLOOKUP(Tabelle32[[#This Row],[Device ID]],BOM!$B$3:$BQ$35,42,FALSE),"")</f>
        <v>Imagine Communications SNP</v>
      </c>
      <c r="AM419" s="59" t="str">
        <f>IFERROR(VLOOKUP(Tabelle32[[#This Row],[Device ID]],BOM!$B$3:$BQ$35,43,FALSE),"")</f>
        <v>no</v>
      </c>
      <c r="AN419" s="59" t="str">
        <f>IFERROR(VLOOKUP(Tabelle32[[#This Row],[Device ID]],BOM!$B$3:$BQ$35,44,FALSE),"")</f>
        <v>yes</v>
      </c>
      <c r="AO419" s="59" t="str">
        <f>IFERROR(VLOOKUP(Tabelle32[[#This Row],[Device ID]],BOM!$B$3:$BQ$35,45,FALSE),"")</f>
        <v>no</v>
      </c>
      <c r="AP419" s="59" t="str">
        <f>IFERROR(CONCATENATE(Tabelle32[[#This Row],[Family
GFX-Unit]]," | ",Tabelle32[[#This Row],[Label 1
GFX-Unit]]," | ",Tabelle32[[#This Row],[Attached Device if Gateway]]),"")</f>
        <v xml:space="preserve"> |  | EditPC-10 OUT</v>
      </c>
      <c r="AQ419" s="59"/>
      <c r="AR419" s="90"/>
      <c r="AS419" s="90"/>
      <c r="AT419" s="90"/>
      <c r="AU419" s="90"/>
      <c r="AV419" s="90"/>
      <c r="AW419" s="90"/>
      <c r="AX419" s="90"/>
      <c r="AY419" s="90"/>
      <c r="AZ419" s="90"/>
      <c r="BA419" s="90"/>
      <c r="BB419" s="90"/>
      <c r="BC419" s="90"/>
      <c r="BD419" s="90"/>
      <c r="BE419" s="90"/>
      <c r="BF419" s="90"/>
      <c r="BG419" s="90"/>
      <c r="BH419" s="73" t="s">
        <v>199</v>
      </c>
      <c r="BI419" s="30" t="str">
        <f>IF(COUNTA(Tabelle32[[#This Row],[Type:Vid_1080i50]:[Type:Anc_Prot]])&gt;0,"x","")</f>
        <v/>
      </c>
      <c r="BJ41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19" s="59"/>
      <c r="BL419" s="59"/>
      <c r="BM419" s="63"/>
      <c r="BN419" s="63"/>
      <c r="BO419" s="96"/>
      <c r="BP419" s="96"/>
      <c r="BQ419" s="75">
        <f>LEN(Tabelle32[[#This Row],[Label 1
GFX-Unit]])</f>
        <v>0</v>
      </c>
      <c r="BR419" s="63"/>
      <c r="BS419" s="63"/>
      <c r="BT419" s="59"/>
      <c r="BU419" s="59"/>
      <c r="BV419" s="59" t="s">
        <v>260</v>
      </c>
      <c r="BW419" s="59" t="s">
        <v>261</v>
      </c>
      <c r="BX419" s="59" t="s">
        <v>858</v>
      </c>
      <c r="BY419" s="59">
        <v>20</v>
      </c>
    </row>
    <row r="420" spans="1:77" x14ac:dyDescent="0.2">
      <c r="A420" s="58" t="str">
        <f>CONCATENATE(Tabelle32[[#This Row],[Device ID]],".",Tabelle32[[#This Row],[Streamcounter]])</f>
        <v>397.20215</v>
      </c>
      <c r="B42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VGW-103_SDI20_AUDsend_0015</v>
      </c>
      <c r="C420" s="60"/>
      <c r="D420" s="61"/>
      <c r="E420" s="62"/>
      <c r="F420" s="59" t="str">
        <f>IFERROR(VLOOKUP(Tabelle32[[#This Row],[Device ID]],BOM!$B$3:$BQ$35,16,FALSE),"")</f>
        <v>EditPC-10 OUT</v>
      </c>
      <c r="G420" s="63">
        <f>VLOOKUP(Tabelle32[[#This Row],[SDI Interface]],BOM!$A$4:$B$35,2,FALSE)</f>
        <v>397</v>
      </c>
      <c r="H420" s="59" t="str">
        <f>BOM!$C$4</f>
        <v>VGW-103</v>
      </c>
      <c r="I420" s="59" t="str">
        <f>IFERROR(VLOOKUP(Tabelle32[[#This Row],[Device ID]],BOM!$B$3:$BQ$35,12,FALSE),"")</f>
        <v>Edit Suite</v>
      </c>
      <c r="J420" s="59" t="str">
        <f>IFERROR(VLOOKUP(Tabelle32[[#This Row],[Device ID]],BOM!$B$3:$BQ$35,13,FALSE),"")</f>
        <v>TC.U1.223 | MDC</v>
      </c>
      <c r="K420" s="59" t="str">
        <f>IFERROR(VLOOKUP(Tabelle32[[#This Row],[Device ID]],BOM!$B$3:$BQ$35,14,FALSE),"")</f>
        <v>Imagine Comunications</v>
      </c>
      <c r="L420" s="59" t="str">
        <f>IFERROR(VLOOKUP(Tabelle32[[#This Row],[Device ID]],BOM!$B$3:$BQ$35,16,FALSE),"")</f>
        <v>EditPC-10 OUT</v>
      </c>
      <c r="M420" s="63" t="str">
        <f>IFERROR(VLOOKUP(Tabelle32[[#This Row],[Device ID]],BOM!$B$3:$BQ$35,17,FALSE),"")</f>
        <v>EDIT SUITE 10</v>
      </c>
      <c r="N420" s="59" t="str">
        <f>IFERROR(VLOOKUP(Tabelle32[[#This Row],[Device ID]],BOM!$B$3:$BQ$35,18,FALSE),"")</f>
        <v>TC.03.017 | Edit 10</v>
      </c>
      <c r="O420" s="64"/>
      <c r="P420" s="64">
        <f>IFERROR(VLOOKUP(Tabelle32[[#This Row],[Device ID]],BOM!$B$3:$BO$50,20,FALSE),"")</f>
        <v>0</v>
      </c>
      <c r="Q420" s="64">
        <f>IFERROR(VLOOKUP(Tabelle32[[#This Row],[Device ID]],BOM!$B$3:$BO$50,21,FALSE),"")</f>
        <v>1</v>
      </c>
      <c r="R420" s="64">
        <f>IFERROR(VLOOKUP(Tabelle32[[#This Row],[Device ID]],BOM!$B$3:$BO$50,22,FALSE),"")</f>
        <v>0</v>
      </c>
      <c r="S420" s="64"/>
      <c r="T420" s="64"/>
      <c r="U420" s="59" t="str">
        <f>IFERROR(VLOOKUP(Tabelle32[[#This Row],[Device ID]],BOM!$B$3:$BQ$35,25,FALSE),"")</f>
        <v>Luis/Ivo</v>
      </c>
      <c r="V420" s="59" t="str">
        <f>IFERROR(VLOOKUP(Tabelle32[[#This Row],[Device ID]],BOM!$B$3:$BQ$35,26,FALSE),"")</f>
        <v>tpco-megw-vgw103.rta.st-net.media.int</v>
      </c>
      <c r="W420" s="59" t="str">
        <f>IFERROR(VLOOKUP(Tabelle32[[#This Row],[Device ID]],BOM!$B$3:$BQ$35,27,FALSE),"")</f>
        <v>10.120.236.50</v>
      </c>
      <c r="X420" s="59" t="str">
        <f>IFERROR(VLOOKUP(Tabelle32[[#This Row],[Device ID]],BOM!$B$3:$BQ$35,28,FALSE),"")</f>
        <v>AVCoreA</v>
      </c>
      <c r="Y420" s="59" t="str">
        <f>IFERROR(VLOOKUP(Tabelle32[[#This Row],[Device ID]],BOM!$B$3:$BQ$35,29,FALSE),"")</f>
        <v>5_36_1</v>
      </c>
      <c r="Z420" s="59" t="str">
        <f>IFERROR(VLOOKUP(Tabelle32[[#This Row],[Device ID]],BOM!$B$3:$BQ$35,30,FALSE),"")</f>
        <v>tpco-megw-vgw103.rtb.st-net.media.int</v>
      </c>
      <c r="AA420" s="59" t="str">
        <f>IFERROR(VLOOKUP(Tabelle32[[#This Row],[Device ID]],BOM!$B$3:$BQ$35,31,FALSE),"")</f>
        <v>10.120.236.54</v>
      </c>
      <c r="AB420" s="59" t="str">
        <f>IFERROR(VLOOKUP(Tabelle32[[#This Row],[Device ID]],BOM!$B$3:$BQ$35,32,FALSE),"")</f>
        <v>AVCoreB</v>
      </c>
      <c r="AC420" s="59" t="str">
        <f>IFERROR(VLOOKUP(Tabelle32[[#This Row],[Device ID]],BOM!$B$3:$BQ$35,33,FALSE),"")</f>
        <v>5_36_1</v>
      </c>
      <c r="AD420" s="59" t="str">
        <f>IFERROR(VLOOKUP(Tabelle32[[#This Row],[Device ID]],BOM!$B$3:$BQ$35,34,FALSE),"")</f>
        <v>tpco-megw-vgw103.st-net.media.int</v>
      </c>
      <c r="AE420" s="59" t="str">
        <f>IFERROR(VLOOKUP(Tabelle32[[#This Row],[Device ID]],BOM!$B$3:$BQ$35,35,FALSE),"")</f>
        <v>10.120.67.141</v>
      </c>
      <c r="AF420" s="59">
        <f>IFERROR(VLOOKUP(Tabelle32[[#This Row],[Device ID]],BOM!$B$3:$BQ$35,36,FALSE),"")</f>
        <v>0</v>
      </c>
      <c r="AG420" s="59">
        <f>IFERROR(VLOOKUP(Tabelle32[[#This Row],[Device ID]],BOM!$B$3:$BQ$35,37,FALSE),"")</f>
        <v>0</v>
      </c>
      <c r="AH420" s="59"/>
      <c r="AI420" s="59"/>
      <c r="AJ420" s="59"/>
      <c r="AK420" s="59"/>
      <c r="AL420" s="59" t="str">
        <f>IFERROR(VLOOKUP(Tabelle32[[#This Row],[Device ID]],BOM!$B$3:$BQ$35,42,FALSE),"")</f>
        <v>Imagine Communications SNP</v>
      </c>
      <c r="AM420" s="59" t="str">
        <f>IFERROR(VLOOKUP(Tabelle32[[#This Row],[Device ID]],BOM!$B$3:$BQ$35,43,FALSE),"")</f>
        <v>no</v>
      </c>
      <c r="AN420" s="59" t="str">
        <f>IFERROR(VLOOKUP(Tabelle32[[#This Row],[Device ID]],BOM!$B$3:$BQ$35,44,FALSE),"")</f>
        <v>yes</v>
      </c>
      <c r="AO420" s="59" t="str">
        <f>IFERROR(VLOOKUP(Tabelle32[[#This Row],[Device ID]],BOM!$B$3:$BQ$35,45,FALSE),"")</f>
        <v>no</v>
      </c>
      <c r="AP420" s="59" t="str">
        <f>IFERROR(CONCATENATE(Tabelle32[[#This Row],[Family
GFX-Unit]]," | ",Tabelle32[[#This Row],[Label 1
GFX-Unit]]," | ",Tabelle32[[#This Row],[Attached Device if Gateway]]),"")</f>
        <v>MEDEM Edits Out | Out Edit10-15 | EditPC-10 OUT</v>
      </c>
      <c r="AQ420" s="59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 t="s">
        <v>97</v>
      </c>
      <c r="BE420" s="96"/>
      <c r="BF420" s="96"/>
      <c r="BG420" s="96"/>
      <c r="BH420" s="73" t="s">
        <v>199</v>
      </c>
      <c r="BI420" s="30" t="str">
        <f>IF(COUNTA(Tabelle32[[#This Row],[Type:Vid_1080i50]:[Type:Anc_Prot]])&gt;0,"x","")</f>
        <v>x</v>
      </c>
      <c r="BJ42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420" s="59"/>
      <c r="BL420" s="59"/>
      <c r="BM420" s="63"/>
      <c r="BN420" s="63"/>
      <c r="BO420" s="97" t="s">
        <v>732</v>
      </c>
      <c r="BP420" s="97" t="s">
        <v>859</v>
      </c>
      <c r="BQ420" s="75">
        <f>LEN(Tabelle32[[#This Row],[Label 1
GFX-Unit]])</f>
        <v>13</v>
      </c>
      <c r="BR420" s="63"/>
      <c r="BS420" s="63"/>
      <c r="BT420" s="59"/>
      <c r="BU420" s="59"/>
      <c r="BV420" s="59" t="s">
        <v>264</v>
      </c>
      <c r="BW420" s="59" t="s">
        <v>265</v>
      </c>
      <c r="BX420" s="59" t="s">
        <v>860</v>
      </c>
      <c r="BY420" s="59">
        <v>20</v>
      </c>
    </row>
    <row r="421" spans="1:77" x14ac:dyDescent="0.2">
      <c r="A421" s="58" t="str">
        <f>CONCATENATE(Tabelle32[[#This Row],[Device ID]],".",Tabelle32[[#This Row],[Streamcounter]])</f>
        <v>397.20216</v>
      </c>
      <c r="B42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VGW-103_SDI20_AUDsend_0016</v>
      </c>
      <c r="C421" s="60"/>
      <c r="D421" s="61"/>
      <c r="E421" s="62"/>
      <c r="F421" s="59" t="str">
        <f>IFERROR(VLOOKUP(Tabelle32[[#This Row],[Device ID]],BOM!$B$3:$BQ$35,16,FALSE),"")</f>
        <v>EditPC-10 OUT</v>
      </c>
      <c r="G421" s="63">
        <f>VLOOKUP(Tabelle32[[#This Row],[SDI Interface]],BOM!$A$4:$B$35,2,FALSE)</f>
        <v>397</v>
      </c>
      <c r="H421" s="59" t="str">
        <f>BOM!$C$4</f>
        <v>VGW-103</v>
      </c>
      <c r="I421" s="59" t="str">
        <f>IFERROR(VLOOKUP(Tabelle32[[#This Row],[Device ID]],BOM!$B$3:$BQ$35,12,FALSE),"")</f>
        <v>Edit Suite</v>
      </c>
      <c r="J421" s="59" t="str">
        <f>IFERROR(VLOOKUP(Tabelle32[[#This Row],[Device ID]],BOM!$B$3:$BQ$35,13,FALSE),"")</f>
        <v>TC.U1.223 | MDC</v>
      </c>
      <c r="K421" s="59" t="str">
        <f>IFERROR(VLOOKUP(Tabelle32[[#This Row],[Device ID]],BOM!$B$3:$BQ$35,14,FALSE),"")</f>
        <v>Imagine Comunications</v>
      </c>
      <c r="L421" s="59" t="str">
        <f>IFERROR(VLOOKUP(Tabelle32[[#This Row],[Device ID]],BOM!$B$3:$BQ$35,16,FALSE),"")</f>
        <v>EditPC-10 OUT</v>
      </c>
      <c r="M421" s="63" t="str">
        <f>IFERROR(VLOOKUP(Tabelle32[[#This Row],[Device ID]],BOM!$B$3:$BQ$35,17,FALSE),"")</f>
        <v>EDIT SUITE 10</v>
      </c>
      <c r="N421" s="59" t="str">
        <f>IFERROR(VLOOKUP(Tabelle32[[#This Row],[Device ID]],BOM!$B$3:$BQ$35,18,FALSE),"")</f>
        <v>TC.03.017 | Edit 10</v>
      </c>
      <c r="O421" s="64"/>
      <c r="P421" s="64">
        <f>IFERROR(VLOOKUP(Tabelle32[[#This Row],[Device ID]],BOM!$B$3:$BO$50,20,FALSE),"")</f>
        <v>0</v>
      </c>
      <c r="Q421" s="64">
        <f>IFERROR(VLOOKUP(Tabelle32[[#This Row],[Device ID]],BOM!$B$3:$BO$50,21,FALSE),"")</f>
        <v>1</v>
      </c>
      <c r="R421" s="64">
        <f>IFERROR(VLOOKUP(Tabelle32[[#This Row],[Device ID]],BOM!$B$3:$BO$50,22,FALSE),"")</f>
        <v>0</v>
      </c>
      <c r="S421" s="64"/>
      <c r="T421" s="64"/>
      <c r="U421" s="59" t="str">
        <f>IFERROR(VLOOKUP(Tabelle32[[#This Row],[Device ID]],BOM!$B$3:$BQ$35,25,FALSE),"")</f>
        <v>Luis/Ivo</v>
      </c>
      <c r="V421" s="59" t="str">
        <f>IFERROR(VLOOKUP(Tabelle32[[#This Row],[Device ID]],BOM!$B$3:$BQ$35,26,FALSE),"")</f>
        <v>tpco-megw-vgw103.rta.st-net.media.int</v>
      </c>
      <c r="W421" s="59" t="str">
        <f>IFERROR(VLOOKUP(Tabelle32[[#This Row],[Device ID]],BOM!$B$3:$BQ$35,27,FALSE),"")</f>
        <v>10.120.236.50</v>
      </c>
      <c r="X421" s="59" t="str">
        <f>IFERROR(VLOOKUP(Tabelle32[[#This Row],[Device ID]],BOM!$B$3:$BQ$35,28,FALSE),"")</f>
        <v>AVCoreA</v>
      </c>
      <c r="Y421" s="59" t="str">
        <f>IFERROR(VLOOKUP(Tabelle32[[#This Row],[Device ID]],BOM!$B$3:$BQ$35,29,FALSE),"")</f>
        <v>5_36_1</v>
      </c>
      <c r="Z421" s="59" t="str">
        <f>IFERROR(VLOOKUP(Tabelle32[[#This Row],[Device ID]],BOM!$B$3:$BQ$35,30,FALSE),"")</f>
        <v>tpco-megw-vgw103.rtb.st-net.media.int</v>
      </c>
      <c r="AA421" s="59" t="str">
        <f>IFERROR(VLOOKUP(Tabelle32[[#This Row],[Device ID]],BOM!$B$3:$BQ$35,31,FALSE),"")</f>
        <v>10.120.236.54</v>
      </c>
      <c r="AB421" s="59" t="str">
        <f>IFERROR(VLOOKUP(Tabelle32[[#This Row],[Device ID]],BOM!$B$3:$BQ$35,32,FALSE),"")</f>
        <v>AVCoreB</v>
      </c>
      <c r="AC421" s="59" t="str">
        <f>IFERROR(VLOOKUP(Tabelle32[[#This Row],[Device ID]],BOM!$B$3:$BQ$35,33,FALSE),"")</f>
        <v>5_36_1</v>
      </c>
      <c r="AD421" s="59" t="str">
        <f>IFERROR(VLOOKUP(Tabelle32[[#This Row],[Device ID]],BOM!$B$3:$BQ$35,34,FALSE),"")</f>
        <v>tpco-megw-vgw103.st-net.media.int</v>
      </c>
      <c r="AE421" s="59" t="str">
        <f>IFERROR(VLOOKUP(Tabelle32[[#This Row],[Device ID]],BOM!$B$3:$BQ$35,35,FALSE),"")</f>
        <v>10.120.67.141</v>
      </c>
      <c r="AF421" s="59">
        <f>IFERROR(VLOOKUP(Tabelle32[[#This Row],[Device ID]],BOM!$B$3:$BQ$35,36,FALSE),"")</f>
        <v>0</v>
      </c>
      <c r="AG421" s="59">
        <f>IFERROR(VLOOKUP(Tabelle32[[#This Row],[Device ID]],BOM!$B$3:$BQ$35,37,FALSE),"")</f>
        <v>0</v>
      </c>
      <c r="AH421" s="59"/>
      <c r="AI421" s="59"/>
      <c r="AJ421" s="59"/>
      <c r="AK421" s="59"/>
      <c r="AL421" s="59" t="str">
        <f>IFERROR(VLOOKUP(Tabelle32[[#This Row],[Device ID]],BOM!$B$3:$BQ$35,42,FALSE),"")</f>
        <v>Imagine Communications SNP</v>
      </c>
      <c r="AM421" s="59" t="str">
        <f>IFERROR(VLOOKUP(Tabelle32[[#This Row],[Device ID]],BOM!$B$3:$BQ$35,43,FALSE),"")</f>
        <v>no</v>
      </c>
      <c r="AN421" s="59" t="str">
        <f>IFERROR(VLOOKUP(Tabelle32[[#This Row],[Device ID]],BOM!$B$3:$BQ$35,44,FALSE),"")</f>
        <v>yes</v>
      </c>
      <c r="AO421" s="59" t="str">
        <f>IFERROR(VLOOKUP(Tabelle32[[#This Row],[Device ID]],BOM!$B$3:$BQ$35,45,FALSE),"")</f>
        <v>no</v>
      </c>
      <c r="AP421" s="59" t="str">
        <f>IFERROR(CONCATENATE(Tabelle32[[#This Row],[Family
GFX-Unit]]," | ",Tabelle32[[#This Row],[Label 1
GFX-Unit]]," | ",Tabelle32[[#This Row],[Attached Device if Gateway]]),"")</f>
        <v>MEDEM Edits Out | Out Edit10-16 | EditPC-10 OUT</v>
      </c>
      <c r="AQ421" s="59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 t="s">
        <v>97</v>
      </c>
      <c r="BE421" s="96"/>
      <c r="BF421" s="96"/>
      <c r="BG421" s="96"/>
      <c r="BH421" s="73" t="s">
        <v>199</v>
      </c>
      <c r="BI421" s="30" t="str">
        <f>IF(COUNTA(Tabelle32[[#This Row],[Type:Vid_1080i50]:[Type:Anc_Prot]])&gt;0,"x","")</f>
        <v>x</v>
      </c>
      <c r="BJ42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421" s="59"/>
      <c r="BL421" s="59"/>
      <c r="BM421" s="63"/>
      <c r="BN421" s="63"/>
      <c r="BO421" s="97" t="s">
        <v>732</v>
      </c>
      <c r="BP421" s="97" t="s">
        <v>861</v>
      </c>
      <c r="BQ421" s="75">
        <f>LEN(Tabelle32[[#This Row],[Label 1
GFX-Unit]])</f>
        <v>13</v>
      </c>
      <c r="BR421" s="63"/>
      <c r="BS421" s="63"/>
      <c r="BT421" s="59"/>
      <c r="BU421" s="59"/>
      <c r="BV421" s="59" t="s">
        <v>268</v>
      </c>
      <c r="BW421" s="59" t="s">
        <v>269</v>
      </c>
      <c r="BX421" s="59" t="s">
        <v>862</v>
      </c>
      <c r="BY421" s="59">
        <v>20</v>
      </c>
    </row>
    <row r="422" spans="1:77" x14ac:dyDescent="0.2">
      <c r="A422" s="58" t="str">
        <f>CONCATENATE(Tabelle32[[#This Row],[Device ID]],".",Tabelle32[[#This Row],[Streamcounter]])</f>
        <v>397.20101</v>
      </c>
      <c r="B42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VGW-103_SDI20_VIDsend_0001</v>
      </c>
      <c r="C422" s="60"/>
      <c r="D422" s="61"/>
      <c r="E422" s="62"/>
      <c r="F422" s="59" t="str">
        <f>IFERROR(VLOOKUP(Tabelle32[[#This Row],[Device ID]],BOM!$B$3:$BQ$35,16,FALSE),"")</f>
        <v>EditPC-10 OUT</v>
      </c>
      <c r="G422" s="63">
        <f>VLOOKUP(Tabelle32[[#This Row],[SDI Interface]],BOM!$A$4:$B$35,2,FALSE)</f>
        <v>397</v>
      </c>
      <c r="H422" s="59" t="str">
        <f>BOM!$C$4</f>
        <v>VGW-103</v>
      </c>
      <c r="I422" s="59" t="str">
        <f>IFERROR(VLOOKUP(Tabelle32[[#This Row],[Device ID]],BOM!$B$3:$BQ$35,12,FALSE),"")</f>
        <v>Edit Suite</v>
      </c>
      <c r="J422" s="59" t="str">
        <f>IFERROR(VLOOKUP(Tabelle32[[#This Row],[Device ID]],BOM!$B$3:$BQ$35,13,FALSE),"")</f>
        <v>TC.U1.223 | MDC</v>
      </c>
      <c r="K422" s="59" t="str">
        <f>IFERROR(VLOOKUP(Tabelle32[[#This Row],[Device ID]],BOM!$B$3:$BQ$35,14,FALSE),"")</f>
        <v>Imagine Comunications</v>
      </c>
      <c r="L422" s="59" t="str">
        <f>IFERROR(VLOOKUP(Tabelle32[[#This Row],[Device ID]],BOM!$B$3:$BQ$35,16,FALSE),"")</f>
        <v>EditPC-10 OUT</v>
      </c>
      <c r="M422" s="63" t="str">
        <f>IFERROR(VLOOKUP(Tabelle32[[#This Row],[Device ID]],BOM!$B$3:$BQ$35,17,FALSE),"")</f>
        <v>EDIT SUITE 10</v>
      </c>
      <c r="N422" s="59" t="str">
        <f>IFERROR(VLOOKUP(Tabelle32[[#This Row],[Device ID]],BOM!$B$3:$BQ$35,18,FALSE),"")</f>
        <v>TC.03.017 | Edit 10</v>
      </c>
      <c r="O422" s="64"/>
      <c r="P422" s="64">
        <f>IFERROR(VLOOKUP(Tabelle32[[#This Row],[Device ID]],BOM!$B$3:$BO$50,20,FALSE),"")</f>
        <v>0</v>
      </c>
      <c r="Q422" s="64">
        <f>IFERROR(VLOOKUP(Tabelle32[[#This Row],[Device ID]],BOM!$B$3:$BO$50,21,FALSE),"")</f>
        <v>1</v>
      </c>
      <c r="R422" s="64">
        <f>IFERROR(VLOOKUP(Tabelle32[[#This Row],[Device ID]],BOM!$B$3:$BO$50,22,FALSE),"")</f>
        <v>0</v>
      </c>
      <c r="S422" s="64"/>
      <c r="T422" s="64"/>
      <c r="U422" s="59" t="str">
        <f>IFERROR(VLOOKUP(Tabelle32[[#This Row],[Device ID]],BOM!$B$3:$BQ$35,25,FALSE),"")</f>
        <v>Luis/Ivo</v>
      </c>
      <c r="V422" s="59" t="str">
        <f>IFERROR(VLOOKUP(Tabelle32[[#This Row],[Device ID]],BOM!$B$3:$BQ$35,26,FALSE),"")</f>
        <v>tpco-megw-vgw103.rta.st-net.media.int</v>
      </c>
      <c r="W422" s="59" t="str">
        <f>IFERROR(VLOOKUP(Tabelle32[[#This Row],[Device ID]],BOM!$B$3:$BQ$35,27,FALSE),"")</f>
        <v>10.120.236.50</v>
      </c>
      <c r="X422" s="59" t="str">
        <f>IFERROR(VLOOKUP(Tabelle32[[#This Row],[Device ID]],BOM!$B$3:$BQ$35,28,FALSE),"")</f>
        <v>AVCoreA</v>
      </c>
      <c r="Y422" s="59" t="str">
        <f>IFERROR(VLOOKUP(Tabelle32[[#This Row],[Device ID]],BOM!$B$3:$BQ$35,29,FALSE),"")</f>
        <v>5_36_1</v>
      </c>
      <c r="Z422" s="59" t="str">
        <f>IFERROR(VLOOKUP(Tabelle32[[#This Row],[Device ID]],BOM!$B$3:$BQ$35,30,FALSE),"")</f>
        <v>tpco-megw-vgw103.rtb.st-net.media.int</v>
      </c>
      <c r="AA422" s="59" t="str">
        <f>IFERROR(VLOOKUP(Tabelle32[[#This Row],[Device ID]],BOM!$B$3:$BQ$35,31,FALSE),"")</f>
        <v>10.120.236.54</v>
      </c>
      <c r="AB422" s="59" t="str">
        <f>IFERROR(VLOOKUP(Tabelle32[[#This Row],[Device ID]],BOM!$B$3:$BQ$35,32,FALSE),"")</f>
        <v>AVCoreB</v>
      </c>
      <c r="AC422" s="59" t="str">
        <f>IFERROR(VLOOKUP(Tabelle32[[#This Row],[Device ID]],BOM!$B$3:$BQ$35,33,FALSE),"")</f>
        <v>5_36_1</v>
      </c>
      <c r="AD422" s="59" t="str">
        <f>IFERROR(VLOOKUP(Tabelle32[[#This Row],[Device ID]],BOM!$B$3:$BQ$35,34,FALSE),"")</f>
        <v>tpco-megw-vgw103.st-net.media.int</v>
      </c>
      <c r="AE422" s="59" t="str">
        <f>IFERROR(VLOOKUP(Tabelle32[[#This Row],[Device ID]],BOM!$B$3:$BQ$35,35,FALSE),"")</f>
        <v>10.120.67.141</v>
      </c>
      <c r="AF422" s="59">
        <f>IFERROR(VLOOKUP(Tabelle32[[#This Row],[Device ID]],BOM!$B$3:$BQ$35,36,FALSE),"")</f>
        <v>0</v>
      </c>
      <c r="AG422" s="59">
        <f>IFERROR(VLOOKUP(Tabelle32[[#This Row],[Device ID]],BOM!$B$3:$BQ$35,37,FALSE),"")</f>
        <v>0</v>
      </c>
      <c r="AH422" s="59"/>
      <c r="AI422" s="59"/>
      <c r="AJ422" s="59"/>
      <c r="AK422" s="59"/>
      <c r="AL422" s="59" t="str">
        <f>IFERROR(VLOOKUP(Tabelle32[[#This Row],[Device ID]],BOM!$B$3:$BQ$35,42,FALSE),"")</f>
        <v>Imagine Communications SNP</v>
      </c>
      <c r="AM422" s="59" t="str">
        <f>IFERROR(VLOOKUP(Tabelle32[[#This Row],[Device ID]],BOM!$B$3:$BQ$35,43,FALSE),"")</f>
        <v>no</v>
      </c>
      <c r="AN422" s="59" t="str">
        <f>IFERROR(VLOOKUP(Tabelle32[[#This Row],[Device ID]],BOM!$B$3:$BQ$35,44,FALSE),"")</f>
        <v>yes</v>
      </c>
      <c r="AO422" s="59" t="str">
        <f>IFERROR(VLOOKUP(Tabelle32[[#This Row],[Device ID]],BOM!$B$3:$BQ$35,45,FALSE),"")</f>
        <v>no</v>
      </c>
      <c r="AP422" s="59" t="str">
        <f>IFERROR(CONCATENATE(Tabelle32[[#This Row],[Family
GFX-Unit]]," | ",Tabelle32[[#This Row],[Label 1
GFX-Unit]]," | ",Tabelle32[[#This Row],[Attached Device if Gateway]]),"")</f>
        <v>MEDEM Edits Out | Out Edit10 | EditPC-10 OUT</v>
      </c>
      <c r="AQ422" s="59"/>
      <c r="AR422" s="96" t="s">
        <v>97</v>
      </c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73" t="s">
        <v>199</v>
      </c>
      <c r="BI422" s="30" t="str">
        <f>IF(COUNTA(Tabelle32[[#This Row],[Type:Vid_1080i50]:[Type:Anc_Prot]])&gt;0,"x","")</f>
        <v>x</v>
      </c>
      <c r="BJ42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422" s="59"/>
      <c r="BL422" s="59"/>
      <c r="BM422" s="63"/>
      <c r="BN422" s="63"/>
      <c r="BO422" s="97" t="s">
        <v>732</v>
      </c>
      <c r="BP422" s="97" t="s">
        <v>863</v>
      </c>
      <c r="BQ422" s="75">
        <f>LEN(Tabelle32[[#This Row],[Label 1
GFX-Unit]])</f>
        <v>10</v>
      </c>
      <c r="BR422" s="63"/>
      <c r="BS422" s="63"/>
      <c r="BT422" s="59"/>
      <c r="BU422" s="59"/>
      <c r="BV422" s="59" t="s">
        <v>272</v>
      </c>
      <c r="BW422" s="59" t="s">
        <v>273</v>
      </c>
      <c r="BX422" s="59" t="s">
        <v>864</v>
      </c>
      <c r="BY422" s="59">
        <v>20</v>
      </c>
    </row>
    <row r="423" spans="1:77" x14ac:dyDescent="0.2">
      <c r="A423" s="58" t="str">
        <f>CONCATENATE(Tabelle32[[#This Row],[Device ID]],".",Tabelle32[[#This Row],[Streamcounter]])</f>
        <v>398.21301</v>
      </c>
      <c r="B42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VGW-103_SDI21_ANCrec_0001</v>
      </c>
      <c r="C423" s="60"/>
      <c r="D423" s="61"/>
      <c r="E423" s="62"/>
      <c r="F423" s="59" t="str">
        <f>IFERROR(VLOOKUP(Tabelle32[[#This Row],[Device ID]],BOM!$B$3:$BQ$35,16,FALSE),"")</f>
        <v>EditPC-07 IN</v>
      </c>
      <c r="G423" s="63">
        <f>VLOOKUP(Tabelle32[[#This Row],[SDI Interface]],BOM!$A$4:$B$35,2,FALSE)</f>
        <v>398</v>
      </c>
      <c r="H423" s="59" t="str">
        <f>BOM!$C$4</f>
        <v>VGW-103</v>
      </c>
      <c r="I423" s="59" t="str">
        <f>IFERROR(VLOOKUP(Tabelle32[[#This Row],[Device ID]],BOM!$B$3:$BQ$35,12,FALSE),"")</f>
        <v>Edit Suite</v>
      </c>
      <c r="J423" s="59" t="str">
        <f>IFERROR(VLOOKUP(Tabelle32[[#This Row],[Device ID]],BOM!$B$3:$BQ$35,13,FALSE),"")</f>
        <v>TC.U1.223 | MDC</v>
      </c>
      <c r="K423" s="59" t="str">
        <f>IFERROR(VLOOKUP(Tabelle32[[#This Row],[Device ID]],BOM!$B$3:$BQ$35,14,FALSE),"")</f>
        <v>Imagine Comunications</v>
      </c>
      <c r="L423" s="59" t="str">
        <f>IFERROR(VLOOKUP(Tabelle32[[#This Row],[Device ID]],BOM!$B$3:$BQ$35,16,FALSE),"")</f>
        <v>EditPC-07 IN</v>
      </c>
      <c r="M423" s="63" t="str">
        <f>IFERROR(VLOOKUP(Tabelle32[[#This Row],[Device ID]],BOM!$B$3:$BQ$35,17,FALSE),"")</f>
        <v>EDIT SUITE 07</v>
      </c>
      <c r="N423" s="59" t="str">
        <f>IFERROR(VLOOKUP(Tabelle32[[#This Row],[Device ID]],BOM!$B$3:$BQ$35,18,FALSE),"")</f>
        <v>TC.03.087 | Edit 07</v>
      </c>
      <c r="O423" s="64"/>
      <c r="P423" s="64">
        <f>IFERROR(VLOOKUP(Tabelle32[[#This Row],[Device ID]],BOM!$B$3:$BO$50,20,FALSE),"")</f>
        <v>0</v>
      </c>
      <c r="Q423" s="64">
        <f>IFERROR(VLOOKUP(Tabelle32[[#This Row],[Device ID]],BOM!$B$3:$BO$50,21,FALSE),"")</f>
        <v>1</v>
      </c>
      <c r="R423" s="64">
        <f>IFERROR(VLOOKUP(Tabelle32[[#This Row],[Device ID]],BOM!$B$3:$BO$50,22,FALSE),"")</f>
        <v>0</v>
      </c>
      <c r="S423" s="64"/>
      <c r="T423" s="64"/>
      <c r="U423" s="59" t="str">
        <f>IFERROR(VLOOKUP(Tabelle32[[#This Row],[Device ID]],BOM!$B$3:$BQ$35,25,FALSE),"")</f>
        <v>Luis/Ivo</v>
      </c>
      <c r="V423" s="59" t="str">
        <f>IFERROR(VLOOKUP(Tabelle32[[#This Row],[Device ID]],BOM!$B$3:$BQ$35,26,FALSE),"")</f>
        <v>tpco-megw-vgw103.rta.st-net.media.int</v>
      </c>
      <c r="W423" s="59" t="str">
        <f>IFERROR(VLOOKUP(Tabelle32[[#This Row],[Device ID]],BOM!$B$3:$BQ$35,27,FALSE),"")</f>
        <v>10.120.236.50</v>
      </c>
      <c r="X423" s="59" t="str">
        <f>IFERROR(VLOOKUP(Tabelle32[[#This Row],[Device ID]],BOM!$B$3:$BQ$35,28,FALSE),"")</f>
        <v>AVCoreA</v>
      </c>
      <c r="Y423" s="59" t="str">
        <f>IFERROR(VLOOKUP(Tabelle32[[#This Row],[Device ID]],BOM!$B$3:$BQ$35,29,FALSE),"")</f>
        <v>5_36_1</v>
      </c>
      <c r="Z423" s="59" t="str">
        <f>IFERROR(VLOOKUP(Tabelle32[[#This Row],[Device ID]],BOM!$B$3:$BQ$35,30,FALSE),"")</f>
        <v>tpco-megw-vgw103.rtb.st-net.media.int</v>
      </c>
      <c r="AA423" s="59" t="str">
        <f>IFERROR(VLOOKUP(Tabelle32[[#This Row],[Device ID]],BOM!$B$3:$BQ$35,31,FALSE),"")</f>
        <v>10.120.236.54</v>
      </c>
      <c r="AB423" s="59" t="str">
        <f>IFERROR(VLOOKUP(Tabelle32[[#This Row],[Device ID]],BOM!$B$3:$BQ$35,32,FALSE),"")</f>
        <v>AVCoreB</v>
      </c>
      <c r="AC423" s="59" t="str">
        <f>IFERROR(VLOOKUP(Tabelle32[[#This Row],[Device ID]],BOM!$B$3:$BQ$35,33,FALSE),"")</f>
        <v>5_36_1</v>
      </c>
      <c r="AD423" s="59" t="str">
        <f>IFERROR(VLOOKUP(Tabelle32[[#This Row],[Device ID]],BOM!$B$3:$BQ$35,34,FALSE),"")</f>
        <v>tpco-megw-vgw103.st-net.media.int</v>
      </c>
      <c r="AE423" s="59" t="str">
        <f>IFERROR(VLOOKUP(Tabelle32[[#This Row],[Device ID]],BOM!$B$3:$BQ$35,35,FALSE),"")</f>
        <v>10.120.67.141</v>
      </c>
      <c r="AF423" s="59">
        <f>IFERROR(VLOOKUP(Tabelle32[[#This Row],[Device ID]],BOM!$B$3:$BQ$35,36,FALSE),"")</f>
        <v>0</v>
      </c>
      <c r="AG423" s="59">
        <f>IFERROR(VLOOKUP(Tabelle32[[#This Row],[Device ID]],BOM!$B$3:$BQ$35,37,FALSE),"")</f>
        <v>0</v>
      </c>
      <c r="AH423" s="59"/>
      <c r="AI423" s="59"/>
      <c r="AJ423" s="59"/>
      <c r="AK423" s="59"/>
      <c r="AL423" s="59" t="str">
        <f>IFERROR(VLOOKUP(Tabelle32[[#This Row],[Device ID]],BOM!$B$3:$BQ$35,42,FALSE),"")</f>
        <v>Imagine Communications SNP</v>
      </c>
      <c r="AM423" s="59" t="str">
        <f>IFERROR(VLOOKUP(Tabelle32[[#This Row],[Device ID]],BOM!$B$3:$BQ$35,43,FALSE),"")</f>
        <v>no</v>
      </c>
      <c r="AN423" s="59" t="str">
        <f>IFERROR(VLOOKUP(Tabelle32[[#This Row],[Device ID]],BOM!$B$3:$BQ$35,44,FALSE),"")</f>
        <v>yes</v>
      </c>
      <c r="AO423" s="59" t="str">
        <f>IFERROR(VLOOKUP(Tabelle32[[#This Row],[Device ID]],BOM!$B$3:$BQ$35,45,FALSE),"")</f>
        <v>no</v>
      </c>
      <c r="AP423" s="59" t="str">
        <f>IFERROR(CONCATENATE(Tabelle32[[#This Row],[Family
GFX-Unit]]," | ",Tabelle32[[#This Row],[Label 1
GFX-Unit]]," | ",Tabelle32[[#This Row],[Attached Device if Gateway]]),"")</f>
        <v>MEDEM Edit07 | In Edit07-ANC1 | EditPC-07 IN</v>
      </c>
      <c r="AQ423" s="5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 t="s">
        <v>97</v>
      </c>
      <c r="BH423" s="73" t="s">
        <v>199</v>
      </c>
      <c r="BI423" s="30" t="str">
        <f>IF(COUNTA(Tabelle32[[#This Row],[Type:Vid_1080i50]:[Type:Anc_Prot]])&gt;0,"x","")</f>
        <v>x</v>
      </c>
      <c r="BJ42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423" s="59"/>
      <c r="BL423" s="59"/>
      <c r="BM423" s="63"/>
      <c r="BN423" s="63"/>
      <c r="BO423" s="97" t="s">
        <v>865</v>
      </c>
      <c r="BP423" s="97" t="s">
        <v>866</v>
      </c>
      <c r="BQ423" s="75">
        <f>LEN(Tabelle32[[#This Row],[Label 1
GFX-Unit]])</f>
        <v>14</v>
      </c>
      <c r="BR423" s="63"/>
      <c r="BS423" s="63"/>
      <c r="BT423" s="59"/>
      <c r="BU423" s="59"/>
      <c r="BV423" s="59" t="s">
        <v>202</v>
      </c>
      <c r="BW423" s="59" t="s">
        <v>203</v>
      </c>
      <c r="BX423" s="59" t="s">
        <v>867</v>
      </c>
      <c r="BY423" s="59">
        <v>21</v>
      </c>
    </row>
    <row r="424" spans="1:77" hidden="1" x14ac:dyDescent="0.2">
      <c r="A424" s="58" t="str">
        <f>CONCATENATE(Tabelle32[[#This Row],[Device ID]],".",Tabelle32[[#This Row],[Streamcounter]])</f>
        <v>398.21302</v>
      </c>
      <c r="B42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VGW-103_SDI21_ANCrec_0002</v>
      </c>
      <c r="C424" s="60"/>
      <c r="D424" s="61"/>
      <c r="E424" s="62"/>
      <c r="F424" s="59" t="str">
        <f>IFERROR(VLOOKUP(Tabelle32[[#This Row],[Device ID]],BOM!$B$3:$BQ$35,16,FALSE),"")</f>
        <v>EditPC-07 IN</v>
      </c>
      <c r="G424" s="63">
        <f>VLOOKUP(Tabelle32[[#This Row],[SDI Interface]],BOM!$A$4:$B$35,2,FALSE)</f>
        <v>398</v>
      </c>
      <c r="H424" s="59" t="str">
        <f>BOM!$C$4</f>
        <v>VGW-103</v>
      </c>
      <c r="I424" s="59" t="str">
        <f>IFERROR(VLOOKUP(Tabelle32[[#This Row],[Device ID]],BOM!$B$3:$BQ$35,12,FALSE),"")</f>
        <v>Edit Suite</v>
      </c>
      <c r="J424" s="59" t="str">
        <f>IFERROR(VLOOKUP(Tabelle32[[#This Row],[Device ID]],BOM!$B$3:$BQ$35,13,FALSE),"")</f>
        <v>TC.U1.223 | MDC</v>
      </c>
      <c r="K424" s="59" t="str">
        <f>IFERROR(VLOOKUP(Tabelle32[[#This Row],[Device ID]],BOM!$B$3:$BQ$35,14,FALSE),"")</f>
        <v>Imagine Comunications</v>
      </c>
      <c r="L424" s="59" t="str">
        <f>IFERROR(VLOOKUP(Tabelle32[[#This Row],[Device ID]],BOM!$B$3:$BQ$35,16,FALSE),"")</f>
        <v>EditPC-07 IN</v>
      </c>
      <c r="M424" s="63" t="str">
        <f>IFERROR(VLOOKUP(Tabelle32[[#This Row],[Device ID]],BOM!$B$3:$BQ$35,17,FALSE),"")</f>
        <v>EDIT SUITE 07</v>
      </c>
      <c r="N424" s="59" t="str">
        <f>IFERROR(VLOOKUP(Tabelle32[[#This Row],[Device ID]],BOM!$B$3:$BQ$35,18,FALSE),"")</f>
        <v>TC.03.087 | Edit 07</v>
      </c>
      <c r="O424" s="64"/>
      <c r="P424" s="64">
        <f>IFERROR(VLOOKUP(Tabelle32[[#This Row],[Device ID]],BOM!$B$3:$BO$50,20,FALSE),"")</f>
        <v>0</v>
      </c>
      <c r="Q424" s="64">
        <f>IFERROR(VLOOKUP(Tabelle32[[#This Row],[Device ID]],BOM!$B$3:$BO$50,21,FALSE),"")</f>
        <v>1</v>
      </c>
      <c r="R424" s="64">
        <f>IFERROR(VLOOKUP(Tabelle32[[#This Row],[Device ID]],BOM!$B$3:$BO$50,22,FALSE),"")</f>
        <v>0</v>
      </c>
      <c r="S424" s="64"/>
      <c r="T424" s="64"/>
      <c r="U424" s="59" t="str">
        <f>IFERROR(VLOOKUP(Tabelle32[[#This Row],[Device ID]],BOM!$B$3:$BQ$35,25,FALSE),"")</f>
        <v>Luis/Ivo</v>
      </c>
      <c r="V424" s="59" t="str">
        <f>IFERROR(VLOOKUP(Tabelle32[[#This Row],[Device ID]],BOM!$B$3:$BQ$35,26,FALSE),"")</f>
        <v>tpco-megw-vgw103.rta.st-net.media.int</v>
      </c>
      <c r="W424" s="59" t="str">
        <f>IFERROR(VLOOKUP(Tabelle32[[#This Row],[Device ID]],BOM!$B$3:$BQ$35,27,FALSE),"")</f>
        <v>10.120.236.50</v>
      </c>
      <c r="X424" s="59" t="str">
        <f>IFERROR(VLOOKUP(Tabelle32[[#This Row],[Device ID]],BOM!$B$3:$BQ$35,28,FALSE),"")</f>
        <v>AVCoreA</v>
      </c>
      <c r="Y424" s="59" t="str">
        <f>IFERROR(VLOOKUP(Tabelle32[[#This Row],[Device ID]],BOM!$B$3:$BQ$35,29,FALSE),"")</f>
        <v>5_36_1</v>
      </c>
      <c r="Z424" s="59" t="str">
        <f>IFERROR(VLOOKUP(Tabelle32[[#This Row],[Device ID]],BOM!$B$3:$BQ$35,30,FALSE),"")</f>
        <v>tpco-megw-vgw103.rtb.st-net.media.int</v>
      </c>
      <c r="AA424" s="59" t="str">
        <f>IFERROR(VLOOKUP(Tabelle32[[#This Row],[Device ID]],BOM!$B$3:$BQ$35,31,FALSE),"")</f>
        <v>10.120.236.54</v>
      </c>
      <c r="AB424" s="59" t="str">
        <f>IFERROR(VLOOKUP(Tabelle32[[#This Row],[Device ID]],BOM!$B$3:$BQ$35,32,FALSE),"")</f>
        <v>AVCoreB</v>
      </c>
      <c r="AC424" s="59" t="str">
        <f>IFERROR(VLOOKUP(Tabelle32[[#This Row],[Device ID]],BOM!$B$3:$BQ$35,33,FALSE),"")</f>
        <v>5_36_1</v>
      </c>
      <c r="AD424" s="59" t="str">
        <f>IFERROR(VLOOKUP(Tabelle32[[#This Row],[Device ID]],BOM!$B$3:$BQ$35,34,FALSE),"")</f>
        <v>tpco-megw-vgw103.st-net.media.int</v>
      </c>
      <c r="AE424" s="59" t="str">
        <f>IFERROR(VLOOKUP(Tabelle32[[#This Row],[Device ID]],BOM!$B$3:$BQ$35,35,FALSE),"")</f>
        <v>10.120.67.141</v>
      </c>
      <c r="AF424" s="59">
        <f>IFERROR(VLOOKUP(Tabelle32[[#This Row],[Device ID]],BOM!$B$3:$BQ$35,36,FALSE),"")</f>
        <v>0</v>
      </c>
      <c r="AG424" s="59">
        <f>IFERROR(VLOOKUP(Tabelle32[[#This Row],[Device ID]],BOM!$B$3:$BQ$35,37,FALSE),"")</f>
        <v>0</v>
      </c>
      <c r="AH424" s="59"/>
      <c r="AI424" s="59"/>
      <c r="AJ424" s="59"/>
      <c r="AK424" s="59"/>
      <c r="AL424" s="59" t="str">
        <f>IFERROR(VLOOKUP(Tabelle32[[#This Row],[Device ID]],BOM!$B$3:$BQ$35,42,FALSE),"")</f>
        <v>Imagine Communications SNP</v>
      </c>
      <c r="AM424" s="59" t="str">
        <f>IFERROR(VLOOKUP(Tabelle32[[#This Row],[Device ID]],BOM!$B$3:$BQ$35,43,FALSE),"")</f>
        <v>no</v>
      </c>
      <c r="AN424" s="59" t="str">
        <f>IFERROR(VLOOKUP(Tabelle32[[#This Row],[Device ID]],BOM!$B$3:$BQ$35,44,FALSE),"")</f>
        <v>yes</v>
      </c>
      <c r="AO424" s="59" t="str">
        <f>IFERROR(VLOOKUP(Tabelle32[[#This Row],[Device ID]],BOM!$B$3:$BQ$35,45,FALSE),"")</f>
        <v>no</v>
      </c>
      <c r="AP424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24" s="59"/>
      <c r="AR424" s="101"/>
      <c r="AS424" s="101"/>
      <c r="AT424" s="101"/>
      <c r="AU424" s="101"/>
      <c r="AV424" s="101"/>
      <c r="AW424" s="101"/>
      <c r="AX424" s="101"/>
      <c r="AY424" s="101"/>
      <c r="AZ424" s="101"/>
      <c r="BA424" s="101"/>
      <c r="BB424" s="101"/>
      <c r="BC424" s="101"/>
      <c r="BD424" s="101"/>
      <c r="BE424" s="101"/>
      <c r="BF424" s="101"/>
      <c r="BG424" s="101"/>
      <c r="BH424" s="73" t="s">
        <v>199</v>
      </c>
      <c r="BI424" s="30" t="str">
        <f>IF(COUNTA(Tabelle32[[#This Row],[Type:Vid_1080i50]:[Type:Anc_Prot]])&gt;0,"x","")</f>
        <v/>
      </c>
      <c r="BJ42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24" s="59"/>
      <c r="BL424" s="59"/>
      <c r="BM424" s="63"/>
      <c r="BN424" s="63"/>
      <c r="BO424" s="96"/>
      <c r="BP424" s="96"/>
      <c r="BQ424" s="75">
        <f>LEN(Tabelle32[[#This Row],[Label 1
GFX-Unit]])</f>
        <v>0</v>
      </c>
      <c r="BR424" s="63"/>
      <c r="BS424" s="63"/>
      <c r="BT424" s="59"/>
      <c r="BU424" s="59"/>
      <c r="BV424" s="59" t="s">
        <v>205</v>
      </c>
      <c r="BW424" s="59" t="s">
        <v>206</v>
      </c>
      <c r="BX424" s="59" t="s">
        <v>868</v>
      </c>
      <c r="BY424" s="59">
        <v>21</v>
      </c>
    </row>
    <row r="425" spans="1:77" hidden="1" x14ac:dyDescent="0.2">
      <c r="A425" s="58" t="str">
        <f>CONCATENATE(Tabelle32[[#This Row],[Device ID]],".",Tabelle32[[#This Row],[Streamcounter]])</f>
        <v>398.21303</v>
      </c>
      <c r="B42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VGW-103_SDI21_ANCrec_0003</v>
      </c>
      <c r="C425" s="60"/>
      <c r="D425" s="61"/>
      <c r="E425" s="62"/>
      <c r="F425" s="59" t="str">
        <f>IFERROR(VLOOKUP(Tabelle32[[#This Row],[Device ID]],BOM!$B$3:$BQ$35,16,FALSE),"")</f>
        <v>EditPC-07 IN</v>
      </c>
      <c r="G425" s="63">
        <f>VLOOKUP(Tabelle32[[#This Row],[SDI Interface]],BOM!$A$4:$B$35,2,FALSE)</f>
        <v>398</v>
      </c>
      <c r="H425" s="59" t="str">
        <f>BOM!$C$4</f>
        <v>VGW-103</v>
      </c>
      <c r="I425" s="59" t="str">
        <f>IFERROR(VLOOKUP(Tabelle32[[#This Row],[Device ID]],BOM!$B$3:$BQ$35,12,FALSE),"")</f>
        <v>Edit Suite</v>
      </c>
      <c r="J425" s="59" t="str">
        <f>IFERROR(VLOOKUP(Tabelle32[[#This Row],[Device ID]],BOM!$B$3:$BQ$35,13,FALSE),"")</f>
        <v>TC.U1.223 | MDC</v>
      </c>
      <c r="K425" s="59" t="str">
        <f>IFERROR(VLOOKUP(Tabelle32[[#This Row],[Device ID]],BOM!$B$3:$BQ$35,14,FALSE),"")</f>
        <v>Imagine Comunications</v>
      </c>
      <c r="L425" s="59" t="str">
        <f>IFERROR(VLOOKUP(Tabelle32[[#This Row],[Device ID]],BOM!$B$3:$BQ$35,16,FALSE),"")</f>
        <v>EditPC-07 IN</v>
      </c>
      <c r="M425" s="63" t="str">
        <f>IFERROR(VLOOKUP(Tabelle32[[#This Row],[Device ID]],BOM!$B$3:$BQ$35,17,FALSE),"")</f>
        <v>EDIT SUITE 07</v>
      </c>
      <c r="N425" s="59" t="str">
        <f>IFERROR(VLOOKUP(Tabelle32[[#This Row],[Device ID]],BOM!$B$3:$BQ$35,18,FALSE),"")</f>
        <v>TC.03.087 | Edit 07</v>
      </c>
      <c r="O425" s="64"/>
      <c r="P425" s="64">
        <f>IFERROR(VLOOKUP(Tabelle32[[#This Row],[Device ID]],BOM!$B$3:$BO$50,20,FALSE),"")</f>
        <v>0</v>
      </c>
      <c r="Q425" s="64">
        <f>IFERROR(VLOOKUP(Tabelle32[[#This Row],[Device ID]],BOM!$B$3:$BO$50,21,FALSE),"")</f>
        <v>1</v>
      </c>
      <c r="R425" s="64">
        <f>IFERROR(VLOOKUP(Tabelle32[[#This Row],[Device ID]],BOM!$B$3:$BO$50,22,FALSE),"")</f>
        <v>0</v>
      </c>
      <c r="S425" s="64"/>
      <c r="T425" s="64"/>
      <c r="U425" s="59" t="str">
        <f>IFERROR(VLOOKUP(Tabelle32[[#This Row],[Device ID]],BOM!$B$3:$BQ$35,25,FALSE),"")</f>
        <v>Luis/Ivo</v>
      </c>
      <c r="V425" s="59" t="str">
        <f>IFERROR(VLOOKUP(Tabelle32[[#This Row],[Device ID]],BOM!$B$3:$BQ$35,26,FALSE),"")</f>
        <v>tpco-megw-vgw103.rta.st-net.media.int</v>
      </c>
      <c r="W425" s="59" t="str">
        <f>IFERROR(VLOOKUP(Tabelle32[[#This Row],[Device ID]],BOM!$B$3:$BQ$35,27,FALSE),"")</f>
        <v>10.120.236.50</v>
      </c>
      <c r="X425" s="59" t="str">
        <f>IFERROR(VLOOKUP(Tabelle32[[#This Row],[Device ID]],BOM!$B$3:$BQ$35,28,FALSE),"")</f>
        <v>AVCoreA</v>
      </c>
      <c r="Y425" s="59" t="str">
        <f>IFERROR(VLOOKUP(Tabelle32[[#This Row],[Device ID]],BOM!$B$3:$BQ$35,29,FALSE),"")</f>
        <v>5_36_1</v>
      </c>
      <c r="Z425" s="59" t="str">
        <f>IFERROR(VLOOKUP(Tabelle32[[#This Row],[Device ID]],BOM!$B$3:$BQ$35,30,FALSE),"")</f>
        <v>tpco-megw-vgw103.rtb.st-net.media.int</v>
      </c>
      <c r="AA425" s="59" t="str">
        <f>IFERROR(VLOOKUP(Tabelle32[[#This Row],[Device ID]],BOM!$B$3:$BQ$35,31,FALSE),"")</f>
        <v>10.120.236.54</v>
      </c>
      <c r="AB425" s="59" t="str">
        <f>IFERROR(VLOOKUP(Tabelle32[[#This Row],[Device ID]],BOM!$B$3:$BQ$35,32,FALSE),"")</f>
        <v>AVCoreB</v>
      </c>
      <c r="AC425" s="59" t="str">
        <f>IFERROR(VLOOKUP(Tabelle32[[#This Row],[Device ID]],BOM!$B$3:$BQ$35,33,FALSE),"")</f>
        <v>5_36_1</v>
      </c>
      <c r="AD425" s="59" t="str">
        <f>IFERROR(VLOOKUP(Tabelle32[[#This Row],[Device ID]],BOM!$B$3:$BQ$35,34,FALSE),"")</f>
        <v>tpco-megw-vgw103.st-net.media.int</v>
      </c>
      <c r="AE425" s="59" t="str">
        <f>IFERROR(VLOOKUP(Tabelle32[[#This Row],[Device ID]],BOM!$B$3:$BQ$35,35,FALSE),"")</f>
        <v>10.120.67.141</v>
      </c>
      <c r="AF425" s="59">
        <f>IFERROR(VLOOKUP(Tabelle32[[#This Row],[Device ID]],BOM!$B$3:$BQ$35,36,FALSE),"")</f>
        <v>0</v>
      </c>
      <c r="AG425" s="59">
        <f>IFERROR(VLOOKUP(Tabelle32[[#This Row],[Device ID]],BOM!$B$3:$BQ$35,37,FALSE),"")</f>
        <v>0</v>
      </c>
      <c r="AH425" s="59"/>
      <c r="AI425" s="59"/>
      <c r="AJ425" s="59"/>
      <c r="AK425" s="59"/>
      <c r="AL425" s="59" t="str">
        <f>IFERROR(VLOOKUP(Tabelle32[[#This Row],[Device ID]],BOM!$B$3:$BQ$35,42,FALSE),"")</f>
        <v>Imagine Communications SNP</v>
      </c>
      <c r="AM425" s="59" t="str">
        <f>IFERROR(VLOOKUP(Tabelle32[[#This Row],[Device ID]],BOM!$B$3:$BQ$35,43,FALSE),"")</f>
        <v>no</v>
      </c>
      <c r="AN425" s="59" t="str">
        <f>IFERROR(VLOOKUP(Tabelle32[[#This Row],[Device ID]],BOM!$B$3:$BQ$35,44,FALSE),"")</f>
        <v>yes</v>
      </c>
      <c r="AO425" s="59" t="str">
        <f>IFERROR(VLOOKUP(Tabelle32[[#This Row],[Device ID]],BOM!$B$3:$BQ$35,45,FALSE),"")</f>
        <v>no</v>
      </c>
      <c r="AP425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25" s="59"/>
      <c r="AR425" s="101"/>
      <c r="AS425" s="101"/>
      <c r="AT425" s="101"/>
      <c r="AU425" s="101"/>
      <c r="AV425" s="101"/>
      <c r="AW425" s="101"/>
      <c r="AX425" s="101"/>
      <c r="AY425" s="101"/>
      <c r="AZ425" s="101"/>
      <c r="BA425" s="101"/>
      <c r="BB425" s="101"/>
      <c r="BC425" s="101"/>
      <c r="BD425" s="101"/>
      <c r="BE425" s="101"/>
      <c r="BF425" s="101"/>
      <c r="BG425" s="101"/>
      <c r="BH425" s="73" t="s">
        <v>199</v>
      </c>
      <c r="BI425" s="30" t="str">
        <f>IF(COUNTA(Tabelle32[[#This Row],[Type:Vid_1080i50]:[Type:Anc_Prot]])&gt;0,"x","")</f>
        <v/>
      </c>
      <c r="BJ42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25" s="59"/>
      <c r="BL425" s="59"/>
      <c r="BM425" s="63"/>
      <c r="BN425" s="63"/>
      <c r="BO425" s="96"/>
      <c r="BP425" s="96"/>
      <c r="BQ425" s="75">
        <f>LEN(Tabelle32[[#This Row],[Label 1
GFX-Unit]])</f>
        <v>0</v>
      </c>
      <c r="BR425" s="63"/>
      <c r="BS425" s="63"/>
      <c r="BT425" s="59"/>
      <c r="BU425" s="59"/>
      <c r="BV425" s="59" t="s">
        <v>208</v>
      </c>
      <c r="BW425" s="59" t="s">
        <v>209</v>
      </c>
      <c r="BX425" s="59" t="s">
        <v>869</v>
      </c>
      <c r="BY425" s="59">
        <v>21</v>
      </c>
    </row>
    <row r="426" spans="1:77" hidden="1" x14ac:dyDescent="0.2">
      <c r="A426" s="58" t="str">
        <f>CONCATENATE(Tabelle32[[#This Row],[Device ID]],".",Tabelle32[[#This Row],[Streamcounter]])</f>
        <v>398.21304</v>
      </c>
      <c r="B42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VGW-103_SDI21_ANCrec_0004</v>
      </c>
      <c r="C426" s="60"/>
      <c r="D426" s="61"/>
      <c r="E426" s="62"/>
      <c r="F426" s="59" t="str">
        <f>IFERROR(VLOOKUP(Tabelle32[[#This Row],[Device ID]],BOM!$B$3:$BQ$35,16,FALSE),"")</f>
        <v>EditPC-07 IN</v>
      </c>
      <c r="G426" s="63">
        <f>VLOOKUP(Tabelle32[[#This Row],[SDI Interface]],BOM!$A$4:$B$35,2,FALSE)</f>
        <v>398</v>
      </c>
      <c r="H426" s="59" t="str">
        <f>BOM!$C$4</f>
        <v>VGW-103</v>
      </c>
      <c r="I426" s="59" t="str">
        <f>IFERROR(VLOOKUP(Tabelle32[[#This Row],[Device ID]],BOM!$B$3:$BQ$35,12,FALSE),"")</f>
        <v>Edit Suite</v>
      </c>
      <c r="J426" s="59" t="str">
        <f>IFERROR(VLOOKUP(Tabelle32[[#This Row],[Device ID]],BOM!$B$3:$BQ$35,13,FALSE),"")</f>
        <v>TC.U1.223 | MDC</v>
      </c>
      <c r="K426" s="59" t="str">
        <f>IFERROR(VLOOKUP(Tabelle32[[#This Row],[Device ID]],BOM!$B$3:$BQ$35,14,FALSE),"")</f>
        <v>Imagine Comunications</v>
      </c>
      <c r="L426" s="59" t="str">
        <f>IFERROR(VLOOKUP(Tabelle32[[#This Row],[Device ID]],BOM!$B$3:$BQ$35,16,FALSE),"")</f>
        <v>EditPC-07 IN</v>
      </c>
      <c r="M426" s="63" t="str">
        <f>IFERROR(VLOOKUP(Tabelle32[[#This Row],[Device ID]],BOM!$B$3:$BQ$35,17,FALSE),"")</f>
        <v>EDIT SUITE 07</v>
      </c>
      <c r="N426" s="59" t="str">
        <f>IFERROR(VLOOKUP(Tabelle32[[#This Row],[Device ID]],BOM!$B$3:$BQ$35,18,FALSE),"")</f>
        <v>TC.03.087 | Edit 07</v>
      </c>
      <c r="O426" s="64"/>
      <c r="P426" s="64">
        <f>IFERROR(VLOOKUP(Tabelle32[[#This Row],[Device ID]],BOM!$B$3:$BO$50,20,FALSE),"")</f>
        <v>0</v>
      </c>
      <c r="Q426" s="64">
        <f>IFERROR(VLOOKUP(Tabelle32[[#This Row],[Device ID]],BOM!$B$3:$BO$50,21,FALSE),"")</f>
        <v>1</v>
      </c>
      <c r="R426" s="64">
        <f>IFERROR(VLOOKUP(Tabelle32[[#This Row],[Device ID]],BOM!$B$3:$BO$50,22,FALSE),"")</f>
        <v>0</v>
      </c>
      <c r="S426" s="64"/>
      <c r="T426" s="64"/>
      <c r="U426" s="59" t="str">
        <f>IFERROR(VLOOKUP(Tabelle32[[#This Row],[Device ID]],BOM!$B$3:$BQ$35,25,FALSE),"")</f>
        <v>Luis/Ivo</v>
      </c>
      <c r="V426" s="59" t="str">
        <f>IFERROR(VLOOKUP(Tabelle32[[#This Row],[Device ID]],BOM!$B$3:$BQ$35,26,FALSE),"")</f>
        <v>tpco-megw-vgw103.rta.st-net.media.int</v>
      </c>
      <c r="W426" s="59" t="str">
        <f>IFERROR(VLOOKUP(Tabelle32[[#This Row],[Device ID]],BOM!$B$3:$BQ$35,27,FALSE),"")</f>
        <v>10.120.236.50</v>
      </c>
      <c r="X426" s="59" t="str">
        <f>IFERROR(VLOOKUP(Tabelle32[[#This Row],[Device ID]],BOM!$B$3:$BQ$35,28,FALSE),"")</f>
        <v>AVCoreA</v>
      </c>
      <c r="Y426" s="59" t="str">
        <f>IFERROR(VLOOKUP(Tabelle32[[#This Row],[Device ID]],BOM!$B$3:$BQ$35,29,FALSE),"")</f>
        <v>5_36_1</v>
      </c>
      <c r="Z426" s="59" t="str">
        <f>IFERROR(VLOOKUP(Tabelle32[[#This Row],[Device ID]],BOM!$B$3:$BQ$35,30,FALSE),"")</f>
        <v>tpco-megw-vgw103.rtb.st-net.media.int</v>
      </c>
      <c r="AA426" s="59" t="str">
        <f>IFERROR(VLOOKUP(Tabelle32[[#This Row],[Device ID]],BOM!$B$3:$BQ$35,31,FALSE),"")</f>
        <v>10.120.236.54</v>
      </c>
      <c r="AB426" s="59" t="str">
        <f>IFERROR(VLOOKUP(Tabelle32[[#This Row],[Device ID]],BOM!$B$3:$BQ$35,32,FALSE),"")</f>
        <v>AVCoreB</v>
      </c>
      <c r="AC426" s="59" t="str">
        <f>IFERROR(VLOOKUP(Tabelle32[[#This Row],[Device ID]],BOM!$B$3:$BQ$35,33,FALSE),"")</f>
        <v>5_36_1</v>
      </c>
      <c r="AD426" s="59" t="str">
        <f>IFERROR(VLOOKUP(Tabelle32[[#This Row],[Device ID]],BOM!$B$3:$BQ$35,34,FALSE),"")</f>
        <v>tpco-megw-vgw103.st-net.media.int</v>
      </c>
      <c r="AE426" s="59" t="str">
        <f>IFERROR(VLOOKUP(Tabelle32[[#This Row],[Device ID]],BOM!$B$3:$BQ$35,35,FALSE),"")</f>
        <v>10.120.67.141</v>
      </c>
      <c r="AF426" s="59">
        <f>IFERROR(VLOOKUP(Tabelle32[[#This Row],[Device ID]],BOM!$B$3:$BQ$35,36,FALSE),"")</f>
        <v>0</v>
      </c>
      <c r="AG426" s="59">
        <f>IFERROR(VLOOKUP(Tabelle32[[#This Row],[Device ID]],BOM!$B$3:$BQ$35,37,FALSE),"")</f>
        <v>0</v>
      </c>
      <c r="AH426" s="59"/>
      <c r="AI426" s="59"/>
      <c r="AJ426" s="59"/>
      <c r="AK426" s="59"/>
      <c r="AL426" s="59" t="str">
        <f>IFERROR(VLOOKUP(Tabelle32[[#This Row],[Device ID]],BOM!$B$3:$BQ$35,42,FALSE),"")</f>
        <v>Imagine Communications SNP</v>
      </c>
      <c r="AM426" s="59" t="str">
        <f>IFERROR(VLOOKUP(Tabelle32[[#This Row],[Device ID]],BOM!$B$3:$BQ$35,43,FALSE),"")</f>
        <v>no</v>
      </c>
      <c r="AN426" s="59" t="str">
        <f>IFERROR(VLOOKUP(Tabelle32[[#This Row],[Device ID]],BOM!$B$3:$BQ$35,44,FALSE),"")</f>
        <v>yes</v>
      </c>
      <c r="AO426" s="59" t="str">
        <f>IFERROR(VLOOKUP(Tabelle32[[#This Row],[Device ID]],BOM!$B$3:$BQ$35,45,FALSE),"")</f>
        <v>no</v>
      </c>
      <c r="AP426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26" s="59"/>
      <c r="AR426" s="101"/>
      <c r="AS426" s="101"/>
      <c r="AT426" s="101"/>
      <c r="AU426" s="101"/>
      <c r="AV426" s="101"/>
      <c r="AW426" s="101"/>
      <c r="AX426" s="101"/>
      <c r="AY426" s="101"/>
      <c r="AZ426" s="101"/>
      <c r="BA426" s="101"/>
      <c r="BB426" s="101"/>
      <c r="BC426" s="101"/>
      <c r="BD426" s="101"/>
      <c r="BE426" s="101"/>
      <c r="BF426" s="101"/>
      <c r="BG426" s="101"/>
      <c r="BH426" s="73" t="s">
        <v>199</v>
      </c>
      <c r="BI426" s="30" t="str">
        <f>IF(COUNTA(Tabelle32[[#This Row],[Type:Vid_1080i50]:[Type:Anc_Prot]])&gt;0,"x","")</f>
        <v/>
      </c>
      <c r="BJ42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26" s="59"/>
      <c r="BL426" s="59"/>
      <c r="BM426" s="63"/>
      <c r="BN426" s="63"/>
      <c r="BO426" s="96"/>
      <c r="BP426" s="96"/>
      <c r="BQ426" s="75">
        <f>LEN(Tabelle32[[#This Row],[Label 1
GFX-Unit]])</f>
        <v>0</v>
      </c>
      <c r="BR426" s="63"/>
      <c r="BS426" s="63"/>
      <c r="BT426" s="59"/>
      <c r="BU426" s="59"/>
      <c r="BV426" s="59" t="s">
        <v>211</v>
      </c>
      <c r="BW426" s="59" t="s">
        <v>212</v>
      </c>
      <c r="BX426" s="59" t="s">
        <v>870</v>
      </c>
      <c r="BY426" s="59">
        <v>21</v>
      </c>
    </row>
    <row r="427" spans="1:77" x14ac:dyDescent="0.2">
      <c r="A427" s="58" t="str">
        <f>CONCATENATE(Tabelle32[[#This Row],[Device ID]],".",Tabelle32[[#This Row],[Streamcounter]])</f>
        <v>398.21201</v>
      </c>
      <c r="B42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VGW-103_SDI21_AUDrec_0001</v>
      </c>
      <c r="C427" s="60"/>
      <c r="D427" s="61"/>
      <c r="E427" s="62"/>
      <c r="F427" s="59" t="str">
        <f>IFERROR(VLOOKUP(Tabelle32[[#This Row],[Device ID]],BOM!$B$3:$BQ$35,16,FALSE),"")</f>
        <v>EditPC-07 IN</v>
      </c>
      <c r="G427" s="63">
        <f>VLOOKUP(Tabelle32[[#This Row],[SDI Interface]],BOM!$A$4:$B$35,2,FALSE)</f>
        <v>398</v>
      </c>
      <c r="H427" s="59" t="str">
        <f>BOM!$C$4</f>
        <v>VGW-103</v>
      </c>
      <c r="I427" s="59" t="str">
        <f>IFERROR(VLOOKUP(Tabelle32[[#This Row],[Device ID]],BOM!$B$3:$BQ$35,12,FALSE),"")</f>
        <v>Edit Suite</v>
      </c>
      <c r="J427" s="59" t="str">
        <f>IFERROR(VLOOKUP(Tabelle32[[#This Row],[Device ID]],BOM!$B$3:$BQ$35,13,FALSE),"")</f>
        <v>TC.U1.223 | MDC</v>
      </c>
      <c r="K427" s="59" t="str">
        <f>IFERROR(VLOOKUP(Tabelle32[[#This Row],[Device ID]],BOM!$B$3:$BQ$35,14,FALSE),"")</f>
        <v>Imagine Comunications</v>
      </c>
      <c r="L427" s="59" t="str">
        <f>IFERROR(VLOOKUP(Tabelle32[[#This Row],[Device ID]],BOM!$B$3:$BQ$35,16,FALSE),"")</f>
        <v>EditPC-07 IN</v>
      </c>
      <c r="M427" s="63" t="str">
        <f>IFERROR(VLOOKUP(Tabelle32[[#This Row],[Device ID]],BOM!$B$3:$BQ$35,17,FALSE),"")</f>
        <v>EDIT SUITE 07</v>
      </c>
      <c r="N427" s="59" t="str">
        <f>IFERROR(VLOOKUP(Tabelle32[[#This Row],[Device ID]],BOM!$B$3:$BQ$35,18,FALSE),"")</f>
        <v>TC.03.087 | Edit 07</v>
      </c>
      <c r="O427" s="64"/>
      <c r="P427" s="64">
        <f>IFERROR(VLOOKUP(Tabelle32[[#This Row],[Device ID]],BOM!$B$3:$BO$50,20,FALSE),"")</f>
        <v>0</v>
      </c>
      <c r="Q427" s="64">
        <f>IFERROR(VLOOKUP(Tabelle32[[#This Row],[Device ID]],BOM!$B$3:$BO$50,21,FALSE),"")</f>
        <v>1</v>
      </c>
      <c r="R427" s="64">
        <f>IFERROR(VLOOKUP(Tabelle32[[#This Row],[Device ID]],BOM!$B$3:$BO$50,22,FALSE),"")</f>
        <v>0</v>
      </c>
      <c r="S427" s="64"/>
      <c r="T427" s="64"/>
      <c r="U427" s="59" t="str">
        <f>IFERROR(VLOOKUP(Tabelle32[[#This Row],[Device ID]],BOM!$B$3:$BQ$35,25,FALSE),"")</f>
        <v>Luis/Ivo</v>
      </c>
      <c r="V427" s="59" t="str">
        <f>IFERROR(VLOOKUP(Tabelle32[[#This Row],[Device ID]],BOM!$B$3:$BQ$35,26,FALSE),"")</f>
        <v>tpco-megw-vgw103.rta.st-net.media.int</v>
      </c>
      <c r="W427" s="59" t="str">
        <f>IFERROR(VLOOKUP(Tabelle32[[#This Row],[Device ID]],BOM!$B$3:$BQ$35,27,FALSE),"")</f>
        <v>10.120.236.50</v>
      </c>
      <c r="X427" s="59" t="str">
        <f>IFERROR(VLOOKUP(Tabelle32[[#This Row],[Device ID]],BOM!$B$3:$BQ$35,28,FALSE),"")</f>
        <v>AVCoreA</v>
      </c>
      <c r="Y427" s="59" t="str">
        <f>IFERROR(VLOOKUP(Tabelle32[[#This Row],[Device ID]],BOM!$B$3:$BQ$35,29,FALSE),"")</f>
        <v>5_36_1</v>
      </c>
      <c r="Z427" s="59" t="str">
        <f>IFERROR(VLOOKUP(Tabelle32[[#This Row],[Device ID]],BOM!$B$3:$BQ$35,30,FALSE),"")</f>
        <v>tpco-megw-vgw103.rtb.st-net.media.int</v>
      </c>
      <c r="AA427" s="59" t="str">
        <f>IFERROR(VLOOKUP(Tabelle32[[#This Row],[Device ID]],BOM!$B$3:$BQ$35,31,FALSE),"")</f>
        <v>10.120.236.54</v>
      </c>
      <c r="AB427" s="59" t="str">
        <f>IFERROR(VLOOKUP(Tabelle32[[#This Row],[Device ID]],BOM!$B$3:$BQ$35,32,FALSE),"")</f>
        <v>AVCoreB</v>
      </c>
      <c r="AC427" s="59" t="str">
        <f>IFERROR(VLOOKUP(Tabelle32[[#This Row],[Device ID]],BOM!$B$3:$BQ$35,33,FALSE),"")</f>
        <v>5_36_1</v>
      </c>
      <c r="AD427" s="59" t="str">
        <f>IFERROR(VLOOKUP(Tabelle32[[#This Row],[Device ID]],BOM!$B$3:$BQ$35,34,FALSE),"")</f>
        <v>tpco-megw-vgw103.st-net.media.int</v>
      </c>
      <c r="AE427" s="59" t="str">
        <f>IFERROR(VLOOKUP(Tabelle32[[#This Row],[Device ID]],BOM!$B$3:$BQ$35,35,FALSE),"")</f>
        <v>10.120.67.141</v>
      </c>
      <c r="AF427" s="59">
        <f>IFERROR(VLOOKUP(Tabelle32[[#This Row],[Device ID]],BOM!$B$3:$BQ$35,36,FALSE),"")</f>
        <v>0</v>
      </c>
      <c r="AG427" s="59">
        <f>IFERROR(VLOOKUP(Tabelle32[[#This Row],[Device ID]],BOM!$B$3:$BQ$35,37,FALSE),"")</f>
        <v>0</v>
      </c>
      <c r="AH427" s="59"/>
      <c r="AI427" s="59"/>
      <c r="AJ427" s="59"/>
      <c r="AK427" s="59"/>
      <c r="AL427" s="59" t="str">
        <f>IFERROR(VLOOKUP(Tabelle32[[#This Row],[Device ID]],BOM!$B$3:$BQ$35,42,FALSE),"")</f>
        <v>Imagine Communications SNP</v>
      </c>
      <c r="AM427" s="59" t="str">
        <f>IFERROR(VLOOKUP(Tabelle32[[#This Row],[Device ID]],BOM!$B$3:$BQ$35,43,FALSE),"")</f>
        <v>no</v>
      </c>
      <c r="AN427" s="59" t="str">
        <f>IFERROR(VLOOKUP(Tabelle32[[#This Row],[Device ID]],BOM!$B$3:$BQ$35,44,FALSE),"")</f>
        <v>yes</v>
      </c>
      <c r="AO427" s="59" t="str">
        <f>IFERROR(VLOOKUP(Tabelle32[[#This Row],[Device ID]],BOM!$B$3:$BQ$35,45,FALSE),"")</f>
        <v>no</v>
      </c>
      <c r="AP427" s="59" t="str">
        <f>IFERROR(CONCATENATE(Tabelle32[[#This Row],[Family
GFX-Unit]]," | ",Tabelle32[[#This Row],[Label 1
GFX-Unit]]," | ",Tabelle32[[#This Row],[Attached Device if Gateway]]),"")</f>
        <v>MEDEM Edit07 | In Edit07-01 | EditPC-07 IN</v>
      </c>
      <c r="AQ427" s="59"/>
      <c r="AR427" s="99"/>
      <c r="AS427" s="99"/>
      <c r="AT427" s="99"/>
      <c r="AU427" s="99"/>
      <c r="AV427" s="99"/>
      <c r="AW427" s="99" t="s">
        <v>97</v>
      </c>
      <c r="AX427" s="99" t="s">
        <v>199</v>
      </c>
      <c r="AY427" s="99" t="s">
        <v>199</v>
      </c>
      <c r="AZ427" s="99" t="s">
        <v>97</v>
      </c>
      <c r="BA427" s="99"/>
      <c r="BB427" s="99" t="s">
        <v>97</v>
      </c>
      <c r="BC427" s="99" t="s">
        <v>97</v>
      </c>
      <c r="BD427" s="99"/>
      <c r="BE427" s="99"/>
      <c r="BF427" s="99"/>
      <c r="BG427" s="99"/>
      <c r="BH427" s="73" t="s">
        <v>199</v>
      </c>
      <c r="BI427" s="30" t="str">
        <f>IF(COUNTA(Tabelle32[[#This Row],[Type:Vid_1080i50]:[Type:Anc_Prot]])&gt;0,"x","")</f>
        <v>x</v>
      </c>
      <c r="BJ42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27" s="59"/>
      <c r="BL427" s="59"/>
      <c r="BM427" s="63"/>
      <c r="BN427" s="63"/>
      <c r="BO427" s="97" t="s">
        <v>865</v>
      </c>
      <c r="BP427" s="97" t="s">
        <v>871</v>
      </c>
      <c r="BQ427" s="75">
        <f>LEN(Tabelle32[[#This Row],[Label 1
GFX-Unit]])</f>
        <v>12</v>
      </c>
      <c r="BR427" s="63"/>
      <c r="BS427" s="63"/>
      <c r="BT427" s="59"/>
      <c r="BU427" s="59"/>
      <c r="BV427" s="59" t="s">
        <v>214</v>
      </c>
      <c r="BW427" s="59" t="s">
        <v>215</v>
      </c>
      <c r="BX427" s="59" t="s">
        <v>872</v>
      </c>
      <c r="BY427" s="59">
        <v>21</v>
      </c>
    </row>
    <row r="428" spans="1:77" x14ac:dyDescent="0.2">
      <c r="A428" s="58" t="str">
        <f>CONCATENATE(Tabelle32[[#This Row],[Device ID]],".",Tabelle32[[#This Row],[Streamcounter]])</f>
        <v>398.21202</v>
      </c>
      <c r="B42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VGW-103_SDI21_AUDrec_0002</v>
      </c>
      <c r="C428" s="67"/>
      <c r="D428" s="61"/>
      <c r="E428" s="67"/>
      <c r="F428" s="59" t="str">
        <f>IFERROR(VLOOKUP(Tabelle32[[#This Row],[Device ID]],BOM!$B$3:$BQ$35,16,FALSE),"")</f>
        <v>EditPC-07 IN</v>
      </c>
      <c r="G428" s="63">
        <f>VLOOKUP(Tabelle32[[#This Row],[SDI Interface]],BOM!$A$4:$B$35,2,FALSE)</f>
        <v>398</v>
      </c>
      <c r="H428" s="59" t="str">
        <f>BOM!$C$4</f>
        <v>VGW-103</v>
      </c>
      <c r="I428" s="59" t="str">
        <f>IFERROR(VLOOKUP(Tabelle32[[#This Row],[Device ID]],BOM!$B$3:$BQ$35,12,FALSE),"")</f>
        <v>Edit Suite</v>
      </c>
      <c r="J428" s="59" t="str">
        <f>IFERROR(VLOOKUP(Tabelle32[[#This Row],[Device ID]],BOM!$B$3:$BQ$35,13,FALSE),"")</f>
        <v>TC.U1.223 | MDC</v>
      </c>
      <c r="K428" s="59" t="str">
        <f>IFERROR(VLOOKUP(Tabelle32[[#This Row],[Device ID]],BOM!$B$3:$BQ$35,14,FALSE),"")</f>
        <v>Imagine Comunications</v>
      </c>
      <c r="L428" s="59" t="str">
        <f>IFERROR(VLOOKUP(Tabelle32[[#This Row],[Device ID]],BOM!$B$3:$BQ$35,16,FALSE),"")</f>
        <v>EditPC-07 IN</v>
      </c>
      <c r="M428" s="63" t="str">
        <f>IFERROR(VLOOKUP(Tabelle32[[#This Row],[Device ID]],BOM!$B$3:$BQ$35,17,FALSE),"")</f>
        <v>EDIT SUITE 07</v>
      </c>
      <c r="N428" s="59" t="str">
        <f>IFERROR(VLOOKUP(Tabelle32[[#This Row],[Device ID]],BOM!$B$3:$BQ$35,18,FALSE),"")</f>
        <v>TC.03.087 | Edit 07</v>
      </c>
      <c r="O428" s="64"/>
      <c r="P428" s="64">
        <f>IFERROR(VLOOKUP(Tabelle32[[#This Row],[Device ID]],BOM!$B$3:$BO$50,20,FALSE),"")</f>
        <v>0</v>
      </c>
      <c r="Q428" s="64">
        <f>IFERROR(VLOOKUP(Tabelle32[[#This Row],[Device ID]],BOM!$B$3:$BO$50,21,FALSE),"")</f>
        <v>1</v>
      </c>
      <c r="R428" s="64">
        <f>IFERROR(VLOOKUP(Tabelle32[[#This Row],[Device ID]],BOM!$B$3:$BO$50,22,FALSE),"")</f>
        <v>0</v>
      </c>
      <c r="S428" s="64"/>
      <c r="T428" s="64"/>
      <c r="U428" s="59" t="str">
        <f>IFERROR(VLOOKUP(Tabelle32[[#This Row],[Device ID]],BOM!$B$3:$BQ$35,25,FALSE),"")</f>
        <v>Luis/Ivo</v>
      </c>
      <c r="V428" s="59" t="str">
        <f>IFERROR(VLOOKUP(Tabelle32[[#This Row],[Device ID]],BOM!$B$3:$BQ$35,26,FALSE),"")</f>
        <v>tpco-megw-vgw103.rta.st-net.media.int</v>
      </c>
      <c r="W428" s="59" t="str">
        <f>IFERROR(VLOOKUP(Tabelle32[[#This Row],[Device ID]],BOM!$B$3:$BQ$35,27,FALSE),"")</f>
        <v>10.120.236.50</v>
      </c>
      <c r="X428" s="59" t="str">
        <f>IFERROR(VLOOKUP(Tabelle32[[#This Row],[Device ID]],BOM!$B$3:$BQ$35,28,FALSE),"")</f>
        <v>AVCoreA</v>
      </c>
      <c r="Y428" s="59" t="str">
        <f>IFERROR(VLOOKUP(Tabelle32[[#This Row],[Device ID]],BOM!$B$3:$BQ$35,29,FALSE),"")</f>
        <v>5_36_1</v>
      </c>
      <c r="Z428" s="59" t="str">
        <f>IFERROR(VLOOKUP(Tabelle32[[#This Row],[Device ID]],BOM!$B$3:$BQ$35,30,FALSE),"")</f>
        <v>tpco-megw-vgw103.rtb.st-net.media.int</v>
      </c>
      <c r="AA428" s="59" t="str">
        <f>IFERROR(VLOOKUP(Tabelle32[[#This Row],[Device ID]],BOM!$B$3:$BQ$35,31,FALSE),"")</f>
        <v>10.120.236.54</v>
      </c>
      <c r="AB428" s="59" t="str">
        <f>IFERROR(VLOOKUP(Tabelle32[[#This Row],[Device ID]],BOM!$B$3:$BQ$35,32,FALSE),"")</f>
        <v>AVCoreB</v>
      </c>
      <c r="AC428" s="59" t="str">
        <f>IFERROR(VLOOKUP(Tabelle32[[#This Row],[Device ID]],BOM!$B$3:$BQ$35,33,FALSE),"")</f>
        <v>5_36_1</v>
      </c>
      <c r="AD428" s="59" t="str">
        <f>IFERROR(VLOOKUP(Tabelle32[[#This Row],[Device ID]],BOM!$B$3:$BQ$35,34,FALSE),"")</f>
        <v>tpco-megw-vgw103.st-net.media.int</v>
      </c>
      <c r="AE428" s="59" t="str">
        <f>IFERROR(VLOOKUP(Tabelle32[[#This Row],[Device ID]],BOM!$B$3:$BQ$35,35,FALSE),"")</f>
        <v>10.120.67.141</v>
      </c>
      <c r="AF428" s="59">
        <f>IFERROR(VLOOKUP(Tabelle32[[#This Row],[Device ID]],BOM!$B$3:$BQ$35,36,FALSE),"")</f>
        <v>0</v>
      </c>
      <c r="AG428" s="59">
        <f>IFERROR(VLOOKUP(Tabelle32[[#This Row],[Device ID]],BOM!$B$3:$BQ$35,37,FALSE),"")</f>
        <v>0</v>
      </c>
      <c r="AH428" s="59"/>
      <c r="AI428" s="59"/>
      <c r="AJ428" s="59"/>
      <c r="AK428" s="59"/>
      <c r="AL428" s="59" t="str">
        <f>IFERROR(VLOOKUP(Tabelle32[[#This Row],[Device ID]],BOM!$B$3:$BQ$35,42,FALSE),"")</f>
        <v>Imagine Communications SNP</v>
      </c>
      <c r="AM428" s="59" t="str">
        <f>IFERROR(VLOOKUP(Tabelle32[[#This Row],[Device ID]],BOM!$B$3:$BQ$35,43,FALSE),"")</f>
        <v>no</v>
      </c>
      <c r="AN428" s="59" t="str">
        <f>IFERROR(VLOOKUP(Tabelle32[[#This Row],[Device ID]],BOM!$B$3:$BQ$35,44,FALSE),"")</f>
        <v>yes</v>
      </c>
      <c r="AO428" s="59" t="str">
        <f>IFERROR(VLOOKUP(Tabelle32[[#This Row],[Device ID]],BOM!$B$3:$BQ$35,45,FALSE),"")</f>
        <v>no</v>
      </c>
      <c r="AP428" s="59" t="str">
        <f>IFERROR(CONCATENATE(Tabelle32[[#This Row],[Family
GFX-Unit]]," | ",Tabelle32[[#This Row],[Label 1
GFX-Unit]]," | ",Tabelle32[[#This Row],[Attached Device if Gateway]]),"")</f>
        <v>MEDEM Edit07 | In Edit07-02 | EditPC-07 IN</v>
      </c>
      <c r="AQ428" s="59"/>
      <c r="AR428" s="99"/>
      <c r="AS428" s="99"/>
      <c r="AT428" s="99"/>
      <c r="AU428" s="99"/>
      <c r="AV428" s="99"/>
      <c r="AW428" s="99" t="s">
        <v>97</v>
      </c>
      <c r="AX428" s="99" t="s">
        <v>199</v>
      </c>
      <c r="AY428" s="99" t="s">
        <v>199</v>
      </c>
      <c r="AZ428" s="99" t="s">
        <v>97</v>
      </c>
      <c r="BA428" s="99"/>
      <c r="BB428" s="99" t="s">
        <v>97</v>
      </c>
      <c r="BC428" s="99" t="s">
        <v>97</v>
      </c>
      <c r="BD428" s="99"/>
      <c r="BE428" s="99"/>
      <c r="BF428" s="99"/>
      <c r="BG428" s="99"/>
      <c r="BH428" s="73" t="s">
        <v>199</v>
      </c>
      <c r="BI428" s="30" t="str">
        <f>IF(COUNTA(Tabelle32[[#This Row],[Type:Vid_1080i50]:[Type:Anc_Prot]])&gt;0,"x","")</f>
        <v>x</v>
      </c>
      <c r="BJ42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28" s="59"/>
      <c r="BL428" s="59"/>
      <c r="BM428" s="63"/>
      <c r="BN428" s="63"/>
      <c r="BO428" s="97" t="s">
        <v>865</v>
      </c>
      <c r="BP428" s="97" t="s">
        <v>873</v>
      </c>
      <c r="BQ428" s="75">
        <f>LEN(Tabelle32[[#This Row],[Label 1
GFX-Unit]])</f>
        <v>12</v>
      </c>
      <c r="BR428" s="63"/>
      <c r="BS428" s="63"/>
      <c r="BT428" s="59"/>
      <c r="BU428" s="59"/>
      <c r="BV428" s="59" t="s">
        <v>218</v>
      </c>
      <c r="BW428" s="59" t="s">
        <v>219</v>
      </c>
      <c r="BX428" s="59" t="s">
        <v>874</v>
      </c>
      <c r="BY428" s="59">
        <v>21</v>
      </c>
    </row>
    <row r="429" spans="1:77" x14ac:dyDescent="0.2">
      <c r="A429" s="58" t="str">
        <f>CONCATENATE(Tabelle32[[#This Row],[Device ID]],".",Tabelle32[[#This Row],[Streamcounter]])</f>
        <v>398.21203</v>
      </c>
      <c r="B42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VGW-103_SDI21_AUDrec_0003</v>
      </c>
      <c r="C429" s="67"/>
      <c r="D429" s="61"/>
      <c r="E429" s="67"/>
      <c r="F429" s="59" t="str">
        <f>IFERROR(VLOOKUP(Tabelle32[[#This Row],[Device ID]],BOM!$B$3:$BQ$35,16,FALSE),"")</f>
        <v>EditPC-07 IN</v>
      </c>
      <c r="G429" s="63">
        <f>VLOOKUP(Tabelle32[[#This Row],[SDI Interface]],BOM!$A$4:$B$35,2,FALSE)</f>
        <v>398</v>
      </c>
      <c r="H429" s="59" t="str">
        <f>BOM!$C$4</f>
        <v>VGW-103</v>
      </c>
      <c r="I429" s="59" t="str">
        <f>IFERROR(VLOOKUP(Tabelle32[[#This Row],[Device ID]],BOM!$B$3:$BQ$35,12,FALSE),"")</f>
        <v>Edit Suite</v>
      </c>
      <c r="J429" s="59" t="str">
        <f>IFERROR(VLOOKUP(Tabelle32[[#This Row],[Device ID]],BOM!$B$3:$BQ$35,13,FALSE),"")</f>
        <v>TC.U1.223 | MDC</v>
      </c>
      <c r="K429" s="59" t="str">
        <f>IFERROR(VLOOKUP(Tabelle32[[#This Row],[Device ID]],BOM!$B$3:$BQ$35,14,FALSE),"")</f>
        <v>Imagine Comunications</v>
      </c>
      <c r="L429" s="59" t="str">
        <f>IFERROR(VLOOKUP(Tabelle32[[#This Row],[Device ID]],BOM!$B$3:$BQ$35,16,FALSE),"")</f>
        <v>EditPC-07 IN</v>
      </c>
      <c r="M429" s="63" t="str">
        <f>IFERROR(VLOOKUP(Tabelle32[[#This Row],[Device ID]],BOM!$B$3:$BQ$35,17,FALSE),"")</f>
        <v>EDIT SUITE 07</v>
      </c>
      <c r="N429" s="59" t="str">
        <f>IFERROR(VLOOKUP(Tabelle32[[#This Row],[Device ID]],BOM!$B$3:$BQ$35,18,FALSE),"")</f>
        <v>TC.03.087 | Edit 07</v>
      </c>
      <c r="O429" s="64"/>
      <c r="P429" s="64">
        <f>IFERROR(VLOOKUP(Tabelle32[[#This Row],[Device ID]],BOM!$B$3:$BO$50,20,FALSE),"")</f>
        <v>0</v>
      </c>
      <c r="Q429" s="64">
        <f>IFERROR(VLOOKUP(Tabelle32[[#This Row],[Device ID]],BOM!$B$3:$BO$50,21,FALSE),"")</f>
        <v>1</v>
      </c>
      <c r="R429" s="64">
        <f>IFERROR(VLOOKUP(Tabelle32[[#This Row],[Device ID]],BOM!$B$3:$BO$50,22,FALSE),"")</f>
        <v>0</v>
      </c>
      <c r="S429" s="64"/>
      <c r="T429" s="64"/>
      <c r="U429" s="59" t="str">
        <f>IFERROR(VLOOKUP(Tabelle32[[#This Row],[Device ID]],BOM!$B$3:$BQ$35,25,FALSE),"")</f>
        <v>Luis/Ivo</v>
      </c>
      <c r="V429" s="59" t="str">
        <f>IFERROR(VLOOKUP(Tabelle32[[#This Row],[Device ID]],BOM!$B$3:$BQ$35,26,FALSE),"")</f>
        <v>tpco-megw-vgw103.rta.st-net.media.int</v>
      </c>
      <c r="W429" s="59" t="str">
        <f>IFERROR(VLOOKUP(Tabelle32[[#This Row],[Device ID]],BOM!$B$3:$BQ$35,27,FALSE),"")</f>
        <v>10.120.236.50</v>
      </c>
      <c r="X429" s="59" t="str">
        <f>IFERROR(VLOOKUP(Tabelle32[[#This Row],[Device ID]],BOM!$B$3:$BQ$35,28,FALSE),"")</f>
        <v>AVCoreA</v>
      </c>
      <c r="Y429" s="59" t="str">
        <f>IFERROR(VLOOKUP(Tabelle32[[#This Row],[Device ID]],BOM!$B$3:$BQ$35,29,FALSE),"")</f>
        <v>5_36_1</v>
      </c>
      <c r="Z429" s="59" t="str">
        <f>IFERROR(VLOOKUP(Tabelle32[[#This Row],[Device ID]],BOM!$B$3:$BQ$35,30,FALSE),"")</f>
        <v>tpco-megw-vgw103.rtb.st-net.media.int</v>
      </c>
      <c r="AA429" s="59" t="str">
        <f>IFERROR(VLOOKUP(Tabelle32[[#This Row],[Device ID]],BOM!$B$3:$BQ$35,31,FALSE),"")</f>
        <v>10.120.236.54</v>
      </c>
      <c r="AB429" s="59" t="str">
        <f>IFERROR(VLOOKUP(Tabelle32[[#This Row],[Device ID]],BOM!$B$3:$BQ$35,32,FALSE),"")</f>
        <v>AVCoreB</v>
      </c>
      <c r="AC429" s="59" t="str">
        <f>IFERROR(VLOOKUP(Tabelle32[[#This Row],[Device ID]],BOM!$B$3:$BQ$35,33,FALSE),"")</f>
        <v>5_36_1</v>
      </c>
      <c r="AD429" s="59" t="str">
        <f>IFERROR(VLOOKUP(Tabelle32[[#This Row],[Device ID]],BOM!$B$3:$BQ$35,34,FALSE),"")</f>
        <v>tpco-megw-vgw103.st-net.media.int</v>
      </c>
      <c r="AE429" s="59" t="str">
        <f>IFERROR(VLOOKUP(Tabelle32[[#This Row],[Device ID]],BOM!$B$3:$BQ$35,35,FALSE),"")</f>
        <v>10.120.67.141</v>
      </c>
      <c r="AF429" s="59">
        <f>IFERROR(VLOOKUP(Tabelle32[[#This Row],[Device ID]],BOM!$B$3:$BQ$35,36,FALSE),"")</f>
        <v>0</v>
      </c>
      <c r="AG429" s="59">
        <f>IFERROR(VLOOKUP(Tabelle32[[#This Row],[Device ID]],BOM!$B$3:$BQ$35,37,FALSE),"")</f>
        <v>0</v>
      </c>
      <c r="AH429" s="59"/>
      <c r="AI429" s="59"/>
      <c r="AJ429" s="59"/>
      <c r="AK429" s="59"/>
      <c r="AL429" s="59" t="str">
        <f>IFERROR(VLOOKUP(Tabelle32[[#This Row],[Device ID]],BOM!$B$3:$BQ$35,42,FALSE),"")</f>
        <v>Imagine Communications SNP</v>
      </c>
      <c r="AM429" s="59" t="str">
        <f>IFERROR(VLOOKUP(Tabelle32[[#This Row],[Device ID]],BOM!$B$3:$BQ$35,43,FALSE),"")</f>
        <v>no</v>
      </c>
      <c r="AN429" s="59" t="str">
        <f>IFERROR(VLOOKUP(Tabelle32[[#This Row],[Device ID]],BOM!$B$3:$BQ$35,44,FALSE),"")</f>
        <v>yes</v>
      </c>
      <c r="AO429" s="59" t="str">
        <f>IFERROR(VLOOKUP(Tabelle32[[#This Row],[Device ID]],BOM!$B$3:$BQ$35,45,FALSE),"")</f>
        <v>no</v>
      </c>
      <c r="AP429" s="59" t="str">
        <f>IFERROR(CONCATENATE(Tabelle32[[#This Row],[Family
GFX-Unit]]," | ",Tabelle32[[#This Row],[Label 1
GFX-Unit]]," | ",Tabelle32[[#This Row],[Attached Device if Gateway]]),"")</f>
        <v>MEDEM Edit07 | In Edit07-03 | EditPC-07 IN</v>
      </c>
      <c r="AQ429" s="59"/>
      <c r="AR429" s="99"/>
      <c r="AS429" s="99"/>
      <c r="AT429" s="99"/>
      <c r="AU429" s="99"/>
      <c r="AV429" s="99"/>
      <c r="AW429" s="99" t="s">
        <v>97</v>
      </c>
      <c r="AX429" s="99" t="s">
        <v>199</v>
      </c>
      <c r="AY429" s="99" t="s">
        <v>199</v>
      </c>
      <c r="AZ429" s="99" t="s">
        <v>97</v>
      </c>
      <c r="BA429" s="99"/>
      <c r="BB429" s="99" t="s">
        <v>97</v>
      </c>
      <c r="BC429" s="99" t="s">
        <v>97</v>
      </c>
      <c r="BD429" s="99"/>
      <c r="BE429" s="99"/>
      <c r="BF429" s="99"/>
      <c r="BG429" s="99"/>
      <c r="BH429" s="73" t="s">
        <v>199</v>
      </c>
      <c r="BI429" s="30" t="str">
        <f>IF(COUNTA(Tabelle32[[#This Row],[Type:Vid_1080i50]:[Type:Anc_Prot]])&gt;0,"x","")</f>
        <v>x</v>
      </c>
      <c r="BJ42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29" s="59"/>
      <c r="BL429" s="59"/>
      <c r="BM429" s="63"/>
      <c r="BN429" s="63"/>
      <c r="BO429" s="97" t="s">
        <v>865</v>
      </c>
      <c r="BP429" s="97" t="s">
        <v>875</v>
      </c>
      <c r="BQ429" s="75">
        <f>LEN(Tabelle32[[#This Row],[Label 1
GFX-Unit]])</f>
        <v>12</v>
      </c>
      <c r="BR429" s="63"/>
      <c r="BS429" s="63"/>
      <c r="BT429" s="59"/>
      <c r="BU429" s="59"/>
      <c r="BV429" s="59" t="s">
        <v>222</v>
      </c>
      <c r="BW429" s="59" t="s">
        <v>223</v>
      </c>
      <c r="BX429" s="59" t="s">
        <v>876</v>
      </c>
      <c r="BY429" s="59">
        <v>21</v>
      </c>
    </row>
    <row r="430" spans="1:77" x14ac:dyDescent="0.2">
      <c r="A430" s="58" t="str">
        <f>CONCATENATE(Tabelle32[[#This Row],[Device ID]],".",Tabelle32[[#This Row],[Streamcounter]])</f>
        <v>398.21204</v>
      </c>
      <c r="B43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VGW-103_SDI21_AUDrec_0004</v>
      </c>
      <c r="C430" s="60"/>
      <c r="D430" s="61"/>
      <c r="E430" s="62"/>
      <c r="F430" s="59" t="str">
        <f>IFERROR(VLOOKUP(Tabelle32[[#This Row],[Device ID]],BOM!$B$3:$BQ$35,16,FALSE),"")</f>
        <v>EditPC-07 IN</v>
      </c>
      <c r="G430" s="63">
        <f>VLOOKUP(Tabelle32[[#This Row],[SDI Interface]],BOM!$A$4:$B$35,2,FALSE)</f>
        <v>398</v>
      </c>
      <c r="H430" s="59" t="str">
        <f>BOM!$C$4</f>
        <v>VGW-103</v>
      </c>
      <c r="I430" s="59" t="str">
        <f>IFERROR(VLOOKUP(Tabelle32[[#This Row],[Device ID]],BOM!$B$3:$BQ$35,12,FALSE),"")</f>
        <v>Edit Suite</v>
      </c>
      <c r="J430" s="59" t="str">
        <f>IFERROR(VLOOKUP(Tabelle32[[#This Row],[Device ID]],BOM!$B$3:$BQ$35,13,FALSE),"")</f>
        <v>TC.U1.223 | MDC</v>
      </c>
      <c r="K430" s="59" t="str">
        <f>IFERROR(VLOOKUP(Tabelle32[[#This Row],[Device ID]],BOM!$B$3:$BQ$35,14,FALSE),"")</f>
        <v>Imagine Comunications</v>
      </c>
      <c r="L430" s="59" t="str">
        <f>IFERROR(VLOOKUP(Tabelle32[[#This Row],[Device ID]],BOM!$B$3:$BQ$35,16,FALSE),"")</f>
        <v>EditPC-07 IN</v>
      </c>
      <c r="M430" s="63" t="str">
        <f>IFERROR(VLOOKUP(Tabelle32[[#This Row],[Device ID]],BOM!$B$3:$BQ$35,17,FALSE),"")</f>
        <v>EDIT SUITE 07</v>
      </c>
      <c r="N430" s="59" t="str">
        <f>IFERROR(VLOOKUP(Tabelle32[[#This Row],[Device ID]],BOM!$B$3:$BQ$35,18,FALSE),"")</f>
        <v>TC.03.087 | Edit 07</v>
      </c>
      <c r="O430" s="64"/>
      <c r="P430" s="64">
        <f>IFERROR(VLOOKUP(Tabelle32[[#This Row],[Device ID]],BOM!$B$3:$BO$50,20,FALSE),"")</f>
        <v>0</v>
      </c>
      <c r="Q430" s="64">
        <f>IFERROR(VLOOKUP(Tabelle32[[#This Row],[Device ID]],BOM!$B$3:$BO$50,21,FALSE),"")</f>
        <v>1</v>
      </c>
      <c r="R430" s="64">
        <f>IFERROR(VLOOKUP(Tabelle32[[#This Row],[Device ID]],BOM!$B$3:$BO$50,22,FALSE),"")</f>
        <v>0</v>
      </c>
      <c r="S430" s="64"/>
      <c r="T430" s="64"/>
      <c r="U430" s="59" t="str">
        <f>IFERROR(VLOOKUP(Tabelle32[[#This Row],[Device ID]],BOM!$B$3:$BQ$35,25,FALSE),"")</f>
        <v>Luis/Ivo</v>
      </c>
      <c r="V430" s="59" t="str">
        <f>IFERROR(VLOOKUP(Tabelle32[[#This Row],[Device ID]],BOM!$B$3:$BQ$35,26,FALSE),"")</f>
        <v>tpco-megw-vgw103.rta.st-net.media.int</v>
      </c>
      <c r="W430" s="59" t="str">
        <f>IFERROR(VLOOKUP(Tabelle32[[#This Row],[Device ID]],BOM!$B$3:$BQ$35,27,FALSE),"")</f>
        <v>10.120.236.50</v>
      </c>
      <c r="X430" s="59" t="str">
        <f>IFERROR(VLOOKUP(Tabelle32[[#This Row],[Device ID]],BOM!$B$3:$BQ$35,28,FALSE),"")</f>
        <v>AVCoreA</v>
      </c>
      <c r="Y430" s="59" t="str">
        <f>IFERROR(VLOOKUP(Tabelle32[[#This Row],[Device ID]],BOM!$B$3:$BQ$35,29,FALSE),"")</f>
        <v>5_36_1</v>
      </c>
      <c r="Z430" s="59" t="str">
        <f>IFERROR(VLOOKUP(Tabelle32[[#This Row],[Device ID]],BOM!$B$3:$BQ$35,30,FALSE),"")</f>
        <v>tpco-megw-vgw103.rtb.st-net.media.int</v>
      </c>
      <c r="AA430" s="59" t="str">
        <f>IFERROR(VLOOKUP(Tabelle32[[#This Row],[Device ID]],BOM!$B$3:$BQ$35,31,FALSE),"")</f>
        <v>10.120.236.54</v>
      </c>
      <c r="AB430" s="59" t="str">
        <f>IFERROR(VLOOKUP(Tabelle32[[#This Row],[Device ID]],BOM!$B$3:$BQ$35,32,FALSE),"")</f>
        <v>AVCoreB</v>
      </c>
      <c r="AC430" s="59" t="str">
        <f>IFERROR(VLOOKUP(Tabelle32[[#This Row],[Device ID]],BOM!$B$3:$BQ$35,33,FALSE),"")</f>
        <v>5_36_1</v>
      </c>
      <c r="AD430" s="59" t="str">
        <f>IFERROR(VLOOKUP(Tabelle32[[#This Row],[Device ID]],BOM!$B$3:$BQ$35,34,FALSE),"")</f>
        <v>tpco-megw-vgw103.st-net.media.int</v>
      </c>
      <c r="AE430" s="59" t="str">
        <f>IFERROR(VLOOKUP(Tabelle32[[#This Row],[Device ID]],BOM!$B$3:$BQ$35,35,FALSE),"")</f>
        <v>10.120.67.141</v>
      </c>
      <c r="AF430" s="59">
        <f>IFERROR(VLOOKUP(Tabelle32[[#This Row],[Device ID]],BOM!$B$3:$BQ$35,36,FALSE),"")</f>
        <v>0</v>
      </c>
      <c r="AG430" s="59">
        <f>IFERROR(VLOOKUP(Tabelle32[[#This Row],[Device ID]],BOM!$B$3:$BQ$35,37,FALSE),"")</f>
        <v>0</v>
      </c>
      <c r="AH430" s="59"/>
      <c r="AI430" s="59"/>
      <c r="AJ430" s="59"/>
      <c r="AK430" s="59"/>
      <c r="AL430" s="59" t="str">
        <f>IFERROR(VLOOKUP(Tabelle32[[#This Row],[Device ID]],BOM!$B$3:$BQ$35,42,FALSE),"")</f>
        <v>Imagine Communications SNP</v>
      </c>
      <c r="AM430" s="59" t="str">
        <f>IFERROR(VLOOKUP(Tabelle32[[#This Row],[Device ID]],BOM!$B$3:$BQ$35,43,FALSE),"")</f>
        <v>no</v>
      </c>
      <c r="AN430" s="59" t="str">
        <f>IFERROR(VLOOKUP(Tabelle32[[#This Row],[Device ID]],BOM!$B$3:$BQ$35,44,FALSE),"")</f>
        <v>yes</v>
      </c>
      <c r="AO430" s="59" t="str">
        <f>IFERROR(VLOOKUP(Tabelle32[[#This Row],[Device ID]],BOM!$B$3:$BQ$35,45,FALSE),"")</f>
        <v>no</v>
      </c>
      <c r="AP430" s="59" t="str">
        <f>IFERROR(CONCATENATE(Tabelle32[[#This Row],[Family
GFX-Unit]]," | ",Tabelle32[[#This Row],[Label 1
GFX-Unit]]," | ",Tabelle32[[#This Row],[Attached Device if Gateway]]),"")</f>
        <v>MEDEM Edit07 | In Edit07-04 | EditPC-07 IN</v>
      </c>
      <c r="AQ430" s="59"/>
      <c r="AR430" s="99"/>
      <c r="AS430" s="99"/>
      <c r="AT430" s="99"/>
      <c r="AU430" s="99"/>
      <c r="AV430" s="99"/>
      <c r="AW430" s="99" t="s">
        <v>97</v>
      </c>
      <c r="AX430" s="99" t="s">
        <v>199</v>
      </c>
      <c r="AY430" s="99" t="s">
        <v>199</v>
      </c>
      <c r="AZ430" s="99" t="s">
        <v>97</v>
      </c>
      <c r="BA430" s="99"/>
      <c r="BB430" s="99" t="s">
        <v>97</v>
      </c>
      <c r="BC430" s="99" t="s">
        <v>97</v>
      </c>
      <c r="BD430" s="99"/>
      <c r="BE430" s="99"/>
      <c r="BF430" s="99"/>
      <c r="BG430" s="99"/>
      <c r="BH430" s="73" t="s">
        <v>199</v>
      </c>
      <c r="BI430" s="30" t="str">
        <f>IF(COUNTA(Tabelle32[[#This Row],[Type:Vid_1080i50]:[Type:Anc_Prot]])&gt;0,"x","")</f>
        <v>x</v>
      </c>
      <c r="BJ43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30" s="59"/>
      <c r="BL430" s="59"/>
      <c r="BM430" s="63"/>
      <c r="BN430" s="63"/>
      <c r="BO430" s="97" t="s">
        <v>865</v>
      </c>
      <c r="BP430" s="97" t="s">
        <v>877</v>
      </c>
      <c r="BQ430" s="75">
        <f>LEN(Tabelle32[[#This Row],[Label 1
GFX-Unit]])</f>
        <v>12</v>
      </c>
      <c r="BR430" s="63"/>
      <c r="BS430" s="63"/>
      <c r="BT430" s="59"/>
      <c r="BU430" s="59"/>
      <c r="BV430" s="59" t="s">
        <v>226</v>
      </c>
      <c r="BW430" s="59" t="s">
        <v>227</v>
      </c>
      <c r="BX430" s="59" t="s">
        <v>878</v>
      </c>
      <c r="BY430" s="59">
        <v>21</v>
      </c>
    </row>
    <row r="431" spans="1:77" x14ac:dyDescent="0.2">
      <c r="A431" s="58" t="str">
        <f>CONCATENATE(Tabelle32[[#This Row],[Device ID]],".",Tabelle32[[#This Row],[Streamcounter]])</f>
        <v>398.21205</v>
      </c>
      <c r="B43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VGW-103_SDI21_AUDrec_0005</v>
      </c>
      <c r="C431" s="60"/>
      <c r="D431" s="61"/>
      <c r="E431" s="62"/>
      <c r="F431" s="59" t="str">
        <f>IFERROR(VLOOKUP(Tabelle32[[#This Row],[Device ID]],BOM!$B$3:$BQ$35,16,FALSE),"")</f>
        <v>EditPC-07 IN</v>
      </c>
      <c r="G431" s="63">
        <f>VLOOKUP(Tabelle32[[#This Row],[SDI Interface]],BOM!$A$4:$B$35,2,FALSE)</f>
        <v>398</v>
      </c>
      <c r="H431" s="59" t="str">
        <f>BOM!$C$4</f>
        <v>VGW-103</v>
      </c>
      <c r="I431" s="59" t="str">
        <f>IFERROR(VLOOKUP(Tabelle32[[#This Row],[Device ID]],BOM!$B$3:$BQ$35,12,FALSE),"")</f>
        <v>Edit Suite</v>
      </c>
      <c r="J431" s="59" t="str">
        <f>IFERROR(VLOOKUP(Tabelle32[[#This Row],[Device ID]],BOM!$B$3:$BQ$35,13,FALSE),"")</f>
        <v>TC.U1.223 | MDC</v>
      </c>
      <c r="K431" s="59" t="str">
        <f>IFERROR(VLOOKUP(Tabelle32[[#This Row],[Device ID]],BOM!$B$3:$BQ$35,14,FALSE),"")</f>
        <v>Imagine Comunications</v>
      </c>
      <c r="L431" s="59" t="str">
        <f>IFERROR(VLOOKUP(Tabelle32[[#This Row],[Device ID]],BOM!$B$3:$BQ$35,16,FALSE),"")</f>
        <v>EditPC-07 IN</v>
      </c>
      <c r="M431" s="63" t="str">
        <f>IFERROR(VLOOKUP(Tabelle32[[#This Row],[Device ID]],BOM!$B$3:$BQ$35,17,FALSE),"")</f>
        <v>EDIT SUITE 07</v>
      </c>
      <c r="N431" s="59" t="str">
        <f>IFERROR(VLOOKUP(Tabelle32[[#This Row],[Device ID]],BOM!$B$3:$BQ$35,18,FALSE),"")</f>
        <v>TC.03.087 | Edit 07</v>
      </c>
      <c r="O431" s="64"/>
      <c r="P431" s="64">
        <f>IFERROR(VLOOKUP(Tabelle32[[#This Row],[Device ID]],BOM!$B$3:$BO$50,20,FALSE),"")</f>
        <v>0</v>
      </c>
      <c r="Q431" s="64">
        <f>IFERROR(VLOOKUP(Tabelle32[[#This Row],[Device ID]],BOM!$B$3:$BO$50,21,FALSE),"")</f>
        <v>1</v>
      </c>
      <c r="R431" s="64">
        <f>IFERROR(VLOOKUP(Tabelle32[[#This Row],[Device ID]],BOM!$B$3:$BO$50,22,FALSE),"")</f>
        <v>0</v>
      </c>
      <c r="S431" s="64"/>
      <c r="T431" s="64"/>
      <c r="U431" s="59" t="str">
        <f>IFERROR(VLOOKUP(Tabelle32[[#This Row],[Device ID]],BOM!$B$3:$BQ$35,25,FALSE),"")</f>
        <v>Luis/Ivo</v>
      </c>
      <c r="V431" s="59" t="str">
        <f>IFERROR(VLOOKUP(Tabelle32[[#This Row],[Device ID]],BOM!$B$3:$BQ$35,26,FALSE),"")</f>
        <v>tpco-megw-vgw103.rta.st-net.media.int</v>
      </c>
      <c r="W431" s="59" t="str">
        <f>IFERROR(VLOOKUP(Tabelle32[[#This Row],[Device ID]],BOM!$B$3:$BQ$35,27,FALSE),"")</f>
        <v>10.120.236.50</v>
      </c>
      <c r="X431" s="59" t="str">
        <f>IFERROR(VLOOKUP(Tabelle32[[#This Row],[Device ID]],BOM!$B$3:$BQ$35,28,FALSE),"")</f>
        <v>AVCoreA</v>
      </c>
      <c r="Y431" s="59" t="str">
        <f>IFERROR(VLOOKUP(Tabelle32[[#This Row],[Device ID]],BOM!$B$3:$BQ$35,29,FALSE),"")</f>
        <v>5_36_1</v>
      </c>
      <c r="Z431" s="59" t="str">
        <f>IFERROR(VLOOKUP(Tabelle32[[#This Row],[Device ID]],BOM!$B$3:$BQ$35,30,FALSE),"")</f>
        <v>tpco-megw-vgw103.rtb.st-net.media.int</v>
      </c>
      <c r="AA431" s="59" t="str">
        <f>IFERROR(VLOOKUP(Tabelle32[[#This Row],[Device ID]],BOM!$B$3:$BQ$35,31,FALSE),"")</f>
        <v>10.120.236.54</v>
      </c>
      <c r="AB431" s="59" t="str">
        <f>IFERROR(VLOOKUP(Tabelle32[[#This Row],[Device ID]],BOM!$B$3:$BQ$35,32,FALSE),"")</f>
        <v>AVCoreB</v>
      </c>
      <c r="AC431" s="59" t="str">
        <f>IFERROR(VLOOKUP(Tabelle32[[#This Row],[Device ID]],BOM!$B$3:$BQ$35,33,FALSE),"")</f>
        <v>5_36_1</v>
      </c>
      <c r="AD431" s="59" t="str">
        <f>IFERROR(VLOOKUP(Tabelle32[[#This Row],[Device ID]],BOM!$B$3:$BQ$35,34,FALSE),"")</f>
        <v>tpco-megw-vgw103.st-net.media.int</v>
      </c>
      <c r="AE431" s="59" t="str">
        <f>IFERROR(VLOOKUP(Tabelle32[[#This Row],[Device ID]],BOM!$B$3:$BQ$35,35,FALSE),"")</f>
        <v>10.120.67.141</v>
      </c>
      <c r="AF431" s="59">
        <f>IFERROR(VLOOKUP(Tabelle32[[#This Row],[Device ID]],BOM!$B$3:$BQ$35,36,FALSE),"")</f>
        <v>0</v>
      </c>
      <c r="AG431" s="59">
        <f>IFERROR(VLOOKUP(Tabelle32[[#This Row],[Device ID]],BOM!$B$3:$BQ$35,37,FALSE),"")</f>
        <v>0</v>
      </c>
      <c r="AH431" s="59"/>
      <c r="AI431" s="59"/>
      <c r="AJ431" s="59"/>
      <c r="AK431" s="59"/>
      <c r="AL431" s="59" t="str">
        <f>IFERROR(VLOOKUP(Tabelle32[[#This Row],[Device ID]],BOM!$B$3:$BQ$35,42,FALSE),"")</f>
        <v>Imagine Communications SNP</v>
      </c>
      <c r="AM431" s="59" t="str">
        <f>IFERROR(VLOOKUP(Tabelle32[[#This Row],[Device ID]],BOM!$B$3:$BQ$35,43,FALSE),"")</f>
        <v>no</v>
      </c>
      <c r="AN431" s="59" t="str">
        <f>IFERROR(VLOOKUP(Tabelle32[[#This Row],[Device ID]],BOM!$B$3:$BQ$35,44,FALSE),"")</f>
        <v>yes</v>
      </c>
      <c r="AO431" s="59" t="str">
        <f>IFERROR(VLOOKUP(Tabelle32[[#This Row],[Device ID]],BOM!$B$3:$BQ$35,45,FALSE),"")</f>
        <v>no</v>
      </c>
      <c r="AP431" s="59" t="str">
        <f>IFERROR(CONCATENATE(Tabelle32[[#This Row],[Family
GFX-Unit]]," | ",Tabelle32[[#This Row],[Label 1
GFX-Unit]]," | ",Tabelle32[[#This Row],[Attached Device if Gateway]]),"")</f>
        <v>MEDEM Edit07 | In Edit07-05 | EditPC-07 IN</v>
      </c>
      <c r="AQ431" s="59"/>
      <c r="AR431" s="99"/>
      <c r="AS431" s="99"/>
      <c r="AT431" s="99"/>
      <c r="AU431" s="99"/>
      <c r="AV431" s="99"/>
      <c r="AW431" s="99" t="s">
        <v>97</v>
      </c>
      <c r="AX431" s="99" t="s">
        <v>199</v>
      </c>
      <c r="AY431" s="99" t="s">
        <v>199</v>
      </c>
      <c r="AZ431" s="99" t="s">
        <v>97</v>
      </c>
      <c r="BA431" s="99"/>
      <c r="BB431" s="99" t="s">
        <v>97</v>
      </c>
      <c r="BC431" s="99" t="s">
        <v>97</v>
      </c>
      <c r="BD431" s="99"/>
      <c r="BE431" s="99"/>
      <c r="BF431" s="99"/>
      <c r="BG431" s="99"/>
      <c r="BH431" s="73" t="s">
        <v>199</v>
      </c>
      <c r="BI431" s="30" t="str">
        <f>IF(COUNTA(Tabelle32[[#This Row],[Type:Vid_1080i50]:[Type:Anc_Prot]])&gt;0,"x","")</f>
        <v>x</v>
      </c>
      <c r="BJ43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31" s="59"/>
      <c r="BL431" s="59"/>
      <c r="BM431" s="63"/>
      <c r="BN431" s="63"/>
      <c r="BO431" s="97" t="s">
        <v>865</v>
      </c>
      <c r="BP431" s="97" t="s">
        <v>879</v>
      </c>
      <c r="BQ431" s="75">
        <f>LEN(Tabelle32[[#This Row],[Label 1
GFX-Unit]])</f>
        <v>12</v>
      </c>
      <c r="BR431" s="63"/>
      <c r="BS431" s="63"/>
      <c r="BT431" s="59"/>
      <c r="BU431" s="59"/>
      <c r="BV431" s="59" t="s">
        <v>230</v>
      </c>
      <c r="BW431" s="59" t="s">
        <v>231</v>
      </c>
      <c r="BX431" s="59" t="s">
        <v>880</v>
      </c>
      <c r="BY431" s="59">
        <v>21</v>
      </c>
    </row>
    <row r="432" spans="1:77" x14ac:dyDescent="0.2">
      <c r="A432" s="58" t="str">
        <f>CONCATENATE(Tabelle32[[#This Row],[Device ID]],".",Tabelle32[[#This Row],[Streamcounter]])</f>
        <v>398.21206</v>
      </c>
      <c r="B43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VGW-103_SDI21_AUDrec_0006</v>
      </c>
      <c r="C432" s="60"/>
      <c r="D432" s="61"/>
      <c r="E432" s="62"/>
      <c r="F432" s="59" t="str">
        <f>IFERROR(VLOOKUP(Tabelle32[[#This Row],[Device ID]],BOM!$B$3:$BQ$35,16,FALSE),"")</f>
        <v>EditPC-07 IN</v>
      </c>
      <c r="G432" s="63">
        <f>VLOOKUP(Tabelle32[[#This Row],[SDI Interface]],BOM!$A$4:$B$35,2,FALSE)</f>
        <v>398</v>
      </c>
      <c r="H432" s="59" t="str">
        <f>BOM!$C$4</f>
        <v>VGW-103</v>
      </c>
      <c r="I432" s="59" t="str">
        <f>IFERROR(VLOOKUP(Tabelle32[[#This Row],[Device ID]],BOM!$B$3:$BQ$35,12,FALSE),"")</f>
        <v>Edit Suite</v>
      </c>
      <c r="J432" s="59" t="str">
        <f>IFERROR(VLOOKUP(Tabelle32[[#This Row],[Device ID]],BOM!$B$3:$BQ$35,13,FALSE),"")</f>
        <v>TC.U1.223 | MDC</v>
      </c>
      <c r="K432" s="59" t="str">
        <f>IFERROR(VLOOKUP(Tabelle32[[#This Row],[Device ID]],BOM!$B$3:$BQ$35,14,FALSE),"")</f>
        <v>Imagine Comunications</v>
      </c>
      <c r="L432" s="59" t="str">
        <f>IFERROR(VLOOKUP(Tabelle32[[#This Row],[Device ID]],BOM!$B$3:$BQ$35,16,FALSE),"")</f>
        <v>EditPC-07 IN</v>
      </c>
      <c r="M432" s="63" t="str">
        <f>IFERROR(VLOOKUP(Tabelle32[[#This Row],[Device ID]],BOM!$B$3:$BQ$35,17,FALSE),"")</f>
        <v>EDIT SUITE 07</v>
      </c>
      <c r="N432" s="59" t="str">
        <f>IFERROR(VLOOKUP(Tabelle32[[#This Row],[Device ID]],BOM!$B$3:$BQ$35,18,FALSE),"")</f>
        <v>TC.03.087 | Edit 07</v>
      </c>
      <c r="O432" s="64"/>
      <c r="P432" s="64">
        <f>IFERROR(VLOOKUP(Tabelle32[[#This Row],[Device ID]],BOM!$B$3:$BO$50,20,FALSE),"")</f>
        <v>0</v>
      </c>
      <c r="Q432" s="64">
        <f>IFERROR(VLOOKUP(Tabelle32[[#This Row],[Device ID]],BOM!$B$3:$BO$50,21,FALSE),"")</f>
        <v>1</v>
      </c>
      <c r="R432" s="64">
        <f>IFERROR(VLOOKUP(Tabelle32[[#This Row],[Device ID]],BOM!$B$3:$BO$50,22,FALSE),"")</f>
        <v>0</v>
      </c>
      <c r="S432" s="64"/>
      <c r="T432" s="64"/>
      <c r="U432" s="59" t="str">
        <f>IFERROR(VLOOKUP(Tabelle32[[#This Row],[Device ID]],BOM!$B$3:$BQ$35,25,FALSE),"")</f>
        <v>Luis/Ivo</v>
      </c>
      <c r="V432" s="59" t="str">
        <f>IFERROR(VLOOKUP(Tabelle32[[#This Row],[Device ID]],BOM!$B$3:$BQ$35,26,FALSE),"")</f>
        <v>tpco-megw-vgw103.rta.st-net.media.int</v>
      </c>
      <c r="W432" s="59" t="str">
        <f>IFERROR(VLOOKUP(Tabelle32[[#This Row],[Device ID]],BOM!$B$3:$BQ$35,27,FALSE),"")</f>
        <v>10.120.236.50</v>
      </c>
      <c r="X432" s="59" t="str">
        <f>IFERROR(VLOOKUP(Tabelle32[[#This Row],[Device ID]],BOM!$B$3:$BQ$35,28,FALSE),"")</f>
        <v>AVCoreA</v>
      </c>
      <c r="Y432" s="59" t="str">
        <f>IFERROR(VLOOKUP(Tabelle32[[#This Row],[Device ID]],BOM!$B$3:$BQ$35,29,FALSE),"")</f>
        <v>5_36_1</v>
      </c>
      <c r="Z432" s="59" t="str">
        <f>IFERROR(VLOOKUP(Tabelle32[[#This Row],[Device ID]],BOM!$B$3:$BQ$35,30,FALSE),"")</f>
        <v>tpco-megw-vgw103.rtb.st-net.media.int</v>
      </c>
      <c r="AA432" s="59" t="str">
        <f>IFERROR(VLOOKUP(Tabelle32[[#This Row],[Device ID]],BOM!$B$3:$BQ$35,31,FALSE),"")</f>
        <v>10.120.236.54</v>
      </c>
      <c r="AB432" s="59" t="str">
        <f>IFERROR(VLOOKUP(Tabelle32[[#This Row],[Device ID]],BOM!$B$3:$BQ$35,32,FALSE),"")</f>
        <v>AVCoreB</v>
      </c>
      <c r="AC432" s="59" t="str">
        <f>IFERROR(VLOOKUP(Tabelle32[[#This Row],[Device ID]],BOM!$B$3:$BQ$35,33,FALSE),"")</f>
        <v>5_36_1</v>
      </c>
      <c r="AD432" s="59" t="str">
        <f>IFERROR(VLOOKUP(Tabelle32[[#This Row],[Device ID]],BOM!$B$3:$BQ$35,34,FALSE),"")</f>
        <v>tpco-megw-vgw103.st-net.media.int</v>
      </c>
      <c r="AE432" s="59" t="str">
        <f>IFERROR(VLOOKUP(Tabelle32[[#This Row],[Device ID]],BOM!$B$3:$BQ$35,35,FALSE),"")</f>
        <v>10.120.67.141</v>
      </c>
      <c r="AF432" s="59">
        <f>IFERROR(VLOOKUP(Tabelle32[[#This Row],[Device ID]],BOM!$B$3:$BQ$35,36,FALSE),"")</f>
        <v>0</v>
      </c>
      <c r="AG432" s="59">
        <f>IFERROR(VLOOKUP(Tabelle32[[#This Row],[Device ID]],BOM!$B$3:$BQ$35,37,FALSE),"")</f>
        <v>0</v>
      </c>
      <c r="AH432" s="59"/>
      <c r="AI432" s="59"/>
      <c r="AJ432" s="59"/>
      <c r="AK432" s="59"/>
      <c r="AL432" s="59" t="str">
        <f>IFERROR(VLOOKUP(Tabelle32[[#This Row],[Device ID]],BOM!$B$3:$BQ$35,42,FALSE),"")</f>
        <v>Imagine Communications SNP</v>
      </c>
      <c r="AM432" s="59" t="str">
        <f>IFERROR(VLOOKUP(Tabelle32[[#This Row],[Device ID]],BOM!$B$3:$BQ$35,43,FALSE),"")</f>
        <v>no</v>
      </c>
      <c r="AN432" s="59" t="str">
        <f>IFERROR(VLOOKUP(Tabelle32[[#This Row],[Device ID]],BOM!$B$3:$BQ$35,44,FALSE),"")</f>
        <v>yes</v>
      </c>
      <c r="AO432" s="59" t="str">
        <f>IFERROR(VLOOKUP(Tabelle32[[#This Row],[Device ID]],BOM!$B$3:$BQ$35,45,FALSE),"")</f>
        <v>no</v>
      </c>
      <c r="AP432" s="59" t="str">
        <f>IFERROR(CONCATENATE(Tabelle32[[#This Row],[Family
GFX-Unit]]," | ",Tabelle32[[#This Row],[Label 1
GFX-Unit]]," | ",Tabelle32[[#This Row],[Attached Device if Gateway]]),"")</f>
        <v>MEDEM Edit07 | In Edit07-06 | EditPC-07 IN</v>
      </c>
      <c r="AQ432" s="59"/>
      <c r="AR432" s="99"/>
      <c r="AS432" s="99"/>
      <c r="AT432" s="99"/>
      <c r="AU432" s="99"/>
      <c r="AV432" s="99"/>
      <c r="AW432" s="99" t="s">
        <v>97</v>
      </c>
      <c r="AX432" s="99" t="s">
        <v>199</v>
      </c>
      <c r="AY432" s="99" t="s">
        <v>199</v>
      </c>
      <c r="AZ432" s="99" t="s">
        <v>97</v>
      </c>
      <c r="BA432" s="99"/>
      <c r="BB432" s="99" t="s">
        <v>97</v>
      </c>
      <c r="BC432" s="99" t="s">
        <v>97</v>
      </c>
      <c r="BD432" s="99"/>
      <c r="BE432" s="99"/>
      <c r="BF432" s="99"/>
      <c r="BG432" s="99"/>
      <c r="BH432" s="73" t="s">
        <v>199</v>
      </c>
      <c r="BI432" s="30" t="str">
        <f>IF(COUNTA(Tabelle32[[#This Row],[Type:Vid_1080i50]:[Type:Anc_Prot]])&gt;0,"x","")</f>
        <v>x</v>
      </c>
      <c r="BJ43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32" s="59"/>
      <c r="BL432" s="59"/>
      <c r="BM432" s="63"/>
      <c r="BN432" s="63"/>
      <c r="BO432" s="97" t="s">
        <v>865</v>
      </c>
      <c r="BP432" s="97" t="s">
        <v>881</v>
      </c>
      <c r="BQ432" s="75">
        <f>LEN(Tabelle32[[#This Row],[Label 1
GFX-Unit]])</f>
        <v>12</v>
      </c>
      <c r="BR432" s="63"/>
      <c r="BS432" s="63"/>
      <c r="BT432" s="59"/>
      <c r="BU432" s="59"/>
      <c r="BV432" s="59" t="s">
        <v>234</v>
      </c>
      <c r="BW432" s="59" t="s">
        <v>235</v>
      </c>
      <c r="BX432" s="59" t="s">
        <v>882</v>
      </c>
      <c r="BY432" s="59">
        <v>21</v>
      </c>
    </row>
    <row r="433" spans="1:77" x14ac:dyDescent="0.2">
      <c r="A433" s="58" t="str">
        <f>CONCATENATE(Tabelle32[[#This Row],[Device ID]],".",Tabelle32[[#This Row],[Streamcounter]])</f>
        <v>398.21207</v>
      </c>
      <c r="B43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VGW-103_SDI21_AUDrec_0007</v>
      </c>
      <c r="C433" s="60"/>
      <c r="D433" s="61"/>
      <c r="E433" s="62"/>
      <c r="F433" s="59" t="str">
        <f>IFERROR(VLOOKUP(Tabelle32[[#This Row],[Device ID]],BOM!$B$3:$BQ$35,16,FALSE),"")</f>
        <v>EditPC-07 IN</v>
      </c>
      <c r="G433" s="63">
        <f>VLOOKUP(Tabelle32[[#This Row],[SDI Interface]],BOM!$A$4:$B$35,2,FALSE)</f>
        <v>398</v>
      </c>
      <c r="H433" s="59" t="str">
        <f>BOM!$C$4</f>
        <v>VGW-103</v>
      </c>
      <c r="I433" s="59" t="str">
        <f>IFERROR(VLOOKUP(Tabelle32[[#This Row],[Device ID]],BOM!$B$3:$BQ$35,12,FALSE),"")</f>
        <v>Edit Suite</v>
      </c>
      <c r="J433" s="59" t="str">
        <f>IFERROR(VLOOKUP(Tabelle32[[#This Row],[Device ID]],BOM!$B$3:$BQ$35,13,FALSE),"")</f>
        <v>TC.U1.223 | MDC</v>
      </c>
      <c r="K433" s="59" t="str">
        <f>IFERROR(VLOOKUP(Tabelle32[[#This Row],[Device ID]],BOM!$B$3:$BQ$35,14,FALSE),"")</f>
        <v>Imagine Comunications</v>
      </c>
      <c r="L433" s="59" t="str">
        <f>IFERROR(VLOOKUP(Tabelle32[[#This Row],[Device ID]],BOM!$B$3:$BQ$35,16,FALSE),"")</f>
        <v>EditPC-07 IN</v>
      </c>
      <c r="M433" s="63" t="str">
        <f>IFERROR(VLOOKUP(Tabelle32[[#This Row],[Device ID]],BOM!$B$3:$BQ$35,17,FALSE),"")</f>
        <v>EDIT SUITE 07</v>
      </c>
      <c r="N433" s="59" t="str">
        <f>IFERROR(VLOOKUP(Tabelle32[[#This Row],[Device ID]],BOM!$B$3:$BQ$35,18,FALSE),"")</f>
        <v>TC.03.087 | Edit 07</v>
      </c>
      <c r="O433" s="64"/>
      <c r="P433" s="64">
        <f>IFERROR(VLOOKUP(Tabelle32[[#This Row],[Device ID]],BOM!$B$3:$BO$50,20,FALSE),"")</f>
        <v>0</v>
      </c>
      <c r="Q433" s="64">
        <f>IFERROR(VLOOKUP(Tabelle32[[#This Row],[Device ID]],BOM!$B$3:$BO$50,21,FALSE),"")</f>
        <v>1</v>
      </c>
      <c r="R433" s="64">
        <f>IFERROR(VLOOKUP(Tabelle32[[#This Row],[Device ID]],BOM!$B$3:$BO$50,22,FALSE),"")</f>
        <v>0</v>
      </c>
      <c r="S433" s="64"/>
      <c r="T433" s="64"/>
      <c r="U433" s="59" t="str">
        <f>IFERROR(VLOOKUP(Tabelle32[[#This Row],[Device ID]],BOM!$B$3:$BQ$35,25,FALSE),"")</f>
        <v>Luis/Ivo</v>
      </c>
      <c r="V433" s="59" t="str">
        <f>IFERROR(VLOOKUP(Tabelle32[[#This Row],[Device ID]],BOM!$B$3:$BQ$35,26,FALSE),"")</f>
        <v>tpco-megw-vgw103.rta.st-net.media.int</v>
      </c>
      <c r="W433" s="59" t="str">
        <f>IFERROR(VLOOKUP(Tabelle32[[#This Row],[Device ID]],BOM!$B$3:$BQ$35,27,FALSE),"")</f>
        <v>10.120.236.50</v>
      </c>
      <c r="X433" s="59" t="str">
        <f>IFERROR(VLOOKUP(Tabelle32[[#This Row],[Device ID]],BOM!$B$3:$BQ$35,28,FALSE),"")</f>
        <v>AVCoreA</v>
      </c>
      <c r="Y433" s="59" t="str">
        <f>IFERROR(VLOOKUP(Tabelle32[[#This Row],[Device ID]],BOM!$B$3:$BQ$35,29,FALSE),"")</f>
        <v>5_36_1</v>
      </c>
      <c r="Z433" s="59" t="str">
        <f>IFERROR(VLOOKUP(Tabelle32[[#This Row],[Device ID]],BOM!$B$3:$BQ$35,30,FALSE),"")</f>
        <v>tpco-megw-vgw103.rtb.st-net.media.int</v>
      </c>
      <c r="AA433" s="59" t="str">
        <f>IFERROR(VLOOKUP(Tabelle32[[#This Row],[Device ID]],BOM!$B$3:$BQ$35,31,FALSE),"")</f>
        <v>10.120.236.54</v>
      </c>
      <c r="AB433" s="59" t="str">
        <f>IFERROR(VLOOKUP(Tabelle32[[#This Row],[Device ID]],BOM!$B$3:$BQ$35,32,FALSE),"")</f>
        <v>AVCoreB</v>
      </c>
      <c r="AC433" s="59" t="str">
        <f>IFERROR(VLOOKUP(Tabelle32[[#This Row],[Device ID]],BOM!$B$3:$BQ$35,33,FALSE),"")</f>
        <v>5_36_1</v>
      </c>
      <c r="AD433" s="59" t="str">
        <f>IFERROR(VLOOKUP(Tabelle32[[#This Row],[Device ID]],BOM!$B$3:$BQ$35,34,FALSE),"")</f>
        <v>tpco-megw-vgw103.st-net.media.int</v>
      </c>
      <c r="AE433" s="59" t="str">
        <f>IFERROR(VLOOKUP(Tabelle32[[#This Row],[Device ID]],BOM!$B$3:$BQ$35,35,FALSE),"")</f>
        <v>10.120.67.141</v>
      </c>
      <c r="AF433" s="59">
        <f>IFERROR(VLOOKUP(Tabelle32[[#This Row],[Device ID]],BOM!$B$3:$BQ$35,36,FALSE),"")</f>
        <v>0</v>
      </c>
      <c r="AG433" s="59">
        <f>IFERROR(VLOOKUP(Tabelle32[[#This Row],[Device ID]],BOM!$B$3:$BQ$35,37,FALSE),"")</f>
        <v>0</v>
      </c>
      <c r="AH433" s="59"/>
      <c r="AI433" s="59"/>
      <c r="AJ433" s="59"/>
      <c r="AK433" s="59"/>
      <c r="AL433" s="59" t="str">
        <f>IFERROR(VLOOKUP(Tabelle32[[#This Row],[Device ID]],BOM!$B$3:$BQ$35,42,FALSE),"")</f>
        <v>Imagine Communications SNP</v>
      </c>
      <c r="AM433" s="59" t="str">
        <f>IFERROR(VLOOKUP(Tabelle32[[#This Row],[Device ID]],BOM!$B$3:$BQ$35,43,FALSE),"")</f>
        <v>no</v>
      </c>
      <c r="AN433" s="59" t="str">
        <f>IFERROR(VLOOKUP(Tabelle32[[#This Row],[Device ID]],BOM!$B$3:$BQ$35,44,FALSE),"")</f>
        <v>yes</v>
      </c>
      <c r="AO433" s="59" t="str">
        <f>IFERROR(VLOOKUP(Tabelle32[[#This Row],[Device ID]],BOM!$B$3:$BQ$35,45,FALSE),"")</f>
        <v>no</v>
      </c>
      <c r="AP433" s="59" t="str">
        <f>IFERROR(CONCATENATE(Tabelle32[[#This Row],[Family
GFX-Unit]]," | ",Tabelle32[[#This Row],[Label 1
GFX-Unit]]," | ",Tabelle32[[#This Row],[Attached Device if Gateway]]),"")</f>
        <v>MEDEM Edit07 | In Edit07-07 | EditPC-07 IN</v>
      </c>
      <c r="AQ433" s="59"/>
      <c r="AR433" s="96"/>
      <c r="AS433" s="96"/>
      <c r="AT433" s="96"/>
      <c r="AU433" s="96"/>
      <c r="AV433" s="96"/>
      <c r="AW433" s="96" t="s">
        <v>97</v>
      </c>
      <c r="AX433" s="96" t="s">
        <v>199</v>
      </c>
      <c r="AY433" s="96" t="s">
        <v>199</v>
      </c>
      <c r="AZ433" s="96" t="s">
        <v>97</v>
      </c>
      <c r="BA433" s="96"/>
      <c r="BB433" s="96" t="s">
        <v>97</v>
      </c>
      <c r="BC433" s="96" t="s">
        <v>97</v>
      </c>
      <c r="BD433" s="96"/>
      <c r="BE433" s="96"/>
      <c r="BF433" s="96"/>
      <c r="BG433" s="96"/>
      <c r="BH433" s="73" t="s">
        <v>199</v>
      </c>
      <c r="BI433" s="30" t="str">
        <f>IF(COUNTA(Tabelle32[[#This Row],[Type:Vid_1080i50]:[Type:Anc_Prot]])&gt;0,"x","")</f>
        <v>x</v>
      </c>
      <c r="BJ43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33" s="59"/>
      <c r="BL433" s="59"/>
      <c r="BM433" s="63"/>
      <c r="BN433" s="63"/>
      <c r="BO433" s="97" t="s">
        <v>865</v>
      </c>
      <c r="BP433" s="97" t="s">
        <v>883</v>
      </c>
      <c r="BQ433" s="75">
        <f>LEN(Tabelle32[[#This Row],[Label 1
GFX-Unit]])</f>
        <v>12</v>
      </c>
      <c r="BR433" s="63"/>
      <c r="BS433" s="63"/>
      <c r="BT433" s="59"/>
      <c r="BU433" s="59"/>
      <c r="BV433" s="59" t="s">
        <v>238</v>
      </c>
      <c r="BW433" s="59" t="s">
        <v>239</v>
      </c>
      <c r="BX433" s="59" t="s">
        <v>884</v>
      </c>
      <c r="BY433" s="59">
        <v>21</v>
      </c>
    </row>
    <row r="434" spans="1:77" x14ac:dyDescent="0.2">
      <c r="A434" s="58" t="str">
        <f>CONCATENATE(Tabelle32[[#This Row],[Device ID]],".",Tabelle32[[#This Row],[Streamcounter]])</f>
        <v>398.21208</v>
      </c>
      <c r="B43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VGW-103_SDI21_AUDrec_0008</v>
      </c>
      <c r="C434" s="60"/>
      <c r="D434" s="61"/>
      <c r="E434" s="62"/>
      <c r="F434" s="59" t="str">
        <f>IFERROR(VLOOKUP(Tabelle32[[#This Row],[Device ID]],BOM!$B$3:$BQ$35,16,FALSE),"")</f>
        <v>EditPC-07 IN</v>
      </c>
      <c r="G434" s="63">
        <f>VLOOKUP(Tabelle32[[#This Row],[SDI Interface]],BOM!$A$4:$B$35,2,FALSE)</f>
        <v>398</v>
      </c>
      <c r="H434" s="59" t="str">
        <f>BOM!$C$4</f>
        <v>VGW-103</v>
      </c>
      <c r="I434" s="59" t="str">
        <f>IFERROR(VLOOKUP(Tabelle32[[#This Row],[Device ID]],BOM!$B$3:$BQ$35,12,FALSE),"")</f>
        <v>Edit Suite</v>
      </c>
      <c r="J434" s="59" t="str">
        <f>IFERROR(VLOOKUP(Tabelle32[[#This Row],[Device ID]],BOM!$B$3:$BQ$35,13,FALSE),"")</f>
        <v>TC.U1.223 | MDC</v>
      </c>
      <c r="K434" s="59" t="str">
        <f>IFERROR(VLOOKUP(Tabelle32[[#This Row],[Device ID]],BOM!$B$3:$BQ$35,14,FALSE),"")</f>
        <v>Imagine Comunications</v>
      </c>
      <c r="L434" s="59" t="str">
        <f>IFERROR(VLOOKUP(Tabelle32[[#This Row],[Device ID]],BOM!$B$3:$BQ$35,16,FALSE),"")</f>
        <v>EditPC-07 IN</v>
      </c>
      <c r="M434" s="63" t="str">
        <f>IFERROR(VLOOKUP(Tabelle32[[#This Row],[Device ID]],BOM!$B$3:$BQ$35,17,FALSE),"")</f>
        <v>EDIT SUITE 07</v>
      </c>
      <c r="N434" s="59" t="str">
        <f>IFERROR(VLOOKUP(Tabelle32[[#This Row],[Device ID]],BOM!$B$3:$BQ$35,18,FALSE),"")</f>
        <v>TC.03.087 | Edit 07</v>
      </c>
      <c r="O434" s="64"/>
      <c r="P434" s="64">
        <f>IFERROR(VLOOKUP(Tabelle32[[#This Row],[Device ID]],BOM!$B$3:$BO$50,20,FALSE),"")</f>
        <v>0</v>
      </c>
      <c r="Q434" s="64">
        <f>IFERROR(VLOOKUP(Tabelle32[[#This Row],[Device ID]],BOM!$B$3:$BO$50,21,FALSE),"")</f>
        <v>1</v>
      </c>
      <c r="R434" s="64">
        <f>IFERROR(VLOOKUP(Tabelle32[[#This Row],[Device ID]],BOM!$B$3:$BO$50,22,FALSE),"")</f>
        <v>0</v>
      </c>
      <c r="S434" s="64"/>
      <c r="T434" s="64"/>
      <c r="U434" s="59" t="str">
        <f>IFERROR(VLOOKUP(Tabelle32[[#This Row],[Device ID]],BOM!$B$3:$BQ$35,25,FALSE),"")</f>
        <v>Luis/Ivo</v>
      </c>
      <c r="V434" s="59" t="str">
        <f>IFERROR(VLOOKUP(Tabelle32[[#This Row],[Device ID]],BOM!$B$3:$BQ$35,26,FALSE),"")</f>
        <v>tpco-megw-vgw103.rta.st-net.media.int</v>
      </c>
      <c r="W434" s="59" t="str">
        <f>IFERROR(VLOOKUP(Tabelle32[[#This Row],[Device ID]],BOM!$B$3:$BQ$35,27,FALSE),"")</f>
        <v>10.120.236.50</v>
      </c>
      <c r="X434" s="59" t="str">
        <f>IFERROR(VLOOKUP(Tabelle32[[#This Row],[Device ID]],BOM!$B$3:$BQ$35,28,FALSE),"")</f>
        <v>AVCoreA</v>
      </c>
      <c r="Y434" s="59" t="str">
        <f>IFERROR(VLOOKUP(Tabelle32[[#This Row],[Device ID]],BOM!$B$3:$BQ$35,29,FALSE),"")</f>
        <v>5_36_1</v>
      </c>
      <c r="Z434" s="59" t="str">
        <f>IFERROR(VLOOKUP(Tabelle32[[#This Row],[Device ID]],BOM!$B$3:$BQ$35,30,FALSE),"")</f>
        <v>tpco-megw-vgw103.rtb.st-net.media.int</v>
      </c>
      <c r="AA434" s="59" t="str">
        <f>IFERROR(VLOOKUP(Tabelle32[[#This Row],[Device ID]],BOM!$B$3:$BQ$35,31,FALSE),"")</f>
        <v>10.120.236.54</v>
      </c>
      <c r="AB434" s="59" t="str">
        <f>IFERROR(VLOOKUP(Tabelle32[[#This Row],[Device ID]],BOM!$B$3:$BQ$35,32,FALSE),"")</f>
        <v>AVCoreB</v>
      </c>
      <c r="AC434" s="59" t="str">
        <f>IFERROR(VLOOKUP(Tabelle32[[#This Row],[Device ID]],BOM!$B$3:$BQ$35,33,FALSE),"")</f>
        <v>5_36_1</v>
      </c>
      <c r="AD434" s="59" t="str">
        <f>IFERROR(VLOOKUP(Tabelle32[[#This Row],[Device ID]],BOM!$B$3:$BQ$35,34,FALSE),"")</f>
        <v>tpco-megw-vgw103.st-net.media.int</v>
      </c>
      <c r="AE434" s="59" t="str">
        <f>IFERROR(VLOOKUP(Tabelle32[[#This Row],[Device ID]],BOM!$B$3:$BQ$35,35,FALSE),"")</f>
        <v>10.120.67.141</v>
      </c>
      <c r="AF434" s="59">
        <f>IFERROR(VLOOKUP(Tabelle32[[#This Row],[Device ID]],BOM!$B$3:$BQ$35,36,FALSE),"")</f>
        <v>0</v>
      </c>
      <c r="AG434" s="59">
        <f>IFERROR(VLOOKUP(Tabelle32[[#This Row],[Device ID]],BOM!$B$3:$BQ$35,37,FALSE),"")</f>
        <v>0</v>
      </c>
      <c r="AH434" s="59"/>
      <c r="AI434" s="59"/>
      <c r="AJ434" s="59"/>
      <c r="AK434" s="59"/>
      <c r="AL434" s="59" t="str">
        <f>IFERROR(VLOOKUP(Tabelle32[[#This Row],[Device ID]],BOM!$B$3:$BQ$35,42,FALSE),"")</f>
        <v>Imagine Communications SNP</v>
      </c>
      <c r="AM434" s="59" t="str">
        <f>IFERROR(VLOOKUP(Tabelle32[[#This Row],[Device ID]],BOM!$B$3:$BQ$35,43,FALSE),"")</f>
        <v>no</v>
      </c>
      <c r="AN434" s="59" t="str">
        <f>IFERROR(VLOOKUP(Tabelle32[[#This Row],[Device ID]],BOM!$B$3:$BQ$35,44,FALSE),"")</f>
        <v>yes</v>
      </c>
      <c r="AO434" s="59" t="str">
        <f>IFERROR(VLOOKUP(Tabelle32[[#This Row],[Device ID]],BOM!$B$3:$BQ$35,45,FALSE),"")</f>
        <v>no</v>
      </c>
      <c r="AP434" s="59" t="str">
        <f>IFERROR(CONCATENATE(Tabelle32[[#This Row],[Family
GFX-Unit]]," | ",Tabelle32[[#This Row],[Label 1
GFX-Unit]]," | ",Tabelle32[[#This Row],[Attached Device if Gateway]]),"")</f>
        <v>MEDEM Edit07 | In Edit07-08 | EditPC-07 IN</v>
      </c>
      <c r="AQ434" s="59"/>
      <c r="AR434" s="96"/>
      <c r="AS434" s="96"/>
      <c r="AT434" s="96"/>
      <c r="AU434" s="96"/>
      <c r="AV434" s="96"/>
      <c r="AW434" s="96" t="s">
        <v>97</v>
      </c>
      <c r="AX434" s="96" t="s">
        <v>199</v>
      </c>
      <c r="AY434" s="96" t="s">
        <v>199</v>
      </c>
      <c r="AZ434" s="96" t="s">
        <v>97</v>
      </c>
      <c r="BA434" s="96"/>
      <c r="BB434" s="96" t="s">
        <v>97</v>
      </c>
      <c r="BC434" s="96" t="s">
        <v>97</v>
      </c>
      <c r="BD434" s="96"/>
      <c r="BE434" s="96"/>
      <c r="BF434" s="96"/>
      <c r="BG434" s="96"/>
      <c r="BH434" s="73" t="s">
        <v>199</v>
      </c>
      <c r="BI434" s="30" t="str">
        <f>IF(COUNTA(Tabelle32[[#This Row],[Type:Vid_1080i50]:[Type:Anc_Prot]])&gt;0,"x","")</f>
        <v>x</v>
      </c>
      <c r="BJ43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34" s="59"/>
      <c r="BL434" s="59"/>
      <c r="BM434" s="63"/>
      <c r="BN434" s="63"/>
      <c r="BO434" s="97" t="s">
        <v>865</v>
      </c>
      <c r="BP434" s="97" t="s">
        <v>885</v>
      </c>
      <c r="BQ434" s="75">
        <f>LEN(Tabelle32[[#This Row],[Label 1
GFX-Unit]])</f>
        <v>12</v>
      </c>
      <c r="BR434" s="63"/>
      <c r="BS434" s="63"/>
      <c r="BT434" s="59"/>
      <c r="BU434" s="59"/>
      <c r="BV434" s="59" t="s">
        <v>242</v>
      </c>
      <c r="BW434" s="59" t="s">
        <v>243</v>
      </c>
      <c r="BX434" s="59" t="s">
        <v>886</v>
      </c>
      <c r="BY434" s="59">
        <v>21</v>
      </c>
    </row>
    <row r="435" spans="1:77" x14ac:dyDescent="0.2">
      <c r="A435" s="58" t="str">
        <f>CONCATENATE(Tabelle32[[#This Row],[Device ID]],".",Tabelle32[[#This Row],[Streamcounter]])</f>
        <v>398.21209</v>
      </c>
      <c r="B43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VGW-103_SDI21_AUDrec_0009</v>
      </c>
      <c r="C435" s="60"/>
      <c r="D435" s="61"/>
      <c r="E435" s="62"/>
      <c r="F435" s="59" t="str">
        <f>IFERROR(VLOOKUP(Tabelle32[[#This Row],[Device ID]],BOM!$B$3:$BQ$35,16,FALSE),"")</f>
        <v>EditPC-07 IN</v>
      </c>
      <c r="G435" s="63">
        <f>VLOOKUP(Tabelle32[[#This Row],[SDI Interface]],BOM!$A$4:$B$35,2,FALSE)</f>
        <v>398</v>
      </c>
      <c r="H435" s="59" t="str">
        <f>BOM!$C$4</f>
        <v>VGW-103</v>
      </c>
      <c r="I435" s="59" t="str">
        <f>IFERROR(VLOOKUP(Tabelle32[[#This Row],[Device ID]],BOM!$B$3:$BQ$35,12,FALSE),"")</f>
        <v>Edit Suite</v>
      </c>
      <c r="J435" s="59" t="str">
        <f>IFERROR(VLOOKUP(Tabelle32[[#This Row],[Device ID]],BOM!$B$3:$BQ$35,13,FALSE),"")</f>
        <v>TC.U1.223 | MDC</v>
      </c>
      <c r="K435" s="59" t="str">
        <f>IFERROR(VLOOKUP(Tabelle32[[#This Row],[Device ID]],BOM!$B$3:$BQ$35,14,FALSE),"")</f>
        <v>Imagine Comunications</v>
      </c>
      <c r="L435" s="59" t="str">
        <f>IFERROR(VLOOKUP(Tabelle32[[#This Row],[Device ID]],BOM!$B$3:$BQ$35,16,FALSE),"")</f>
        <v>EditPC-07 IN</v>
      </c>
      <c r="M435" s="63" t="str">
        <f>IFERROR(VLOOKUP(Tabelle32[[#This Row],[Device ID]],BOM!$B$3:$BQ$35,17,FALSE),"")</f>
        <v>EDIT SUITE 07</v>
      </c>
      <c r="N435" s="59" t="str">
        <f>IFERROR(VLOOKUP(Tabelle32[[#This Row],[Device ID]],BOM!$B$3:$BQ$35,18,FALSE),"")</f>
        <v>TC.03.087 | Edit 07</v>
      </c>
      <c r="O435" s="64"/>
      <c r="P435" s="64">
        <f>IFERROR(VLOOKUP(Tabelle32[[#This Row],[Device ID]],BOM!$B$3:$BO$50,20,FALSE),"")</f>
        <v>0</v>
      </c>
      <c r="Q435" s="64">
        <f>IFERROR(VLOOKUP(Tabelle32[[#This Row],[Device ID]],BOM!$B$3:$BO$50,21,FALSE),"")</f>
        <v>1</v>
      </c>
      <c r="R435" s="64">
        <f>IFERROR(VLOOKUP(Tabelle32[[#This Row],[Device ID]],BOM!$B$3:$BO$50,22,FALSE),"")</f>
        <v>0</v>
      </c>
      <c r="S435" s="64"/>
      <c r="T435" s="64"/>
      <c r="U435" s="59" t="str">
        <f>IFERROR(VLOOKUP(Tabelle32[[#This Row],[Device ID]],BOM!$B$3:$BQ$35,25,FALSE),"")</f>
        <v>Luis/Ivo</v>
      </c>
      <c r="V435" s="59" t="str">
        <f>IFERROR(VLOOKUP(Tabelle32[[#This Row],[Device ID]],BOM!$B$3:$BQ$35,26,FALSE),"")</f>
        <v>tpco-megw-vgw103.rta.st-net.media.int</v>
      </c>
      <c r="W435" s="59" t="str">
        <f>IFERROR(VLOOKUP(Tabelle32[[#This Row],[Device ID]],BOM!$B$3:$BQ$35,27,FALSE),"")</f>
        <v>10.120.236.50</v>
      </c>
      <c r="X435" s="59" t="str">
        <f>IFERROR(VLOOKUP(Tabelle32[[#This Row],[Device ID]],BOM!$B$3:$BQ$35,28,FALSE),"")</f>
        <v>AVCoreA</v>
      </c>
      <c r="Y435" s="59" t="str">
        <f>IFERROR(VLOOKUP(Tabelle32[[#This Row],[Device ID]],BOM!$B$3:$BQ$35,29,FALSE),"")</f>
        <v>5_36_1</v>
      </c>
      <c r="Z435" s="59" t="str">
        <f>IFERROR(VLOOKUP(Tabelle32[[#This Row],[Device ID]],BOM!$B$3:$BQ$35,30,FALSE),"")</f>
        <v>tpco-megw-vgw103.rtb.st-net.media.int</v>
      </c>
      <c r="AA435" s="59" t="str">
        <f>IFERROR(VLOOKUP(Tabelle32[[#This Row],[Device ID]],BOM!$B$3:$BQ$35,31,FALSE),"")</f>
        <v>10.120.236.54</v>
      </c>
      <c r="AB435" s="59" t="str">
        <f>IFERROR(VLOOKUP(Tabelle32[[#This Row],[Device ID]],BOM!$B$3:$BQ$35,32,FALSE),"")</f>
        <v>AVCoreB</v>
      </c>
      <c r="AC435" s="59" t="str">
        <f>IFERROR(VLOOKUP(Tabelle32[[#This Row],[Device ID]],BOM!$B$3:$BQ$35,33,FALSE),"")</f>
        <v>5_36_1</v>
      </c>
      <c r="AD435" s="59" t="str">
        <f>IFERROR(VLOOKUP(Tabelle32[[#This Row],[Device ID]],BOM!$B$3:$BQ$35,34,FALSE),"")</f>
        <v>tpco-megw-vgw103.st-net.media.int</v>
      </c>
      <c r="AE435" s="59" t="str">
        <f>IFERROR(VLOOKUP(Tabelle32[[#This Row],[Device ID]],BOM!$B$3:$BQ$35,35,FALSE),"")</f>
        <v>10.120.67.141</v>
      </c>
      <c r="AF435" s="59">
        <f>IFERROR(VLOOKUP(Tabelle32[[#This Row],[Device ID]],BOM!$B$3:$BQ$35,36,FALSE),"")</f>
        <v>0</v>
      </c>
      <c r="AG435" s="59">
        <f>IFERROR(VLOOKUP(Tabelle32[[#This Row],[Device ID]],BOM!$B$3:$BQ$35,37,FALSE),"")</f>
        <v>0</v>
      </c>
      <c r="AH435" s="59"/>
      <c r="AI435" s="59"/>
      <c r="AJ435" s="59"/>
      <c r="AK435" s="59"/>
      <c r="AL435" s="59" t="str">
        <f>IFERROR(VLOOKUP(Tabelle32[[#This Row],[Device ID]],BOM!$B$3:$BQ$35,42,FALSE),"")</f>
        <v>Imagine Communications SNP</v>
      </c>
      <c r="AM435" s="59" t="str">
        <f>IFERROR(VLOOKUP(Tabelle32[[#This Row],[Device ID]],BOM!$B$3:$BQ$35,43,FALSE),"")</f>
        <v>no</v>
      </c>
      <c r="AN435" s="59" t="str">
        <f>IFERROR(VLOOKUP(Tabelle32[[#This Row],[Device ID]],BOM!$B$3:$BQ$35,44,FALSE),"")</f>
        <v>yes</v>
      </c>
      <c r="AO435" s="59" t="str">
        <f>IFERROR(VLOOKUP(Tabelle32[[#This Row],[Device ID]],BOM!$B$3:$BQ$35,45,FALSE),"")</f>
        <v>no</v>
      </c>
      <c r="AP435" s="59" t="str">
        <f>IFERROR(CONCATENATE(Tabelle32[[#This Row],[Family
GFX-Unit]]," | ",Tabelle32[[#This Row],[Label 1
GFX-Unit]]," | ",Tabelle32[[#This Row],[Attached Device if Gateway]]),"")</f>
        <v>MEDEM Edit07 | In Edit07-09 | EditPC-07 IN</v>
      </c>
      <c r="AQ435" s="59"/>
      <c r="AR435" s="96"/>
      <c r="AS435" s="96"/>
      <c r="AT435" s="96"/>
      <c r="AU435" s="96"/>
      <c r="AV435" s="96"/>
      <c r="AW435" s="96" t="s">
        <v>97</v>
      </c>
      <c r="AX435" s="96" t="s">
        <v>199</v>
      </c>
      <c r="AY435" s="96" t="s">
        <v>199</v>
      </c>
      <c r="AZ435" s="96" t="s">
        <v>97</v>
      </c>
      <c r="BA435" s="96"/>
      <c r="BB435" s="96" t="s">
        <v>97</v>
      </c>
      <c r="BC435" s="96" t="s">
        <v>97</v>
      </c>
      <c r="BD435" s="96"/>
      <c r="BE435" s="96"/>
      <c r="BF435" s="96"/>
      <c r="BG435" s="96"/>
      <c r="BH435" s="73" t="s">
        <v>199</v>
      </c>
      <c r="BI435" s="30" t="str">
        <f>IF(COUNTA(Tabelle32[[#This Row],[Type:Vid_1080i50]:[Type:Anc_Prot]])&gt;0,"x","")</f>
        <v>x</v>
      </c>
      <c r="BJ43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35" s="59"/>
      <c r="BL435" s="59"/>
      <c r="BM435" s="63"/>
      <c r="BN435" s="63"/>
      <c r="BO435" s="97" t="s">
        <v>865</v>
      </c>
      <c r="BP435" s="97" t="s">
        <v>887</v>
      </c>
      <c r="BQ435" s="75">
        <f>LEN(Tabelle32[[#This Row],[Label 1
GFX-Unit]])</f>
        <v>12</v>
      </c>
      <c r="BR435" s="63"/>
      <c r="BS435" s="63"/>
      <c r="BT435" s="59"/>
      <c r="BU435" s="59"/>
      <c r="BV435" s="59" t="s">
        <v>245</v>
      </c>
      <c r="BW435" s="59" t="s">
        <v>246</v>
      </c>
      <c r="BX435" s="59" t="s">
        <v>888</v>
      </c>
      <c r="BY435" s="59">
        <v>21</v>
      </c>
    </row>
    <row r="436" spans="1:77" hidden="1" x14ac:dyDescent="0.2">
      <c r="A436" s="58" t="str">
        <f>CONCATENATE(Tabelle32[[#This Row],[Device ID]],".",Tabelle32[[#This Row],[Streamcounter]])</f>
        <v>398.21210</v>
      </c>
      <c r="B43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VGW-103_SDI21_AUDrec_0010</v>
      </c>
      <c r="C436" s="60"/>
      <c r="D436" s="61"/>
      <c r="E436" s="62"/>
      <c r="F436" s="59" t="str">
        <f>IFERROR(VLOOKUP(Tabelle32[[#This Row],[Device ID]],BOM!$B$3:$BQ$35,16,FALSE),"")</f>
        <v>EditPC-07 IN</v>
      </c>
      <c r="G436" s="63">
        <f>VLOOKUP(Tabelle32[[#This Row],[SDI Interface]],BOM!$A$4:$B$35,2,FALSE)</f>
        <v>398</v>
      </c>
      <c r="H436" s="59" t="str">
        <f>BOM!$C$4</f>
        <v>VGW-103</v>
      </c>
      <c r="I436" s="59" t="str">
        <f>IFERROR(VLOOKUP(Tabelle32[[#This Row],[Device ID]],BOM!$B$3:$BQ$35,12,FALSE),"")</f>
        <v>Edit Suite</v>
      </c>
      <c r="J436" s="59" t="str">
        <f>IFERROR(VLOOKUP(Tabelle32[[#This Row],[Device ID]],BOM!$B$3:$BQ$35,13,FALSE),"")</f>
        <v>TC.U1.223 | MDC</v>
      </c>
      <c r="K436" s="59" t="str">
        <f>IFERROR(VLOOKUP(Tabelle32[[#This Row],[Device ID]],BOM!$B$3:$BQ$35,14,FALSE),"")</f>
        <v>Imagine Comunications</v>
      </c>
      <c r="L436" s="59" t="str">
        <f>IFERROR(VLOOKUP(Tabelle32[[#This Row],[Device ID]],BOM!$B$3:$BQ$35,16,FALSE),"")</f>
        <v>EditPC-07 IN</v>
      </c>
      <c r="M436" s="63" t="str">
        <f>IFERROR(VLOOKUP(Tabelle32[[#This Row],[Device ID]],BOM!$B$3:$BQ$35,17,FALSE),"")</f>
        <v>EDIT SUITE 07</v>
      </c>
      <c r="N436" s="59" t="str">
        <f>IFERROR(VLOOKUP(Tabelle32[[#This Row],[Device ID]],BOM!$B$3:$BQ$35,18,FALSE),"")</f>
        <v>TC.03.087 | Edit 07</v>
      </c>
      <c r="O436" s="64"/>
      <c r="P436" s="64">
        <f>IFERROR(VLOOKUP(Tabelle32[[#This Row],[Device ID]],BOM!$B$3:$BO$50,20,FALSE),"")</f>
        <v>0</v>
      </c>
      <c r="Q436" s="64">
        <f>IFERROR(VLOOKUP(Tabelle32[[#This Row],[Device ID]],BOM!$B$3:$BO$50,21,FALSE),"")</f>
        <v>1</v>
      </c>
      <c r="R436" s="64">
        <f>IFERROR(VLOOKUP(Tabelle32[[#This Row],[Device ID]],BOM!$B$3:$BO$50,22,FALSE),"")</f>
        <v>0</v>
      </c>
      <c r="S436" s="64"/>
      <c r="T436" s="64"/>
      <c r="U436" s="59" t="str">
        <f>IFERROR(VLOOKUP(Tabelle32[[#This Row],[Device ID]],BOM!$B$3:$BQ$35,25,FALSE),"")</f>
        <v>Luis/Ivo</v>
      </c>
      <c r="V436" s="59" t="str">
        <f>IFERROR(VLOOKUP(Tabelle32[[#This Row],[Device ID]],BOM!$B$3:$BQ$35,26,FALSE),"")</f>
        <v>tpco-megw-vgw103.rta.st-net.media.int</v>
      </c>
      <c r="W436" s="59" t="str">
        <f>IFERROR(VLOOKUP(Tabelle32[[#This Row],[Device ID]],BOM!$B$3:$BQ$35,27,FALSE),"")</f>
        <v>10.120.236.50</v>
      </c>
      <c r="X436" s="59" t="str">
        <f>IFERROR(VLOOKUP(Tabelle32[[#This Row],[Device ID]],BOM!$B$3:$BQ$35,28,FALSE),"")</f>
        <v>AVCoreA</v>
      </c>
      <c r="Y436" s="59" t="str">
        <f>IFERROR(VLOOKUP(Tabelle32[[#This Row],[Device ID]],BOM!$B$3:$BQ$35,29,FALSE),"")</f>
        <v>5_36_1</v>
      </c>
      <c r="Z436" s="59" t="str">
        <f>IFERROR(VLOOKUP(Tabelle32[[#This Row],[Device ID]],BOM!$B$3:$BQ$35,30,FALSE),"")</f>
        <v>tpco-megw-vgw103.rtb.st-net.media.int</v>
      </c>
      <c r="AA436" s="59" t="str">
        <f>IFERROR(VLOOKUP(Tabelle32[[#This Row],[Device ID]],BOM!$B$3:$BQ$35,31,FALSE),"")</f>
        <v>10.120.236.54</v>
      </c>
      <c r="AB436" s="59" t="str">
        <f>IFERROR(VLOOKUP(Tabelle32[[#This Row],[Device ID]],BOM!$B$3:$BQ$35,32,FALSE),"")</f>
        <v>AVCoreB</v>
      </c>
      <c r="AC436" s="59" t="str">
        <f>IFERROR(VLOOKUP(Tabelle32[[#This Row],[Device ID]],BOM!$B$3:$BQ$35,33,FALSE),"")</f>
        <v>5_36_1</v>
      </c>
      <c r="AD436" s="59" t="str">
        <f>IFERROR(VLOOKUP(Tabelle32[[#This Row],[Device ID]],BOM!$B$3:$BQ$35,34,FALSE),"")</f>
        <v>tpco-megw-vgw103.st-net.media.int</v>
      </c>
      <c r="AE436" s="59" t="str">
        <f>IFERROR(VLOOKUP(Tabelle32[[#This Row],[Device ID]],BOM!$B$3:$BQ$35,35,FALSE),"")</f>
        <v>10.120.67.141</v>
      </c>
      <c r="AF436" s="59">
        <f>IFERROR(VLOOKUP(Tabelle32[[#This Row],[Device ID]],BOM!$B$3:$BQ$35,36,FALSE),"")</f>
        <v>0</v>
      </c>
      <c r="AG436" s="59">
        <f>IFERROR(VLOOKUP(Tabelle32[[#This Row],[Device ID]],BOM!$B$3:$BQ$35,37,FALSE),"")</f>
        <v>0</v>
      </c>
      <c r="AH436" s="59"/>
      <c r="AI436" s="59"/>
      <c r="AJ436" s="59"/>
      <c r="AK436" s="59"/>
      <c r="AL436" s="59" t="str">
        <f>IFERROR(VLOOKUP(Tabelle32[[#This Row],[Device ID]],BOM!$B$3:$BQ$35,42,FALSE),"")</f>
        <v>Imagine Communications SNP</v>
      </c>
      <c r="AM436" s="59" t="str">
        <f>IFERROR(VLOOKUP(Tabelle32[[#This Row],[Device ID]],BOM!$B$3:$BQ$35,43,FALSE),"")</f>
        <v>no</v>
      </c>
      <c r="AN436" s="59" t="str">
        <f>IFERROR(VLOOKUP(Tabelle32[[#This Row],[Device ID]],BOM!$B$3:$BQ$35,44,FALSE),"")</f>
        <v>yes</v>
      </c>
      <c r="AO436" s="59" t="str">
        <f>IFERROR(VLOOKUP(Tabelle32[[#This Row],[Device ID]],BOM!$B$3:$BQ$35,45,FALSE),"")</f>
        <v>no</v>
      </c>
      <c r="AP436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36" s="59"/>
      <c r="AR436" s="90"/>
      <c r="AS436" s="90"/>
      <c r="AT436" s="90"/>
      <c r="AU436" s="90"/>
      <c r="AV436" s="90"/>
      <c r="AW436" s="90"/>
      <c r="AX436" s="90"/>
      <c r="AY436" s="90"/>
      <c r="AZ436" s="90"/>
      <c r="BA436" s="90"/>
      <c r="BB436" s="90"/>
      <c r="BC436" s="90"/>
      <c r="BD436" s="90"/>
      <c r="BE436" s="90"/>
      <c r="BF436" s="90"/>
      <c r="BG436" s="90"/>
      <c r="BH436" s="73" t="s">
        <v>199</v>
      </c>
      <c r="BI436" s="30" t="str">
        <f>IF(COUNTA(Tabelle32[[#This Row],[Type:Vid_1080i50]:[Type:Anc_Prot]])&gt;0,"x","")</f>
        <v/>
      </c>
      <c r="BJ43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36" s="59"/>
      <c r="BL436" s="59"/>
      <c r="BM436" s="63"/>
      <c r="BN436" s="63"/>
      <c r="BO436" s="96"/>
      <c r="BP436" s="96"/>
      <c r="BQ436" s="75">
        <f>LEN(Tabelle32[[#This Row],[Label 1
GFX-Unit]])</f>
        <v>0</v>
      </c>
      <c r="BR436" s="63"/>
      <c r="BS436" s="63"/>
      <c r="BT436" s="59"/>
      <c r="BU436" s="59"/>
      <c r="BV436" s="59" t="s">
        <v>248</v>
      </c>
      <c r="BW436" s="59" t="s">
        <v>249</v>
      </c>
      <c r="BX436" s="59" t="s">
        <v>889</v>
      </c>
      <c r="BY436" s="59">
        <v>21</v>
      </c>
    </row>
    <row r="437" spans="1:77" hidden="1" x14ac:dyDescent="0.2">
      <c r="A437" s="58" t="str">
        <f>CONCATENATE(Tabelle32[[#This Row],[Device ID]],".",Tabelle32[[#This Row],[Streamcounter]])</f>
        <v>398.21211</v>
      </c>
      <c r="B43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VGW-103_SDI21_AUDrec_0011</v>
      </c>
      <c r="C437" s="60"/>
      <c r="D437" s="61"/>
      <c r="E437" s="62"/>
      <c r="F437" s="59" t="str">
        <f>IFERROR(VLOOKUP(Tabelle32[[#This Row],[Device ID]],BOM!$B$3:$BQ$35,16,FALSE),"")</f>
        <v>EditPC-07 IN</v>
      </c>
      <c r="G437" s="63">
        <f>VLOOKUP(Tabelle32[[#This Row],[SDI Interface]],BOM!$A$4:$B$35,2,FALSE)</f>
        <v>398</v>
      </c>
      <c r="H437" s="59" t="str">
        <f>BOM!$C$4</f>
        <v>VGW-103</v>
      </c>
      <c r="I437" s="59" t="str">
        <f>IFERROR(VLOOKUP(Tabelle32[[#This Row],[Device ID]],BOM!$B$3:$BQ$35,12,FALSE),"")</f>
        <v>Edit Suite</v>
      </c>
      <c r="J437" s="59" t="str">
        <f>IFERROR(VLOOKUP(Tabelle32[[#This Row],[Device ID]],BOM!$B$3:$BQ$35,13,FALSE),"")</f>
        <v>TC.U1.223 | MDC</v>
      </c>
      <c r="K437" s="59" t="str">
        <f>IFERROR(VLOOKUP(Tabelle32[[#This Row],[Device ID]],BOM!$B$3:$BQ$35,14,FALSE),"")</f>
        <v>Imagine Comunications</v>
      </c>
      <c r="L437" s="59" t="str">
        <f>IFERROR(VLOOKUP(Tabelle32[[#This Row],[Device ID]],BOM!$B$3:$BQ$35,16,FALSE),"")</f>
        <v>EditPC-07 IN</v>
      </c>
      <c r="M437" s="63" t="str">
        <f>IFERROR(VLOOKUP(Tabelle32[[#This Row],[Device ID]],BOM!$B$3:$BQ$35,17,FALSE),"")</f>
        <v>EDIT SUITE 07</v>
      </c>
      <c r="N437" s="59" t="str">
        <f>IFERROR(VLOOKUP(Tabelle32[[#This Row],[Device ID]],BOM!$B$3:$BQ$35,18,FALSE),"")</f>
        <v>TC.03.087 | Edit 07</v>
      </c>
      <c r="O437" s="64"/>
      <c r="P437" s="64">
        <f>IFERROR(VLOOKUP(Tabelle32[[#This Row],[Device ID]],BOM!$B$3:$BO$50,20,FALSE),"")</f>
        <v>0</v>
      </c>
      <c r="Q437" s="64">
        <f>IFERROR(VLOOKUP(Tabelle32[[#This Row],[Device ID]],BOM!$B$3:$BO$50,21,FALSE),"")</f>
        <v>1</v>
      </c>
      <c r="R437" s="64">
        <f>IFERROR(VLOOKUP(Tabelle32[[#This Row],[Device ID]],BOM!$B$3:$BO$50,22,FALSE),"")</f>
        <v>0</v>
      </c>
      <c r="S437" s="64"/>
      <c r="T437" s="64"/>
      <c r="U437" s="59" t="str">
        <f>IFERROR(VLOOKUP(Tabelle32[[#This Row],[Device ID]],BOM!$B$3:$BQ$35,25,FALSE),"")</f>
        <v>Luis/Ivo</v>
      </c>
      <c r="V437" s="59" t="str">
        <f>IFERROR(VLOOKUP(Tabelle32[[#This Row],[Device ID]],BOM!$B$3:$BQ$35,26,FALSE),"")</f>
        <v>tpco-megw-vgw103.rta.st-net.media.int</v>
      </c>
      <c r="W437" s="59" t="str">
        <f>IFERROR(VLOOKUP(Tabelle32[[#This Row],[Device ID]],BOM!$B$3:$BQ$35,27,FALSE),"")</f>
        <v>10.120.236.50</v>
      </c>
      <c r="X437" s="59" t="str">
        <f>IFERROR(VLOOKUP(Tabelle32[[#This Row],[Device ID]],BOM!$B$3:$BQ$35,28,FALSE),"")</f>
        <v>AVCoreA</v>
      </c>
      <c r="Y437" s="59" t="str">
        <f>IFERROR(VLOOKUP(Tabelle32[[#This Row],[Device ID]],BOM!$B$3:$BQ$35,29,FALSE),"")</f>
        <v>5_36_1</v>
      </c>
      <c r="Z437" s="59" t="str">
        <f>IFERROR(VLOOKUP(Tabelle32[[#This Row],[Device ID]],BOM!$B$3:$BQ$35,30,FALSE),"")</f>
        <v>tpco-megw-vgw103.rtb.st-net.media.int</v>
      </c>
      <c r="AA437" s="59" t="str">
        <f>IFERROR(VLOOKUP(Tabelle32[[#This Row],[Device ID]],BOM!$B$3:$BQ$35,31,FALSE),"")</f>
        <v>10.120.236.54</v>
      </c>
      <c r="AB437" s="59" t="str">
        <f>IFERROR(VLOOKUP(Tabelle32[[#This Row],[Device ID]],BOM!$B$3:$BQ$35,32,FALSE),"")</f>
        <v>AVCoreB</v>
      </c>
      <c r="AC437" s="59" t="str">
        <f>IFERROR(VLOOKUP(Tabelle32[[#This Row],[Device ID]],BOM!$B$3:$BQ$35,33,FALSE),"")</f>
        <v>5_36_1</v>
      </c>
      <c r="AD437" s="59" t="str">
        <f>IFERROR(VLOOKUP(Tabelle32[[#This Row],[Device ID]],BOM!$B$3:$BQ$35,34,FALSE),"")</f>
        <v>tpco-megw-vgw103.st-net.media.int</v>
      </c>
      <c r="AE437" s="59" t="str">
        <f>IFERROR(VLOOKUP(Tabelle32[[#This Row],[Device ID]],BOM!$B$3:$BQ$35,35,FALSE),"")</f>
        <v>10.120.67.141</v>
      </c>
      <c r="AF437" s="59">
        <f>IFERROR(VLOOKUP(Tabelle32[[#This Row],[Device ID]],BOM!$B$3:$BQ$35,36,FALSE),"")</f>
        <v>0</v>
      </c>
      <c r="AG437" s="59">
        <f>IFERROR(VLOOKUP(Tabelle32[[#This Row],[Device ID]],BOM!$B$3:$BQ$35,37,FALSE),"")</f>
        <v>0</v>
      </c>
      <c r="AH437" s="59"/>
      <c r="AI437" s="59"/>
      <c r="AJ437" s="59"/>
      <c r="AK437" s="59"/>
      <c r="AL437" s="59" t="str">
        <f>IFERROR(VLOOKUP(Tabelle32[[#This Row],[Device ID]],BOM!$B$3:$BQ$35,42,FALSE),"")</f>
        <v>Imagine Communications SNP</v>
      </c>
      <c r="AM437" s="59" t="str">
        <f>IFERROR(VLOOKUP(Tabelle32[[#This Row],[Device ID]],BOM!$B$3:$BQ$35,43,FALSE),"")</f>
        <v>no</v>
      </c>
      <c r="AN437" s="59" t="str">
        <f>IFERROR(VLOOKUP(Tabelle32[[#This Row],[Device ID]],BOM!$B$3:$BQ$35,44,FALSE),"")</f>
        <v>yes</v>
      </c>
      <c r="AO437" s="59" t="str">
        <f>IFERROR(VLOOKUP(Tabelle32[[#This Row],[Device ID]],BOM!$B$3:$BQ$35,45,FALSE),"")</f>
        <v>no</v>
      </c>
      <c r="AP437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37" s="59"/>
      <c r="AR437" s="90"/>
      <c r="AS437" s="90"/>
      <c r="AT437" s="90"/>
      <c r="AU437" s="90"/>
      <c r="AV437" s="90"/>
      <c r="AW437" s="90"/>
      <c r="AX437" s="90"/>
      <c r="AY437" s="90"/>
      <c r="AZ437" s="90"/>
      <c r="BA437" s="90"/>
      <c r="BB437" s="90"/>
      <c r="BC437" s="90"/>
      <c r="BD437" s="90"/>
      <c r="BE437" s="90"/>
      <c r="BF437" s="90"/>
      <c r="BG437" s="90"/>
      <c r="BH437" s="73" t="s">
        <v>199</v>
      </c>
      <c r="BI437" s="30" t="str">
        <f>IF(COUNTA(Tabelle32[[#This Row],[Type:Vid_1080i50]:[Type:Anc_Prot]])&gt;0,"x","")</f>
        <v/>
      </c>
      <c r="BJ43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37" s="59"/>
      <c r="BL437" s="59"/>
      <c r="BM437" s="63"/>
      <c r="BN437" s="63"/>
      <c r="BO437" s="96"/>
      <c r="BP437" s="96"/>
      <c r="BQ437" s="75">
        <f>LEN(Tabelle32[[#This Row],[Label 1
GFX-Unit]])</f>
        <v>0</v>
      </c>
      <c r="BR437" s="63"/>
      <c r="BS437" s="63"/>
      <c r="BT437" s="59"/>
      <c r="BU437" s="59"/>
      <c r="BV437" s="59" t="s">
        <v>251</v>
      </c>
      <c r="BW437" s="59" t="s">
        <v>252</v>
      </c>
      <c r="BX437" s="59" t="s">
        <v>890</v>
      </c>
      <c r="BY437" s="59">
        <v>21</v>
      </c>
    </row>
    <row r="438" spans="1:77" hidden="1" x14ac:dyDescent="0.2">
      <c r="A438" s="58" t="str">
        <f>CONCATENATE(Tabelle32[[#This Row],[Device ID]],".",Tabelle32[[#This Row],[Streamcounter]])</f>
        <v>398.21212</v>
      </c>
      <c r="B43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VGW-103_SDI21_AUDrec_0012</v>
      </c>
      <c r="C438" s="60"/>
      <c r="D438" s="61"/>
      <c r="E438" s="62"/>
      <c r="F438" s="59" t="str">
        <f>IFERROR(VLOOKUP(Tabelle32[[#This Row],[Device ID]],BOM!$B$3:$BQ$35,16,FALSE),"")</f>
        <v>EditPC-07 IN</v>
      </c>
      <c r="G438" s="63">
        <f>VLOOKUP(Tabelle32[[#This Row],[SDI Interface]],BOM!$A$4:$B$35,2,FALSE)</f>
        <v>398</v>
      </c>
      <c r="H438" s="59" t="str">
        <f>BOM!$C$4</f>
        <v>VGW-103</v>
      </c>
      <c r="I438" s="59" t="str">
        <f>IFERROR(VLOOKUP(Tabelle32[[#This Row],[Device ID]],BOM!$B$3:$BQ$35,12,FALSE),"")</f>
        <v>Edit Suite</v>
      </c>
      <c r="J438" s="59" t="str">
        <f>IFERROR(VLOOKUP(Tabelle32[[#This Row],[Device ID]],BOM!$B$3:$BQ$35,13,FALSE),"")</f>
        <v>TC.U1.223 | MDC</v>
      </c>
      <c r="K438" s="59" t="str">
        <f>IFERROR(VLOOKUP(Tabelle32[[#This Row],[Device ID]],BOM!$B$3:$BQ$35,14,FALSE),"")</f>
        <v>Imagine Comunications</v>
      </c>
      <c r="L438" s="59" t="str">
        <f>IFERROR(VLOOKUP(Tabelle32[[#This Row],[Device ID]],BOM!$B$3:$BQ$35,16,FALSE),"")</f>
        <v>EditPC-07 IN</v>
      </c>
      <c r="M438" s="63" t="str">
        <f>IFERROR(VLOOKUP(Tabelle32[[#This Row],[Device ID]],BOM!$B$3:$BQ$35,17,FALSE),"")</f>
        <v>EDIT SUITE 07</v>
      </c>
      <c r="N438" s="59" t="str">
        <f>IFERROR(VLOOKUP(Tabelle32[[#This Row],[Device ID]],BOM!$B$3:$BQ$35,18,FALSE),"")</f>
        <v>TC.03.087 | Edit 07</v>
      </c>
      <c r="O438" s="64"/>
      <c r="P438" s="64">
        <f>IFERROR(VLOOKUP(Tabelle32[[#This Row],[Device ID]],BOM!$B$3:$BO$50,20,FALSE),"")</f>
        <v>0</v>
      </c>
      <c r="Q438" s="64">
        <f>IFERROR(VLOOKUP(Tabelle32[[#This Row],[Device ID]],BOM!$B$3:$BO$50,21,FALSE),"")</f>
        <v>1</v>
      </c>
      <c r="R438" s="64">
        <f>IFERROR(VLOOKUP(Tabelle32[[#This Row],[Device ID]],BOM!$B$3:$BO$50,22,FALSE),"")</f>
        <v>0</v>
      </c>
      <c r="S438" s="64"/>
      <c r="T438" s="64"/>
      <c r="U438" s="59" t="str">
        <f>IFERROR(VLOOKUP(Tabelle32[[#This Row],[Device ID]],BOM!$B$3:$BQ$35,25,FALSE),"")</f>
        <v>Luis/Ivo</v>
      </c>
      <c r="V438" s="59" t="str">
        <f>IFERROR(VLOOKUP(Tabelle32[[#This Row],[Device ID]],BOM!$B$3:$BQ$35,26,FALSE),"")</f>
        <v>tpco-megw-vgw103.rta.st-net.media.int</v>
      </c>
      <c r="W438" s="59" t="str">
        <f>IFERROR(VLOOKUP(Tabelle32[[#This Row],[Device ID]],BOM!$B$3:$BQ$35,27,FALSE),"")</f>
        <v>10.120.236.50</v>
      </c>
      <c r="X438" s="59" t="str">
        <f>IFERROR(VLOOKUP(Tabelle32[[#This Row],[Device ID]],BOM!$B$3:$BQ$35,28,FALSE),"")</f>
        <v>AVCoreA</v>
      </c>
      <c r="Y438" s="59" t="str">
        <f>IFERROR(VLOOKUP(Tabelle32[[#This Row],[Device ID]],BOM!$B$3:$BQ$35,29,FALSE),"")</f>
        <v>5_36_1</v>
      </c>
      <c r="Z438" s="59" t="str">
        <f>IFERROR(VLOOKUP(Tabelle32[[#This Row],[Device ID]],BOM!$B$3:$BQ$35,30,FALSE),"")</f>
        <v>tpco-megw-vgw103.rtb.st-net.media.int</v>
      </c>
      <c r="AA438" s="59" t="str">
        <f>IFERROR(VLOOKUP(Tabelle32[[#This Row],[Device ID]],BOM!$B$3:$BQ$35,31,FALSE),"")</f>
        <v>10.120.236.54</v>
      </c>
      <c r="AB438" s="59" t="str">
        <f>IFERROR(VLOOKUP(Tabelle32[[#This Row],[Device ID]],BOM!$B$3:$BQ$35,32,FALSE),"")</f>
        <v>AVCoreB</v>
      </c>
      <c r="AC438" s="59" t="str">
        <f>IFERROR(VLOOKUP(Tabelle32[[#This Row],[Device ID]],BOM!$B$3:$BQ$35,33,FALSE),"")</f>
        <v>5_36_1</v>
      </c>
      <c r="AD438" s="59" t="str">
        <f>IFERROR(VLOOKUP(Tabelle32[[#This Row],[Device ID]],BOM!$B$3:$BQ$35,34,FALSE),"")</f>
        <v>tpco-megw-vgw103.st-net.media.int</v>
      </c>
      <c r="AE438" s="59" t="str">
        <f>IFERROR(VLOOKUP(Tabelle32[[#This Row],[Device ID]],BOM!$B$3:$BQ$35,35,FALSE),"")</f>
        <v>10.120.67.141</v>
      </c>
      <c r="AF438" s="59">
        <f>IFERROR(VLOOKUP(Tabelle32[[#This Row],[Device ID]],BOM!$B$3:$BQ$35,36,FALSE),"")</f>
        <v>0</v>
      </c>
      <c r="AG438" s="59">
        <f>IFERROR(VLOOKUP(Tabelle32[[#This Row],[Device ID]],BOM!$B$3:$BQ$35,37,FALSE),"")</f>
        <v>0</v>
      </c>
      <c r="AH438" s="59"/>
      <c r="AI438" s="59"/>
      <c r="AJ438" s="59"/>
      <c r="AK438" s="59"/>
      <c r="AL438" s="59" t="str">
        <f>IFERROR(VLOOKUP(Tabelle32[[#This Row],[Device ID]],BOM!$B$3:$BQ$35,42,FALSE),"")</f>
        <v>Imagine Communications SNP</v>
      </c>
      <c r="AM438" s="59" t="str">
        <f>IFERROR(VLOOKUP(Tabelle32[[#This Row],[Device ID]],BOM!$B$3:$BQ$35,43,FALSE),"")</f>
        <v>no</v>
      </c>
      <c r="AN438" s="59" t="str">
        <f>IFERROR(VLOOKUP(Tabelle32[[#This Row],[Device ID]],BOM!$B$3:$BQ$35,44,FALSE),"")</f>
        <v>yes</v>
      </c>
      <c r="AO438" s="59" t="str">
        <f>IFERROR(VLOOKUP(Tabelle32[[#This Row],[Device ID]],BOM!$B$3:$BQ$35,45,FALSE),"")</f>
        <v>no</v>
      </c>
      <c r="AP438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38" s="59"/>
      <c r="AR438" s="90"/>
      <c r="AS438" s="90"/>
      <c r="AT438" s="90"/>
      <c r="AU438" s="90"/>
      <c r="AV438" s="90"/>
      <c r="AW438" s="90"/>
      <c r="AX438" s="90"/>
      <c r="AY438" s="90"/>
      <c r="AZ438" s="90"/>
      <c r="BA438" s="90"/>
      <c r="BB438" s="90"/>
      <c r="BC438" s="90"/>
      <c r="BD438" s="90"/>
      <c r="BE438" s="90"/>
      <c r="BF438" s="90"/>
      <c r="BG438" s="90"/>
      <c r="BH438" s="73" t="s">
        <v>199</v>
      </c>
      <c r="BI438" s="30" t="str">
        <f>IF(COUNTA(Tabelle32[[#This Row],[Type:Vid_1080i50]:[Type:Anc_Prot]])&gt;0,"x","")</f>
        <v/>
      </c>
      <c r="BJ43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38" s="59"/>
      <c r="BL438" s="59"/>
      <c r="BM438" s="63"/>
      <c r="BN438" s="63"/>
      <c r="BO438" s="96"/>
      <c r="BP438" s="96"/>
      <c r="BQ438" s="75">
        <f>LEN(Tabelle32[[#This Row],[Label 1
GFX-Unit]])</f>
        <v>0</v>
      </c>
      <c r="BR438" s="63"/>
      <c r="BS438" s="63"/>
      <c r="BT438" s="59"/>
      <c r="BU438" s="59"/>
      <c r="BV438" s="59" t="s">
        <v>254</v>
      </c>
      <c r="BW438" s="59" t="s">
        <v>255</v>
      </c>
      <c r="BX438" s="59" t="s">
        <v>891</v>
      </c>
      <c r="BY438" s="59">
        <v>21</v>
      </c>
    </row>
    <row r="439" spans="1:77" hidden="1" x14ac:dyDescent="0.2">
      <c r="A439" s="58" t="str">
        <f>CONCATENATE(Tabelle32[[#This Row],[Device ID]],".",Tabelle32[[#This Row],[Streamcounter]])</f>
        <v>398.21213</v>
      </c>
      <c r="B43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VGW-103_SDI21_AUDrec_0013</v>
      </c>
      <c r="C439" s="60"/>
      <c r="D439" s="61"/>
      <c r="E439" s="62"/>
      <c r="F439" s="59" t="str">
        <f>IFERROR(VLOOKUP(Tabelle32[[#This Row],[Device ID]],BOM!$B$3:$BQ$35,16,FALSE),"")</f>
        <v>EditPC-07 IN</v>
      </c>
      <c r="G439" s="63">
        <f>VLOOKUP(Tabelle32[[#This Row],[SDI Interface]],BOM!$A$4:$B$35,2,FALSE)</f>
        <v>398</v>
      </c>
      <c r="H439" s="59" t="str">
        <f>BOM!$C$4</f>
        <v>VGW-103</v>
      </c>
      <c r="I439" s="59" t="str">
        <f>IFERROR(VLOOKUP(Tabelle32[[#This Row],[Device ID]],BOM!$B$3:$BQ$35,12,FALSE),"")</f>
        <v>Edit Suite</v>
      </c>
      <c r="J439" s="59" t="str">
        <f>IFERROR(VLOOKUP(Tabelle32[[#This Row],[Device ID]],BOM!$B$3:$BQ$35,13,FALSE),"")</f>
        <v>TC.U1.223 | MDC</v>
      </c>
      <c r="K439" s="59" t="str">
        <f>IFERROR(VLOOKUP(Tabelle32[[#This Row],[Device ID]],BOM!$B$3:$BQ$35,14,FALSE),"")</f>
        <v>Imagine Comunications</v>
      </c>
      <c r="L439" s="59" t="str">
        <f>IFERROR(VLOOKUP(Tabelle32[[#This Row],[Device ID]],BOM!$B$3:$BQ$35,16,FALSE),"")</f>
        <v>EditPC-07 IN</v>
      </c>
      <c r="M439" s="63" t="str">
        <f>IFERROR(VLOOKUP(Tabelle32[[#This Row],[Device ID]],BOM!$B$3:$BQ$35,17,FALSE),"")</f>
        <v>EDIT SUITE 07</v>
      </c>
      <c r="N439" s="59" t="str">
        <f>IFERROR(VLOOKUP(Tabelle32[[#This Row],[Device ID]],BOM!$B$3:$BQ$35,18,FALSE),"")</f>
        <v>TC.03.087 | Edit 07</v>
      </c>
      <c r="O439" s="64"/>
      <c r="P439" s="64">
        <f>IFERROR(VLOOKUP(Tabelle32[[#This Row],[Device ID]],BOM!$B$3:$BO$50,20,FALSE),"")</f>
        <v>0</v>
      </c>
      <c r="Q439" s="64">
        <f>IFERROR(VLOOKUP(Tabelle32[[#This Row],[Device ID]],BOM!$B$3:$BO$50,21,FALSE),"")</f>
        <v>1</v>
      </c>
      <c r="R439" s="64">
        <f>IFERROR(VLOOKUP(Tabelle32[[#This Row],[Device ID]],BOM!$B$3:$BO$50,22,FALSE),"")</f>
        <v>0</v>
      </c>
      <c r="S439" s="64"/>
      <c r="T439" s="64"/>
      <c r="U439" s="59" t="str">
        <f>IFERROR(VLOOKUP(Tabelle32[[#This Row],[Device ID]],BOM!$B$3:$BQ$35,25,FALSE),"")</f>
        <v>Luis/Ivo</v>
      </c>
      <c r="V439" s="59" t="str">
        <f>IFERROR(VLOOKUP(Tabelle32[[#This Row],[Device ID]],BOM!$B$3:$BQ$35,26,FALSE),"")</f>
        <v>tpco-megw-vgw103.rta.st-net.media.int</v>
      </c>
      <c r="W439" s="59" t="str">
        <f>IFERROR(VLOOKUP(Tabelle32[[#This Row],[Device ID]],BOM!$B$3:$BQ$35,27,FALSE),"")</f>
        <v>10.120.236.50</v>
      </c>
      <c r="X439" s="59" t="str">
        <f>IFERROR(VLOOKUP(Tabelle32[[#This Row],[Device ID]],BOM!$B$3:$BQ$35,28,FALSE),"")</f>
        <v>AVCoreA</v>
      </c>
      <c r="Y439" s="59" t="str">
        <f>IFERROR(VLOOKUP(Tabelle32[[#This Row],[Device ID]],BOM!$B$3:$BQ$35,29,FALSE),"")</f>
        <v>5_36_1</v>
      </c>
      <c r="Z439" s="59" t="str">
        <f>IFERROR(VLOOKUP(Tabelle32[[#This Row],[Device ID]],BOM!$B$3:$BQ$35,30,FALSE),"")</f>
        <v>tpco-megw-vgw103.rtb.st-net.media.int</v>
      </c>
      <c r="AA439" s="59" t="str">
        <f>IFERROR(VLOOKUP(Tabelle32[[#This Row],[Device ID]],BOM!$B$3:$BQ$35,31,FALSE),"")</f>
        <v>10.120.236.54</v>
      </c>
      <c r="AB439" s="59" t="str">
        <f>IFERROR(VLOOKUP(Tabelle32[[#This Row],[Device ID]],BOM!$B$3:$BQ$35,32,FALSE),"")</f>
        <v>AVCoreB</v>
      </c>
      <c r="AC439" s="59" t="str">
        <f>IFERROR(VLOOKUP(Tabelle32[[#This Row],[Device ID]],BOM!$B$3:$BQ$35,33,FALSE),"")</f>
        <v>5_36_1</v>
      </c>
      <c r="AD439" s="59" t="str">
        <f>IFERROR(VLOOKUP(Tabelle32[[#This Row],[Device ID]],BOM!$B$3:$BQ$35,34,FALSE),"")</f>
        <v>tpco-megw-vgw103.st-net.media.int</v>
      </c>
      <c r="AE439" s="59" t="str">
        <f>IFERROR(VLOOKUP(Tabelle32[[#This Row],[Device ID]],BOM!$B$3:$BQ$35,35,FALSE),"")</f>
        <v>10.120.67.141</v>
      </c>
      <c r="AF439" s="59">
        <f>IFERROR(VLOOKUP(Tabelle32[[#This Row],[Device ID]],BOM!$B$3:$BQ$35,36,FALSE),"")</f>
        <v>0</v>
      </c>
      <c r="AG439" s="59">
        <f>IFERROR(VLOOKUP(Tabelle32[[#This Row],[Device ID]],BOM!$B$3:$BQ$35,37,FALSE),"")</f>
        <v>0</v>
      </c>
      <c r="AH439" s="59"/>
      <c r="AI439" s="59"/>
      <c r="AJ439" s="59"/>
      <c r="AK439" s="59"/>
      <c r="AL439" s="59" t="str">
        <f>IFERROR(VLOOKUP(Tabelle32[[#This Row],[Device ID]],BOM!$B$3:$BQ$35,42,FALSE),"")</f>
        <v>Imagine Communications SNP</v>
      </c>
      <c r="AM439" s="59" t="str">
        <f>IFERROR(VLOOKUP(Tabelle32[[#This Row],[Device ID]],BOM!$B$3:$BQ$35,43,FALSE),"")</f>
        <v>no</v>
      </c>
      <c r="AN439" s="59" t="str">
        <f>IFERROR(VLOOKUP(Tabelle32[[#This Row],[Device ID]],BOM!$B$3:$BQ$35,44,FALSE),"")</f>
        <v>yes</v>
      </c>
      <c r="AO439" s="59" t="str">
        <f>IFERROR(VLOOKUP(Tabelle32[[#This Row],[Device ID]],BOM!$B$3:$BQ$35,45,FALSE),"")</f>
        <v>no</v>
      </c>
      <c r="AP439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39" s="59"/>
      <c r="AR439" s="90"/>
      <c r="AS439" s="90"/>
      <c r="AT439" s="90"/>
      <c r="AU439" s="90"/>
      <c r="AV439" s="90"/>
      <c r="AW439" s="90"/>
      <c r="AX439" s="90"/>
      <c r="AY439" s="90"/>
      <c r="AZ439" s="90"/>
      <c r="BA439" s="90"/>
      <c r="BB439" s="90"/>
      <c r="BC439" s="90"/>
      <c r="BD439" s="90"/>
      <c r="BE439" s="90"/>
      <c r="BF439" s="90"/>
      <c r="BG439" s="90"/>
      <c r="BH439" s="73" t="s">
        <v>199</v>
      </c>
      <c r="BI439" s="30" t="str">
        <f>IF(COUNTA(Tabelle32[[#This Row],[Type:Vid_1080i50]:[Type:Anc_Prot]])&gt;0,"x","")</f>
        <v/>
      </c>
      <c r="BJ43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39" s="59"/>
      <c r="BL439" s="59"/>
      <c r="BM439" s="63"/>
      <c r="BN439" s="63"/>
      <c r="BO439" s="96"/>
      <c r="BP439" s="96"/>
      <c r="BQ439" s="75">
        <f>LEN(Tabelle32[[#This Row],[Label 1
GFX-Unit]])</f>
        <v>0</v>
      </c>
      <c r="BR439" s="63"/>
      <c r="BS439" s="63"/>
      <c r="BT439" s="59"/>
      <c r="BU439" s="59"/>
      <c r="BV439" s="59" t="s">
        <v>257</v>
      </c>
      <c r="BW439" s="59" t="s">
        <v>258</v>
      </c>
      <c r="BX439" s="59" t="s">
        <v>892</v>
      </c>
      <c r="BY439" s="59">
        <v>21</v>
      </c>
    </row>
    <row r="440" spans="1:77" hidden="1" x14ac:dyDescent="0.2">
      <c r="A440" s="58" t="str">
        <f>CONCATENATE(Tabelle32[[#This Row],[Device ID]],".",Tabelle32[[#This Row],[Streamcounter]])</f>
        <v>398.21214</v>
      </c>
      <c r="B44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VGW-103_SDI21_AUDrec_0014</v>
      </c>
      <c r="C440" s="60"/>
      <c r="D440" s="61"/>
      <c r="E440" s="62"/>
      <c r="F440" s="59" t="str">
        <f>IFERROR(VLOOKUP(Tabelle32[[#This Row],[Device ID]],BOM!$B$3:$BQ$35,16,FALSE),"")</f>
        <v>EditPC-07 IN</v>
      </c>
      <c r="G440" s="63">
        <f>VLOOKUP(Tabelle32[[#This Row],[SDI Interface]],BOM!$A$4:$B$35,2,FALSE)</f>
        <v>398</v>
      </c>
      <c r="H440" s="59" t="str">
        <f>BOM!$C$4</f>
        <v>VGW-103</v>
      </c>
      <c r="I440" s="59" t="str">
        <f>IFERROR(VLOOKUP(Tabelle32[[#This Row],[Device ID]],BOM!$B$3:$BQ$35,12,FALSE),"")</f>
        <v>Edit Suite</v>
      </c>
      <c r="J440" s="59" t="str">
        <f>IFERROR(VLOOKUP(Tabelle32[[#This Row],[Device ID]],BOM!$B$3:$BQ$35,13,FALSE),"")</f>
        <v>TC.U1.223 | MDC</v>
      </c>
      <c r="K440" s="59" t="str">
        <f>IFERROR(VLOOKUP(Tabelle32[[#This Row],[Device ID]],BOM!$B$3:$BQ$35,14,FALSE),"")</f>
        <v>Imagine Comunications</v>
      </c>
      <c r="L440" s="59" t="str">
        <f>IFERROR(VLOOKUP(Tabelle32[[#This Row],[Device ID]],BOM!$B$3:$BQ$35,16,FALSE),"")</f>
        <v>EditPC-07 IN</v>
      </c>
      <c r="M440" s="63" t="str">
        <f>IFERROR(VLOOKUP(Tabelle32[[#This Row],[Device ID]],BOM!$B$3:$BQ$35,17,FALSE),"")</f>
        <v>EDIT SUITE 07</v>
      </c>
      <c r="N440" s="59" t="str">
        <f>IFERROR(VLOOKUP(Tabelle32[[#This Row],[Device ID]],BOM!$B$3:$BQ$35,18,FALSE),"")</f>
        <v>TC.03.087 | Edit 07</v>
      </c>
      <c r="O440" s="64"/>
      <c r="P440" s="64">
        <f>IFERROR(VLOOKUP(Tabelle32[[#This Row],[Device ID]],BOM!$B$3:$BO$50,20,FALSE),"")</f>
        <v>0</v>
      </c>
      <c r="Q440" s="64">
        <f>IFERROR(VLOOKUP(Tabelle32[[#This Row],[Device ID]],BOM!$B$3:$BO$50,21,FALSE),"")</f>
        <v>1</v>
      </c>
      <c r="R440" s="64">
        <f>IFERROR(VLOOKUP(Tabelle32[[#This Row],[Device ID]],BOM!$B$3:$BO$50,22,FALSE),"")</f>
        <v>0</v>
      </c>
      <c r="S440" s="64"/>
      <c r="T440" s="64"/>
      <c r="U440" s="59" t="str">
        <f>IFERROR(VLOOKUP(Tabelle32[[#This Row],[Device ID]],BOM!$B$3:$BQ$35,25,FALSE),"")</f>
        <v>Luis/Ivo</v>
      </c>
      <c r="V440" s="59" t="str">
        <f>IFERROR(VLOOKUP(Tabelle32[[#This Row],[Device ID]],BOM!$B$3:$BQ$35,26,FALSE),"")</f>
        <v>tpco-megw-vgw103.rta.st-net.media.int</v>
      </c>
      <c r="W440" s="59" t="str">
        <f>IFERROR(VLOOKUP(Tabelle32[[#This Row],[Device ID]],BOM!$B$3:$BQ$35,27,FALSE),"")</f>
        <v>10.120.236.50</v>
      </c>
      <c r="X440" s="59" t="str">
        <f>IFERROR(VLOOKUP(Tabelle32[[#This Row],[Device ID]],BOM!$B$3:$BQ$35,28,FALSE),"")</f>
        <v>AVCoreA</v>
      </c>
      <c r="Y440" s="59" t="str">
        <f>IFERROR(VLOOKUP(Tabelle32[[#This Row],[Device ID]],BOM!$B$3:$BQ$35,29,FALSE),"")</f>
        <v>5_36_1</v>
      </c>
      <c r="Z440" s="59" t="str">
        <f>IFERROR(VLOOKUP(Tabelle32[[#This Row],[Device ID]],BOM!$B$3:$BQ$35,30,FALSE),"")</f>
        <v>tpco-megw-vgw103.rtb.st-net.media.int</v>
      </c>
      <c r="AA440" s="59" t="str">
        <f>IFERROR(VLOOKUP(Tabelle32[[#This Row],[Device ID]],BOM!$B$3:$BQ$35,31,FALSE),"")</f>
        <v>10.120.236.54</v>
      </c>
      <c r="AB440" s="59" t="str">
        <f>IFERROR(VLOOKUP(Tabelle32[[#This Row],[Device ID]],BOM!$B$3:$BQ$35,32,FALSE),"")</f>
        <v>AVCoreB</v>
      </c>
      <c r="AC440" s="59" t="str">
        <f>IFERROR(VLOOKUP(Tabelle32[[#This Row],[Device ID]],BOM!$B$3:$BQ$35,33,FALSE),"")</f>
        <v>5_36_1</v>
      </c>
      <c r="AD440" s="59" t="str">
        <f>IFERROR(VLOOKUP(Tabelle32[[#This Row],[Device ID]],BOM!$B$3:$BQ$35,34,FALSE),"")</f>
        <v>tpco-megw-vgw103.st-net.media.int</v>
      </c>
      <c r="AE440" s="59" t="str">
        <f>IFERROR(VLOOKUP(Tabelle32[[#This Row],[Device ID]],BOM!$B$3:$BQ$35,35,FALSE),"")</f>
        <v>10.120.67.141</v>
      </c>
      <c r="AF440" s="59">
        <f>IFERROR(VLOOKUP(Tabelle32[[#This Row],[Device ID]],BOM!$B$3:$BQ$35,36,FALSE),"")</f>
        <v>0</v>
      </c>
      <c r="AG440" s="59">
        <f>IFERROR(VLOOKUP(Tabelle32[[#This Row],[Device ID]],BOM!$B$3:$BQ$35,37,FALSE),"")</f>
        <v>0</v>
      </c>
      <c r="AH440" s="59"/>
      <c r="AI440" s="59"/>
      <c r="AJ440" s="59"/>
      <c r="AK440" s="59"/>
      <c r="AL440" s="59" t="str">
        <f>IFERROR(VLOOKUP(Tabelle32[[#This Row],[Device ID]],BOM!$B$3:$BQ$35,42,FALSE),"")</f>
        <v>Imagine Communications SNP</v>
      </c>
      <c r="AM440" s="59" t="str">
        <f>IFERROR(VLOOKUP(Tabelle32[[#This Row],[Device ID]],BOM!$B$3:$BQ$35,43,FALSE),"")</f>
        <v>no</v>
      </c>
      <c r="AN440" s="59" t="str">
        <f>IFERROR(VLOOKUP(Tabelle32[[#This Row],[Device ID]],BOM!$B$3:$BQ$35,44,FALSE),"")</f>
        <v>yes</v>
      </c>
      <c r="AO440" s="59" t="str">
        <f>IFERROR(VLOOKUP(Tabelle32[[#This Row],[Device ID]],BOM!$B$3:$BQ$35,45,FALSE),"")</f>
        <v>no</v>
      </c>
      <c r="AP440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40" s="59"/>
      <c r="AR440" s="101"/>
      <c r="AS440" s="101"/>
      <c r="AT440" s="101"/>
      <c r="AU440" s="101"/>
      <c r="AV440" s="101"/>
      <c r="AW440" s="101"/>
      <c r="AX440" s="101"/>
      <c r="AY440" s="101"/>
      <c r="AZ440" s="101"/>
      <c r="BA440" s="101"/>
      <c r="BB440" s="101"/>
      <c r="BC440" s="101"/>
      <c r="BD440" s="101"/>
      <c r="BE440" s="101"/>
      <c r="BF440" s="101"/>
      <c r="BG440" s="101"/>
      <c r="BH440" s="73" t="s">
        <v>199</v>
      </c>
      <c r="BI440" s="30" t="str">
        <f>IF(COUNTA(Tabelle32[[#This Row],[Type:Vid_1080i50]:[Type:Anc_Prot]])&gt;0,"x","")</f>
        <v/>
      </c>
      <c r="BJ44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40" s="59"/>
      <c r="BL440" s="59"/>
      <c r="BM440" s="63"/>
      <c r="BN440" s="63"/>
      <c r="BO440" s="96"/>
      <c r="BP440" s="96"/>
      <c r="BQ440" s="75">
        <f>LEN(Tabelle32[[#This Row],[Label 1
GFX-Unit]])</f>
        <v>0</v>
      </c>
      <c r="BR440" s="63"/>
      <c r="BS440" s="63"/>
      <c r="BT440" s="59"/>
      <c r="BU440" s="59"/>
      <c r="BV440" s="59" t="s">
        <v>260</v>
      </c>
      <c r="BW440" s="59" t="s">
        <v>261</v>
      </c>
      <c r="BX440" s="59" t="s">
        <v>893</v>
      </c>
      <c r="BY440" s="59">
        <v>21</v>
      </c>
    </row>
    <row r="441" spans="1:77" hidden="1" x14ac:dyDescent="0.2">
      <c r="A441" s="58" t="str">
        <f>CONCATENATE(Tabelle32[[#This Row],[Device ID]],".",Tabelle32[[#This Row],[Streamcounter]])</f>
        <v>398.21215</v>
      </c>
      <c r="B44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VGW-103_SDI21_AUDrec_0015</v>
      </c>
      <c r="C441" s="60"/>
      <c r="D441" s="61"/>
      <c r="E441" s="62"/>
      <c r="F441" s="59" t="str">
        <f>IFERROR(VLOOKUP(Tabelle32[[#This Row],[Device ID]],BOM!$B$3:$BQ$35,16,FALSE),"")</f>
        <v>EditPC-07 IN</v>
      </c>
      <c r="G441" s="63">
        <f>VLOOKUP(Tabelle32[[#This Row],[SDI Interface]],BOM!$A$4:$B$35,2,FALSE)</f>
        <v>398</v>
      </c>
      <c r="H441" s="59" t="str">
        <f>BOM!$C$4</f>
        <v>VGW-103</v>
      </c>
      <c r="I441" s="59" t="str">
        <f>IFERROR(VLOOKUP(Tabelle32[[#This Row],[Device ID]],BOM!$B$3:$BQ$35,12,FALSE),"")</f>
        <v>Edit Suite</v>
      </c>
      <c r="J441" s="59" t="str">
        <f>IFERROR(VLOOKUP(Tabelle32[[#This Row],[Device ID]],BOM!$B$3:$BQ$35,13,FALSE),"")</f>
        <v>TC.U1.223 | MDC</v>
      </c>
      <c r="K441" s="59" t="str">
        <f>IFERROR(VLOOKUP(Tabelle32[[#This Row],[Device ID]],BOM!$B$3:$BQ$35,14,FALSE),"")</f>
        <v>Imagine Comunications</v>
      </c>
      <c r="L441" s="59" t="str">
        <f>IFERROR(VLOOKUP(Tabelle32[[#This Row],[Device ID]],BOM!$B$3:$BQ$35,16,FALSE),"")</f>
        <v>EditPC-07 IN</v>
      </c>
      <c r="M441" s="63" t="str">
        <f>IFERROR(VLOOKUP(Tabelle32[[#This Row],[Device ID]],BOM!$B$3:$BQ$35,17,FALSE),"")</f>
        <v>EDIT SUITE 07</v>
      </c>
      <c r="N441" s="59" t="str">
        <f>IFERROR(VLOOKUP(Tabelle32[[#This Row],[Device ID]],BOM!$B$3:$BQ$35,18,FALSE),"")</f>
        <v>TC.03.087 | Edit 07</v>
      </c>
      <c r="O441" s="64"/>
      <c r="P441" s="64">
        <f>IFERROR(VLOOKUP(Tabelle32[[#This Row],[Device ID]],BOM!$B$3:$BO$50,20,FALSE),"")</f>
        <v>0</v>
      </c>
      <c r="Q441" s="64">
        <f>IFERROR(VLOOKUP(Tabelle32[[#This Row],[Device ID]],BOM!$B$3:$BO$50,21,FALSE),"")</f>
        <v>1</v>
      </c>
      <c r="R441" s="64">
        <f>IFERROR(VLOOKUP(Tabelle32[[#This Row],[Device ID]],BOM!$B$3:$BO$50,22,FALSE),"")</f>
        <v>0</v>
      </c>
      <c r="S441" s="64"/>
      <c r="T441" s="64"/>
      <c r="U441" s="59" t="str">
        <f>IFERROR(VLOOKUP(Tabelle32[[#This Row],[Device ID]],BOM!$B$3:$BQ$35,25,FALSE),"")</f>
        <v>Luis/Ivo</v>
      </c>
      <c r="V441" s="59" t="str">
        <f>IFERROR(VLOOKUP(Tabelle32[[#This Row],[Device ID]],BOM!$B$3:$BQ$35,26,FALSE),"")</f>
        <v>tpco-megw-vgw103.rta.st-net.media.int</v>
      </c>
      <c r="W441" s="59" t="str">
        <f>IFERROR(VLOOKUP(Tabelle32[[#This Row],[Device ID]],BOM!$B$3:$BQ$35,27,FALSE),"")</f>
        <v>10.120.236.50</v>
      </c>
      <c r="X441" s="59" t="str">
        <f>IFERROR(VLOOKUP(Tabelle32[[#This Row],[Device ID]],BOM!$B$3:$BQ$35,28,FALSE),"")</f>
        <v>AVCoreA</v>
      </c>
      <c r="Y441" s="59" t="str">
        <f>IFERROR(VLOOKUP(Tabelle32[[#This Row],[Device ID]],BOM!$B$3:$BQ$35,29,FALSE),"")</f>
        <v>5_36_1</v>
      </c>
      <c r="Z441" s="59" t="str">
        <f>IFERROR(VLOOKUP(Tabelle32[[#This Row],[Device ID]],BOM!$B$3:$BQ$35,30,FALSE),"")</f>
        <v>tpco-megw-vgw103.rtb.st-net.media.int</v>
      </c>
      <c r="AA441" s="59" t="str">
        <f>IFERROR(VLOOKUP(Tabelle32[[#This Row],[Device ID]],BOM!$B$3:$BQ$35,31,FALSE),"")</f>
        <v>10.120.236.54</v>
      </c>
      <c r="AB441" s="59" t="str">
        <f>IFERROR(VLOOKUP(Tabelle32[[#This Row],[Device ID]],BOM!$B$3:$BQ$35,32,FALSE),"")</f>
        <v>AVCoreB</v>
      </c>
      <c r="AC441" s="59" t="str">
        <f>IFERROR(VLOOKUP(Tabelle32[[#This Row],[Device ID]],BOM!$B$3:$BQ$35,33,FALSE),"")</f>
        <v>5_36_1</v>
      </c>
      <c r="AD441" s="59" t="str">
        <f>IFERROR(VLOOKUP(Tabelle32[[#This Row],[Device ID]],BOM!$B$3:$BQ$35,34,FALSE),"")</f>
        <v>tpco-megw-vgw103.st-net.media.int</v>
      </c>
      <c r="AE441" s="59" t="str">
        <f>IFERROR(VLOOKUP(Tabelle32[[#This Row],[Device ID]],BOM!$B$3:$BQ$35,35,FALSE),"")</f>
        <v>10.120.67.141</v>
      </c>
      <c r="AF441" s="59">
        <f>IFERROR(VLOOKUP(Tabelle32[[#This Row],[Device ID]],BOM!$B$3:$BQ$35,36,FALSE),"")</f>
        <v>0</v>
      </c>
      <c r="AG441" s="59">
        <f>IFERROR(VLOOKUP(Tabelle32[[#This Row],[Device ID]],BOM!$B$3:$BQ$35,37,FALSE),"")</f>
        <v>0</v>
      </c>
      <c r="AH441" s="59"/>
      <c r="AI441" s="59"/>
      <c r="AJ441" s="59"/>
      <c r="AK441" s="59"/>
      <c r="AL441" s="59" t="str">
        <f>IFERROR(VLOOKUP(Tabelle32[[#This Row],[Device ID]],BOM!$B$3:$BQ$35,42,FALSE),"")</f>
        <v>Imagine Communications SNP</v>
      </c>
      <c r="AM441" s="59" t="str">
        <f>IFERROR(VLOOKUP(Tabelle32[[#This Row],[Device ID]],BOM!$B$3:$BQ$35,43,FALSE),"")</f>
        <v>no</v>
      </c>
      <c r="AN441" s="59" t="str">
        <f>IFERROR(VLOOKUP(Tabelle32[[#This Row],[Device ID]],BOM!$B$3:$BQ$35,44,FALSE),"")</f>
        <v>yes</v>
      </c>
      <c r="AO441" s="59" t="str">
        <f>IFERROR(VLOOKUP(Tabelle32[[#This Row],[Device ID]],BOM!$B$3:$BQ$35,45,FALSE),"")</f>
        <v>no</v>
      </c>
      <c r="AP441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41" s="59"/>
      <c r="AR441" s="90"/>
      <c r="AS441" s="90"/>
      <c r="AT441" s="90"/>
      <c r="AU441" s="90"/>
      <c r="AV441" s="90"/>
      <c r="AW441" s="90"/>
      <c r="AX441" s="90"/>
      <c r="AY441" s="90"/>
      <c r="AZ441" s="90"/>
      <c r="BA441" s="90"/>
      <c r="BB441" s="90"/>
      <c r="BC441" s="90"/>
      <c r="BD441" s="90"/>
      <c r="BE441" s="90"/>
      <c r="BF441" s="90"/>
      <c r="BG441" s="90"/>
      <c r="BH441" s="73" t="s">
        <v>199</v>
      </c>
      <c r="BI441" s="30" t="str">
        <f>IF(COUNTA(Tabelle32[[#This Row],[Type:Vid_1080i50]:[Type:Anc_Prot]])&gt;0,"x","")</f>
        <v/>
      </c>
      <c r="BJ44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41" s="59"/>
      <c r="BL441" s="59"/>
      <c r="BM441" s="63"/>
      <c r="BN441" s="63"/>
      <c r="BO441" s="96"/>
      <c r="BP441" s="96"/>
      <c r="BQ441" s="75">
        <f>LEN(Tabelle32[[#This Row],[Label 1
GFX-Unit]])</f>
        <v>0</v>
      </c>
      <c r="BR441" s="63"/>
      <c r="BS441" s="63"/>
      <c r="BT441" s="59"/>
      <c r="BU441" s="59"/>
      <c r="BV441" s="59" t="s">
        <v>264</v>
      </c>
      <c r="BW441" s="59" t="s">
        <v>265</v>
      </c>
      <c r="BX441" s="59" t="s">
        <v>894</v>
      </c>
      <c r="BY441" s="59">
        <v>21</v>
      </c>
    </row>
    <row r="442" spans="1:77" hidden="1" x14ac:dyDescent="0.2">
      <c r="A442" s="58" t="str">
        <f>CONCATENATE(Tabelle32[[#This Row],[Device ID]],".",Tabelle32[[#This Row],[Streamcounter]])</f>
        <v>398.21216</v>
      </c>
      <c r="B44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VGW-103_SDI21_AUDrec_0016</v>
      </c>
      <c r="C442" s="60"/>
      <c r="D442" s="61"/>
      <c r="E442" s="62"/>
      <c r="F442" s="59" t="str">
        <f>IFERROR(VLOOKUP(Tabelle32[[#This Row],[Device ID]],BOM!$B$3:$BQ$35,16,FALSE),"")</f>
        <v>EditPC-07 IN</v>
      </c>
      <c r="G442" s="63">
        <f>VLOOKUP(Tabelle32[[#This Row],[SDI Interface]],BOM!$A$4:$B$35,2,FALSE)</f>
        <v>398</v>
      </c>
      <c r="H442" s="59" t="str">
        <f>BOM!$C$4</f>
        <v>VGW-103</v>
      </c>
      <c r="I442" s="59" t="str">
        <f>IFERROR(VLOOKUP(Tabelle32[[#This Row],[Device ID]],BOM!$B$3:$BQ$35,12,FALSE),"")</f>
        <v>Edit Suite</v>
      </c>
      <c r="J442" s="59" t="str">
        <f>IFERROR(VLOOKUP(Tabelle32[[#This Row],[Device ID]],BOM!$B$3:$BQ$35,13,FALSE),"")</f>
        <v>TC.U1.223 | MDC</v>
      </c>
      <c r="K442" s="59" t="str">
        <f>IFERROR(VLOOKUP(Tabelle32[[#This Row],[Device ID]],BOM!$B$3:$BQ$35,14,FALSE),"")</f>
        <v>Imagine Comunications</v>
      </c>
      <c r="L442" s="59" t="str">
        <f>IFERROR(VLOOKUP(Tabelle32[[#This Row],[Device ID]],BOM!$B$3:$BQ$35,16,FALSE),"")</f>
        <v>EditPC-07 IN</v>
      </c>
      <c r="M442" s="63" t="str">
        <f>IFERROR(VLOOKUP(Tabelle32[[#This Row],[Device ID]],BOM!$B$3:$BQ$35,17,FALSE),"")</f>
        <v>EDIT SUITE 07</v>
      </c>
      <c r="N442" s="59" t="str">
        <f>IFERROR(VLOOKUP(Tabelle32[[#This Row],[Device ID]],BOM!$B$3:$BQ$35,18,FALSE),"")</f>
        <v>TC.03.087 | Edit 07</v>
      </c>
      <c r="O442" s="64"/>
      <c r="P442" s="64">
        <f>IFERROR(VLOOKUP(Tabelle32[[#This Row],[Device ID]],BOM!$B$3:$BO$50,20,FALSE),"")</f>
        <v>0</v>
      </c>
      <c r="Q442" s="64">
        <f>IFERROR(VLOOKUP(Tabelle32[[#This Row],[Device ID]],BOM!$B$3:$BO$50,21,FALSE),"")</f>
        <v>1</v>
      </c>
      <c r="R442" s="64">
        <f>IFERROR(VLOOKUP(Tabelle32[[#This Row],[Device ID]],BOM!$B$3:$BO$50,22,FALSE),"")</f>
        <v>0</v>
      </c>
      <c r="S442" s="64"/>
      <c r="T442" s="64"/>
      <c r="U442" s="59" t="str">
        <f>IFERROR(VLOOKUP(Tabelle32[[#This Row],[Device ID]],BOM!$B$3:$BQ$35,25,FALSE),"")</f>
        <v>Luis/Ivo</v>
      </c>
      <c r="V442" s="59" t="str">
        <f>IFERROR(VLOOKUP(Tabelle32[[#This Row],[Device ID]],BOM!$B$3:$BQ$35,26,FALSE),"")</f>
        <v>tpco-megw-vgw103.rta.st-net.media.int</v>
      </c>
      <c r="W442" s="59" t="str">
        <f>IFERROR(VLOOKUP(Tabelle32[[#This Row],[Device ID]],BOM!$B$3:$BQ$35,27,FALSE),"")</f>
        <v>10.120.236.50</v>
      </c>
      <c r="X442" s="59" t="str">
        <f>IFERROR(VLOOKUP(Tabelle32[[#This Row],[Device ID]],BOM!$B$3:$BQ$35,28,FALSE),"")</f>
        <v>AVCoreA</v>
      </c>
      <c r="Y442" s="59" t="str">
        <f>IFERROR(VLOOKUP(Tabelle32[[#This Row],[Device ID]],BOM!$B$3:$BQ$35,29,FALSE),"")</f>
        <v>5_36_1</v>
      </c>
      <c r="Z442" s="59" t="str">
        <f>IFERROR(VLOOKUP(Tabelle32[[#This Row],[Device ID]],BOM!$B$3:$BQ$35,30,FALSE),"")</f>
        <v>tpco-megw-vgw103.rtb.st-net.media.int</v>
      </c>
      <c r="AA442" s="59" t="str">
        <f>IFERROR(VLOOKUP(Tabelle32[[#This Row],[Device ID]],BOM!$B$3:$BQ$35,31,FALSE),"")</f>
        <v>10.120.236.54</v>
      </c>
      <c r="AB442" s="59" t="str">
        <f>IFERROR(VLOOKUP(Tabelle32[[#This Row],[Device ID]],BOM!$B$3:$BQ$35,32,FALSE),"")</f>
        <v>AVCoreB</v>
      </c>
      <c r="AC442" s="59" t="str">
        <f>IFERROR(VLOOKUP(Tabelle32[[#This Row],[Device ID]],BOM!$B$3:$BQ$35,33,FALSE),"")</f>
        <v>5_36_1</v>
      </c>
      <c r="AD442" s="59" t="str">
        <f>IFERROR(VLOOKUP(Tabelle32[[#This Row],[Device ID]],BOM!$B$3:$BQ$35,34,FALSE),"")</f>
        <v>tpco-megw-vgw103.st-net.media.int</v>
      </c>
      <c r="AE442" s="59" t="str">
        <f>IFERROR(VLOOKUP(Tabelle32[[#This Row],[Device ID]],BOM!$B$3:$BQ$35,35,FALSE),"")</f>
        <v>10.120.67.141</v>
      </c>
      <c r="AF442" s="59">
        <f>IFERROR(VLOOKUP(Tabelle32[[#This Row],[Device ID]],BOM!$B$3:$BQ$35,36,FALSE),"")</f>
        <v>0</v>
      </c>
      <c r="AG442" s="59">
        <f>IFERROR(VLOOKUP(Tabelle32[[#This Row],[Device ID]],BOM!$B$3:$BQ$35,37,FALSE),"")</f>
        <v>0</v>
      </c>
      <c r="AH442" s="59"/>
      <c r="AI442" s="59"/>
      <c r="AJ442" s="59"/>
      <c r="AK442" s="59"/>
      <c r="AL442" s="59" t="str">
        <f>IFERROR(VLOOKUP(Tabelle32[[#This Row],[Device ID]],BOM!$B$3:$BQ$35,42,FALSE),"")</f>
        <v>Imagine Communications SNP</v>
      </c>
      <c r="AM442" s="59" t="str">
        <f>IFERROR(VLOOKUP(Tabelle32[[#This Row],[Device ID]],BOM!$B$3:$BQ$35,43,FALSE),"")</f>
        <v>no</v>
      </c>
      <c r="AN442" s="59" t="str">
        <f>IFERROR(VLOOKUP(Tabelle32[[#This Row],[Device ID]],BOM!$B$3:$BQ$35,44,FALSE),"")</f>
        <v>yes</v>
      </c>
      <c r="AO442" s="59" t="str">
        <f>IFERROR(VLOOKUP(Tabelle32[[#This Row],[Device ID]],BOM!$B$3:$BQ$35,45,FALSE),"")</f>
        <v>no</v>
      </c>
      <c r="AP442" s="59" t="str">
        <f>IFERROR(CONCATENATE(Tabelle32[[#This Row],[Family
GFX-Unit]]," | ",Tabelle32[[#This Row],[Label 1
GFX-Unit]]," | ",Tabelle32[[#This Row],[Attached Device if Gateway]]),"")</f>
        <v xml:space="preserve"> |  | EditPC-07 IN</v>
      </c>
      <c r="AQ442" s="59"/>
      <c r="AR442" s="90"/>
      <c r="AS442" s="90"/>
      <c r="AT442" s="90"/>
      <c r="AU442" s="90"/>
      <c r="AV442" s="90"/>
      <c r="AW442" s="90"/>
      <c r="AX442" s="90"/>
      <c r="AY442" s="90"/>
      <c r="AZ442" s="90"/>
      <c r="BA442" s="90"/>
      <c r="BB442" s="90"/>
      <c r="BC442" s="90"/>
      <c r="BD442" s="90"/>
      <c r="BE442" s="90"/>
      <c r="BF442" s="90"/>
      <c r="BG442" s="90"/>
      <c r="BH442" s="73" t="s">
        <v>199</v>
      </c>
      <c r="BI442" s="30" t="str">
        <f>IF(COUNTA(Tabelle32[[#This Row],[Type:Vid_1080i50]:[Type:Anc_Prot]])&gt;0,"x","")</f>
        <v/>
      </c>
      <c r="BJ44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42" s="59"/>
      <c r="BL442" s="59"/>
      <c r="BM442" s="63"/>
      <c r="BN442" s="63"/>
      <c r="BO442" s="96"/>
      <c r="BP442" s="96"/>
      <c r="BQ442" s="75">
        <f>LEN(Tabelle32[[#This Row],[Label 1
GFX-Unit]])</f>
        <v>0</v>
      </c>
      <c r="BR442" s="63"/>
      <c r="BS442" s="63"/>
      <c r="BT442" s="59"/>
      <c r="BU442" s="59"/>
      <c r="BV442" s="59" t="s">
        <v>268</v>
      </c>
      <c r="BW442" s="59" t="s">
        <v>269</v>
      </c>
      <c r="BX442" s="59" t="s">
        <v>895</v>
      </c>
      <c r="BY442" s="59">
        <v>21</v>
      </c>
    </row>
    <row r="443" spans="1:77" x14ac:dyDescent="0.2">
      <c r="A443" s="58" t="str">
        <f>CONCATENATE(Tabelle32[[#This Row],[Device ID]],".",Tabelle32[[#This Row],[Streamcounter]])</f>
        <v>398.21101</v>
      </c>
      <c r="B44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VGW-103_SDI21_VIDrec_0001</v>
      </c>
      <c r="C443" s="60"/>
      <c r="D443" s="61"/>
      <c r="E443" s="62"/>
      <c r="F443" s="59" t="str">
        <f>IFERROR(VLOOKUP(Tabelle32[[#This Row],[Device ID]],BOM!$B$3:$BQ$35,16,FALSE),"")</f>
        <v>EditPC-07 IN</v>
      </c>
      <c r="G443" s="63">
        <f>VLOOKUP(Tabelle32[[#This Row],[SDI Interface]],BOM!$A$4:$B$35,2,FALSE)</f>
        <v>398</v>
      </c>
      <c r="H443" s="59" t="str">
        <f>BOM!$C$4</f>
        <v>VGW-103</v>
      </c>
      <c r="I443" s="59" t="str">
        <f>IFERROR(VLOOKUP(Tabelle32[[#This Row],[Device ID]],BOM!$B$3:$BQ$35,12,FALSE),"")</f>
        <v>Edit Suite</v>
      </c>
      <c r="J443" s="59" t="str">
        <f>IFERROR(VLOOKUP(Tabelle32[[#This Row],[Device ID]],BOM!$B$3:$BQ$35,13,FALSE),"")</f>
        <v>TC.U1.223 | MDC</v>
      </c>
      <c r="K443" s="59" t="str">
        <f>IFERROR(VLOOKUP(Tabelle32[[#This Row],[Device ID]],BOM!$B$3:$BQ$35,14,FALSE),"")</f>
        <v>Imagine Comunications</v>
      </c>
      <c r="L443" s="59" t="str">
        <f>IFERROR(VLOOKUP(Tabelle32[[#This Row],[Device ID]],BOM!$B$3:$BQ$35,16,FALSE),"")</f>
        <v>EditPC-07 IN</v>
      </c>
      <c r="M443" s="63" t="str">
        <f>IFERROR(VLOOKUP(Tabelle32[[#This Row],[Device ID]],BOM!$B$3:$BQ$35,17,FALSE),"")</f>
        <v>EDIT SUITE 07</v>
      </c>
      <c r="N443" s="59" t="str">
        <f>IFERROR(VLOOKUP(Tabelle32[[#This Row],[Device ID]],BOM!$B$3:$BQ$35,18,FALSE),"")</f>
        <v>TC.03.087 | Edit 07</v>
      </c>
      <c r="O443" s="64"/>
      <c r="P443" s="64">
        <f>IFERROR(VLOOKUP(Tabelle32[[#This Row],[Device ID]],BOM!$B$3:$BO$50,20,FALSE),"")</f>
        <v>0</v>
      </c>
      <c r="Q443" s="64">
        <f>IFERROR(VLOOKUP(Tabelle32[[#This Row],[Device ID]],BOM!$B$3:$BO$50,21,FALSE),"")</f>
        <v>1</v>
      </c>
      <c r="R443" s="64">
        <f>IFERROR(VLOOKUP(Tabelle32[[#This Row],[Device ID]],BOM!$B$3:$BO$50,22,FALSE),"")</f>
        <v>0</v>
      </c>
      <c r="S443" s="64"/>
      <c r="T443" s="64"/>
      <c r="U443" s="59" t="str">
        <f>IFERROR(VLOOKUP(Tabelle32[[#This Row],[Device ID]],BOM!$B$3:$BQ$35,25,FALSE),"")</f>
        <v>Luis/Ivo</v>
      </c>
      <c r="V443" s="59" t="str">
        <f>IFERROR(VLOOKUP(Tabelle32[[#This Row],[Device ID]],BOM!$B$3:$BQ$35,26,FALSE),"")</f>
        <v>tpco-megw-vgw103.rta.st-net.media.int</v>
      </c>
      <c r="W443" s="59" t="str">
        <f>IFERROR(VLOOKUP(Tabelle32[[#This Row],[Device ID]],BOM!$B$3:$BQ$35,27,FALSE),"")</f>
        <v>10.120.236.50</v>
      </c>
      <c r="X443" s="59" t="str">
        <f>IFERROR(VLOOKUP(Tabelle32[[#This Row],[Device ID]],BOM!$B$3:$BQ$35,28,FALSE),"")</f>
        <v>AVCoreA</v>
      </c>
      <c r="Y443" s="59" t="str">
        <f>IFERROR(VLOOKUP(Tabelle32[[#This Row],[Device ID]],BOM!$B$3:$BQ$35,29,FALSE),"")</f>
        <v>5_36_1</v>
      </c>
      <c r="Z443" s="59" t="str">
        <f>IFERROR(VLOOKUP(Tabelle32[[#This Row],[Device ID]],BOM!$B$3:$BQ$35,30,FALSE),"")</f>
        <v>tpco-megw-vgw103.rtb.st-net.media.int</v>
      </c>
      <c r="AA443" s="59" t="str">
        <f>IFERROR(VLOOKUP(Tabelle32[[#This Row],[Device ID]],BOM!$B$3:$BQ$35,31,FALSE),"")</f>
        <v>10.120.236.54</v>
      </c>
      <c r="AB443" s="59" t="str">
        <f>IFERROR(VLOOKUP(Tabelle32[[#This Row],[Device ID]],BOM!$B$3:$BQ$35,32,FALSE),"")</f>
        <v>AVCoreB</v>
      </c>
      <c r="AC443" s="59" t="str">
        <f>IFERROR(VLOOKUP(Tabelle32[[#This Row],[Device ID]],BOM!$B$3:$BQ$35,33,FALSE),"")</f>
        <v>5_36_1</v>
      </c>
      <c r="AD443" s="59" t="str">
        <f>IFERROR(VLOOKUP(Tabelle32[[#This Row],[Device ID]],BOM!$B$3:$BQ$35,34,FALSE),"")</f>
        <v>tpco-megw-vgw103.st-net.media.int</v>
      </c>
      <c r="AE443" s="59" t="str">
        <f>IFERROR(VLOOKUP(Tabelle32[[#This Row],[Device ID]],BOM!$B$3:$BQ$35,35,FALSE),"")</f>
        <v>10.120.67.141</v>
      </c>
      <c r="AF443" s="59">
        <f>IFERROR(VLOOKUP(Tabelle32[[#This Row],[Device ID]],BOM!$B$3:$BQ$35,36,FALSE),"")</f>
        <v>0</v>
      </c>
      <c r="AG443" s="59">
        <f>IFERROR(VLOOKUP(Tabelle32[[#This Row],[Device ID]],BOM!$B$3:$BQ$35,37,FALSE),"")</f>
        <v>0</v>
      </c>
      <c r="AH443" s="59"/>
      <c r="AI443" s="59"/>
      <c r="AJ443" s="59"/>
      <c r="AK443" s="59"/>
      <c r="AL443" s="59" t="str">
        <f>IFERROR(VLOOKUP(Tabelle32[[#This Row],[Device ID]],BOM!$B$3:$BQ$35,42,FALSE),"")</f>
        <v>Imagine Communications SNP</v>
      </c>
      <c r="AM443" s="59" t="str">
        <f>IFERROR(VLOOKUP(Tabelle32[[#This Row],[Device ID]],BOM!$B$3:$BQ$35,43,FALSE),"")</f>
        <v>no</v>
      </c>
      <c r="AN443" s="59" t="str">
        <f>IFERROR(VLOOKUP(Tabelle32[[#This Row],[Device ID]],BOM!$B$3:$BQ$35,44,FALSE),"")</f>
        <v>yes</v>
      </c>
      <c r="AO443" s="59" t="str">
        <f>IFERROR(VLOOKUP(Tabelle32[[#This Row],[Device ID]],BOM!$B$3:$BQ$35,45,FALSE),"")</f>
        <v>no</v>
      </c>
      <c r="AP443" s="59" t="str">
        <f>IFERROR(CONCATENATE(Tabelle32[[#This Row],[Family
GFX-Unit]]," | ",Tabelle32[[#This Row],[Label 1
GFX-Unit]]," | ",Tabelle32[[#This Row],[Attached Device if Gateway]]),"")</f>
        <v>MEDEM Edit07 | In Edit07 | EditPC-07 IN</v>
      </c>
      <c r="AQ443" s="59"/>
      <c r="AR443" s="96" t="s">
        <v>97</v>
      </c>
      <c r="AS443" s="96" t="s">
        <v>97</v>
      </c>
      <c r="AT443" s="96" t="s">
        <v>97</v>
      </c>
      <c r="AU443" s="96"/>
      <c r="AV443" s="96" t="s">
        <v>97</v>
      </c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73" t="s">
        <v>199</v>
      </c>
      <c r="BI443" s="30" t="str">
        <f>IF(COUNTA(Tabelle32[[#This Row],[Type:Vid_1080i50]:[Type:Anc_Prot]])&gt;0,"x","")</f>
        <v>x</v>
      </c>
      <c r="BJ44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443" s="59"/>
      <c r="BL443" s="59"/>
      <c r="BM443" s="63"/>
      <c r="BN443" s="63"/>
      <c r="BO443" s="97" t="s">
        <v>865</v>
      </c>
      <c r="BP443" s="97" t="s">
        <v>896</v>
      </c>
      <c r="BQ443" s="75">
        <f>LEN(Tabelle32[[#This Row],[Label 1
GFX-Unit]])</f>
        <v>9</v>
      </c>
      <c r="BR443" s="63"/>
      <c r="BS443" s="63"/>
      <c r="BT443" s="59"/>
      <c r="BU443" s="59"/>
      <c r="BV443" s="59" t="s">
        <v>272</v>
      </c>
      <c r="BW443" s="59" t="s">
        <v>273</v>
      </c>
      <c r="BX443" s="59" t="s">
        <v>897</v>
      </c>
      <c r="BY443" s="59">
        <v>21</v>
      </c>
    </row>
    <row r="444" spans="1:77" x14ac:dyDescent="0.2">
      <c r="A444" s="58" t="str">
        <f>CONCATENATE(Tabelle32[[#This Row],[Device ID]],".",Tabelle32[[#This Row],[Streamcounter]])</f>
        <v>399.22301</v>
      </c>
      <c r="B44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VGW-103_SDI22_ANCrec_0001</v>
      </c>
      <c r="C444" s="60"/>
      <c r="D444" s="61"/>
      <c r="E444" s="62"/>
      <c r="F444" s="59" t="str">
        <f>IFERROR(VLOOKUP(Tabelle32[[#This Row],[Device ID]],BOM!$B$3:$BQ$35,16,FALSE),"")</f>
        <v>EditPC-08 IN</v>
      </c>
      <c r="G444" s="63">
        <f>VLOOKUP(Tabelle32[[#This Row],[SDI Interface]],BOM!$A$4:$B$35,2,FALSE)</f>
        <v>399</v>
      </c>
      <c r="H444" s="59" t="str">
        <f>BOM!$C$4</f>
        <v>VGW-103</v>
      </c>
      <c r="I444" s="59" t="str">
        <f>IFERROR(VLOOKUP(Tabelle32[[#This Row],[Device ID]],BOM!$B$3:$BQ$35,12,FALSE),"")</f>
        <v>Edit Suite</v>
      </c>
      <c r="J444" s="59" t="str">
        <f>IFERROR(VLOOKUP(Tabelle32[[#This Row],[Device ID]],BOM!$B$3:$BQ$35,13,FALSE),"")</f>
        <v>TC.U1.223 | MDC</v>
      </c>
      <c r="K444" s="59" t="str">
        <f>IFERROR(VLOOKUP(Tabelle32[[#This Row],[Device ID]],BOM!$B$3:$BQ$35,14,FALSE),"")</f>
        <v>Imagine Comunications</v>
      </c>
      <c r="L444" s="59" t="str">
        <f>IFERROR(VLOOKUP(Tabelle32[[#This Row],[Device ID]],BOM!$B$3:$BQ$35,16,FALSE),"")</f>
        <v>EditPC-08 IN</v>
      </c>
      <c r="M444" s="63" t="str">
        <f>IFERROR(VLOOKUP(Tabelle32[[#This Row],[Device ID]],BOM!$B$3:$BQ$35,17,FALSE),"")</f>
        <v>EDIT SUITE 08</v>
      </c>
      <c r="N444" s="59" t="str">
        <f>IFERROR(VLOOKUP(Tabelle32[[#This Row],[Device ID]],BOM!$B$3:$BQ$35,18,FALSE),"")</f>
        <v>TC.03.068 | Edit 08</v>
      </c>
      <c r="O444" s="64"/>
      <c r="P444" s="64">
        <f>IFERROR(VLOOKUP(Tabelle32[[#This Row],[Device ID]],BOM!$B$3:$BO$50,20,FALSE),"")</f>
        <v>0</v>
      </c>
      <c r="Q444" s="64">
        <f>IFERROR(VLOOKUP(Tabelle32[[#This Row],[Device ID]],BOM!$B$3:$BO$50,21,FALSE),"")</f>
        <v>1</v>
      </c>
      <c r="R444" s="64">
        <f>IFERROR(VLOOKUP(Tabelle32[[#This Row],[Device ID]],BOM!$B$3:$BO$50,22,FALSE),"")</f>
        <v>0</v>
      </c>
      <c r="S444" s="64"/>
      <c r="T444" s="64"/>
      <c r="U444" s="59" t="str">
        <f>IFERROR(VLOOKUP(Tabelle32[[#This Row],[Device ID]],BOM!$B$3:$BQ$35,25,FALSE),"")</f>
        <v>Luis/Ivo</v>
      </c>
      <c r="V444" s="59" t="str">
        <f>IFERROR(VLOOKUP(Tabelle32[[#This Row],[Device ID]],BOM!$B$3:$BQ$35,26,FALSE),"")</f>
        <v>tpco-megw-vgw103.rta.st-net.media.int</v>
      </c>
      <c r="W444" s="59" t="str">
        <f>IFERROR(VLOOKUP(Tabelle32[[#This Row],[Device ID]],BOM!$B$3:$BQ$35,27,FALSE),"")</f>
        <v>10.120.236.50</v>
      </c>
      <c r="X444" s="59" t="str">
        <f>IFERROR(VLOOKUP(Tabelle32[[#This Row],[Device ID]],BOM!$B$3:$BQ$35,28,FALSE),"")</f>
        <v>AVCoreA</v>
      </c>
      <c r="Y444" s="59" t="str">
        <f>IFERROR(VLOOKUP(Tabelle32[[#This Row],[Device ID]],BOM!$B$3:$BQ$35,29,FALSE),"")</f>
        <v>5_36_1</v>
      </c>
      <c r="Z444" s="59" t="str">
        <f>IFERROR(VLOOKUP(Tabelle32[[#This Row],[Device ID]],BOM!$B$3:$BQ$35,30,FALSE),"")</f>
        <v>tpco-megw-vgw103.rtb.st-net.media.int</v>
      </c>
      <c r="AA444" s="59" t="str">
        <f>IFERROR(VLOOKUP(Tabelle32[[#This Row],[Device ID]],BOM!$B$3:$BQ$35,31,FALSE),"")</f>
        <v>10.120.236.54</v>
      </c>
      <c r="AB444" s="59" t="str">
        <f>IFERROR(VLOOKUP(Tabelle32[[#This Row],[Device ID]],BOM!$B$3:$BQ$35,32,FALSE),"")</f>
        <v>AVCoreB</v>
      </c>
      <c r="AC444" s="59" t="str">
        <f>IFERROR(VLOOKUP(Tabelle32[[#This Row],[Device ID]],BOM!$B$3:$BQ$35,33,FALSE),"")</f>
        <v>5_36_1</v>
      </c>
      <c r="AD444" s="59" t="str">
        <f>IFERROR(VLOOKUP(Tabelle32[[#This Row],[Device ID]],BOM!$B$3:$BQ$35,34,FALSE),"")</f>
        <v>tpco-megw-vgw103.st-net.media.int</v>
      </c>
      <c r="AE444" s="59" t="str">
        <f>IFERROR(VLOOKUP(Tabelle32[[#This Row],[Device ID]],BOM!$B$3:$BQ$35,35,FALSE),"")</f>
        <v>10.120.67.141</v>
      </c>
      <c r="AF444" s="59">
        <f>IFERROR(VLOOKUP(Tabelle32[[#This Row],[Device ID]],BOM!$B$3:$BQ$35,36,FALSE),"")</f>
        <v>0</v>
      </c>
      <c r="AG444" s="59">
        <f>IFERROR(VLOOKUP(Tabelle32[[#This Row],[Device ID]],BOM!$B$3:$BQ$35,37,FALSE),"")</f>
        <v>0</v>
      </c>
      <c r="AH444" s="59"/>
      <c r="AI444" s="59"/>
      <c r="AJ444" s="59"/>
      <c r="AK444" s="59"/>
      <c r="AL444" s="59" t="str">
        <f>IFERROR(VLOOKUP(Tabelle32[[#This Row],[Device ID]],BOM!$B$3:$BQ$35,42,FALSE),"")</f>
        <v>Imagine Communications SNP</v>
      </c>
      <c r="AM444" s="59" t="str">
        <f>IFERROR(VLOOKUP(Tabelle32[[#This Row],[Device ID]],BOM!$B$3:$BQ$35,43,FALSE),"")</f>
        <v>no</v>
      </c>
      <c r="AN444" s="59" t="str">
        <f>IFERROR(VLOOKUP(Tabelle32[[#This Row],[Device ID]],BOM!$B$3:$BQ$35,44,FALSE),"")</f>
        <v>yes</v>
      </c>
      <c r="AO444" s="59" t="str">
        <f>IFERROR(VLOOKUP(Tabelle32[[#This Row],[Device ID]],BOM!$B$3:$BQ$35,45,FALSE),"")</f>
        <v>no</v>
      </c>
      <c r="AP444" s="59" t="str">
        <f>IFERROR(CONCATENATE(Tabelle32[[#This Row],[Family
GFX-Unit]]," | ",Tabelle32[[#This Row],[Label 1
GFX-Unit]]," | ",Tabelle32[[#This Row],[Attached Device if Gateway]]),"")</f>
        <v>MEDEM Edit08 | In Edit08-ANC1 | EditPC-08 IN</v>
      </c>
      <c r="AQ444" s="5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 t="s">
        <v>97</v>
      </c>
      <c r="BH444" s="73" t="s">
        <v>199</v>
      </c>
      <c r="BI444" s="30" t="str">
        <f>IF(COUNTA(Tabelle32[[#This Row],[Type:Vid_1080i50]:[Type:Anc_Prot]])&gt;0,"x","")</f>
        <v>x</v>
      </c>
      <c r="BJ44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444" s="59"/>
      <c r="BL444" s="59"/>
      <c r="BM444" s="63"/>
      <c r="BN444" s="63"/>
      <c r="BO444" s="97" t="s">
        <v>898</v>
      </c>
      <c r="BP444" s="97" t="s">
        <v>899</v>
      </c>
      <c r="BQ444" s="75">
        <f>LEN(Tabelle32[[#This Row],[Label 1
GFX-Unit]])</f>
        <v>14</v>
      </c>
      <c r="BR444" s="63"/>
      <c r="BS444" s="63"/>
      <c r="BT444" s="59"/>
      <c r="BU444" s="59"/>
      <c r="BV444" s="59" t="s">
        <v>202</v>
      </c>
      <c r="BW444" s="59" t="s">
        <v>203</v>
      </c>
      <c r="BX444" s="59" t="s">
        <v>900</v>
      </c>
      <c r="BY444" s="59">
        <v>22</v>
      </c>
    </row>
    <row r="445" spans="1:77" hidden="1" x14ac:dyDescent="0.2">
      <c r="A445" s="58" t="str">
        <f>CONCATENATE(Tabelle32[[#This Row],[Device ID]],".",Tabelle32[[#This Row],[Streamcounter]])</f>
        <v>399.22302</v>
      </c>
      <c r="B44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VGW-103_SDI22_ANCrec_0002</v>
      </c>
      <c r="C445" s="60"/>
      <c r="D445" s="61"/>
      <c r="E445" s="62"/>
      <c r="F445" s="59" t="str">
        <f>IFERROR(VLOOKUP(Tabelle32[[#This Row],[Device ID]],BOM!$B$3:$BQ$35,16,FALSE),"")</f>
        <v>EditPC-08 IN</v>
      </c>
      <c r="G445" s="63">
        <f>VLOOKUP(Tabelle32[[#This Row],[SDI Interface]],BOM!$A$4:$B$35,2,FALSE)</f>
        <v>399</v>
      </c>
      <c r="H445" s="59" t="str">
        <f>BOM!$C$4</f>
        <v>VGW-103</v>
      </c>
      <c r="I445" s="59" t="str">
        <f>IFERROR(VLOOKUP(Tabelle32[[#This Row],[Device ID]],BOM!$B$3:$BQ$35,12,FALSE),"")</f>
        <v>Edit Suite</v>
      </c>
      <c r="J445" s="59" t="str">
        <f>IFERROR(VLOOKUP(Tabelle32[[#This Row],[Device ID]],BOM!$B$3:$BQ$35,13,FALSE),"")</f>
        <v>TC.U1.223 | MDC</v>
      </c>
      <c r="K445" s="59" t="str">
        <f>IFERROR(VLOOKUP(Tabelle32[[#This Row],[Device ID]],BOM!$B$3:$BQ$35,14,FALSE),"")</f>
        <v>Imagine Comunications</v>
      </c>
      <c r="L445" s="59" t="str">
        <f>IFERROR(VLOOKUP(Tabelle32[[#This Row],[Device ID]],BOM!$B$3:$BQ$35,16,FALSE),"")</f>
        <v>EditPC-08 IN</v>
      </c>
      <c r="M445" s="63" t="str">
        <f>IFERROR(VLOOKUP(Tabelle32[[#This Row],[Device ID]],BOM!$B$3:$BQ$35,17,FALSE),"")</f>
        <v>EDIT SUITE 08</v>
      </c>
      <c r="N445" s="59" t="str">
        <f>IFERROR(VLOOKUP(Tabelle32[[#This Row],[Device ID]],BOM!$B$3:$BQ$35,18,FALSE),"")</f>
        <v>TC.03.068 | Edit 08</v>
      </c>
      <c r="O445" s="64"/>
      <c r="P445" s="64">
        <f>IFERROR(VLOOKUP(Tabelle32[[#This Row],[Device ID]],BOM!$B$3:$BO$50,20,FALSE),"")</f>
        <v>0</v>
      </c>
      <c r="Q445" s="64">
        <f>IFERROR(VLOOKUP(Tabelle32[[#This Row],[Device ID]],BOM!$B$3:$BO$50,21,FALSE),"")</f>
        <v>1</v>
      </c>
      <c r="R445" s="64">
        <f>IFERROR(VLOOKUP(Tabelle32[[#This Row],[Device ID]],BOM!$B$3:$BO$50,22,FALSE),"")</f>
        <v>0</v>
      </c>
      <c r="S445" s="64"/>
      <c r="T445" s="64"/>
      <c r="U445" s="59" t="str">
        <f>IFERROR(VLOOKUP(Tabelle32[[#This Row],[Device ID]],BOM!$B$3:$BQ$35,25,FALSE),"")</f>
        <v>Luis/Ivo</v>
      </c>
      <c r="V445" s="59" t="str">
        <f>IFERROR(VLOOKUP(Tabelle32[[#This Row],[Device ID]],BOM!$B$3:$BQ$35,26,FALSE),"")</f>
        <v>tpco-megw-vgw103.rta.st-net.media.int</v>
      </c>
      <c r="W445" s="59" t="str">
        <f>IFERROR(VLOOKUP(Tabelle32[[#This Row],[Device ID]],BOM!$B$3:$BQ$35,27,FALSE),"")</f>
        <v>10.120.236.50</v>
      </c>
      <c r="X445" s="59" t="str">
        <f>IFERROR(VLOOKUP(Tabelle32[[#This Row],[Device ID]],BOM!$B$3:$BQ$35,28,FALSE),"")</f>
        <v>AVCoreA</v>
      </c>
      <c r="Y445" s="59" t="str">
        <f>IFERROR(VLOOKUP(Tabelle32[[#This Row],[Device ID]],BOM!$B$3:$BQ$35,29,FALSE),"")</f>
        <v>5_36_1</v>
      </c>
      <c r="Z445" s="59" t="str">
        <f>IFERROR(VLOOKUP(Tabelle32[[#This Row],[Device ID]],BOM!$B$3:$BQ$35,30,FALSE),"")</f>
        <v>tpco-megw-vgw103.rtb.st-net.media.int</v>
      </c>
      <c r="AA445" s="59" t="str">
        <f>IFERROR(VLOOKUP(Tabelle32[[#This Row],[Device ID]],BOM!$B$3:$BQ$35,31,FALSE),"")</f>
        <v>10.120.236.54</v>
      </c>
      <c r="AB445" s="59" t="str">
        <f>IFERROR(VLOOKUP(Tabelle32[[#This Row],[Device ID]],BOM!$B$3:$BQ$35,32,FALSE),"")</f>
        <v>AVCoreB</v>
      </c>
      <c r="AC445" s="59" t="str">
        <f>IFERROR(VLOOKUP(Tabelle32[[#This Row],[Device ID]],BOM!$B$3:$BQ$35,33,FALSE),"")</f>
        <v>5_36_1</v>
      </c>
      <c r="AD445" s="59" t="str">
        <f>IFERROR(VLOOKUP(Tabelle32[[#This Row],[Device ID]],BOM!$B$3:$BQ$35,34,FALSE),"")</f>
        <v>tpco-megw-vgw103.st-net.media.int</v>
      </c>
      <c r="AE445" s="59" t="str">
        <f>IFERROR(VLOOKUP(Tabelle32[[#This Row],[Device ID]],BOM!$B$3:$BQ$35,35,FALSE),"")</f>
        <v>10.120.67.141</v>
      </c>
      <c r="AF445" s="59">
        <f>IFERROR(VLOOKUP(Tabelle32[[#This Row],[Device ID]],BOM!$B$3:$BQ$35,36,FALSE),"")</f>
        <v>0</v>
      </c>
      <c r="AG445" s="59">
        <f>IFERROR(VLOOKUP(Tabelle32[[#This Row],[Device ID]],BOM!$B$3:$BQ$35,37,FALSE),"")</f>
        <v>0</v>
      </c>
      <c r="AH445" s="59"/>
      <c r="AI445" s="59"/>
      <c r="AJ445" s="59"/>
      <c r="AK445" s="59"/>
      <c r="AL445" s="59" t="str">
        <f>IFERROR(VLOOKUP(Tabelle32[[#This Row],[Device ID]],BOM!$B$3:$BQ$35,42,FALSE),"")</f>
        <v>Imagine Communications SNP</v>
      </c>
      <c r="AM445" s="59" t="str">
        <f>IFERROR(VLOOKUP(Tabelle32[[#This Row],[Device ID]],BOM!$B$3:$BQ$35,43,FALSE),"")</f>
        <v>no</v>
      </c>
      <c r="AN445" s="59" t="str">
        <f>IFERROR(VLOOKUP(Tabelle32[[#This Row],[Device ID]],BOM!$B$3:$BQ$35,44,FALSE),"")</f>
        <v>yes</v>
      </c>
      <c r="AO445" s="59" t="str">
        <f>IFERROR(VLOOKUP(Tabelle32[[#This Row],[Device ID]],BOM!$B$3:$BQ$35,45,FALSE),"")</f>
        <v>no</v>
      </c>
      <c r="AP445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45" s="59"/>
      <c r="AR445" s="101"/>
      <c r="AS445" s="101"/>
      <c r="AT445" s="101"/>
      <c r="AU445" s="101"/>
      <c r="AV445" s="101"/>
      <c r="AW445" s="101"/>
      <c r="AX445" s="101"/>
      <c r="AY445" s="101"/>
      <c r="AZ445" s="101"/>
      <c r="BA445" s="101"/>
      <c r="BB445" s="101"/>
      <c r="BC445" s="101"/>
      <c r="BD445" s="101"/>
      <c r="BE445" s="101"/>
      <c r="BF445" s="101"/>
      <c r="BG445" s="101"/>
      <c r="BH445" s="73" t="s">
        <v>199</v>
      </c>
      <c r="BI445" s="30" t="str">
        <f>IF(COUNTA(Tabelle32[[#This Row],[Type:Vid_1080i50]:[Type:Anc_Prot]])&gt;0,"x","")</f>
        <v/>
      </c>
      <c r="BJ44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45" s="59"/>
      <c r="BL445" s="59"/>
      <c r="BM445" s="63"/>
      <c r="BN445" s="63"/>
      <c r="BO445" s="96"/>
      <c r="BP445" s="96"/>
      <c r="BQ445" s="75">
        <f>LEN(Tabelle32[[#This Row],[Label 1
GFX-Unit]])</f>
        <v>0</v>
      </c>
      <c r="BR445" s="63"/>
      <c r="BS445" s="63"/>
      <c r="BT445" s="59"/>
      <c r="BU445" s="59"/>
      <c r="BV445" s="59" t="s">
        <v>205</v>
      </c>
      <c r="BW445" s="59" t="s">
        <v>206</v>
      </c>
      <c r="BX445" s="59" t="s">
        <v>901</v>
      </c>
      <c r="BY445" s="59">
        <v>22</v>
      </c>
    </row>
    <row r="446" spans="1:77" hidden="1" x14ac:dyDescent="0.2">
      <c r="A446" s="58" t="str">
        <f>CONCATENATE(Tabelle32[[#This Row],[Device ID]],".",Tabelle32[[#This Row],[Streamcounter]])</f>
        <v>399.22303</v>
      </c>
      <c r="B44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VGW-103_SDI22_ANCrec_0003</v>
      </c>
      <c r="C446" s="60"/>
      <c r="D446" s="61"/>
      <c r="E446" s="62"/>
      <c r="F446" s="59" t="str">
        <f>IFERROR(VLOOKUP(Tabelle32[[#This Row],[Device ID]],BOM!$B$3:$BQ$35,16,FALSE),"")</f>
        <v>EditPC-08 IN</v>
      </c>
      <c r="G446" s="63">
        <f>VLOOKUP(Tabelle32[[#This Row],[SDI Interface]],BOM!$A$4:$B$35,2,FALSE)</f>
        <v>399</v>
      </c>
      <c r="H446" s="59" t="str">
        <f>BOM!$C$4</f>
        <v>VGW-103</v>
      </c>
      <c r="I446" s="59" t="str">
        <f>IFERROR(VLOOKUP(Tabelle32[[#This Row],[Device ID]],BOM!$B$3:$BQ$35,12,FALSE),"")</f>
        <v>Edit Suite</v>
      </c>
      <c r="J446" s="59" t="str">
        <f>IFERROR(VLOOKUP(Tabelle32[[#This Row],[Device ID]],BOM!$B$3:$BQ$35,13,FALSE),"")</f>
        <v>TC.U1.223 | MDC</v>
      </c>
      <c r="K446" s="59" t="str">
        <f>IFERROR(VLOOKUP(Tabelle32[[#This Row],[Device ID]],BOM!$B$3:$BQ$35,14,FALSE),"")</f>
        <v>Imagine Comunications</v>
      </c>
      <c r="L446" s="59" t="str">
        <f>IFERROR(VLOOKUP(Tabelle32[[#This Row],[Device ID]],BOM!$B$3:$BQ$35,16,FALSE),"")</f>
        <v>EditPC-08 IN</v>
      </c>
      <c r="M446" s="63" t="str">
        <f>IFERROR(VLOOKUP(Tabelle32[[#This Row],[Device ID]],BOM!$B$3:$BQ$35,17,FALSE),"")</f>
        <v>EDIT SUITE 08</v>
      </c>
      <c r="N446" s="59" t="str">
        <f>IFERROR(VLOOKUP(Tabelle32[[#This Row],[Device ID]],BOM!$B$3:$BQ$35,18,FALSE),"")</f>
        <v>TC.03.068 | Edit 08</v>
      </c>
      <c r="O446" s="64"/>
      <c r="P446" s="64">
        <f>IFERROR(VLOOKUP(Tabelle32[[#This Row],[Device ID]],BOM!$B$3:$BO$50,20,FALSE),"")</f>
        <v>0</v>
      </c>
      <c r="Q446" s="64">
        <f>IFERROR(VLOOKUP(Tabelle32[[#This Row],[Device ID]],BOM!$B$3:$BO$50,21,FALSE),"")</f>
        <v>1</v>
      </c>
      <c r="R446" s="64">
        <f>IFERROR(VLOOKUP(Tabelle32[[#This Row],[Device ID]],BOM!$B$3:$BO$50,22,FALSE),"")</f>
        <v>0</v>
      </c>
      <c r="S446" s="64"/>
      <c r="T446" s="64"/>
      <c r="U446" s="59" t="str">
        <f>IFERROR(VLOOKUP(Tabelle32[[#This Row],[Device ID]],BOM!$B$3:$BQ$35,25,FALSE),"")</f>
        <v>Luis/Ivo</v>
      </c>
      <c r="V446" s="59" t="str">
        <f>IFERROR(VLOOKUP(Tabelle32[[#This Row],[Device ID]],BOM!$B$3:$BQ$35,26,FALSE),"")</f>
        <v>tpco-megw-vgw103.rta.st-net.media.int</v>
      </c>
      <c r="W446" s="59" t="str">
        <f>IFERROR(VLOOKUP(Tabelle32[[#This Row],[Device ID]],BOM!$B$3:$BQ$35,27,FALSE),"")</f>
        <v>10.120.236.50</v>
      </c>
      <c r="X446" s="59" t="str">
        <f>IFERROR(VLOOKUP(Tabelle32[[#This Row],[Device ID]],BOM!$B$3:$BQ$35,28,FALSE),"")</f>
        <v>AVCoreA</v>
      </c>
      <c r="Y446" s="59" t="str">
        <f>IFERROR(VLOOKUP(Tabelle32[[#This Row],[Device ID]],BOM!$B$3:$BQ$35,29,FALSE),"")</f>
        <v>5_36_1</v>
      </c>
      <c r="Z446" s="59" t="str">
        <f>IFERROR(VLOOKUP(Tabelle32[[#This Row],[Device ID]],BOM!$B$3:$BQ$35,30,FALSE),"")</f>
        <v>tpco-megw-vgw103.rtb.st-net.media.int</v>
      </c>
      <c r="AA446" s="59" t="str">
        <f>IFERROR(VLOOKUP(Tabelle32[[#This Row],[Device ID]],BOM!$B$3:$BQ$35,31,FALSE),"")</f>
        <v>10.120.236.54</v>
      </c>
      <c r="AB446" s="59" t="str">
        <f>IFERROR(VLOOKUP(Tabelle32[[#This Row],[Device ID]],BOM!$B$3:$BQ$35,32,FALSE),"")</f>
        <v>AVCoreB</v>
      </c>
      <c r="AC446" s="59" t="str">
        <f>IFERROR(VLOOKUP(Tabelle32[[#This Row],[Device ID]],BOM!$B$3:$BQ$35,33,FALSE),"")</f>
        <v>5_36_1</v>
      </c>
      <c r="AD446" s="59" t="str">
        <f>IFERROR(VLOOKUP(Tabelle32[[#This Row],[Device ID]],BOM!$B$3:$BQ$35,34,FALSE),"")</f>
        <v>tpco-megw-vgw103.st-net.media.int</v>
      </c>
      <c r="AE446" s="59" t="str">
        <f>IFERROR(VLOOKUP(Tabelle32[[#This Row],[Device ID]],BOM!$B$3:$BQ$35,35,FALSE),"")</f>
        <v>10.120.67.141</v>
      </c>
      <c r="AF446" s="59">
        <f>IFERROR(VLOOKUP(Tabelle32[[#This Row],[Device ID]],BOM!$B$3:$BQ$35,36,FALSE),"")</f>
        <v>0</v>
      </c>
      <c r="AG446" s="59">
        <f>IFERROR(VLOOKUP(Tabelle32[[#This Row],[Device ID]],BOM!$B$3:$BQ$35,37,FALSE),"")</f>
        <v>0</v>
      </c>
      <c r="AH446" s="59"/>
      <c r="AI446" s="59"/>
      <c r="AJ446" s="59"/>
      <c r="AK446" s="59"/>
      <c r="AL446" s="59" t="str">
        <f>IFERROR(VLOOKUP(Tabelle32[[#This Row],[Device ID]],BOM!$B$3:$BQ$35,42,FALSE),"")</f>
        <v>Imagine Communications SNP</v>
      </c>
      <c r="AM446" s="59" t="str">
        <f>IFERROR(VLOOKUP(Tabelle32[[#This Row],[Device ID]],BOM!$B$3:$BQ$35,43,FALSE),"")</f>
        <v>no</v>
      </c>
      <c r="AN446" s="59" t="str">
        <f>IFERROR(VLOOKUP(Tabelle32[[#This Row],[Device ID]],BOM!$B$3:$BQ$35,44,FALSE),"")</f>
        <v>yes</v>
      </c>
      <c r="AO446" s="59" t="str">
        <f>IFERROR(VLOOKUP(Tabelle32[[#This Row],[Device ID]],BOM!$B$3:$BQ$35,45,FALSE),"")</f>
        <v>no</v>
      </c>
      <c r="AP446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46" s="59"/>
      <c r="AR446" s="101"/>
      <c r="AS446" s="101"/>
      <c r="AT446" s="101"/>
      <c r="AU446" s="101"/>
      <c r="AV446" s="101"/>
      <c r="AW446" s="101"/>
      <c r="AX446" s="101"/>
      <c r="AY446" s="101"/>
      <c r="AZ446" s="101"/>
      <c r="BA446" s="101"/>
      <c r="BB446" s="101"/>
      <c r="BC446" s="101"/>
      <c r="BD446" s="101"/>
      <c r="BE446" s="101"/>
      <c r="BF446" s="101"/>
      <c r="BG446" s="101"/>
      <c r="BH446" s="73" t="s">
        <v>199</v>
      </c>
      <c r="BI446" s="30" t="str">
        <f>IF(COUNTA(Tabelle32[[#This Row],[Type:Vid_1080i50]:[Type:Anc_Prot]])&gt;0,"x","")</f>
        <v/>
      </c>
      <c r="BJ44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46" s="59"/>
      <c r="BL446" s="59"/>
      <c r="BM446" s="63"/>
      <c r="BN446" s="63"/>
      <c r="BO446" s="96"/>
      <c r="BP446" s="96"/>
      <c r="BQ446" s="75">
        <f>LEN(Tabelle32[[#This Row],[Label 1
GFX-Unit]])</f>
        <v>0</v>
      </c>
      <c r="BR446" s="63"/>
      <c r="BS446" s="63"/>
      <c r="BT446" s="59"/>
      <c r="BU446" s="59"/>
      <c r="BV446" s="59" t="s">
        <v>208</v>
      </c>
      <c r="BW446" s="59" t="s">
        <v>209</v>
      </c>
      <c r="BX446" s="59" t="s">
        <v>902</v>
      </c>
      <c r="BY446" s="59">
        <v>22</v>
      </c>
    </row>
    <row r="447" spans="1:77" hidden="1" x14ac:dyDescent="0.2">
      <c r="A447" s="58" t="str">
        <f>CONCATENATE(Tabelle32[[#This Row],[Device ID]],".",Tabelle32[[#This Row],[Streamcounter]])</f>
        <v>399.22304</v>
      </c>
      <c r="B44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VGW-103_SDI22_ANCrec_0004</v>
      </c>
      <c r="C447" s="60"/>
      <c r="D447" s="61"/>
      <c r="E447" s="62"/>
      <c r="F447" s="59" t="str">
        <f>IFERROR(VLOOKUP(Tabelle32[[#This Row],[Device ID]],BOM!$B$3:$BQ$35,16,FALSE),"")</f>
        <v>EditPC-08 IN</v>
      </c>
      <c r="G447" s="63">
        <f>VLOOKUP(Tabelle32[[#This Row],[SDI Interface]],BOM!$A$4:$B$35,2,FALSE)</f>
        <v>399</v>
      </c>
      <c r="H447" s="59" t="str">
        <f>BOM!$C$4</f>
        <v>VGW-103</v>
      </c>
      <c r="I447" s="59" t="str">
        <f>IFERROR(VLOOKUP(Tabelle32[[#This Row],[Device ID]],BOM!$B$3:$BQ$35,12,FALSE),"")</f>
        <v>Edit Suite</v>
      </c>
      <c r="J447" s="59" t="str">
        <f>IFERROR(VLOOKUP(Tabelle32[[#This Row],[Device ID]],BOM!$B$3:$BQ$35,13,FALSE),"")</f>
        <v>TC.U1.223 | MDC</v>
      </c>
      <c r="K447" s="59" t="str">
        <f>IFERROR(VLOOKUP(Tabelle32[[#This Row],[Device ID]],BOM!$B$3:$BQ$35,14,FALSE),"")</f>
        <v>Imagine Comunications</v>
      </c>
      <c r="L447" s="59" t="str">
        <f>IFERROR(VLOOKUP(Tabelle32[[#This Row],[Device ID]],BOM!$B$3:$BQ$35,16,FALSE),"")</f>
        <v>EditPC-08 IN</v>
      </c>
      <c r="M447" s="63" t="str">
        <f>IFERROR(VLOOKUP(Tabelle32[[#This Row],[Device ID]],BOM!$B$3:$BQ$35,17,FALSE),"")</f>
        <v>EDIT SUITE 08</v>
      </c>
      <c r="N447" s="59" t="str">
        <f>IFERROR(VLOOKUP(Tabelle32[[#This Row],[Device ID]],BOM!$B$3:$BQ$35,18,FALSE),"")</f>
        <v>TC.03.068 | Edit 08</v>
      </c>
      <c r="O447" s="64"/>
      <c r="P447" s="64">
        <f>IFERROR(VLOOKUP(Tabelle32[[#This Row],[Device ID]],BOM!$B$3:$BO$50,20,FALSE),"")</f>
        <v>0</v>
      </c>
      <c r="Q447" s="64">
        <f>IFERROR(VLOOKUP(Tabelle32[[#This Row],[Device ID]],BOM!$B$3:$BO$50,21,FALSE),"")</f>
        <v>1</v>
      </c>
      <c r="R447" s="64">
        <f>IFERROR(VLOOKUP(Tabelle32[[#This Row],[Device ID]],BOM!$B$3:$BO$50,22,FALSE),"")</f>
        <v>0</v>
      </c>
      <c r="S447" s="64"/>
      <c r="T447" s="64"/>
      <c r="U447" s="59" t="str">
        <f>IFERROR(VLOOKUP(Tabelle32[[#This Row],[Device ID]],BOM!$B$3:$BQ$35,25,FALSE),"")</f>
        <v>Luis/Ivo</v>
      </c>
      <c r="V447" s="59" t="str">
        <f>IFERROR(VLOOKUP(Tabelle32[[#This Row],[Device ID]],BOM!$B$3:$BQ$35,26,FALSE),"")</f>
        <v>tpco-megw-vgw103.rta.st-net.media.int</v>
      </c>
      <c r="W447" s="59" t="str">
        <f>IFERROR(VLOOKUP(Tabelle32[[#This Row],[Device ID]],BOM!$B$3:$BQ$35,27,FALSE),"")</f>
        <v>10.120.236.50</v>
      </c>
      <c r="X447" s="59" t="str">
        <f>IFERROR(VLOOKUP(Tabelle32[[#This Row],[Device ID]],BOM!$B$3:$BQ$35,28,FALSE),"")</f>
        <v>AVCoreA</v>
      </c>
      <c r="Y447" s="59" t="str">
        <f>IFERROR(VLOOKUP(Tabelle32[[#This Row],[Device ID]],BOM!$B$3:$BQ$35,29,FALSE),"")</f>
        <v>5_36_1</v>
      </c>
      <c r="Z447" s="59" t="str">
        <f>IFERROR(VLOOKUP(Tabelle32[[#This Row],[Device ID]],BOM!$B$3:$BQ$35,30,FALSE),"")</f>
        <v>tpco-megw-vgw103.rtb.st-net.media.int</v>
      </c>
      <c r="AA447" s="59" t="str">
        <f>IFERROR(VLOOKUP(Tabelle32[[#This Row],[Device ID]],BOM!$B$3:$BQ$35,31,FALSE),"")</f>
        <v>10.120.236.54</v>
      </c>
      <c r="AB447" s="59" t="str">
        <f>IFERROR(VLOOKUP(Tabelle32[[#This Row],[Device ID]],BOM!$B$3:$BQ$35,32,FALSE),"")</f>
        <v>AVCoreB</v>
      </c>
      <c r="AC447" s="59" t="str">
        <f>IFERROR(VLOOKUP(Tabelle32[[#This Row],[Device ID]],BOM!$B$3:$BQ$35,33,FALSE),"")</f>
        <v>5_36_1</v>
      </c>
      <c r="AD447" s="59" t="str">
        <f>IFERROR(VLOOKUP(Tabelle32[[#This Row],[Device ID]],BOM!$B$3:$BQ$35,34,FALSE),"")</f>
        <v>tpco-megw-vgw103.st-net.media.int</v>
      </c>
      <c r="AE447" s="59" t="str">
        <f>IFERROR(VLOOKUP(Tabelle32[[#This Row],[Device ID]],BOM!$B$3:$BQ$35,35,FALSE),"")</f>
        <v>10.120.67.141</v>
      </c>
      <c r="AF447" s="59">
        <f>IFERROR(VLOOKUP(Tabelle32[[#This Row],[Device ID]],BOM!$B$3:$BQ$35,36,FALSE),"")</f>
        <v>0</v>
      </c>
      <c r="AG447" s="59">
        <f>IFERROR(VLOOKUP(Tabelle32[[#This Row],[Device ID]],BOM!$B$3:$BQ$35,37,FALSE),"")</f>
        <v>0</v>
      </c>
      <c r="AH447" s="59"/>
      <c r="AI447" s="59"/>
      <c r="AJ447" s="59"/>
      <c r="AK447" s="59"/>
      <c r="AL447" s="59" t="str">
        <f>IFERROR(VLOOKUP(Tabelle32[[#This Row],[Device ID]],BOM!$B$3:$BQ$35,42,FALSE),"")</f>
        <v>Imagine Communications SNP</v>
      </c>
      <c r="AM447" s="59" t="str">
        <f>IFERROR(VLOOKUP(Tabelle32[[#This Row],[Device ID]],BOM!$B$3:$BQ$35,43,FALSE),"")</f>
        <v>no</v>
      </c>
      <c r="AN447" s="59" t="str">
        <f>IFERROR(VLOOKUP(Tabelle32[[#This Row],[Device ID]],BOM!$B$3:$BQ$35,44,FALSE),"")</f>
        <v>yes</v>
      </c>
      <c r="AO447" s="59" t="str">
        <f>IFERROR(VLOOKUP(Tabelle32[[#This Row],[Device ID]],BOM!$B$3:$BQ$35,45,FALSE),"")</f>
        <v>no</v>
      </c>
      <c r="AP447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47" s="59"/>
      <c r="AR447" s="101"/>
      <c r="AS447" s="101"/>
      <c r="AT447" s="101"/>
      <c r="AU447" s="101"/>
      <c r="AV447" s="101"/>
      <c r="AW447" s="101"/>
      <c r="AX447" s="101"/>
      <c r="AY447" s="101"/>
      <c r="AZ447" s="101"/>
      <c r="BA447" s="101"/>
      <c r="BB447" s="101"/>
      <c r="BC447" s="101"/>
      <c r="BD447" s="101"/>
      <c r="BE447" s="101"/>
      <c r="BF447" s="101"/>
      <c r="BG447" s="101"/>
      <c r="BH447" s="73" t="s">
        <v>199</v>
      </c>
      <c r="BI447" s="30" t="str">
        <f>IF(COUNTA(Tabelle32[[#This Row],[Type:Vid_1080i50]:[Type:Anc_Prot]])&gt;0,"x","")</f>
        <v/>
      </c>
      <c r="BJ44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47" s="59"/>
      <c r="BL447" s="59"/>
      <c r="BM447" s="63"/>
      <c r="BN447" s="63"/>
      <c r="BO447" s="96"/>
      <c r="BP447" s="96"/>
      <c r="BQ447" s="75">
        <f>LEN(Tabelle32[[#This Row],[Label 1
GFX-Unit]])</f>
        <v>0</v>
      </c>
      <c r="BR447" s="63"/>
      <c r="BS447" s="63"/>
      <c r="BT447" s="59"/>
      <c r="BU447" s="59"/>
      <c r="BV447" s="59" t="s">
        <v>211</v>
      </c>
      <c r="BW447" s="59" t="s">
        <v>212</v>
      </c>
      <c r="BX447" s="59" t="s">
        <v>903</v>
      </c>
      <c r="BY447" s="59">
        <v>22</v>
      </c>
    </row>
    <row r="448" spans="1:77" x14ac:dyDescent="0.2">
      <c r="A448" s="58" t="str">
        <f>CONCATENATE(Tabelle32[[#This Row],[Device ID]],".",Tabelle32[[#This Row],[Streamcounter]])</f>
        <v>399.22201</v>
      </c>
      <c r="B44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VGW-103_SDI22_AUDrec_0001</v>
      </c>
      <c r="C448" s="60"/>
      <c r="D448" s="61"/>
      <c r="E448" s="62"/>
      <c r="F448" s="59" t="str">
        <f>IFERROR(VLOOKUP(Tabelle32[[#This Row],[Device ID]],BOM!$B$3:$BQ$35,16,FALSE),"")</f>
        <v>EditPC-08 IN</v>
      </c>
      <c r="G448" s="63">
        <f>VLOOKUP(Tabelle32[[#This Row],[SDI Interface]],BOM!$A$4:$B$35,2,FALSE)</f>
        <v>399</v>
      </c>
      <c r="H448" s="59" t="str">
        <f>BOM!$C$4</f>
        <v>VGW-103</v>
      </c>
      <c r="I448" s="59" t="str">
        <f>IFERROR(VLOOKUP(Tabelle32[[#This Row],[Device ID]],BOM!$B$3:$BQ$35,12,FALSE),"")</f>
        <v>Edit Suite</v>
      </c>
      <c r="J448" s="59" t="str">
        <f>IFERROR(VLOOKUP(Tabelle32[[#This Row],[Device ID]],BOM!$B$3:$BQ$35,13,FALSE),"")</f>
        <v>TC.U1.223 | MDC</v>
      </c>
      <c r="K448" s="59" t="str">
        <f>IFERROR(VLOOKUP(Tabelle32[[#This Row],[Device ID]],BOM!$B$3:$BQ$35,14,FALSE),"")</f>
        <v>Imagine Comunications</v>
      </c>
      <c r="L448" s="59" t="str">
        <f>IFERROR(VLOOKUP(Tabelle32[[#This Row],[Device ID]],BOM!$B$3:$BQ$35,16,FALSE),"")</f>
        <v>EditPC-08 IN</v>
      </c>
      <c r="M448" s="63" t="str">
        <f>IFERROR(VLOOKUP(Tabelle32[[#This Row],[Device ID]],BOM!$B$3:$BQ$35,17,FALSE),"")</f>
        <v>EDIT SUITE 08</v>
      </c>
      <c r="N448" s="59" t="str">
        <f>IFERROR(VLOOKUP(Tabelle32[[#This Row],[Device ID]],BOM!$B$3:$BQ$35,18,FALSE),"")</f>
        <v>TC.03.068 | Edit 08</v>
      </c>
      <c r="O448" s="64"/>
      <c r="P448" s="64">
        <f>IFERROR(VLOOKUP(Tabelle32[[#This Row],[Device ID]],BOM!$B$3:$BO$50,20,FALSE),"")</f>
        <v>0</v>
      </c>
      <c r="Q448" s="64">
        <f>IFERROR(VLOOKUP(Tabelle32[[#This Row],[Device ID]],BOM!$B$3:$BO$50,21,FALSE),"")</f>
        <v>1</v>
      </c>
      <c r="R448" s="64">
        <f>IFERROR(VLOOKUP(Tabelle32[[#This Row],[Device ID]],BOM!$B$3:$BO$50,22,FALSE),"")</f>
        <v>0</v>
      </c>
      <c r="S448" s="64"/>
      <c r="T448" s="64"/>
      <c r="U448" s="59" t="str">
        <f>IFERROR(VLOOKUP(Tabelle32[[#This Row],[Device ID]],BOM!$B$3:$BQ$35,25,FALSE),"")</f>
        <v>Luis/Ivo</v>
      </c>
      <c r="V448" s="59" t="str">
        <f>IFERROR(VLOOKUP(Tabelle32[[#This Row],[Device ID]],BOM!$B$3:$BQ$35,26,FALSE),"")</f>
        <v>tpco-megw-vgw103.rta.st-net.media.int</v>
      </c>
      <c r="W448" s="59" t="str">
        <f>IFERROR(VLOOKUP(Tabelle32[[#This Row],[Device ID]],BOM!$B$3:$BQ$35,27,FALSE),"")</f>
        <v>10.120.236.50</v>
      </c>
      <c r="X448" s="59" t="str">
        <f>IFERROR(VLOOKUP(Tabelle32[[#This Row],[Device ID]],BOM!$B$3:$BQ$35,28,FALSE),"")</f>
        <v>AVCoreA</v>
      </c>
      <c r="Y448" s="59" t="str">
        <f>IFERROR(VLOOKUP(Tabelle32[[#This Row],[Device ID]],BOM!$B$3:$BQ$35,29,FALSE),"")</f>
        <v>5_36_1</v>
      </c>
      <c r="Z448" s="59" t="str">
        <f>IFERROR(VLOOKUP(Tabelle32[[#This Row],[Device ID]],BOM!$B$3:$BQ$35,30,FALSE),"")</f>
        <v>tpco-megw-vgw103.rtb.st-net.media.int</v>
      </c>
      <c r="AA448" s="59" t="str">
        <f>IFERROR(VLOOKUP(Tabelle32[[#This Row],[Device ID]],BOM!$B$3:$BQ$35,31,FALSE),"")</f>
        <v>10.120.236.54</v>
      </c>
      <c r="AB448" s="59" t="str">
        <f>IFERROR(VLOOKUP(Tabelle32[[#This Row],[Device ID]],BOM!$B$3:$BQ$35,32,FALSE),"")</f>
        <v>AVCoreB</v>
      </c>
      <c r="AC448" s="59" t="str">
        <f>IFERROR(VLOOKUP(Tabelle32[[#This Row],[Device ID]],BOM!$B$3:$BQ$35,33,FALSE),"")</f>
        <v>5_36_1</v>
      </c>
      <c r="AD448" s="59" t="str">
        <f>IFERROR(VLOOKUP(Tabelle32[[#This Row],[Device ID]],BOM!$B$3:$BQ$35,34,FALSE),"")</f>
        <v>tpco-megw-vgw103.st-net.media.int</v>
      </c>
      <c r="AE448" s="59" t="str">
        <f>IFERROR(VLOOKUP(Tabelle32[[#This Row],[Device ID]],BOM!$B$3:$BQ$35,35,FALSE),"")</f>
        <v>10.120.67.141</v>
      </c>
      <c r="AF448" s="59">
        <f>IFERROR(VLOOKUP(Tabelle32[[#This Row],[Device ID]],BOM!$B$3:$BQ$35,36,FALSE),"")</f>
        <v>0</v>
      </c>
      <c r="AG448" s="59">
        <f>IFERROR(VLOOKUP(Tabelle32[[#This Row],[Device ID]],BOM!$B$3:$BQ$35,37,FALSE),"")</f>
        <v>0</v>
      </c>
      <c r="AH448" s="59"/>
      <c r="AI448" s="59"/>
      <c r="AJ448" s="59"/>
      <c r="AK448" s="59"/>
      <c r="AL448" s="59" t="str">
        <f>IFERROR(VLOOKUP(Tabelle32[[#This Row],[Device ID]],BOM!$B$3:$BQ$35,42,FALSE),"")</f>
        <v>Imagine Communications SNP</v>
      </c>
      <c r="AM448" s="59" t="str">
        <f>IFERROR(VLOOKUP(Tabelle32[[#This Row],[Device ID]],BOM!$B$3:$BQ$35,43,FALSE),"")</f>
        <v>no</v>
      </c>
      <c r="AN448" s="59" t="str">
        <f>IFERROR(VLOOKUP(Tabelle32[[#This Row],[Device ID]],BOM!$B$3:$BQ$35,44,FALSE),"")</f>
        <v>yes</v>
      </c>
      <c r="AO448" s="59" t="str">
        <f>IFERROR(VLOOKUP(Tabelle32[[#This Row],[Device ID]],BOM!$B$3:$BQ$35,45,FALSE),"")</f>
        <v>no</v>
      </c>
      <c r="AP448" s="59" t="str">
        <f>IFERROR(CONCATENATE(Tabelle32[[#This Row],[Family
GFX-Unit]]," | ",Tabelle32[[#This Row],[Label 1
GFX-Unit]]," | ",Tabelle32[[#This Row],[Attached Device if Gateway]]),"")</f>
        <v>MEDEM Edit08 | In Edit08-01 | EditPC-08 IN</v>
      </c>
      <c r="AQ448" s="59"/>
      <c r="AR448" s="99"/>
      <c r="AS448" s="99"/>
      <c r="AT448" s="99"/>
      <c r="AU448" s="99"/>
      <c r="AV448" s="99"/>
      <c r="AW448" s="99" t="s">
        <v>97</v>
      </c>
      <c r="AX448" s="99" t="s">
        <v>199</v>
      </c>
      <c r="AY448" s="99" t="s">
        <v>199</v>
      </c>
      <c r="AZ448" s="99" t="s">
        <v>97</v>
      </c>
      <c r="BA448" s="99"/>
      <c r="BB448" s="99" t="s">
        <v>97</v>
      </c>
      <c r="BC448" s="99" t="s">
        <v>97</v>
      </c>
      <c r="BD448" s="99"/>
      <c r="BE448" s="99"/>
      <c r="BF448" s="99"/>
      <c r="BG448" s="99"/>
      <c r="BH448" s="73" t="s">
        <v>199</v>
      </c>
      <c r="BI448" s="30" t="str">
        <f>IF(COUNTA(Tabelle32[[#This Row],[Type:Vid_1080i50]:[Type:Anc_Prot]])&gt;0,"x","")</f>
        <v>x</v>
      </c>
      <c r="BJ44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48" s="59"/>
      <c r="BL448" s="59"/>
      <c r="BM448" s="63"/>
      <c r="BN448" s="63"/>
      <c r="BO448" s="97" t="s">
        <v>898</v>
      </c>
      <c r="BP448" s="97" t="s">
        <v>904</v>
      </c>
      <c r="BQ448" s="75">
        <f>LEN(Tabelle32[[#This Row],[Label 1
GFX-Unit]])</f>
        <v>12</v>
      </c>
      <c r="BR448" s="63"/>
      <c r="BS448" s="63"/>
      <c r="BT448" s="59"/>
      <c r="BU448" s="59"/>
      <c r="BV448" s="59" t="s">
        <v>214</v>
      </c>
      <c r="BW448" s="59" t="s">
        <v>215</v>
      </c>
      <c r="BX448" s="59" t="s">
        <v>905</v>
      </c>
      <c r="BY448" s="59">
        <v>22</v>
      </c>
    </row>
    <row r="449" spans="1:77" x14ac:dyDescent="0.2">
      <c r="A449" s="58" t="str">
        <f>CONCATENATE(Tabelle32[[#This Row],[Device ID]],".",Tabelle32[[#This Row],[Streamcounter]])</f>
        <v>399.22202</v>
      </c>
      <c r="B44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VGW-103_SDI22_AUDrec_0002</v>
      </c>
      <c r="C449" s="67"/>
      <c r="D449" s="61"/>
      <c r="E449" s="67"/>
      <c r="F449" s="59" t="str">
        <f>IFERROR(VLOOKUP(Tabelle32[[#This Row],[Device ID]],BOM!$B$3:$BQ$35,16,FALSE),"")</f>
        <v>EditPC-08 IN</v>
      </c>
      <c r="G449" s="63">
        <f>VLOOKUP(Tabelle32[[#This Row],[SDI Interface]],BOM!$A$4:$B$35,2,FALSE)</f>
        <v>399</v>
      </c>
      <c r="H449" s="59" t="str">
        <f>BOM!$C$4</f>
        <v>VGW-103</v>
      </c>
      <c r="I449" s="59" t="str">
        <f>IFERROR(VLOOKUP(Tabelle32[[#This Row],[Device ID]],BOM!$B$3:$BQ$35,12,FALSE),"")</f>
        <v>Edit Suite</v>
      </c>
      <c r="J449" s="59" t="str">
        <f>IFERROR(VLOOKUP(Tabelle32[[#This Row],[Device ID]],BOM!$B$3:$BQ$35,13,FALSE),"")</f>
        <v>TC.U1.223 | MDC</v>
      </c>
      <c r="K449" s="59" t="str">
        <f>IFERROR(VLOOKUP(Tabelle32[[#This Row],[Device ID]],BOM!$B$3:$BQ$35,14,FALSE),"")</f>
        <v>Imagine Comunications</v>
      </c>
      <c r="L449" s="59" t="str">
        <f>IFERROR(VLOOKUP(Tabelle32[[#This Row],[Device ID]],BOM!$B$3:$BQ$35,16,FALSE),"")</f>
        <v>EditPC-08 IN</v>
      </c>
      <c r="M449" s="63" t="str">
        <f>IFERROR(VLOOKUP(Tabelle32[[#This Row],[Device ID]],BOM!$B$3:$BQ$35,17,FALSE),"")</f>
        <v>EDIT SUITE 08</v>
      </c>
      <c r="N449" s="59" t="str">
        <f>IFERROR(VLOOKUP(Tabelle32[[#This Row],[Device ID]],BOM!$B$3:$BQ$35,18,FALSE),"")</f>
        <v>TC.03.068 | Edit 08</v>
      </c>
      <c r="O449" s="64"/>
      <c r="P449" s="64">
        <f>IFERROR(VLOOKUP(Tabelle32[[#This Row],[Device ID]],BOM!$B$3:$BO$50,20,FALSE),"")</f>
        <v>0</v>
      </c>
      <c r="Q449" s="64">
        <f>IFERROR(VLOOKUP(Tabelle32[[#This Row],[Device ID]],BOM!$B$3:$BO$50,21,FALSE),"")</f>
        <v>1</v>
      </c>
      <c r="R449" s="64">
        <f>IFERROR(VLOOKUP(Tabelle32[[#This Row],[Device ID]],BOM!$B$3:$BO$50,22,FALSE),"")</f>
        <v>0</v>
      </c>
      <c r="S449" s="64"/>
      <c r="T449" s="64"/>
      <c r="U449" s="59" t="str">
        <f>IFERROR(VLOOKUP(Tabelle32[[#This Row],[Device ID]],BOM!$B$3:$BQ$35,25,FALSE),"")</f>
        <v>Luis/Ivo</v>
      </c>
      <c r="V449" s="59" t="str">
        <f>IFERROR(VLOOKUP(Tabelle32[[#This Row],[Device ID]],BOM!$B$3:$BQ$35,26,FALSE),"")</f>
        <v>tpco-megw-vgw103.rta.st-net.media.int</v>
      </c>
      <c r="W449" s="59" t="str">
        <f>IFERROR(VLOOKUP(Tabelle32[[#This Row],[Device ID]],BOM!$B$3:$BQ$35,27,FALSE),"")</f>
        <v>10.120.236.50</v>
      </c>
      <c r="X449" s="59" t="str">
        <f>IFERROR(VLOOKUP(Tabelle32[[#This Row],[Device ID]],BOM!$B$3:$BQ$35,28,FALSE),"")</f>
        <v>AVCoreA</v>
      </c>
      <c r="Y449" s="59" t="str">
        <f>IFERROR(VLOOKUP(Tabelle32[[#This Row],[Device ID]],BOM!$B$3:$BQ$35,29,FALSE),"")</f>
        <v>5_36_1</v>
      </c>
      <c r="Z449" s="59" t="str">
        <f>IFERROR(VLOOKUP(Tabelle32[[#This Row],[Device ID]],BOM!$B$3:$BQ$35,30,FALSE),"")</f>
        <v>tpco-megw-vgw103.rtb.st-net.media.int</v>
      </c>
      <c r="AA449" s="59" t="str">
        <f>IFERROR(VLOOKUP(Tabelle32[[#This Row],[Device ID]],BOM!$B$3:$BQ$35,31,FALSE),"")</f>
        <v>10.120.236.54</v>
      </c>
      <c r="AB449" s="59" t="str">
        <f>IFERROR(VLOOKUP(Tabelle32[[#This Row],[Device ID]],BOM!$B$3:$BQ$35,32,FALSE),"")</f>
        <v>AVCoreB</v>
      </c>
      <c r="AC449" s="59" t="str">
        <f>IFERROR(VLOOKUP(Tabelle32[[#This Row],[Device ID]],BOM!$B$3:$BQ$35,33,FALSE),"")</f>
        <v>5_36_1</v>
      </c>
      <c r="AD449" s="59" t="str">
        <f>IFERROR(VLOOKUP(Tabelle32[[#This Row],[Device ID]],BOM!$B$3:$BQ$35,34,FALSE),"")</f>
        <v>tpco-megw-vgw103.st-net.media.int</v>
      </c>
      <c r="AE449" s="59" t="str">
        <f>IFERROR(VLOOKUP(Tabelle32[[#This Row],[Device ID]],BOM!$B$3:$BQ$35,35,FALSE),"")</f>
        <v>10.120.67.141</v>
      </c>
      <c r="AF449" s="59">
        <f>IFERROR(VLOOKUP(Tabelle32[[#This Row],[Device ID]],BOM!$B$3:$BQ$35,36,FALSE),"")</f>
        <v>0</v>
      </c>
      <c r="AG449" s="59">
        <f>IFERROR(VLOOKUP(Tabelle32[[#This Row],[Device ID]],BOM!$B$3:$BQ$35,37,FALSE),"")</f>
        <v>0</v>
      </c>
      <c r="AH449" s="59"/>
      <c r="AI449" s="59"/>
      <c r="AJ449" s="59"/>
      <c r="AK449" s="59"/>
      <c r="AL449" s="59" t="str">
        <f>IFERROR(VLOOKUP(Tabelle32[[#This Row],[Device ID]],BOM!$B$3:$BQ$35,42,FALSE),"")</f>
        <v>Imagine Communications SNP</v>
      </c>
      <c r="AM449" s="59" t="str">
        <f>IFERROR(VLOOKUP(Tabelle32[[#This Row],[Device ID]],BOM!$B$3:$BQ$35,43,FALSE),"")</f>
        <v>no</v>
      </c>
      <c r="AN449" s="59" t="str">
        <f>IFERROR(VLOOKUP(Tabelle32[[#This Row],[Device ID]],BOM!$B$3:$BQ$35,44,FALSE),"")</f>
        <v>yes</v>
      </c>
      <c r="AO449" s="59" t="str">
        <f>IFERROR(VLOOKUP(Tabelle32[[#This Row],[Device ID]],BOM!$B$3:$BQ$35,45,FALSE),"")</f>
        <v>no</v>
      </c>
      <c r="AP449" s="59" t="str">
        <f>IFERROR(CONCATENATE(Tabelle32[[#This Row],[Family
GFX-Unit]]," | ",Tabelle32[[#This Row],[Label 1
GFX-Unit]]," | ",Tabelle32[[#This Row],[Attached Device if Gateway]]),"")</f>
        <v>MEDEM Edit08 | In Edit08-02 | EditPC-08 IN</v>
      </c>
      <c r="AQ449" s="59"/>
      <c r="AR449" s="99"/>
      <c r="AS449" s="99"/>
      <c r="AT449" s="99"/>
      <c r="AU449" s="99"/>
      <c r="AV449" s="99"/>
      <c r="AW449" s="99" t="s">
        <v>97</v>
      </c>
      <c r="AX449" s="99" t="s">
        <v>199</v>
      </c>
      <c r="AY449" s="99" t="s">
        <v>199</v>
      </c>
      <c r="AZ449" s="99" t="s">
        <v>97</v>
      </c>
      <c r="BA449" s="99"/>
      <c r="BB449" s="99" t="s">
        <v>97</v>
      </c>
      <c r="BC449" s="99" t="s">
        <v>97</v>
      </c>
      <c r="BD449" s="99"/>
      <c r="BE449" s="99"/>
      <c r="BF449" s="99"/>
      <c r="BG449" s="99"/>
      <c r="BH449" s="73" t="s">
        <v>199</v>
      </c>
      <c r="BI449" s="30" t="str">
        <f>IF(COUNTA(Tabelle32[[#This Row],[Type:Vid_1080i50]:[Type:Anc_Prot]])&gt;0,"x","")</f>
        <v>x</v>
      </c>
      <c r="BJ44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49" s="59"/>
      <c r="BL449" s="59"/>
      <c r="BM449" s="63"/>
      <c r="BN449" s="63"/>
      <c r="BO449" s="97" t="s">
        <v>898</v>
      </c>
      <c r="BP449" s="97" t="s">
        <v>906</v>
      </c>
      <c r="BQ449" s="75">
        <f>LEN(Tabelle32[[#This Row],[Label 1
GFX-Unit]])</f>
        <v>12</v>
      </c>
      <c r="BR449" s="63"/>
      <c r="BS449" s="63"/>
      <c r="BT449" s="59"/>
      <c r="BU449" s="59"/>
      <c r="BV449" s="59" t="s">
        <v>218</v>
      </c>
      <c r="BW449" s="59" t="s">
        <v>219</v>
      </c>
      <c r="BX449" s="59" t="s">
        <v>907</v>
      </c>
      <c r="BY449" s="59">
        <v>22</v>
      </c>
    </row>
    <row r="450" spans="1:77" x14ac:dyDescent="0.2">
      <c r="A450" s="58" t="str">
        <f>CONCATENATE(Tabelle32[[#This Row],[Device ID]],".",Tabelle32[[#This Row],[Streamcounter]])</f>
        <v>399.22203</v>
      </c>
      <c r="B45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VGW-103_SDI22_AUDrec_0003</v>
      </c>
      <c r="C450" s="67"/>
      <c r="D450" s="61"/>
      <c r="E450" s="67"/>
      <c r="F450" s="59" t="str">
        <f>IFERROR(VLOOKUP(Tabelle32[[#This Row],[Device ID]],BOM!$B$3:$BQ$35,16,FALSE),"")</f>
        <v>EditPC-08 IN</v>
      </c>
      <c r="G450" s="63">
        <f>VLOOKUP(Tabelle32[[#This Row],[SDI Interface]],BOM!$A$4:$B$35,2,FALSE)</f>
        <v>399</v>
      </c>
      <c r="H450" s="59" t="str">
        <f>BOM!$C$4</f>
        <v>VGW-103</v>
      </c>
      <c r="I450" s="59" t="str">
        <f>IFERROR(VLOOKUP(Tabelle32[[#This Row],[Device ID]],BOM!$B$3:$BQ$35,12,FALSE),"")</f>
        <v>Edit Suite</v>
      </c>
      <c r="J450" s="59" t="str">
        <f>IFERROR(VLOOKUP(Tabelle32[[#This Row],[Device ID]],BOM!$B$3:$BQ$35,13,FALSE),"")</f>
        <v>TC.U1.223 | MDC</v>
      </c>
      <c r="K450" s="59" t="str">
        <f>IFERROR(VLOOKUP(Tabelle32[[#This Row],[Device ID]],BOM!$B$3:$BQ$35,14,FALSE),"")</f>
        <v>Imagine Comunications</v>
      </c>
      <c r="L450" s="59" t="str">
        <f>IFERROR(VLOOKUP(Tabelle32[[#This Row],[Device ID]],BOM!$B$3:$BQ$35,16,FALSE),"")</f>
        <v>EditPC-08 IN</v>
      </c>
      <c r="M450" s="63" t="str">
        <f>IFERROR(VLOOKUP(Tabelle32[[#This Row],[Device ID]],BOM!$B$3:$BQ$35,17,FALSE),"")</f>
        <v>EDIT SUITE 08</v>
      </c>
      <c r="N450" s="59" t="str">
        <f>IFERROR(VLOOKUP(Tabelle32[[#This Row],[Device ID]],BOM!$B$3:$BQ$35,18,FALSE),"")</f>
        <v>TC.03.068 | Edit 08</v>
      </c>
      <c r="O450" s="64"/>
      <c r="P450" s="64">
        <f>IFERROR(VLOOKUP(Tabelle32[[#This Row],[Device ID]],BOM!$B$3:$BO$50,20,FALSE),"")</f>
        <v>0</v>
      </c>
      <c r="Q450" s="64">
        <f>IFERROR(VLOOKUP(Tabelle32[[#This Row],[Device ID]],BOM!$B$3:$BO$50,21,FALSE),"")</f>
        <v>1</v>
      </c>
      <c r="R450" s="64">
        <f>IFERROR(VLOOKUP(Tabelle32[[#This Row],[Device ID]],BOM!$B$3:$BO$50,22,FALSE),"")</f>
        <v>0</v>
      </c>
      <c r="S450" s="64"/>
      <c r="T450" s="64"/>
      <c r="U450" s="59" t="str">
        <f>IFERROR(VLOOKUP(Tabelle32[[#This Row],[Device ID]],BOM!$B$3:$BQ$35,25,FALSE),"")</f>
        <v>Luis/Ivo</v>
      </c>
      <c r="V450" s="59" t="str">
        <f>IFERROR(VLOOKUP(Tabelle32[[#This Row],[Device ID]],BOM!$B$3:$BQ$35,26,FALSE),"")</f>
        <v>tpco-megw-vgw103.rta.st-net.media.int</v>
      </c>
      <c r="W450" s="59" t="str">
        <f>IFERROR(VLOOKUP(Tabelle32[[#This Row],[Device ID]],BOM!$B$3:$BQ$35,27,FALSE),"")</f>
        <v>10.120.236.50</v>
      </c>
      <c r="X450" s="59" t="str">
        <f>IFERROR(VLOOKUP(Tabelle32[[#This Row],[Device ID]],BOM!$B$3:$BQ$35,28,FALSE),"")</f>
        <v>AVCoreA</v>
      </c>
      <c r="Y450" s="59" t="str">
        <f>IFERROR(VLOOKUP(Tabelle32[[#This Row],[Device ID]],BOM!$B$3:$BQ$35,29,FALSE),"")</f>
        <v>5_36_1</v>
      </c>
      <c r="Z450" s="59" t="str">
        <f>IFERROR(VLOOKUP(Tabelle32[[#This Row],[Device ID]],BOM!$B$3:$BQ$35,30,FALSE),"")</f>
        <v>tpco-megw-vgw103.rtb.st-net.media.int</v>
      </c>
      <c r="AA450" s="59" t="str">
        <f>IFERROR(VLOOKUP(Tabelle32[[#This Row],[Device ID]],BOM!$B$3:$BQ$35,31,FALSE),"")</f>
        <v>10.120.236.54</v>
      </c>
      <c r="AB450" s="59" t="str">
        <f>IFERROR(VLOOKUP(Tabelle32[[#This Row],[Device ID]],BOM!$B$3:$BQ$35,32,FALSE),"")</f>
        <v>AVCoreB</v>
      </c>
      <c r="AC450" s="59" t="str">
        <f>IFERROR(VLOOKUP(Tabelle32[[#This Row],[Device ID]],BOM!$B$3:$BQ$35,33,FALSE),"")</f>
        <v>5_36_1</v>
      </c>
      <c r="AD450" s="59" t="str">
        <f>IFERROR(VLOOKUP(Tabelle32[[#This Row],[Device ID]],BOM!$B$3:$BQ$35,34,FALSE),"")</f>
        <v>tpco-megw-vgw103.st-net.media.int</v>
      </c>
      <c r="AE450" s="59" t="str">
        <f>IFERROR(VLOOKUP(Tabelle32[[#This Row],[Device ID]],BOM!$B$3:$BQ$35,35,FALSE),"")</f>
        <v>10.120.67.141</v>
      </c>
      <c r="AF450" s="59">
        <f>IFERROR(VLOOKUP(Tabelle32[[#This Row],[Device ID]],BOM!$B$3:$BQ$35,36,FALSE),"")</f>
        <v>0</v>
      </c>
      <c r="AG450" s="59">
        <f>IFERROR(VLOOKUP(Tabelle32[[#This Row],[Device ID]],BOM!$B$3:$BQ$35,37,FALSE),"")</f>
        <v>0</v>
      </c>
      <c r="AH450" s="59"/>
      <c r="AI450" s="59"/>
      <c r="AJ450" s="59"/>
      <c r="AK450" s="59"/>
      <c r="AL450" s="59" t="str">
        <f>IFERROR(VLOOKUP(Tabelle32[[#This Row],[Device ID]],BOM!$B$3:$BQ$35,42,FALSE),"")</f>
        <v>Imagine Communications SNP</v>
      </c>
      <c r="AM450" s="59" t="str">
        <f>IFERROR(VLOOKUP(Tabelle32[[#This Row],[Device ID]],BOM!$B$3:$BQ$35,43,FALSE),"")</f>
        <v>no</v>
      </c>
      <c r="AN450" s="59" t="str">
        <f>IFERROR(VLOOKUP(Tabelle32[[#This Row],[Device ID]],BOM!$B$3:$BQ$35,44,FALSE),"")</f>
        <v>yes</v>
      </c>
      <c r="AO450" s="59" t="str">
        <f>IFERROR(VLOOKUP(Tabelle32[[#This Row],[Device ID]],BOM!$B$3:$BQ$35,45,FALSE),"")</f>
        <v>no</v>
      </c>
      <c r="AP450" s="59" t="str">
        <f>IFERROR(CONCATENATE(Tabelle32[[#This Row],[Family
GFX-Unit]]," | ",Tabelle32[[#This Row],[Label 1
GFX-Unit]]," | ",Tabelle32[[#This Row],[Attached Device if Gateway]]),"")</f>
        <v>MEDEM Edit08 | In Edit08-03 | EditPC-08 IN</v>
      </c>
      <c r="AQ450" s="59"/>
      <c r="AR450" s="99"/>
      <c r="AS450" s="99"/>
      <c r="AT450" s="99"/>
      <c r="AU450" s="99"/>
      <c r="AV450" s="99"/>
      <c r="AW450" s="99" t="s">
        <v>97</v>
      </c>
      <c r="AX450" s="99" t="s">
        <v>199</v>
      </c>
      <c r="AY450" s="99" t="s">
        <v>199</v>
      </c>
      <c r="AZ450" s="99" t="s">
        <v>97</v>
      </c>
      <c r="BA450" s="99"/>
      <c r="BB450" s="99" t="s">
        <v>97</v>
      </c>
      <c r="BC450" s="99" t="s">
        <v>97</v>
      </c>
      <c r="BD450" s="99"/>
      <c r="BE450" s="99"/>
      <c r="BF450" s="99"/>
      <c r="BG450" s="99"/>
      <c r="BH450" s="73" t="s">
        <v>199</v>
      </c>
      <c r="BI450" s="30" t="str">
        <f>IF(COUNTA(Tabelle32[[#This Row],[Type:Vid_1080i50]:[Type:Anc_Prot]])&gt;0,"x","")</f>
        <v>x</v>
      </c>
      <c r="BJ45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50" s="59"/>
      <c r="BL450" s="59"/>
      <c r="BM450" s="63"/>
      <c r="BN450" s="63"/>
      <c r="BO450" s="97" t="s">
        <v>898</v>
      </c>
      <c r="BP450" s="97" t="s">
        <v>908</v>
      </c>
      <c r="BQ450" s="75">
        <f>LEN(Tabelle32[[#This Row],[Label 1
GFX-Unit]])</f>
        <v>12</v>
      </c>
      <c r="BR450" s="63"/>
      <c r="BS450" s="63"/>
      <c r="BT450" s="59"/>
      <c r="BU450" s="59"/>
      <c r="BV450" s="59" t="s">
        <v>222</v>
      </c>
      <c r="BW450" s="59" t="s">
        <v>223</v>
      </c>
      <c r="BX450" s="59" t="s">
        <v>909</v>
      </c>
      <c r="BY450" s="59">
        <v>22</v>
      </c>
    </row>
    <row r="451" spans="1:77" x14ac:dyDescent="0.2">
      <c r="A451" s="58" t="str">
        <f>CONCATENATE(Tabelle32[[#This Row],[Device ID]],".",Tabelle32[[#This Row],[Streamcounter]])</f>
        <v>399.22204</v>
      </c>
      <c r="B45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VGW-103_SDI22_AUDrec_0004</v>
      </c>
      <c r="C451" s="60"/>
      <c r="D451" s="61"/>
      <c r="E451" s="62"/>
      <c r="F451" s="59" t="str">
        <f>IFERROR(VLOOKUP(Tabelle32[[#This Row],[Device ID]],BOM!$B$3:$BQ$35,16,FALSE),"")</f>
        <v>EditPC-08 IN</v>
      </c>
      <c r="G451" s="63">
        <f>VLOOKUP(Tabelle32[[#This Row],[SDI Interface]],BOM!$A$4:$B$35,2,FALSE)</f>
        <v>399</v>
      </c>
      <c r="H451" s="59" t="str">
        <f>BOM!$C$4</f>
        <v>VGW-103</v>
      </c>
      <c r="I451" s="59" t="str">
        <f>IFERROR(VLOOKUP(Tabelle32[[#This Row],[Device ID]],BOM!$B$3:$BQ$35,12,FALSE),"")</f>
        <v>Edit Suite</v>
      </c>
      <c r="J451" s="59" t="str">
        <f>IFERROR(VLOOKUP(Tabelle32[[#This Row],[Device ID]],BOM!$B$3:$BQ$35,13,FALSE),"")</f>
        <v>TC.U1.223 | MDC</v>
      </c>
      <c r="K451" s="59" t="str">
        <f>IFERROR(VLOOKUP(Tabelle32[[#This Row],[Device ID]],BOM!$B$3:$BQ$35,14,FALSE),"")</f>
        <v>Imagine Comunications</v>
      </c>
      <c r="L451" s="59" t="str">
        <f>IFERROR(VLOOKUP(Tabelle32[[#This Row],[Device ID]],BOM!$B$3:$BQ$35,16,FALSE),"")</f>
        <v>EditPC-08 IN</v>
      </c>
      <c r="M451" s="63" t="str">
        <f>IFERROR(VLOOKUP(Tabelle32[[#This Row],[Device ID]],BOM!$B$3:$BQ$35,17,FALSE),"")</f>
        <v>EDIT SUITE 08</v>
      </c>
      <c r="N451" s="59" t="str">
        <f>IFERROR(VLOOKUP(Tabelle32[[#This Row],[Device ID]],BOM!$B$3:$BQ$35,18,FALSE),"")</f>
        <v>TC.03.068 | Edit 08</v>
      </c>
      <c r="O451" s="64"/>
      <c r="P451" s="64">
        <f>IFERROR(VLOOKUP(Tabelle32[[#This Row],[Device ID]],BOM!$B$3:$BO$50,20,FALSE),"")</f>
        <v>0</v>
      </c>
      <c r="Q451" s="64">
        <f>IFERROR(VLOOKUP(Tabelle32[[#This Row],[Device ID]],BOM!$B$3:$BO$50,21,FALSE),"")</f>
        <v>1</v>
      </c>
      <c r="R451" s="64">
        <f>IFERROR(VLOOKUP(Tabelle32[[#This Row],[Device ID]],BOM!$B$3:$BO$50,22,FALSE),"")</f>
        <v>0</v>
      </c>
      <c r="S451" s="64"/>
      <c r="T451" s="64"/>
      <c r="U451" s="59" t="str">
        <f>IFERROR(VLOOKUP(Tabelle32[[#This Row],[Device ID]],BOM!$B$3:$BQ$35,25,FALSE),"")</f>
        <v>Luis/Ivo</v>
      </c>
      <c r="V451" s="59" t="str">
        <f>IFERROR(VLOOKUP(Tabelle32[[#This Row],[Device ID]],BOM!$B$3:$BQ$35,26,FALSE),"")</f>
        <v>tpco-megw-vgw103.rta.st-net.media.int</v>
      </c>
      <c r="W451" s="59" t="str">
        <f>IFERROR(VLOOKUP(Tabelle32[[#This Row],[Device ID]],BOM!$B$3:$BQ$35,27,FALSE),"")</f>
        <v>10.120.236.50</v>
      </c>
      <c r="X451" s="59" t="str">
        <f>IFERROR(VLOOKUP(Tabelle32[[#This Row],[Device ID]],BOM!$B$3:$BQ$35,28,FALSE),"")</f>
        <v>AVCoreA</v>
      </c>
      <c r="Y451" s="59" t="str">
        <f>IFERROR(VLOOKUP(Tabelle32[[#This Row],[Device ID]],BOM!$B$3:$BQ$35,29,FALSE),"")</f>
        <v>5_36_1</v>
      </c>
      <c r="Z451" s="59" t="str">
        <f>IFERROR(VLOOKUP(Tabelle32[[#This Row],[Device ID]],BOM!$B$3:$BQ$35,30,FALSE),"")</f>
        <v>tpco-megw-vgw103.rtb.st-net.media.int</v>
      </c>
      <c r="AA451" s="59" t="str">
        <f>IFERROR(VLOOKUP(Tabelle32[[#This Row],[Device ID]],BOM!$B$3:$BQ$35,31,FALSE),"")</f>
        <v>10.120.236.54</v>
      </c>
      <c r="AB451" s="59" t="str">
        <f>IFERROR(VLOOKUP(Tabelle32[[#This Row],[Device ID]],BOM!$B$3:$BQ$35,32,FALSE),"")</f>
        <v>AVCoreB</v>
      </c>
      <c r="AC451" s="59" t="str">
        <f>IFERROR(VLOOKUP(Tabelle32[[#This Row],[Device ID]],BOM!$B$3:$BQ$35,33,FALSE),"")</f>
        <v>5_36_1</v>
      </c>
      <c r="AD451" s="59" t="str">
        <f>IFERROR(VLOOKUP(Tabelle32[[#This Row],[Device ID]],BOM!$B$3:$BQ$35,34,FALSE),"")</f>
        <v>tpco-megw-vgw103.st-net.media.int</v>
      </c>
      <c r="AE451" s="59" t="str">
        <f>IFERROR(VLOOKUP(Tabelle32[[#This Row],[Device ID]],BOM!$B$3:$BQ$35,35,FALSE),"")</f>
        <v>10.120.67.141</v>
      </c>
      <c r="AF451" s="59">
        <f>IFERROR(VLOOKUP(Tabelle32[[#This Row],[Device ID]],BOM!$B$3:$BQ$35,36,FALSE),"")</f>
        <v>0</v>
      </c>
      <c r="AG451" s="59">
        <f>IFERROR(VLOOKUP(Tabelle32[[#This Row],[Device ID]],BOM!$B$3:$BQ$35,37,FALSE),"")</f>
        <v>0</v>
      </c>
      <c r="AH451" s="59"/>
      <c r="AI451" s="59"/>
      <c r="AJ451" s="59"/>
      <c r="AK451" s="59"/>
      <c r="AL451" s="59" t="str">
        <f>IFERROR(VLOOKUP(Tabelle32[[#This Row],[Device ID]],BOM!$B$3:$BQ$35,42,FALSE),"")</f>
        <v>Imagine Communications SNP</v>
      </c>
      <c r="AM451" s="59" t="str">
        <f>IFERROR(VLOOKUP(Tabelle32[[#This Row],[Device ID]],BOM!$B$3:$BQ$35,43,FALSE),"")</f>
        <v>no</v>
      </c>
      <c r="AN451" s="59" t="str">
        <f>IFERROR(VLOOKUP(Tabelle32[[#This Row],[Device ID]],BOM!$B$3:$BQ$35,44,FALSE),"")</f>
        <v>yes</v>
      </c>
      <c r="AO451" s="59" t="str">
        <f>IFERROR(VLOOKUP(Tabelle32[[#This Row],[Device ID]],BOM!$B$3:$BQ$35,45,FALSE),"")</f>
        <v>no</v>
      </c>
      <c r="AP451" s="59" t="str">
        <f>IFERROR(CONCATENATE(Tabelle32[[#This Row],[Family
GFX-Unit]]," | ",Tabelle32[[#This Row],[Label 1
GFX-Unit]]," | ",Tabelle32[[#This Row],[Attached Device if Gateway]]),"")</f>
        <v>MEDEM Edit08 | In Edit08-04 | EditPC-08 IN</v>
      </c>
      <c r="AQ451" s="59"/>
      <c r="AR451" s="99"/>
      <c r="AS451" s="99"/>
      <c r="AT451" s="99"/>
      <c r="AU451" s="99"/>
      <c r="AV451" s="99"/>
      <c r="AW451" s="99" t="s">
        <v>97</v>
      </c>
      <c r="AX451" s="99" t="s">
        <v>199</v>
      </c>
      <c r="AY451" s="99" t="s">
        <v>199</v>
      </c>
      <c r="AZ451" s="99" t="s">
        <v>97</v>
      </c>
      <c r="BA451" s="99"/>
      <c r="BB451" s="99" t="s">
        <v>97</v>
      </c>
      <c r="BC451" s="99" t="s">
        <v>97</v>
      </c>
      <c r="BD451" s="99"/>
      <c r="BE451" s="99"/>
      <c r="BF451" s="99"/>
      <c r="BG451" s="99"/>
      <c r="BH451" s="73" t="s">
        <v>199</v>
      </c>
      <c r="BI451" s="30" t="str">
        <f>IF(COUNTA(Tabelle32[[#This Row],[Type:Vid_1080i50]:[Type:Anc_Prot]])&gt;0,"x","")</f>
        <v>x</v>
      </c>
      <c r="BJ45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51" s="59"/>
      <c r="BL451" s="59"/>
      <c r="BM451" s="63"/>
      <c r="BN451" s="63"/>
      <c r="BO451" s="97" t="s">
        <v>898</v>
      </c>
      <c r="BP451" s="97" t="s">
        <v>910</v>
      </c>
      <c r="BQ451" s="75">
        <f>LEN(Tabelle32[[#This Row],[Label 1
GFX-Unit]])</f>
        <v>12</v>
      </c>
      <c r="BR451" s="63"/>
      <c r="BS451" s="63"/>
      <c r="BT451" s="59"/>
      <c r="BU451" s="59"/>
      <c r="BV451" s="59" t="s">
        <v>226</v>
      </c>
      <c r="BW451" s="59" t="s">
        <v>227</v>
      </c>
      <c r="BX451" s="59" t="s">
        <v>911</v>
      </c>
      <c r="BY451" s="59">
        <v>22</v>
      </c>
    </row>
    <row r="452" spans="1:77" x14ac:dyDescent="0.2">
      <c r="A452" s="58" t="str">
        <f>CONCATENATE(Tabelle32[[#This Row],[Device ID]],".",Tabelle32[[#This Row],[Streamcounter]])</f>
        <v>399.22205</v>
      </c>
      <c r="B45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VGW-103_SDI22_AUDrec_0005</v>
      </c>
      <c r="C452" s="60"/>
      <c r="D452" s="61"/>
      <c r="E452" s="62"/>
      <c r="F452" s="59" t="str">
        <f>IFERROR(VLOOKUP(Tabelle32[[#This Row],[Device ID]],BOM!$B$3:$BQ$35,16,FALSE),"")</f>
        <v>EditPC-08 IN</v>
      </c>
      <c r="G452" s="63">
        <f>VLOOKUP(Tabelle32[[#This Row],[SDI Interface]],BOM!$A$4:$B$35,2,FALSE)</f>
        <v>399</v>
      </c>
      <c r="H452" s="59" t="str">
        <f>BOM!$C$4</f>
        <v>VGW-103</v>
      </c>
      <c r="I452" s="59" t="str">
        <f>IFERROR(VLOOKUP(Tabelle32[[#This Row],[Device ID]],BOM!$B$3:$BQ$35,12,FALSE),"")</f>
        <v>Edit Suite</v>
      </c>
      <c r="J452" s="59" t="str">
        <f>IFERROR(VLOOKUP(Tabelle32[[#This Row],[Device ID]],BOM!$B$3:$BQ$35,13,FALSE),"")</f>
        <v>TC.U1.223 | MDC</v>
      </c>
      <c r="K452" s="59" t="str">
        <f>IFERROR(VLOOKUP(Tabelle32[[#This Row],[Device ID]],BOM!$B$3:$BQ$35,14,FALSE),"")</f>
        <v>Imagine Comunications</v>
      </c>
      <c r="L452" s="59" t="str">
        <f>IFERROR(VLOOKUP(Tabelle32[[#This Row],[Device ID]],BOM!$B$3:$BQ$35,16,FALSE),"")</f>
        <v>EditPC-08 IN</v>
      </c>
      <c r="M452" s="63" t="str">
        <f>IFERROR(VLOOKUP(Tabelle32[[#This Row],[Device ID]],BOM!$B$3:$BQ$35,17,FALSE),"")</f>
        <v>EDIT SUITE 08</v>
      </c>
      <c r="N452" s="59" t="str">
        <f>IFERROR(VLOOKUP(Tabelle32[[#This Row],[Device ID]],BOM!$B$3:$BQ$35,18,FALSE),"")</f>
        <v>TC.03.068 | Edit 08</v>
      </c>
      <c r="O452" s="64"/>
      <c r="P452" s="64">
        <f>IFERROR(VLOOKUP(Tabelle32[[#This Row],[Device ID]],BOM!$B$3:$BO$50,20,FALSE),"")</f>
        <v>0</v>
      </c>
      <c r="Q452" s="64">
        <f>IFERROR(VLOOKUP(Tabelle32[[#This Row],[Device ID]],BOM!$B$3:$BO$50,21,FALSE),"")</f>
        <v>1</v>
      </c>
      <c r="R452" s="64">
        <f>IFERROR(VLOOKUP(Tabelle32[[#This Row],[Device ID]],BOM!$B$3:$BO$50,22,FALSE),"")</f>
        <v>0</v>
      </c>
      <c r="S452" s="64"/>
      <c r="T452" s="64"/>
      <c r="U452" s="59" t="str">
        <f>IFERROR(VLOOKUP(Tabelle32[[#This Row],[Device ID]],BOM!$B$3:$BQ$35,25,FALSE),"")</f>
        <v>Luis/Ivo</v>
      </c>
      <c r="V452" s="59" t="str">
        <f>IFERROR(VLOOKUP(Tabelle32[[#This Row],[Device ID]],BOM!$B$3:$BQ$35,26,FALSE),"")</f>
        <v>tpco-megw-vgw103.rta.st-net.media.int</v>
      </c>
      <c r="W452" s="59" t="str">
        <f>IFERROR(VLOOKUP(Tabelle32[[#This Row],[Device ID]],BOM!$B$3:$BQ$35,27,FALSE),"")</f>
        <v>10.120.236.50</v>
      </c>
      <c r="X452" s="59" t="str">
        <f>IFERROR(VLOOKUP(Tabelle32[[#This Row],[Device ID]],BOM!$B$3:$BQ$35,28,FALSE),"")</f>
        <v>AVCoreA</v>
      </c>
      <c r="Y452" s="59" t="str">
        <f>IFERROR(VLOOKUP(Tabelle32[[#This Row],[Device ID]],BOM!$B$3:$BQ$35,29,FALSE),"")</f>
        <v>5_36_1</v>
      </c>
      <c r="Z452" s="59" t="str">
        <f>IFERROR(VLOOKUP(Tabelle32[[#This Row],[Device ID]],BOM!$B$3:$BQ$35,30,FALSE),"")</f>
        <v>tpco-megw-vgw103.rtb.st-net.media.int</v>
      </c>
      <c r="AA452" s="59" t="str">
        <f>IFERROR(VLOOKUP(Tabelle32[[#This Row],[Device ID]],BOM!$B$3:$BQ$35,31,FALSE),"")</f>
        <v>10.120.236.54</v>
      </c>
      <c r="AB452" s="59" t="str">
        <f>IFERROR(VLOOKUP(Tabelle32[[#This Row],[Device ID]],BOM!$B$3:$BQ$35,32,FALSE),"")</f>
        <v>AVCoreB</v>
      </c>
      <c r="AC452" s="59" t="str">
        <f>IFERROR(VLOOKUP(Tabelle32[[#This Row],[Device ID]],BOM!$B$3:$BQ$35,33,FALSE),"")</f>
        <v>5_36_1</v>
      </c>
      <c r="AD452" s="59" t="str">
        <f>IFERROR(VLOOKUP(Tabelle32[[#This Row],[Device ID]],BOM!$B$3:$BQ$35,34,FALSE),"")</f>
        <v>tpco-megw-vgw103.st-net.media.int</v>
      </c>
      <c r="AE452" s="59" t="str">
        <f>IFERROR(VLOOKUP(Tabelle32[[#This Row],[Device ID]],BOM!$B$3:$BQ$35,35,FALSE),"")</f>
        <v>10.120.67.141</v>
      </c>
      <c r="AF452" s="59">
        <f>IFERROR(VLOOKUP(Tabelle32[[#This Row],[Device ID]],BOM!$B$3:$BQ$35,36,FALSE),"")</f>
        <v>0</v>
      </c>
      <c r="AG452" s="59">
        <f>IFERROR(VLOOKUP(Tabelle32[[#This Row],[Device ID]],BOM!$B$3:$BQ$35,37,FALSE),"")</f>
        <v>0</v>
      </c>
      <c r="AH452" s="59"/>
      <c r="AI452" s="59"/>
      <c r="AJ452" s="59"/>
      <c r="AK452" s="59"/>
      <c r="AL452" s="59" t="str">
        <f>IFERROR(VLOOKUP(Tabelle32[[#This Row],[Device ID]],BOM!$B$3:$BQ$35,42,FALSE),"")</f>
        <v>Imagine Communications SNP</v>
      </c>
      <c r="AM452" s="59" t="str">
        <f>IFERROR(VLOOKUP(Tabelle32[[#This Row],[Device ID]],BOM!$B$3:$BQ$35,43,FALSE),"")</f>
        <v>no</v>
      </c>
      <c r="AN452" s="59" t="str">
        <f>IFERROR(VLOOKUP(Tabelle32[[#This Row],[Device ID]],BOM!$B$3:$BQ$35,44,FALSE),"")</f>
        <v>yes</v>
      </c>
      <c r="AO452" s="59" t="str">
        <f>IFERROR(VLOOKUP(Tabelle32[[#This Row],[Device ID]],BOM!$B$3:$BQ$35,45,FALSE),"")</f>
        <v>no</v>
      </c>
      <c r="AP452" s="59" t="str">
        <f>IFERROR(CONCATENATE(Tabelle32[[#This Row],[Family
GFX-Unit]]," | ",Tabelle32[[#This Row],[Label 1
GFX-Unit]]," | ",Tabelle32[[#This Row],[Attached Device if Gateway]]),"")</f>
        <v>MEDEM Edit08 | In Edit08-05 | EditPC-08 IN</v>
      </c>
      <c r="AQ452" s="59"/>
      <c r="AR452" s="99"/>
      <c r="AS452" s="99"/>
      <c r="AT452" s="99"/>
      <c r="AU452" s="99"/>
      <c r="AV452" s="99"/>
      <c r="AW452" s="99" t="s">
        <v>97</v>
      </c>
      <c r="AX452" s="99" t="s">
        <v>199</v>
      </c>
      <c r="AY452" s="99" t="s">
        <v>199</v>
      </c>
      <c r="AZ452" s="99" t="s">
        <v>97</v>
      </c>
      <c r="BA452" s="99"/>
      <c r="BB452" s="99" t="s">
        <v>97</v>
      </c>
      <c r="BC452" s="99" t="s">
        <v>97</v>
      </c>
      <c r="BD452" s="99"/>
      <c r="BE452" s="99"/>
      <c r="BF452" s="99"/>
      <c r="BG452" s="99"/>
      <c r="BH452" s="73" t="s">
        <v>199</v>
      </c>
      <c r="BI452" s="30" t="str">
        <f>IF(COUNTA(Tabelle32[[#This Row],[Type:Vid_1080i50]:[Type:Anc_Prot]])&gt;0,"x","")</f>
        <v>x</v>
      </c>
      <c r="BJ45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52" s="59"/>
      <c r="BL452" s="59"/>
      <c r="BM452" s="63"/>
      <c r="BN452" s="63"/>
      <c r="BO452" s="97" t="s">
        <v>898</v>
      </c>
      <c r="BP452" s="97" t="s">
        <v>912</v>
      </c>
      <c r="BQ452" s="75">
        <f>LEN(Tabelle32[[#This Row],[Label 1
GFX-Unit]])</f>
        <v>12</v>
      </c>
      <c r="BR452" s="63"/>
      <c r="BS452" s="63"/>
      <c r="BT452" s="59"/>
      <c r="BU452" s="59"/>
      <c r="BV452" s="59" t="s">
        <v>230</v>
      </c>
      <c r="BW452" s="59" t="s">
        <v>231</v>
      </c>
      <c r="BX452" s="59" t="s">
        <v>913</v>
      </c>
      <c r="BY452" s="59">
        <v>22</v>
      </c>
    </row>
    <row r="453" spans="1:77" x14ac:dyDescent="0.2">
      <c r="A453" s="58" t="str">
        <f>CONCATENATE(Tabelle32[[#This Row],[Device ID]],".",Tabelle32[[#This Row],[Streamcounter]])</f>
        <v>399.22206</v>
      </c>
      <c r="B45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VGW-103_SDI22_AUDrec_0006</v>
      </c>
      <c r="C453" s="60"/>
      <c r="D453" s="61"/>
      <c r="E453" s="62"/>
      <c r="F453" s="59" t="str">
        <f>IFERROR(VLOOKUP(Tabelle32[[#This Row],[Device ID]],BOM!$B$3:$BQ$35,16,FALSE),"")</f>
        <v>EditPC-08 IN</v>
      </c>
      <c r="G453" s="63">
        <f>VLOOKUP(Tabelle32[[#This Row],[SDI Interface]],BOM!$A$4:$B$35,2,FALSE)</f>
        <v>399</v>
      </c>
      <c r="H453" s="59" t="str">
        <f>BOM!$C$4</f>
        <v>VGW-103</v>
      </c>
      <c r="I453" s="59" t="str">
        <f>IFERROR(VLOOKUP(Tabelle32[[#This Row],[Device ID]],BOM!$B$3:$BQ$35,12,FALSE),"")</f>
        <v>Edit Suite</v>
      </c>
      <c r="J453" s="59" t="str">
        <f>IFERROR(VLOOKUP(Tabelle32[[#This Row],[Device ID]],BOM!$B$3:$BQ$35,13,FALSE),"")</f>
        <v>TC.U1.223 | MDC</v>
      </c>
      <c r="K453" s="59" t="str">
        <f>IFERROR(VLOOKUP(Tabelle32[[#This Row],[Device ID]],BOM!$B$3:$BQ$35,14,FALSE),"")</f>
        <v>Imagine Comunications</v>
      </c>
      <c r="L453" s="59" t="str">
        <f>IFERROR(VLOOKUP(Tabelle32[[#This Row],[Device ID]],BOM!$B$3:$BQ$35,16,FALSE),"")</f>
        <v>EditPC-08 IN</v>
      </c>
      <c r="M453" s="63" t="str">
        <f>IFERROR(VLOOKUP(Tabelle32[[#This Row],[Device ID]],BOM!$B$3:$BQ$35,17,FALSE),"")</f>
        <v>EDIT SUITE 08</v>
      </c>
      <c r="N453" s="59" t="str">
        <f>IFERROR(VLOOKUP(Tabelle32[[#This Row],[Device ID]],BOM!$B$3:$BQ$35,18,FALSE),"")</f>
        <v>TC.03.068 | Edit 08</v>
      </c>
      <c r="O453" s="64"/>
      <c r="P453" s="64">
        <f>IFERROR(VLOOKUP(Tabelle32[[#This Row],[Device ID]],BOM!$B$3:$BO$50,20,FALSE),"")</f>
        <v>0</v>
      </c>
      <c r="Q453" s="64">
        <f>IFERROR(VLOOKUP(Tabelle32[[#This Row],[Device ID]],BOM!$B$3:$BO$50,21,FALSE),"")</f>
        <v>1</v>
      </c>
      <c r="R453" s="64">
        <f>IFERROR(VLOOKUP(Tabelle32[[#This Row],[Device ID]],BOM!$B$3:$BO$50,22,FALSE),"")</f>
        <v>0</v>
      </c>
      <c r="S453" s="64"/>
      <c r="T453" s="64"/>
      <c r="U453" s="59" t="str">
        <f>IFERROR(VLOOKUP(Tabelle32[[#This Row],[Device ID]],BOM!$B$3:$BQ$35,25,FALSE),"")</f>
        <v>Luis/Ivo</v>
      </c>
      <c r="V453" s="59" t="str">
        <f>IFERROR(VLOOKUP(Tabelle32[[#This Row],[Device ID]],BOM!$B$3:$BQ$35,26,FALSE),"")</f>
        <v>tpco-megw-vgw103.rta.st-net.media.int</v>
      </c>
      <c r="W453" s="59" t="str">
        <f>IFERROR(VLOOKUP(Tabelle32[[#This Row],[Device ID]],BOM!$B$3:$BQ$35,27,FALSE),"")</f>
        <v>10.120.236.50</v>
      </c>
      <c r="X453" s="59" t="str">
        <f>IFERROR(VLOOKUP(Tabelle32[[#This Row],[Device ID]],BOM!$B$3:$BQ$35,28,FALSE),"")</f>
        <v>AVCoreA</v>
      </c>
      <c r="Y453" s="59" t="str">
        <f>IFERROR(VLOOKUP(Tabelle32[[#This Row],[Device ID]],BOM!$B$3:$BQ$35,29,FALSE),"")</f>
        <v>5_36_1</v>
      </c>
      <c r="Z453" s="59" t="str">
        <f>IFERROR(VLOOKUP(Tabelle32[[#This Row],[Device ID]],BOM!$B$3:$BQ$35,30,FALSE),"")</f>
        <v>tpco-megw-vgw103.rtb.st-net.media.int</v>
      </c>
      <c r="AA453" s="59" t="str">
        <f>IFERROR(VLOOKUP(Tabelle32[[#This Row],[Device ID]],BOM!$B$3:$BQ$35,31,FALSE),"")</f>
        <v>10.120.236.54</v>
      </c>
      <c r="AB453" s="59" t="str">
        <f>IFERROR(VLOOKUP(Tabelle32[[#This Row],[Device ID]],BOM!$B$3:$BQ$35,32,FALSE),"")</f>
        <v>AVCoreB</v>
      </c>
      <c r="AC453" s="59" t="str">
        <f>IFERROR(VLOOKUP(Tabelle32[[#This Row],[Device ID]],BOM!$B$3:$BQ$35,33,FALSE),"")</f>
        <v>5_36_1</v>
      </c>
      <c r="AD453" s="59" t="str">
        <f>IFERROR(VLOOKUP(Tabelle32[[#This Row],[Device ID]],BOM!$B$3:$BQ$35,34,FALSE),"")</f>
        <v>tpco-megw-vgw103.st-net.media.int</v>
      </c>
      <c r="AE453" s="59" t="str">
        <f>IFERROR(VLOOKUP(Tabelle32[[#This Row],[Device ID]],BOM!$B$3:$BQ$35,35,FALSE),"")</f>
        <v>10.120.67.141</v>
      </c>
      <c r="AF453" s="59">
        <f>IFERROR(VLOOKUP(Tabelle32[[#This Row],[Device ID]],BOM!$B$3:$BQ$35,36,FALSE),"")</f>
        <v>0</v>
      </c>
      <c r="AG453" s="59">
        <f>IFERROR(VLOOKUP(Tabelle32[[#This Row],[Device ID]],BOM!$B$3:$BQ$35,37,FALSE),"")</f>
        <v>0</v>
      </c>
      <c r="AH453" s="59"/>
      <c r="AI453" s="59"/>
      <c r="AJ453" s="59"/>
      <c r="AK453" s="59"/>
      <c r="AL453" s="59" t="str">
        <f>IFERROR(VLOOKUP(Tabelle32[[#This Row],[Device ID]],BOM!$B$3:$BQ$35,42,FALSE),"")</f>
        <v>Imagine Communications SNP</v>
      </c>
      <c r="AM453" s="59" t="str">
        <f>IFERROR(VLOOKUP(Tabelle32[[#This Row],[Device ID]],BOM!$B$3:$BQ$35,43,FALSE),"")</f>
        <v>no</v>
      </c>
      <c r="AN453" s="59" t="str">
        <f>IFERROR(VLOOKUP(Tabelle32[[#This Row],[Device ID]],BOM!$B$3:$BQ$35,44,FALSE),"")</f>
        <v>yes</v>
      </c>
      <c r="AO453" s="59" t="str">
        <f>IFERROR(VLOOKUP(Tabelle32[[#This Row],[Device ID]],BOM!$B$3:$BQ$35,45,FALSE),"")</f>
        <v>no</v>
      </c>
      <c r="AP453" s="59" t="str">
        <f>IFERROR(CONCATENATE(Tabelle32[[#This Row],[Family
GFX-Unit]]," | ",Tabelle32[[#This Row],[Label 1
GFX-Unit]]," | ",Tabelle32[[#This Row],[Attached Device if Gateway]]),"")</f>
        <v>MEDEM Edit08 | In Edit08-06 | EditPC-08 IN</v>
      </c>
      <c r="AQ453" s="59"/>
      <c r="AR453" s="99"/>
      <c r="AS453" s="99"/>
      <c r="AT453" s="99"/>
      <c r="AU453" s="99"/>
      <c r="AV453" s="99"/>
      <c r="AW453" s="99" t="s">
        <v>97</v>
      </c>
      <c r="AX453" s="99" t="s">
        <v>199</v>
      </c>
      <c r="AY453" s="99" t="s">
        <v>199</v>
      </c>
      <c r="AZ453" s="99" t="s">
        <v>97</v>
      </c>
      <c r="BA453" s="99"/>
      <c r="BB453" s="99" t="s">
        <v>97</v>
      </c>
      <c r="BC453" s="99" t="s">
        <v>97</v>
      </c>
      <c r="BD453" s="99"/>
      <c r="BE453" s="99"/>
      <c r="BF453" s="99"/>
      <c r="BG453" s="99"/>
      <c r="BH453" s="73" t="s">
        <v>199</v>
      </c>
      <c r="BI453" s="30" t="str">
        <f>IF(COUNTA(Tabelle32[[#This Row],[Type:Vid_1080i50]:[Type:Anc_Prot]])&gt;0,"x","")</f>
        <v>x</v>
      </c>
      <c r="BJ45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53" s="59"/>
      <c r="BL453" s="59"/>
      <c r="BM453" s="63"/>
      <c r="BN453" s="63"/>
      <c r="BO453" s="97" t="s">
        <v>898</v>
      </c>
      <c r="BP453" s="97" t="s">
        <v>914</v>
      </c>
      <c r="BQ453" s="75">
        <f>LEN(Tabelle32[[#This Row],[Label 1
GFX-Unit]])</f>
        <v>12</v>
      </c>
      <c r="BR453" s="63"/>
      <c r="BS453" s="63"/>
      <c r="BT453" s="59"/>
      <c r="BU453" s="59"/>
      <c r="BV453" s="59" t="s">
        <v>234</v>
      </c>
      <c r="BW453" s="59" t="s">
        <v>235</v>
      </c>
      <c r="BX453" s="59" t="s">
        <v>915</v>
      </c>
      <c r="BY453" s="59">
        <v>22</v>
      </c>
    </row>
    <row r="454" spans="1:77" x14ac:dyDescent="0.2">
      <c r="A454" s="58" t="str">
        <f>CONCATENATE(Tabelle32[[#This Row],[Device ID]],".",Tabelle32[[#This Row],[Streamcounter]])</f>
        <v>399.22207</v>
      </c>
      <c r="B45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VGW-103_SDI22_AUDrec_0007</v>
      </c>
      <c r="C454" s="60"/>
      <c r="D454" s="61"/>
      <c r="E454" s="62"/>
      <c r="F454" s="59" t="str">
        <f>IFERROR(VLOOKUP(Tabelle32[[#This Row],[Device ID]],BOM!$B$3:$BQ$35,16,FALSE),"")</f>
        <v>EditPC-08 IN</v>
      </c>
      <c r="G454" s="63">
        <f>VLOOKUP(Tabelle32[[#This Row],[SDI Interface]],BOM!$A$4:$B$35,2,FALSE)</f>
        <v>399</v>
      </c>
      <c r="H454" s="59" t="str">
        <f>BOM!$C$4</f>
        <v>VGW-103</v>
      </c>
      <c r="I454" s="59" t="str">
        <f>IFERROR(VLOOKUP(Tabelle32[[#This Row],[Device ID]],BOM!$B$3:$BQ$35,12,FALSE),"")</f>
        <v>Edit Suite</v>
      </c>
      <c r="J454" s="59" t="str">
        <f>IFERROR(VLOOKUP(Tabelle32[[#This Row],[Device ID]],BOM!$B$3:$BQ$35,13,FALSE),"")</f>
        <v>TC.U1.223 | MDC</v>
      </c>
      <c r="K454" s="59" t="str">
        <f>IFERROR(VLOOKUP(Tabelle32[[#This Row],[Device ID]],BOM!$B$3:$BQ$35,14,FALSE),"")</f>
        <v>Imagine Comunications</v>
      </c>
      <c r="L454" s="59" t="str">
        <f>IFERROR(VLOOKUP(Tabelle32[[#This Row],[Device ID]],BOM!$B$3:$BQ$35,16,FALSE),"")</f>
        <v>EditPC-08 IN</v>
      </c>
      <c r="M454" s="63" t="str">
        <f>IFERROR(VLOOKUP(Tabelle32[[#This Row],[Device ID]],BOM!$B$3:$BQ$35,17,FALSE),"")</f>
        <v>EDIT SUITE 08</v>
      </c>
      <c r="N454" s="59" t="str">
        <f>IFERROR(VLOOKUP(Tabelle32[[#This Row],[Device ID]],BOM!$B$3:$BQ$35,18,FALSE),"")</f>
        <v>TC.03.068 | Edit 08</v>
      </c>
      <c r="O454" s="64"/>
      <c r="P454" s="64">
        <f>IFERROR(VLOOKUP(Tabelle32[[#This Row],[Device ID]],BOM!$B$3:$BO$50,20,FALSE),"")</f>
        <v>0</v>
      </c>
      <c r="Q454" s="64">
        <f>IFERROR(VLOOKUP(Tabelle32[[#This Row],[Device ID]],BOM!$B$3:$BO$50,21,FALSE),"")</f>
        <v>1</v>
      </c>
      <c r="R454" s="64">
        <f>IFERROR(VLOOKUP(Tabelle32[[#This Row],[Device ID]],BOM!$B$3:$BO$50,22,FALSE),"")</f>
        <v>0</v>
      </c>
      <c r="S454" s="64"/>
      <c r="T454" s="64"/>
      <c r="U454" s="59" t="str">
        <f>IFERROR(VLOOKUP(Tabelle32[[#This Row],[Device ID]],BOM!$B$3:$BQ$35,25,FALSE),"")</f>
        <v>Luis/Ivo</v>
      </c>
      <c r="V454" s="59" t="str">
        <f>IFERROR(VLOOKUP(Tabelle32[[#This Row],[Device ID]],BOM!$B$3:$BQ$35,26,FALSE),"")</f>
        <v>tpco-megw-vgw103.rta.st-net.media.int</v>
      </c>
      <c r="W454" s="59" t="str">
        <f>IFERROR(VLOOKUP(Tabelle32[[#This Row],[Device ID]],BOM!$B$3:$BQ$35,27,FALSE),"")</f>
        <v>10.120.236.50</v>
      </c>
      <c r="X454" s="59" t="str">
        <f>IFERROR(VLOOKUP(Tabelle32[[#This Row],[Device ID]],BOM!$B$3:$BQ$35,28,FALSE),"")</f>
        <v>AVCoreA</v>
      </c>
      <c r="Y454" s="59" t="str">
        <f>IFERROR(VLOOKUP(Tabelle32[[#This Row],[Device ID]],BOM!$B$3:$BQ$35,29,FALSE),"")</f>
        <v>5_36_1</v>
      </c>
      <c r="Z454" s="59" t="str">
        <f>IFERROR(VLOOKUP(Tabelle32[[#This Row],[Device ID]],BOM!$B$3:$BQ$35,30,FALSE),"")</f>
        <v>tpco-megw-vgw103.rtb.st-net.media.int</v>
      </c>
      <c r="AA454" s="59" t="str">
        <f>IFERROR(VLOOKUP(Tabelle32[[#This Row],[Device ID]],BOM!$B$3:$BQ$35,31,FALSE),"")</f>
        <v>10.120.236.54</v>
      </c>
      <c r="AB454" s="59" t="str">
        <f>IFERROR(VLOOKUP(Tabelle32[[#This Row],[Device ID]],BOM!$B$3:$BQ$35,32,FALSE),"")</f>
        <v>AVCoreB</v>
      </c>
      <c r="AC454" s="59" t="str">
        <f>IFERROR(VLOOKUP(Tabelle32[[#This Row],[Device ID]],BOM!$B$3:$BQ$35,33,FALSE),"")</f>
        <v>5_36_1</v>
      </c>
      <c r="AD454" s="59" t="str">
        <f>IFERROR(VLOOKUP(Tabelle32[[#This Row],[Device ID]],BOM!$B$3:$BQ$35,34,FALSE),"")</f>
        <v>tpco-megw-vgw103.st-net.media.int</v>
      </c>
      <c r="AE454" s="59" t="str">
        <f>IFERROR(VLOOKUP(Tabelle32[[#This Row],[Device ID]],BOM!$B$3:$BQ$35,35,FALSE),"")</f>
        <v>10.120.67.141</v>
      </c>
      <c r="AF454" s="59">
        <f>IFERROR(VLOOKUP(Tabelle32[[#This Row],[Device ID]],BOM!$B$3:$BQ$35,36,FALSE),"")</f>
        <v>0</v>
      </c>
      <c r="AG454" s="59">
        <f>IFERROR(VLOOKUP(Tabelle32[[#This Row],[Device ID]],BOM!$B$3:$BQ$35,37,FALSE),"")</f>
        <v>0</v>
      </c>
      <c r="AH454" s="59"/>
      <c r="AI454" s="59"/>
      <c r="AJ454" s="59"/>
      <c r="AK454" s="59"/>
      <c r="AL454" s="59" t="str">
        <f>IFERROR(VLOOKUP(Tabelle32[[#This Row],[Device ID]],BOM!$B$3:$BQ$35,42,FALSE),"")</f>
        <v>Imagine Communications SNP</v>
      </c>
      <c r="AM454" s="59" t="str">
        <f>IFERROR(VLOOKUP(Tabelle32[[#This Row],[Device ID]],BOM!$B$3:$BQ$35,43,FALSE),"")</f>
        <v>no</v>
      </c>
      <c r="AN454" s="59" t="str">
        <f>IFERROR(VLOOKUP(Tabelle32[[#This Row],[Device ID]],BOM!$B$3:$BQ$35,44,FALSE),"")</f>
        <v>yes</v>
      </c>
      <c r="AO454" s="59" t="str">
        <f>IFERROR(VLOOKUP(Tabelle32[[#This Row],[Device ID]],BOM!$B$3:$BQ$35,45,FALSE),"")</f>
        <v>no</v>
      </c>
      <c r="AP454" s="59" t="str">
        <f>IFERROR(CONCATENATE(Tabelle32[[#This Row],[Family
GFX-Unit]]," | ",Tabelle32[[#This Row],[Label 1
GFX-Unit]]," | ",Tabelle32[[#This Row],[Attached Device if Gateway]]),"")</f>
        <v>MEDEM Edit08 | In Edit08-07 | EditPC-08 IN</v>
      </c>
      <c r="AQ454" s="59"/>
      <c r="AR454" s="96"/>
      <c r="AS454" s="96"/>
      <c r="AT454" s="96"/>
      <c r="AU454" s="96"/>
      <c r="AV454" s="96"/>
      <c r="AW454" s="96" t="s">
        <v>97</v>
      </c>
      <c r="AX454" s="96" t="s">
        <v>199</v>
      </c>
      <c r="AY454" s="96" t="s">
        <v>199</v>
      </c>
      <c r="AZ454" s="96" t="s">
        <v>97</v>
      </c>
      <c r="BA454" s="96"/>
      <c r="BB454" s="96" t="s">
        <v>97</v>
      </c>
      <c r="BC454" s="96" t="s">
        <v>97</v>
      </c>
      <c r="BD454" s="96"/>
      <c r="BE454" s="96"/>
      <c r="BF454" s="96"/>
      <c r="BG454" s="96"/>
      <c r="BH454" s="73" t="s">
        <v>199</v>
      </c>
      <c r="BI454" s="30" t="str">
        <f>IF(COUNTA(Tabelle32[[#This Row],[Type:Vid_1080i50]:[Type:Anc_Prot]])&gt;0,"x","")</f>
        <v>x</v>
      </c>
      <c r="BJ45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54" s="59"/>
      <c r="BL454" s="59"/>
      <c r="BM454" s="63"/>
      <c r="BN454" s="63"/>
      <c r="BO454" s="97" t="s">
        <v>898</v>
      </c>
      <c r="BP454" s="97" t="s">
        <v>916</v>
      </c>
      <c r="BQ454" s="75">
        <f>LEN(Tabelle32[[#This Row],[Label 1
GFX-Unit]])</f>
        <v>12</v>
      </c>
      <c r="BR454" s="63"/>
      <c r="BS454" s="63"/>
      <c r="BT454" s="59"/>
      <c r="BU454" s="59"/>
      <c r="BV454" s="59" t="s">
        <v>238</v>
      </c>
      <c r="BW454" s="59" t="s">
        <v>239</v>
      </c>
      <c r="BX454" s="59" t="s">
        <v>917</v>
      </c>
      <c r="BY454" s="59">
        <v>22</v>
      </c>
    </row>
    <row r="455" spans="1:77" x14ac:dyDescent="0.2">
      <c r="A455" s="58" t="str">
        <f>CONCATENATE(Tabelle32[[#This Row],[Device ID]],".",Tabelle32[[#This Row],[Streamcounter]])</f>
        <v>399.22208</v>
      </c>
      <c r="B45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VGW-103_SDI22_AUDrec_0008</v>
      </c>
      <c r="C455" s="60"/>
      <c r="D455" s="61"/>
      <c r="E455" s="62"/>
      <c r="F455" s="59" t="str">
        <f>IFERROR(VLOOKUP(Tabelle32[[#This Row],[Device ID]],BOM!$B$3:$BQ$35,16,FALSE),"")</f>
        <v>EditPC-08 IN</v>
      </c>
      <c r="G455" s="63">
        <f>VLOOKUP(Tabelle32[[#This Row],[SDI Interface]],BOM!$A$4:$B$35,2,FALSE)</f>
        <v>399</v>
      </c>
      <c r="H455" s="59" t="str">
        <f>BOM!$C$4</f>
        <v>VGW-103</v>
      </c>
      <c r="I455" s="59" t="str">
        <f>IFERROR(VLOOKUP(Tabelle32[[#This Row],[Device ID]],BOM!$B$3:$BQ$35,12,FALSE),"")</f>
        <v>Edit Suite</v>
      </c>
      <c r="J455" s="59" t="str">
        <f>IFERROR(VLOOKUP(Tabelle32[[#This Row],[Device ID]],BOM!$B$3:$BQ$35,13,FALSE),"")</f>
        <v>TC.U1.223 | MDC</v>
      </c>
      <c r="K455" s="59" t="str">
        <f>IFERROR(VLOOKUP(Tabelle32[[#This Row],[Device ID]],BOM!$B$3:$BQ$35,14,FALSE),"")</f>
        <v>Imagine Comunications</v>
      </c>
      <c r="L455" s="59" t="str">
        <f>IFERROR(VLOOKUP(Tabelle32[[#This Row],[Device ID]],BOM!$B$3:$BQ$35,16,FALSE),"")</f>
        <v>EditPC-08 IN</v>
      </c>
      <c r="M455" s="63" t="str">
        <f>IFERROR(VLOOKUP(Tabelle32[[#This Row],[Device ID]],BOM!$B$3:$BQ$35,17,FALSE),"")</f>
        <v>EDIT SUITE 08</v>
      </c>
      <c r="N455" s="59" t="str">
        <f>IFERROR(VLOOKUP(Tabelle32[[#This Row],[Device ID]],BOM!$B$3:$BQ$35,18,FALSE),"")</f>
        <v>TC.03.068 | Edit 08</v>
      </c>
      <c r="O455" s="64"/>
      <c r="P455" s="64">
        <f>IFERROR(VLOOKUP(Tabelle32[[#This Row],[Device ID]],BOM!$B$3:$BO$50,20,FALSE),"")</f>
        <v>0</v>
      </c>
      <c r="Q455" s="64">
        <f>IFERROR(VLOOKUP(Tabelle32[[#This Row],[Device ID]],BOM!$B$3:$BO$50,21,FALSE),"")</f>
        <v>1</v>
      </c>
      <c r="R455" s="64">
        <f>IFERROR(VLOOKUP(Tabelle32[[#This Row],[Device ID]],BOM!$B$3:$BO$50,22,FALSE),"")</f>
        <v>0</v>
      </c>
      <c r="S455" s="64"/>
      <c r="T455" s="64"/>
      <c r="U455" s="59" t="str">
        <f>IFERROR(VLOOKUP(Tabelle32[[#This Row],[Device ID]],BOM!$B$3:$BQ$35,25,FALSE),"")</f>
        <v>Luis/Ivo</v>
      </c>
      <c r="V455" s="59" t="str">
        <f>IFERROR(VLOOKUP(Tabelle32[[#This Row],[Device ID]],BOM!$B$3:$BQ$35,26,FALSE),"")</f>
        <v>tpco-megw-vgw103.rta.st-net.media.int</v>
      </c>
      <c r="W455" s="59" t="str">
        <f>IFERROR(VLOOKUP(Tabelle32[[#This Row],[Device ID]],BOM!$B$3:$BQ$35,27,FALSE),"")</f>
        <v>10.120.236.50</v>
      </c>
      <c r="X455" s="59" t="str">
        <f>IFERROR(VLOOKUP(Tabelle32[[#This Row],[Device ID]],BOM!$B$3:$BQ$35,28,FALSE),"")</f>
        <v>AVCoreA</v>
      </c>
      <c r="Y455" s="59" t="str">
        <f>IFERROR(VLOOKUP(Tabelle32[[#This Row],[Device ID]],BOM!$B$3:$BQ$35,29,FALSE),"")</f>
        <v>5_36_1</v>
      </c>
      <c r="Z455" s="59" t="str">
        <f>IFERROR(VLOOKUP(Tabelle32[[#This Row],[Device ID]],BOM!$B$3:$BQ$35,30,FALSE),"")</f>
        <v>tpco-megw-vgw103.rtb.st-net.media.int</v>
      </c>
      <c r="AA455" s="59" t="str">
        <f>IFERROR(VLOOKUP(Tabelle32[[#This Row],[Device ID]],BOM!$B$3:$BQ$35,31,FALSE),"")</f>
        <v>10.120.236.54</v>
      </c>
      <c r="AB455" s="59" t="str">
        <f>IFERROR(VLOOKUP(Tabelle32[[#This Row],[Device ID]],BOM!$B$3:$BQ$35,32,FALSE),"")</f>
        <v>AVCoreB</v>
      </c>
      <c r="AC455" s="59" t="str">
        <f>IFERROR(VLOOKUP(Tabelle32[[#This Row],[Device ID]],BOM!$B$3:$BQ$35,33,FALSE),"")</f>
        <v>5_36_1</v>
      </c>
      <c r="AD455" s="59" t="str">
        <f>IFERROR(VLOOKUP(Tabelle32[[#This Row],[Device ID]],BOM!$B$3:$BQ$35,34,FALSE),"")</f>
        <v>tpco-megw-vgw103.st-net.media.int</v>
      </c>
      <c r="AE455" s="59" t="str">
        <f>IFERROR(VLOOKUP(Tabelle32[[#This Row],[Device ID]],BOM!$B$3:$BQ$35,35,FALSE),"")</f>
        <v>10.120.67.141</v>
      </c>
      <c r="AF455" s="59">
        <f>IFERROR(VLOOKUP(Tabelle32[[#This Row],[Device ID]],BOM!$B$3:$BQ$35,36,FALSE),"")</f>
        <v>0</v>
      </c>
      <c r="AG455" s="59">
        <f>IFERROR(VLOOKUP(Tabelle32[[#This Row],[Device ID]],BOM!$B$3:$BQ$35,37,FALSE),"")</f>
        <v>0</v>
      </c>
      <c r="AH455" s="59"/>
      <c r="AI455" s="59"/>
      <c r="AJ455" s="59"/>
      <c r="AK455" s="59"/>
      <c r="AL455" s="59" t="str">
        <f>IFERROR(VLOOKUP(Tabelle32[[#This Row],[Device ID]],BOM!$B$3:$BQ$35,42,FALSE),"")</f>
        <v>Imagine Communications SNP</v>
      </c>
      <c r="AM455" s="59" t="str">
        <f>IFERROR(VLOOKUP(Tabelle32[[#This Row],[Device ID]],BOM!$B$3:$BQ$35,43,FALSE),"")</f>
        <v>no</v>
      </c>
      <c r="AN455" s="59" t="str">
        <f>IFERROR(VLOOKUP(Tabelle32[[#This Row],[Device ID]],BOM!$B$3:$BQ$35,44,FALSE),"")</f>
        <v>yes</v>
      </c>
      <c r="AO455" s="59" t="str">
        <f>IFERROR(VLOOKUP(Tabelle32[[#This Row],[Device ID]],BOM!$B$3:$BQ$35,45,FALSE),"")</f>
        <v>no</v>
      </c>
      <c r="AP455" s="59" t="str">
        <f>IFERROR(CONCATENATE(Tabelle32[[#This Row],[Family
GFX-Unit]]," | ",Tabelle32[[#This Row],[Label 1
GFX-Unit]]," | ",Tabelle32[[#This Row],[Attached Device if Gateway]]),"")</f>
        <v>MEDEM Edit08 | In Edit08-08 | EditPC-08 IN</v>
      </c>
      <c r="AQ455" s="59"/>
      <c r="AR455" s="96"/>
      <c r="AS455" s="96"/>
      <c r="AT455" s="96"/>
      <c r="AU455" s="96"/>
      <c r="AV455" s="96"/>
      <c r="AW455" s="96" t="s">
        <v>97</v>
      </c>
      <c r="AX455" s="96" t="s">
        <v>199</v>
      </c>
      <c r="AY455" s="96" t="s">
        <v>199</v>
      </c>
      <c r="AZ455" s="96" t="s">
        <v>97</v>
      </c>
      <c r="BA455" s="96"/>
      <c r="BB455" s="96" t="s">
        <v>97</v>
      </c>
      <c r="BC455" s="96" t="s">
        <v>97</v>
      </c>
      <c r="BD455" s="96"/>
      <c r="BE455" s="96"/>
      <c r="BF455" s="96"/>
      <c r="BG455" s="96"/>
      <c r="BH455" s="73" t="s">
        <v>199</v>
      </c>
      <c r="BI455" s="30" t="str">
        <f>IF(COUNTA(Tabelle32[[#This Row],[Type:Vid_1080i50]:[Type:Anc_Prot]])&gt;0,"x","")</f>
        <v>x</v>
      </c>
      <c r="BJ45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55" s="59"/>
      <c r="BL455" s="59"/>
      <c r="BM455" s="63"/>
      <c r="BN455" s="63"/>
      <c r="BO455" s="97" t="s">
        <v>898</v>
      </c>
      <c r="BP455" s="97" t="s">
        <v>918</v>
      </c>
      <c r="BQ455" s="75">
        <f>LEN(Tabelle32[[#This Row],[Label 1
GFX-Unit]])</f>
        <v>12</v>
      </c>
      <c r="BR455" s="63"/>
      <c r="BS455" s="63"/>
      <c r="BT455" s="59"/>
      <c r="BU455" s="59"/>
      <c r="BV455" s="59" t="s">
        <v>242</v>
      </c>
      <c r="BW455" s="59" t="s">
        <v>243</v>
      </c>
      <c r="BX455" s="59" t="s">
        <v>919</v>
      </c>
      <c r="BY455" s="59">
        <v>22</v>
      </c>
    </row>
    <row r="456" spans="1:77" x14ac:dyDescent="0.2">
      <c r="A456" s="58" t="str">
        <f>CONCATENATE(Tabelle32[[#This Row],[Device ID]],".",Tabelle32[[#This Row],[Streamcounter]])</f>
        <v>399.22209</v>
      </c>
      <c r="B45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VGW-103_SDI22_AUDrec_0009</v>
      </c>
      <c r="C456" s="60"/>
      <c r="D456" s="61"/>
      <c r="E456" s="62"/>
      <c r="F456" s="59" t="str">
        <f>IFERROR(VLOOKUP(Tabelle32[[#This Row],[Device ID]],BOM!$B$3:$BQ$35,16,FALSE),"")</f>
        <v>EditPC-08 IN</v>
      </c>
      <c r="G456" s="63">
        <f>VLOOKUP(Tabelle32[[#This Row],[SDI Interface]],BOM!$A$4:$B$35,2,FALSE)</f>
        <v>399</v>
      </c>
      <c r="H456" s="59" t="str">
        <f>BOM!$C$4</f>
        <v>VGW-103</v>
      </c>
      <c r="I456" s="59" t="str">
        <f>IFERROR(VLOOKUP(Tabelle32[[#This Row],[Device ID]],BOM!$B$3:$BQ$35,12,FALSE),"")</f>
        <v>Edit Suite</v>
      </c>
      <c r="J456" s="59" t="str">
        <f>IFERROR(VLOOKUP(Tabelle32[[#This Row],[Device ID]],BOM!$B$3:$BQ$35,13,FALSE),"")</f>
        <v>TC.U1.223 | MDC</v>
      </c>
      <c r="K456" s="59" t="str">
        <f>IFERROR(VLOOKUP(Tabelle32[[#This Row],[Device ID]],BOM!$B$3:$BQ$35,14,FALSE),"")</f>
        <v>Imagine Comunications</v>
      </c>
      <c r="L456" s="59" t="str">
        <f>IFERROR(VLOOKUP(Tabelle32[[#This Row],[Device ID]],BOM!$B$3:$BQ$35,16,FALSE),"")</f>
        <v>EditPC-08 IN</v>
      </c>
      <c r="M456" s="63" t="str">
        <f>IFERROR(VLOOKUP(Tabelle32[[#This Row],[Device ID]],BOM!$B$3:$BQ$35,17,FALSE),"")</f>
        <v>EDIT SUITE 08</v>
      </c>
      <c r="N456" s="59" t="str">
        <f>IFERROR(VLOOKUP(Tabelle32[[#This Row],[Device ID]],BOM!$B$3:$BQ$35,18,FALSE),"")</f>
        <v>TC.03.068 | Edit 08</v>
      </c>
      <c r="O456" s="64"/>
      <c r="P456" s="64">
        <f>IFERROR(VLOOKUP(Tabelle32[[#This Row],[Device ID]],BOM!$B$3:$BO$50,20,FALSE),"")</f>
        <v>0</v>
      </c>
      <c r="Q456" s="64">
        <f>IFERROR(VLOOKUP(Tabelle32[[#This Row],[Device ID]],BOM!$B$3:$BO$50,21,FALSE),"")</f>
        <v>1</v>
      </c>
      <c r="R456" s="64">
        <f>IFERROR(VLOOKUP(Tabelle32[[#This Row],[Device ID]],BOM!$B$3:$BO$50,22,FALSE),"")</f>
        <v>0</v>
      </c>
      <c r="S456" s="64"/>
      <c r="T456" s="64"/>
      <c r="U456" s="59" t="str">
        <f>IFERROR(VLOOKUP(Tabelle32[[#This Row],[Device ID]],BOM!$B$3:$BQ$35,25,FALSE),"")</f>
        <v>Luis/Ivo</v>
      </c>
      <c r="V456" s="59" t="str">
        <f>IFERROR(VLOOKUP(Tabelle32[[#This Row],[Device ID]],BOM!$B$3:$BQ$35,26,FALSE),"")</f>
        <v>tpco-megw-vgw103.rta.st-net.media.int</v>
      </c>
      <c r="W456" s="59" t="str">
        <f>IFERROR(VLOOKUP(Tabelle32[[#This Row],[Device ID]],BOM!$B$3:$BQ$35,27,FALSE),"")</f>
        <v>10.120.236.50</v>
      </c>
      <c r="X456" s="59" t="str">
        <f>IFERROR(VLOOKUP(Tabelle32[[#This Row],[Device ID]],BOM!$B$3:$BQ$35,28,FALSE),"")</f>
        <v>AVCoreA</v>
      </c>
      <c r="Y456" s="59" t="str">
        <f>IFERROR(VLOOKUP(Tabelle32[[#This Row],[Device ID]],BOM!$B$3:$BQ$35,29,FALSE),"")</f>
        <v>5_36_1</v>
      </c>
      <c r="Z456" s="59" t="str">
        <f>IFERROR(VLOOKUP(Tabelle32[[#This Row],[Device ID]],BOM!$B$3:$BQ$35,30,FALSE),"")</f>
        <v>tpco-megw-vgw103.rtb.st-net.media.int</v>
      </c>
      <c r="AA456" s="59" t="str">
        <f>IFERROR(VLOOKUP(Tabelle32[[#This Row],[Device ID]],BOM!$B$3:$BQ$35,31,FALSE),"")</f>
        <v>10.120.236.54</v>
      </c>
      <c r="AB456" s="59" t="str">
        <f>IFERROR(VLOOKUP(Tabelle32[[#This Row],[Device ID]],BOM!$B$3:$BQ$35,32,FALSE),"")</f>
        <v>AVCoreB</v>
      </c>
      <c r="AC456" s="59" t="str">
        <f>IFERROR(VLOOKUP(Tabelle32[[#This Row],[Device ID]],BOM!$B$3:$BQ$35,33,FALSE),"")</f>
        <v>5_36_1</v>
      </c>
      <c r="AD456" s="59" t="str">
        <f>IFERROR(VLOOKUP(Tabelle32[[#This Row],[Device ID]],BOM!$B$3:$BQ$35,34,FALSE),"")</f>
        <v>tpco-megw-vgw103.st-net.media.int</v>
      </c>
      <c r="AE456" s="59" t="str">
        <f>IFERROR(VLOOKUP(Tabelle32[[#This Row],[Device ID]],BOM!$B$3:$BQ$35,35,FALSE),"")</f>
        <v>10.120.67.141</v>
      </c>
      <c r="AF456" s="59">
        <f>IFERROR(VLOOKUP(Tabelle32[[#This Row],[Device ID]],BOM!$B$3:$BQ$35,36,FALSE),"")</f>
        <v>0</v>
      </c>
      <c r="AG456" s="59">
        <f>IFERROR(VLOOKUP(Tabelle32[[#This Row],[Device ID]],BOM!$B$3:$BQ$35,37,FALSE),"")</f>
        <v>0</v>
      </c>
      <c r="AH456" s="59"/>
      <c r="AI456" s="59"/>
      <c r="AJ456" s="59"/>
      <c r="AK456" s="59"/>
      <c r="AL456" s="59" t="str">
        <f>IFERROR(VLOOKUP(Tabelle32[[#This Row],[Device ID]],BOM!$B$3:$BQ$35,42,FALSE),"")</f>
        <v>Imagine Communications SNP</v>
      </c>
      <c r="AM456" s="59" t="str">
        <f>IFERROR(VLOOKUP(Tabelle32[[#This Row],[Device ID]],BOM!$B$3:$BQ$35,43,FALSE),"")</f>
        <v>no</v>
      </c>
      <c r="AN456" s="59" t="str">
        <f>IFERROR(VLOOKUP(Tabelle32[[#This Row],[Device ID]],BOM!$B$3:$BQ$35,44,FALSE),"")</f>
        <v>yes</v>
      </c>
      <c r="AO456" s="59" t="str">
        <f>IFERROR(VLOOKUP(Tabelle32[[#This Row],[Device ID]],BOM!$B$3:$BQ$35,45,FALSE),"")</f>
        <v>no</v>
      </c>
      <c r="AP456" s="59" t="str">
        <f>IFERROR(CONCATENATE(Tabelle32[[#This Row],[Family
GFX-Unit]]," | ",Tabelle32[[#This Row],[Label 1
GFX-Unit]]," | ",Tabelle32[[#This Row],[Attached Device if Gateway]]),"")</f>
        <v>MEDEM Edit08 | In Edit08-09 | EditPC-08 IN</v>
      </c>
      <c r="AQ456" s="59"/>
      <c r="AR456" s="96"/>
      <c r="AS456" s="96"/>
      <c r="AT456" s="96"/>
      <c r="AU456" s="96"/>
      <c r="AV456" s="96"/>
      <c r="AW456" s="96" t="s">
        <v>97</v>
      </c>
      <c r="AX456" s="96" t="s">
        <v>199</v>
      </c>
      <c r="AY456" s="96" t="s">
        <v>199</v>
      </c>
      <c r="AZ456" s="96" t="s">
        <v>97</v>
      </c>
      <c r="BA456" s="96"/>
      <c r="BB456" s="96" t="s">
        <v>97</v>
      </c>
      <c r="BC456" s="96" t="s">
        <v>97</v>
      </c>
      <c r="BD456" s="96"/>
      <c r="BE456" s="96"/>
      <c r="BF456" s="96"/>
      <c r="BG456" s="96"/>
      <c r="BH456" s="73" t="s">
        <v>199</v>
      </c>
      <c r="BI456" s="30" t="str">
        <f>IF(COUNTA(Tabelle32[[#This Row],[Type:Vid_1080i50]:[Type:Anc_Prot]])&gt;0,"x","")</f>
        <v>x</v>
      </c>
      <c r="BJ45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56" s="59"/>
      <c r="BL456" s="59"/>
      <c r="BM456" s="63"/>
      <c r="BN456" s="63"/>
      <c r="BO456" s="97" t="s">
        <v>898</v>
      </c>
      <c r="BP456" s="97" t="s">
        <v>920</v>
      </c>
      <c r="BQ456" s="75">
        <f>LEN(Tabelle32[[#This Row],[Label 1
GFX-Unit]])</f>
        <v>12</v>
      </c>
      <c r="BR456" s="63"/>
      <c r="BS456" s="63"/>
      <c r="BT456" s="59"/>
      <c r="BU456" s="59"/>
      <c r="BV456" s="59" t="s">
        <v>245</v>
      </c>
      <c r="BW456" s="59" t="s">
        <v>246</v>
      </c>
      <c r="BX456" s="59" t="s">
        <v>921</v>
      </c>
      <c r="BY456" s="59">
        <v>22</v>
      </c>
    </row>
    <row r="457" spans="1:77" hidden="1" x14ac:dyDescent="0.2">
      <c r="A457" s="58" t="str">
        <f>CONCATENATE(Tabelle32[[#This Row],[Device ID]],".",Tabelle32[[#This Row],[Streamcounter]])</f>
        <v>399.22210</v>
      </c>
      <c r="B45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VGW-103_SDI22_AUDrec_0010</v>
      </c>
      <c r="C457" s="60"/>
      <c r="D457" s="61"/>
      <c r="E457" s="62"/>
      <c r="F457" s="59" t="str">
        <f>IFERROR(VLOOKUP(Tabelle32[[#This Row],[Device ID]],BOM!$B$3:$BQ$35,16,FALSE),"")</f>
        <v>EditPC-08 IN</v>
      </c>
      <c r="G457" s="63">
        <f>VLOOKUP(Tabelle32[[#This Row],[SDI Interface]],BOM!$A$4:$B$35,2,FALSE)</f>
        <v>399</v>
      </c>
      <c r="H457" s="59" t="str">
        <f>BOM!$C$4</f>
        <v>VGW-103</v>
      </c>
      <c r="I457" s="59" t="str">
        <f>IFERROR(VLOOKUP(Tabelle32[[#This Row],[Device ID]],BOM!$B$3:$BQ$35,12,FALSE),"")</f>
        <v>Edit Suite</v>
      </c>
      <c r="J457" s="59" t="str">
        <f>IFERROR(VLOOKUP(Tabelle32[[#This Row],[Device ID]],BOM!$B$3:$BQ$35,13,FALSE),"")</f>
        <v>TC.U1.223 | MDC</v>
      </c>
      <c r="K457" s="59" t="str">
        <f>IFERROR(VLOOKUP(Tabelle32[[#This Row],[Device ID]],BOM!$B$3:$BQ$35,14,FALSE),"")</f>
        <v>Imagine Comunications</v>
      </c>
      <c r="L457" s="59" t="str">
        <f>IFERROR(VLOOKUP(Tabelle32[[#This Row],[Device ID]],BOM!$B$3:$BQ$35,16,FALSE),"")</f>
        <v>EditPC-08 IN</v>
      </c>
      <c r="M457" s="63" t="str">
        <f>IFERROR(VLOOKUP(Tabelle32[[#This Row],[Device ID]],BOM!$B$3:$BQ$35,17,FALSE),"")</f>
        <v>EDIT SUITE 08</v>
      </c>
      <c r="N457" s="59" t="str">
        <f>IFERROR(VLOOKUP(Tabelle32[[#This Row],[Device ID]],BOM!$B$3:$BQ$35,18,FALSE),"")</f>
        <v>TC.03.068 | Edit 08</v>
      </c>
      <c r="O457" s="64"/>
      <c r="P457" s="64">
        <f>IFERROR(VLOOKUP(Tabelle32[[#This Row],[Device ID]],BOM!$B$3:$BO$50,20,FALSE),"")</f>
        <v>0</v>
      </c>
      <c r="Q457" s="64">
        <f>IFERROR(VLOOKUP(Tabelle32[[#This Row],[Device ID]],BOM!$B$3:$BO$50,21,FALSE),"")</f>
        <v>1</v>
      </c>
      <c r="R457" s="64">
        <f>IFERROR(VLOOKUP(Tabelle32[[#This Row],[Device ID]],BOM!$B$3:$BO$50,22,FALSE),"")</f>
        <v>0</v>
      </c>
      <c r="S457" s="64"/>
      <c r="T457" s="64"/>
      <c r="U457" s="59" t="str">
        <f>IFERROR(VLOOKUP(Tabelle32[[#This Row],[Device ID]],BOM!$B$3:$BQ$35,25,FALSE),"")</f>
        <v>Luis/Ivo</v>
      </c>
      <c r="V457" s="59" t="str">
        <f>IFERROR(VLOOKUP(Tabelle32[[#This Row],[Device ID]],BOM!$B$3:$BQ$35,26,FALSE),"")</f>
        <v>tpco-megw-vgw103.rta.st-net.media.int</v>
      </c>
      <c r="W457" s="59" t="str">
        <f>IFERROR(VLOOKUP(Tabelle32[[#This Row],[Device ID]],BOM!$B$3:$BQ$35,27,FALSE),"")</f>
        <v>10.120.236.50</v>
      </c>
      <c r="X457" s="59" t="str">
        <f>IFERROR(VLOOKUP(Tabelle32[[#This Row],[Device ID]],BOM!$B$3:$BQ$35,28,FALSE),"")</f>
        <v>AVCoreA</v>
      </c>
      <c r="Y457" s="59" t="str">
        <f>IFERROR(VLOOKUP(Tabelle32[[#This Row],[Device ID]],BOM!$B$3:$BQ$35,29,FALSE),"")</f>
        <v>5_36_1</v>
      </c>
      <c r="Z457" s="59" t="str">
        <f>IFERROR(VLOOKUP(Tabelle32[[#This Row],[Device ID]],BOM!$B$3:$BQ$35,30,FALSE),"")</f>
        <v>tpco-megw-vgw103.rtb.st-net.media.int</v>
      </c>
      <c r="AA457" s="59" t="str">
        <f>IFERROR(VLOOKUP(Tabelle32[[#This Row],[Device ID]],BOM!$B$3:$BQ$35,31,FALSE),"")</f>
        <v>10.120.236.54</v>
      </c>
      <c r="AB457" s="59" t="str">
        <f>IFERROR(VLOOKUP(Tabelle32[[#This Row],[Device ID]],BOM!$B$3:$BQ$35,32,FALSE),"")</f>
        <v>AVCoreB</v>
      </c>
      <c r="AC457" s="59" t="str">
        <f>IFERROR(VLOOKUP(Tabelle32[[#This Row],[Device ID]],BOM!$B$3:$BQ$35,33,FALSE),"")</f>
        <v>5_36_1</v>
      </c>
      <c r="AD457" s="59" t="str">
        <f>IFERROR(VLOOKUP(Tabelle32[[#This Row],[Device ID]],BOM!$B$3:$BQ$35,34,FALSE),"")</f>
        <v>tpco-megw-vgw103.st-net.media.int</v>
      </c>
      <c r="AE457" s="59" t="str">
        <f>IFERROR(VLOOKUP(Tabelle32[[#This Row],[Device ID]],BOM!$B$3:$BQ$35,35,FALSE),"")</f>
        <v>10.120.67.141</v>
      </c>
      <c r="AF457" s="59">
        <f>IFERROR(VLOOKUP(Tabelle32[[#This Row],[Device ID]],BOM!$B$3:$BQ$35,36,FALSE),"")</f>
        <v>0</v>
      </c>
      <c r="AG457" s="59">
        <f>IFERROR(VLOOKUP(Tabelle32[[#This Row],[Device ID]],BOM!$B$3:$BQ$35,37,FALSE),"")</f>
        <v>0</v>
      </c>
      <c r="AH457" s="59"/>
      <c r="AI457" s="59"/>
      <c r="AJ457" s="59"/>
      <c r="AK457" s="59"/>
      <c r="AL457" s="59" t="str">
        <f>IFERROR(VLOOKUP(Tabelle32[[#This Row],[Device ID]],BOM!$B$3:$BQ$35,42,FALSE),"")</f>
        <v>Imagine Communications SNP</v>
      </c>
      <c r="AM457" s="59" t="str">
        <f>IFERROR(VLOOKUP(Tabelle32[[#This Row],[Device ID]],BOM!$B$3:$BQ$35,43,FALSE),"")</f>
        <v>no</v>
      </c>
      <c r="AN457" s="59" t="str">
        <f>IFERROR(VLOOKUP(Tabelle32[[#This Row],[Device ID]],BOM!$B$3:$BQ$35,44,FALSE),"")</f>
        <v>yes</v>
      </c>
      <c r="AO457" s="59" t="str">
        <f>IFERROR(VLOOKUP(Tabelle32[[#This Row],[Device ID]],BOM!$B$3:$BQ$35,45,FALSE),"")</f>
        <v>no</v>
      </c>
      <c r="AP457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57" s="59"/>
      <c r="AR457" s="90"/>
      <c r="AS457" s="90"/>
      <c r="AT457" s="90"/>
      <c r="AU457" s="90"/>
      <c r="AV457" s="90"/>
      <c r="AW457" s="90"/>
      <c r="AX457" s="90"/>
      <c r="AY457" s="90"/>
      <c r="AZ457" s="90"/>
      <c r="BA457" s="90"/>
      <c r="BB457" s="90"/>
      <c r="BC457" s="90"/>
      <c r="BD457" s="90"/>
      <c r="BE457" s="90"/>
      <c r="BF457" s="90"/>
      <c r="BG457" s="90"/>
      <c r="BH457" s="73" t="s">
        <v>199</v>
      </c>
      <c r="BI457" s="30" t="str">
        <f>IF(COUNTA(Tabelle32[[#This Row],[Type:Vid_1080i50]:[Type:Anc_Prot]])&gt;0,"x","")</f>
        <v/>
      </c>
      <c r="BJ45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57" s="59"/>
      <c r="BL457" s="59"/>
      <c r="BM457" s="63"/>
      <c r="BN457" s="63"/>
      <c r="BO457" s="96"/>
      <c r="BP457" s="96"/>
      <c r="BQ457" s="75">
        <f>LEN(Tabelle32[[#This Row],[Label 1
GFX-Unit]])</f>
        <v>0</v>
      </c>
      <c r="BR457" s="63"/>
      <c r="BS457" s="63"/>
      <c r="BT457" s="59"/>
      <c r="BU457" s="59"/>
      <c r="BV457" s="59" t="s">
        <v>248</v>
      </c>
      <c r="BW457" s="59" t="s">
        <v>249</v>
      </c>
      <c r="BX457" s="59" t="s">
        <v>922</v>
      </c>
      <c r="BY457" s="59">
        <v>22</v>
      </c>
    </row>
    <row r="458" spans="1:77" hidden="1" x14ac:dyDescent="0.2">
      <c r="A458" s="58" t="str">
        <f>CONCATENATE(Tabelle32[[#This Row],[Device ID]],".",Tabelle32[[#This Row],[Streamcounter]])</f>
        <v>399.22211</v>
      </c>
      <c r="B45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VGW-103_SDI22_AUDrec_0011</v>
      </c>
      <c r="C458" s="60"/>
      <c r="D458" s="61"/>
      <c r="E458" s="62"/>
      <c r="F458" s="59" t="str">
        <f>IFERROR(VLOOKUP(Tabelle32[[#This Row],[Device ID]],BOM!$B$3:$BQ$35,16,FALSE),"")</f>
        <v>EditPC-08 IN</v>
      </c>
      <c r="G458" s="63">
        <f>VLOOKUP(Tabelle32[[#This Row],[SDI Interface]],BOM!$A$4:$B$35,2,FALSE)</f>
        <v>399</v>
      </c>
      <c r="H458" s="59" t="str">
        <f>BOM!$C$4</f>
        <v>VGW-103</v>
      </c>
      <c r="I458" s="59" t="str">
        <f>IFERROR(VLOOKUP(Tabelle32[[#This Row],[Device ID]],BOM!$B$3:$BQ$35,12,FALSE),"")</f>
        <v>Edit Suite</v>
      </c>
      <c r="J458" s="59" t="str">
        <f>IFERROR(VLOOKUP(Tabelle32[[#This Row],[Device ID]],BOM!$B$3:$BQ$35,13,FALSE),"")</f>
        <v>TC.U1.223 | MDC</v>
      </c>
      <c r="K458" s="59" t="str">
        <f>IFERROR(VLOOKUP(Tabelle32[[#This Row],[Device ID]],BOM!$B$3:$BQ$35,14,FALSE),"")</f>
        <v>Imagine Comunications</v>
      </c>
      <c r="L458" s="59" t="str">
        <f>IFERROR(VLOOKUP(Tabelle32[[#This Row],[Device ID]],BOM!$B$3:$BQ$35,16,FALSE),"")</f>
        <v>EditPC-08 IN</v>
      </c>
      <c r="M458" s="63" t="str">
        <f>IFERROR(VLOOKUP(Tabelle32[[#This Row],[Device ID]],BOM!$B$3:$BQ$35,17,FALSE),"")</f>
        <v>EDIT SUITE 08</v>
      </c>
      <c r="N458" s="59" t="str">
        <f>IFERROR(VLOOKUP(Tabelle32[[#This Row],[Device ID]],BOM!$B$3:$BQ$35,18,FALSE),"")</f>
        <v>TC.03.068 | Edit 08</v>
      </c>
      <c r="O458" s="64"/>
      <c r="P458" s="64">
        <f>IFERROR(VLOOKUP(Tabelle32[[#This Row],[Device ID]],BOM!$B$3:$BO$50,20,FALSE),"")</f>
        <v>0</v>
      </c>
      <c r="Q458" s="64">
        <f>IFERROR(VLOOKUP(Tabelle32[[#This Row],[Device ID]],BOM!$B$3:$BO$50,21,FALSE),"")</f>
        <v>1</v>
      </c>
      <c r="R458" s="64">
        <f>IFERROR(VLOOKUP(Tabelle32[[#This Row],[Device ID]],BOM!$B$3:$BO$50,22,FALSE),"")</f>
        <v>0</v>
      </c>
      <c r="S458" s="64"/>
      <c r="T458" s="64"/>
      <c r="U458" s="59" t="str">
        <f>IFERROR(VLOOKUP(Tabelle32[[#This Row],[Device ID]],BOM!$B$3:$BQ$35,25,FALSE),"")</f>
        <v>Luis/Ivo</v>
      </c>
      <c r="V458" s="59" t="str">
        <f>IFERROR(VLOOKUP(Tabelle32[[#This Row],[Device ID]],BOM!$B$3:$BQ$35,26,FALSE),"")</f>
        <v>tpco-megw-vgw103.rta.st-net.media.int</v>
      </c>
      <c r="W458" s="59" t="str">
        <f>IFERROR(VLOOKUP(Tabelle32[[#This Row],[Device ID]],BOM!$B$3:$BQ$35,27,FALSE),"")</f>
        <v>10.120.236.50</v>
      </c>
      <c r="X458" s="59" t="str">
        <f>IFERROR(VLOOKUP(Tabelle32[[#This Row],[Device ID]],BOM!$B$3:$BQ$35,28,FALSE),"")</f>
        <v>AVCoreA</v>
      </c>
      <c r="Y458" s="59" t="str">
        <f>IFERROR(VLOOKUP(Tabelle32[[#This Row],[Device ID]],BOM!$B$3:$BQ$35,29,FALSE),"")</f>
        <v>5_36_1</v>
      </c>
      <c r="Z458" s="59" t="str">
        <f>IFERROR(VLOOKUP(Tabelle32[[#This Row],[Device ID]],BOM!$B$3:$BQ$35,30,FALSE),"")</f>
        <v>tpco-megw-vgw103.rtb.st-net.media.int</v>
      </c>
      <c r="AA458" s="59" t="str">
        <f>IFERROR(VLOOKUP(Tabelle32[[#This Row],[Device ID]],BOM!$B$3:$BQ$35,31,FALSE),"")</f>
        <v>10.120.236.54</v>
      </c>
      <c r="AB458" s="59" t="str">
        <f>IFERROR(VLOOKUP(Tabelle32[[#This Row],[Device ID]],BOM!$B$3:$BQ$35,32,FALSE),"")</f>
        <v>AVCoreB</v>
      </c>
      <c r="AC458" s="59" t="str">
        <f>IFERROR(VLOOKUP(Tabelle32[[#This Row],[Device ID]],BOM!$B$3:$BQ$35,33,FALSE),"")</f>
        <v>5_36_1</v>
      </c>
      <c r="AD458" s="59" t="str">
        <f>IFERROR(VLOOKUP(Tabelle32[[#This Row],[Device ID]],BOM!$B$3:$BQ$35,34,FALSE),"")</f>
        <v>tpco-megw-vgw103.st-net.media.int</v>
      </c>
      <c r="AE458" s="59" t="str">
        <f>IFERROR(VLOOKUP(Tabelle32[[#This Row],[Device ID]],BOM!$B$3:$BQ$35,35,FALSE),"")</f>
        <v>10.120.67.141</v>
      </c>
      <c r="AF458" s="59">
        <f>IFERROR(VLOOKUP(Tabelle32[[#This Row],[Device ID]],BOM!$B$3:$BQ$35,36,FALSE),"")</f>
        <v>0</v>
      </c>
      <c r="AG458" s="59">
        <f>IFERROR(VLOOKUP(Tabelle32[[#This Row],[Device ID]],BOM!$B$3:$BQ$35,37,FALSE),"")</f>
        <v>0</v>
      </c>
      <c r="AH458" s="59"/>
      <c r="AI458" s="59"/>
      <c r="AJ458" s="59"/>
      <c r="AK458" s="59"/>
      <c r="AL458" s="59" t="str">
        <f>IFERROR(VLOOKUP(Tabelle32[[#This Row],[Device ID]],BOM!$B$3:$BQ$35,42,FALSE),"")</f>
        <v>Imagine Communications SNP</v>
      </c>
      <c r="AM458" s="59" t="str">
        <f>IFERROR(VLOOKUP(Tabelle32[[#This Row],[Device ID]],BOM!$B$3:$BQ$35,43,FALSE),"")</f>
        <v>no</v>
      </c>
      <c r="AN458" s="59" t="str">
        <f>IFERROR(VLOOKUP(Tabelle32[[#This Row],[Device ID]],BOM!$B$3:$BQ$35,44,FALSE),"")</f>
        <v>yes</v>
      </c>
      <c r="AO458" s="59" t="str">
        <f>IFERROR(VLOOKUP(Tabelle32[[#This Row],[Device ID]],BOM!$B$3:$BQ$35,45,FALSE),"")</f>
        <v>no</v>
      </c>
      <c r="AP458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58" s="59"/>
      <c r="AR458" s="90"/>
      <c r="AS458" s="90"/>
      <c r="AT458" s="90"/>
      <c r="AU458" s="90"/>
      <c r="AV458" s="90"/>
      <c r="AW458" s="90"/>
      <c r="AX458" s="90"/>
      <c r="AY458" s="90"/>
      <c r="AZ458" s="90"/>
      <c r="BA458" s="90"/>
      <c r="BB458" s="90"/>
      <c r="BC458" s="90"/>
      <c r="BD458" s="90"/>
      <c r="BE458" s="90"/>
      <c r="BF458" s="90"/>
      <c r="BG458" s="90"/>
      <c r="BH458" s="73" t="s">
        <v>199</v>
      </c>
      <c r="BI458" s="30" t="str">
        <f>IF(COUNTA(Tabelle32[[#This Row],[Type:Vid_1080i50]:[Type:Anc_Prot]])&gt;0,"x","")</f>
        <v/>
      </c>
      <c r="BJ45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58" s="59"/>
      <c r="BL458" s="59"/>
      <c r="BM458" s="63"/>
      <c r="BN458" s="63"/>
      <c r="BO458" s="96"/>
      <c r="BP458" s="96"/>
      <c r="BQ458" s="75">
        <f>LEN(Tabelle32[[#This Row],[Label 1
GFX-Unit]])</f>
        <v>0</v>
      </c>
      <c r="BR458" s="63"/>
      <c r="BS458" s="63"/>
      <c r="BT458" s="59"/>
      <c r="BU458" s="59"/>
      <c r="BV458" s="59" t="s">
        <v>251</v>
      </c>
      <c r="BW458" s="59" t="s">
        <v>252</v>
      </c>
      <c r="BX458" s="59" t="s">
        <v>923</v>
      </c>
      <c r="BY458" s="59">
        <v>22</v>
      </c>
    </row>
    <row r="459" spans="1:77" hidden="1" x14ac:dyDescent="0.2">
      <c r="A459" s="58" t="str">
        <f>CONCATENATE(Tabelle32[[#This Row],[Device ID]],".",Tabelle32[[#This Row],[Streamcounter]])</f>
        <v>399.22212</v>
      </c>
      <c r="B45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VGW-103_SDI22_AUDrec_0012</v>
      </c>
      <c r="C459" s="60"/>
      <c r="D459" s="61"/>
      <c r="E459" s="62"/>
      <c r="F459" s="59" t="str">
        <f>IFERROR(VLOOKUP(Tabelle32[[#This Row],[Device ID]],BOM!$B$3:$BQ$35,16,FALSE),"")</f>
        <v>EditPC-08 IN</v>
      </c>
      <c r="G459" s="63">
        <f>VLOOKUP(Tabelle32[[#This Row],[SDI Interface]],BOM!$A$4:$B$35,2,FALSE)</f>
        <v>399</v>
      </c>
      <c r="H459" s="59" t="str">
        <f>BOM!$C$4</f>
        <v>VGW-103</v>
      </c>
      <c r="I459" s="59" t="str">
        <f>IFERROR(VLOOKUP(Tabelle32[[#This Row],[Device ID]],BOM!$B$3:$BQ$35,12,FALSE),"")</f>
        <v>Edit Suite</v>
      </c>
      <c r="J459" s="59" t="str">
        <f>IFERROR(VLOOKUP(Tabelle32[[#This Row],[Device ID]],BOM!$B$3:$BQ$35,13,FALSE),"")</f>
        <v>TC.U1.223 | MDC</v>
      </c>
      <c r="K459" s="59" t="str">
        <f>IFERROR(VLOOKUP(Tabelle32[[#This Row],[Device ID]],BOM!$B$3:$BQ$35,14,FALSE),"")</f>
        <v>Imagine Comunications</v>
      </c>
      <c r="L459" s="59" t="str">
        <f>IFERROR(VLOOKUP(Tabelle32[[#This Row],[Device ID]],BOM!$B$3:$BQ$35,16,FALSE),"")</f>
        <v>EditPC-08 IN</v>
      </c>
      <c r="M459" s="63" t="str">
        <f>IFERROR(VLOOKUP(Tabelle32[[#This Row],[Device ID]],BOM!$B$3:$BQ$35,17,FALSE),"")</f>
        <v>EDIT SUITE 08</v>
      </c>
      <c r="N459" s="59" t="str">
        <f>IFERROR(VLOOKUP(Tabelle32[[#This Row],[Device ID]],BOM!$B$3:$BQ$35,18,FALSE),"")</f>
        <v>TC.03.068 | Edit 08</v>
      </c>
      <c r="O459" s="64"/>
      <c r="P459" s="64">
        <f>IFERROR(VLOOKUP(Tabelle32[[#This Row],[Device ID]],BOM!$B$3:$BO$50,20,FALSE),"")</f>
        <v>0</v>
      </c>
      <c r="Q459" s="64">
        <f>IFERROR(VLOOKUP(Tabelle32[[#This Row],[Device ID]],BOM!$B$3:$BO$50,21,FALSE),"")</f>
        <v>1</v>
      </c>
      <c r="R459" s="64">
        <f>IFERROR(VLOOKUP(Tabelle32[[#This Row],[Device ID]],BOM!$B$3:$BO$50,22,FALSE),"")</f>
        <v>0</v>
      </c>
      <c r="S459" s="64"/>
      <c r="T459" s="64"/>
      <c r="U459" s="59" t="str">
        <f>IFERROR(VLOOKUP(Tabelle32[[#This Row],[Device ID]],BOM!$B$3:$BQ$35,25,FALSE),"")</f>
        <v>Luis/Ivo</v>
      </c>
      <c r="V459" s="59" t="str">
        <f>IFERROR(VLOOKUP(Tabelle32[[#This Row],[Device ID]],BOM!$B$3:$BQ$35,26,FALSE),"")</f>
        <v>tpco-megw-vgw103.rta.st-net.media.int</v>
      </c>
      <c r="W459" s="59" t="str">
        <f>IFERROR(VLOOKUP(Tabelle32[[#This Row],[Device ID]],BOM!$B$3:$BQ$35,27,FALSE),"")</f>
        <v>10.120.236.50</v>
      </c>
      <c r="X459" s="59" t="str">
        <f>IFERROR(VLOOKUP(Tabelle32[[#This Row],[Device ID]],BOM!$B$3:$BQ$35,28,FALSE),"")</f>
        <v>AVCoreA</v>
      </c>
      <c r="Y459" s="59" t="str">
        <f>IFERROR(VLOOKUP(Tabelle32[[#This Row],[Device ID]],BOM!$B$3:$BQ$35,29,FALSE),"")</f>
        <v>5_36_1</v>
      </c>
      <c r="Z459" s="59" t="str">
        <f>IFERROR(VLOOKUP(Tabelle32[[#This Row],[Device ID]],BOM!$B$3:$BQ$35,30,FALSE),"")</f>
        <v>tpco-megw-vgw103.rtb.st-net.media.int</v>
      </c>
      <c r="AA459" s="59" t="str">
        <f>IFERROR(VLOOKUP(Tabelle32[[#This Row],[Device ID]],BOM!$B$3:$BQ$35,31,FALSE),"")</f>
        <v>10.120.236.54</v>
      </c>
      <c r="AB459" s="59" t="str">
        <f>IFERROR(VLOOKUP(Tabelle32[[#This Row],[Device ID]],BOM!$B$3:$BQ$35,32,FALSE),"")</f>
        <v>AVCoreB</v>
      </c>
      <c r="AC459" s="59" t="str">
        <f>IFERROR(VLOOKUP(Tabelle32[[#This Row],[Device ID]],BOM!$B$3:$BQ$35,33,FALSE),"")</f>
        <v>5_36_1</v>
      </c>
      <c r="AD459" s="59" t="str">
        <f>IFERROR(VLOOKUP(Tabelle32[[#This Row],[Device ID]],BOM!$B$3:$BQ$35,34,FALSE),"")</f>
        <v>tpco-megw-vgw103.st-net.media.int</v>
      </c>
      <c r="AE459" s="59" t="str">
        <f>IFERROR(VLOOKUP(Tabelle32[[#This Row],[Device ID]],BOM!$B$3:$BQ$35,35,FALSE),"")</f>
        <v>10.120.67.141</v>
      </c>
      <c r="AF459" s="59">
        <f>IFERROR(VLOOKUP(Tabelle32[[#This Row],[Device ID]],BOM!$B$3:$BQ$35,36,FALSE),"")</f>
        <v>0</v>
      </c>
      <c r="AG459" s="59">
        <f>IFERROR(VLOOKUP(Tabelle32[[#This Row],[Device ID]],BOM!$B$3:$BQ$35,37,FALSE),"")</f>
        <v>0</v>
      </c>
      <c r="AH459" s="59"/>
      <c r="AI459" s="59"/>
      <c r="AJ459" s="59"/>
      <c r="AK459" s="59"/>
      <c r="AL459" s="59" t="str">
        <f>IFERROR(VLOOKUP(Tabelle32[[#This Row],[Device ID]],BOM!$B$3:$BQ$35,42,FALSE),"")</f>
        <v>Imagine Communications SNP</v>
      </c>
      <c r="AM459" s="59" t="str">
        <f>IFERROR(VLOOKUP(Tabelle32[[#This Row],[Device ID]],BOM!$B$3:$BQ$35,43,FALSE),"")</f>
        <v>no</v>
      </c>
      <c r="AN459" s="59" t="str">
        <f>IFERROR(VLOOKUP(Tabelle32[[#This Row],[Device ID]],BOM!$B$3:$BQ$35,44,FALSE),"")</f>
        <v>yes</v>
      </c>
      <c r="AO459" s="59" t="str">
        <f>IFERROR(VLOOKUP(Tabelle32[[#This Row],[Device ID]],BOM!$B$3:$BQ$35,45,FALSE),"")</f>
        <v>no</v>
      </c>
      <c r="AP459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59" s="59"/>
      <c r="AR459" s="90"/>
      <c r="AS459" s="90"/>
      <c r="AT459" s="90"/>
      <c r="AU459" s="90"/>
      <c r="AV459" s="90"/>
      <c r="AW459" s="90"/>
      <c r="AX459" s="90"/>
      <c r="AY459" s="90"/>
      <c r="AZ459" s="90"/>
      <c r="BA459" s="90"/>
      <c r="BB459" s="90"/>
      <c r="BC459" s="90"/>
      <c r="BD459" s="90"/>
      <c r="BE459" s="90"/>
      <c r="BF459" s="90"/>
      <c r="BG459" s="90"/>
      <c r="BH459" s="73" t="s">
        <v>199</v>
      </c>
      <c r="BI459" s="30" t="str">
        <f>IF(COUNTA(Tabelle32[[#This Row],[Type:Vid_1080i50]:[Type:Anc_Prot]])&gt;0,"x","")</f>
        <v/>
      </c>
      <c r="BJ45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59" s="59"/>
      <c r="BL459" s="59"/>
      <c r="BM459" s="63"/>
      <c r="BN459" s="63"/>
      <c r="BO459" s="96"/>
      <c r="BP459" s="96"/>
      <c r="BQ459" s="75">
        <f>LEN(Tabelle32[[#This Row],[Label 1
GFX-Unit]])</f>
        <v>0</v>
      </c>
      <c r="BR459" s="63"/>
      <c r="BS459" s="63"/>
      <c r="BT459" s="59"/>
      <c r="BU459" s="59"/>
      <c r="BV459" s="59" t="s">
        <v>254</v>
      </c>
      <c r="BW459" s="59" t="s">
        <v>255</v>
      </c>
      <c r="BX459" s="59" t="s">
        <v>924</v>
      </c>
      <c r="BY459" s="59">
        <v>22</v>
      </c>
    </row>
    <row r="460" spans="1:77" hidden="1" x14ac:dyDescent="0.2">
      <c r="A460" s="58" t="str">
        <f>CONCATENATE(Tabelle32[[#This Row],[Device ID]],".",Tabelle32[[#This Row],[Streamcounter]])</f>
        <v>399.22213</v>
      </c>
      <c r="B46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VGW-103_SDI22_AUDrec_0013</v>
      </c>
      <c r="C460" s="60"/>
      <c r="D460" s="61"/>
      <c r="E460" s="62"/>
      <c r="F460" s="59" t="str">
        <f>IFERROR(VLOOKUP(Tabelle32[[#This Row],[Device ID]],BOM!$B$3:$BQ$35,16,FALSE),"")</f>
        <v>EditPC-08 IN</v>
      </c>
      <c r="G460" s="63">
        <f>VLOOKUP(Tabelle32[[#This Row],[SDI Interface]],BOM!$A$4:$B$35,2,FALSE)</f>
        <v>399</v>
      </c>
      <c r="H460" s="59" t="str">
        <f>BOM!$C$4</f>
        <v>VGW-103</v>
      </c>
      <c r="I460" s="59" t="str">
        <f>IFERROR(VLOOKUP(Tabelle32[[#This Row],[Device ID]],BOM!$B$3:$BQ$35,12,FALSE),"")</f>
        <v>Edit Suite</v>
      </c>
      <c r="J460" s="59" t="str">
        <f>IFERROR(VLOOKUP(Tabelle32[[#This Row],[Device ID]],BOM!$B$3:$BQ$35,13,FALSE),"")</f>
        <v>TC.U1.223 | MDC</v>
      </c>
      <c r="K460" s="59" t="str">
        <f>IFERROR(VLOOKUP(Tabelle32[[#This Row],[Device ID]],BOM!$B$3:$BQ$35,14,FALSE),"")</f>
        <v>Imagine Comunications</v>
      </c>
      <c r="L460" s="59" t="str">
        <f>IFERROR(VLOOKUP(Tabelle32[[#This Row],[Device ID]],BOM!$B$3:$BQ$35,16,FALSE),"")</f>
        <v>EditPC-08 IN</v>
      </c>
      <c r="M460" s="63" t="str">
        <f>IFERROR(VLOOKUP(Tabelle32[[#This Row],[Device ID]],BOM!$B$3:$BQ$35,17,FALSE),"")</f>
        <v>EDIT SUITE 08</v>
      </c>
      <c r="N460" s="59" t="str">
        <f>IFERROR(VLOOKUP(Tabelle32[[#This Row],[Device ID]],BOM!$B$3:$BQ$35,18,FALSE),"")</f>
        <v>TC.03.068 | Edit 08</v>
      </c>
      <c r="O460" s="64"/>
      <c r="P460" s="64">
        <f>IFERROR(VLOOKUP(Tabelle32[[#This Row],[Device ID]],BOM!$B$3:$BO$50,20,FALSE),"")</f>
        <v>0</v>
      </c>
      <c r="Q460" s="64">
        <f>IFERROR(VLOOKUP(Tabelle32[[#This Row],[Device ID]],BOM!$B$3:$BO$50,21,FALSE),"")</f>
        <v>1</v>
      </c>
      <c r="R460" s="64">
        <f>IFERROR(VLOOKUP(Tabelle32[[#This Row],[Device ID]],BOM!$B$3:$BO$50,22,FALSE),"")</f>
        <v>0</v>
      </c>
      <c r="S460" s="64"/>
      <c r="T460" s="64"/>
      <c r="U460" s="59" t="str">
        <f>IFERROR(VLOOKUP(Tabelle32[[#This Row],[Device ID]],BOM!$B$3:$BQ$35,25,FALSE),"")</f>
        <v>Luis/Ivo</v>
      </c>
      <c r="V460" s="59" t="str">
        <f>IFERROR(VLOOKUP(Tabelle32[[#This Row],[Device ID]],BOM!$B$3:$BQ$35,26,FALSE),"")</f>
        <v>tpco-megw-vgw103.rta.st-net.media.int</v>
      </c>
      <c r="W460" s="59" t="str">
        <f>IFERROR(VLOOKUP(Tabelle32[[#This Row],[Device ID]],BOM!$B$3:$BQ$35,27,FALSE),"")</f>
        <v>10.120.236.50</v>
      </c>
      <c r="X460" s="59" t="str">
        <f>IFERROR(VLOOKUP(Tabelle32[[#This Row],[Device ID]],BOM!$B$3:$BQ$35,28,FALSE),"")</f>
        <v>AVCoreA</v>
      </c>
      <c r="Y460" s="59" t="str">
        <f>IFERROR(VLOOKUP(Tabelle32[[#This Row],[Device ID]],BOM!$B$3:$BQ$35,29,FALSE),"")</f>
        <v>5_36_1</v>
      </c>
      <c r="Z460" s="59" t="str">
        <f>IFERROR(VLOOKUP(Tabelle32[[#This Row],[Device ID]],BOM!$B$3:$BQ$35,30,FALSE),"")</f>
        <v>tpco-megw-vgw103.rtb.st-net.media.int</v>
      </c>
      <c r="AA460" s="59" t="str">
        <f>IFERROR(VLOOKUP(Tabelle32[[#This Row],[Device ID]],BOM!$B$3:$BQ$35,31,FALSE),"")</f>
        <v>10.120.236.54</v>
      </c>
      <c r="AB460" s="59" t="str">
        <f>IFERROR(VLOOKUP(Tabelle32[[#This Row],[Device ID]],BOM!$B$3:$BQ$35,32,FALSE),"")</f>
        <v>AVCoreB</v>
      </c>
      <c r="AC460" s="59" t="str">
        <f>IFERROR(VLOOKUP(Tabelle32[[#This Row],[Device ID]],BOM!$B$3:$BQ$35,33,FALSE),"")</f>
        <v>5_36_1</v>
      </c>
      <c r="AD460" s="59" t="str">
        <f>IFERROR(VLOOKUP(Tabelle32[[#This Row],[Device ID]],BOM!$B$3:$BQ$35,34,FALSE),"")</f>
        <v>tpco-megw-vgw103.st-net.media.int</v>
      </c>
      <c r="AE460" s="59" t="str">
        <f>IFERROR(VLOOKUP(Tabelle32[[#This Row],[Device ID]],BOM!$B$3:$BQ$35,35,FALSE),"")</f>
        <v>10.120.67.141</v>
      </c>
      <c r="AF460" s="59">
        <f>IFERROR(VLOOKUP(Tabelle32[[#This Row],[Device ID]],BOM!$B$3:$BQ$35,36,FALSE),"")</f>
        <v>0</v>
      </c>
      <c r="AG460" s="59">
        <f>IFERROR(VLOOKUP(Tabelle32[[#This Row],[Device ID]],BOM!$B$3:$BQ$35,37,FALSE),"")</f>
        <v>0</v>
      </c>
      <c r="AH460" s="59"/>
      <c r="AI460" s="59"/>
      <c r="AJ460" s="59"/>
      <c r="AK460" s="59"/>
      <c r="AL460" s="59" t="str">
        <f>IFERROR(VLOOKUP(Tabelle32[[#This Row],[Device ID]],BOM!$B$3:$BQ$35,42,FALSE),"")</f>
        <v>Imagine Communications SNP</v>
      </c>
      <c r="AM460" s="59" t="str">
        <f>IFERROR(VLOOKUP(Tabelle32[[#This Row],[Device ID]],BOM!$B$3:$BQ$35,43,FALSE),"")</f>
        <v>no</v>
      </c>
      <c r="AN460" s="59" t="str">
        <f>IFERROR(VLOOKUP(Tabelle32[[#This Row],[Device ID]],BOM!$B$3:$BQ$35,44,FALSE),"")</f>
        <v>yes</v>
      </c>
      <c r="AO460" s="59" t="str">
        <f>IFERROR(VLOOKUP(Tabelle32[[#This Row],[Device ID]],BOM!$B$3:$BQ$35,45,FALSE),"")</f>
        <v>no</v>
      </c>
      <c r="AP460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60" s="59"/>
      <c r="AR460" s="90"/>
      <c r="AS460" s="90"/>
      <c r="AT460" s="90"/>
      <c r="AU460" s="90"/>
      <c r="AV460" s="90"/>
      <c r="AW460" s="90"/>
      <c r="AX460" s="90"/>
      <c r="AY460" s="90"/>
      <c r="AZ460" s="90"/>
      <c r="BA460" s="90"/>
      <c r="BB460" s="90"/>
      <c r="BC460" s="90"/>
      <c r="BD460" s="90"/>
      <c r="BE460" s="90"/>
      <c r="BF460" s="90"/>
      <c r="BG460" s="90"/>
      <c r="BH460" s="73" t="s">
        <v>199</v>
      </c>
      <c r="BI460" s="30" t="str">
        <f>IF(COUNTA(Tabelle32[[#This Row],[Type:Vid_1080i50]:[Type:Anc_Prot]])&gt;0,"x","")</f>
        <v/>
      </c>
      <c r="BJ46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60" s="59"/>
      <c r="BL460" s="59"/>
      <c r="BM460" s="63"/>
      <c r="BN460" s="63"/>
      <c r="BO460" s="96"/>
      <c r="BP460" s="96"/>
      <c r="BQ460" s="75">
        <f>LEN(Tabelle32[[#This Row],[Label 1
GFX-Unit]])</f>
        <v>0</v>
      </c>
      <c r="BR460" s="63"/>
      <c r="BS460" s="63"/>
      <c r="BT460" s="59"/>
      <c r="BU460" s="59"/>
      <c r="BV460" s="59" t="s">
        <v>257</v>
      </c>
      <c r="BW460" s="59" t="s">
        <v>258</v>
      </c>
      <c r="BX460" s="59" t="s">
        <v>925</v>
      </c>
      <c r="BY460" s="59">
        <v>22</v>
      </c>
    </row>
    <row r="461" spans="1:77" hidden="1" x14ac:dyDescent="0.2">
      <c r="A461" s="58" t="str">
        <f>CONCATENATE(Tabelle32[[#This Row],[Device ID]],".",Tabelle32[[#This Row],[Streamcounter]])</f>
        <v>399.22214</v>
      </c>
      <c r="B46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VGW-103_SDI22_AUDrec_0014</v>
      </c>
      <c r="C461" s="60"/>
      <c r="D461" s="61"/>
      <c r="E461" s="62"/>
      <c r="F461" s="59" t="str">
        <f>IFERROR(VLOOKUP(Tabelle32[[#This Row],[Device ID]],BOM!$B$3:$BQ$35,16,FALSE),"")</f>
        <v>EditPC-08 IN</v>
      </c>
      <c r="G461" s="63">
        <f>VLOOKUP(Tabelle32[[#This Row],[SDI Interface]],BOM!$A$4:$B$35,2,FALSE)</f>
        <v>399</v>
      </c>
      <c r="H461" s="59" t="str">
        <f>BOM!$C$4</f>
        <v>VGW-103</v>
      </c>
      <c r="I461" s="59" t="str">
        <f>IFERROR(VLOOKUP(Tabelle32[[#This Row],[Device ID]],BOM!$B$3:$BQ$35,12,FALSE),"")</f>
        <v>Edit Suite</v>
      </c>
      <c r="J461" s="59" t="str">
        <f>IFERROR(VLOOKUP(Tabelle32[[#This Row],[Device ID]],BOM!$B$3:$BQ$35,13,FALSE),"")</f>
        <v>TC.U1.223 | MDC</v>
      </c>
      <c r="K461" s="59" t="str">
        <f>IFERROR(VLOOKUP(Tabelle32[[#This Row],[Device ID]],BOM!$B$3:$BQ$35,14,FALSE),"")</f>
        <v>Imagine Comunications</v>
      </c>
      <c r="L461" s="59" t="str">
        <f>IFERROR(VLOOKUP(Tabelle32[[#This Row],[Device ID]],BOM!$B$3:$BQ$35,16,FALSE),"")</f>
        <v>EditPC-08 IN</v>
      </c>
      <c r="M461" s="63" t="str">
        <f>IFERROR(VLOOKUP(Tabelle32[[#This Row],[Device ID]],BOM!$B$3:$BQ$35,17,FALSE),"")</f>
        <v>EDIT SUITE 08</v>
      </c>
      <c r="N461" s="59" t="str">
        <f>IFERROR(VLOOKUP(Tabelle32[[#This Row],[Device ID]],BOM!$B$3:$BQ$35,18,FALSE),"")</f>
        <v>TC.03.068 | Edit 08</v>
      </c>
      <c r="O461" s="64"/>
      <c r="P461" s="64">
        <f>IFERROR(VLOOKUP(Tabelle32[[#This Row],[Device ID]],BOM!$B$3:$BO$50,20,FALSE),"")</f>
        <v>0</v>
      </c>
      <c r="Q461" s="64">
        <f>IFERROR(VLOOKUP(Tabelle32[[#This Row],[Device ID]],BOM!$B$3:$BO$50,21,FALSE),"")</f>
        <v>1</v>
      </c>
      <c r="R461" s="64">
        <f>IFERROR(VLOOKUP(Tabelle32[[#This Row],[Device ID]],BOM!$B$3:$BO$50,22,FALSE),"")</f>
        <v>0</v>
      </c>
      <c r="S461" s="64"/>
      <c r="T461" s="64"/>
      <c r="U461" s="59" t="str">
        <f>IFERROR(VLOOKUP(Tabelle32[[#This Row],[Device ID]],BOM!$B$3:$BQ$35,25,FALSE),"")</f>
        <v>Luis/Ivo</v>
      </c>
      <c r="V461" s="59" t="str">
        <f>IFERROR(VLOOKUP(Tabelle32[[#This Row],[Device ID]],BOM!$B$3:$BQ$35,26,FALSE),"")</f>
        <v>tpco-megw-vgw103.rta.st-net.media.int</v>
      </c>
      <c r="W461" s="59" t="str">
        <f>IFERROR(VLOOKUP(Tabelle32[[#This Row],[Device ID]],BOM!$B$3:$BQ$35,27,FALSE),"")</f>
        <v>10.120.236.50</v>
      </c>
      <c r="X461" s="59" t="str">
        <f>IFERROR(VLOOKUP(Tabelle32[[#This Row],[Device ID]],BOM!$B$3:$BQ$35,28,FALSE),"")</f>
        <v>AVCoreA</v>
      </c>
      <c r="Y461" s="59" t="str">
        <f>IFERROR(VLOOKUP(Tabelle32[[#This Row],[Device ID]],BOM!$B$3:$BQ$35,29,FALSE),"")</f>
        <v>5_36_1</v>
      </c>
      <c r="Z461" s="59" t="str">
        <f>IFERROR(VLOOKUP(Tabelle32[[#This Row],[Device ID]],BOM!$B$3:$BQ$35,30,FALSE),"")</f>
        <v>tpco-megw-vgw103.rtb.st-net.media.int</v>
      </c>
      <c r="AA461" s="59" t="str">
        <f>IFERROR(VLOOKUP(Tabelle32[[#This Row],[Device ID]],BOM!$B$3:$BQ$35,31,FALSE),"")</f>
        <v>10.120.236.54</v>
      </c>
      <c r="AB461" s="59" t="str">
        <f>IFERROR(VLOOKUP(Tabelle32[[#This Row],[Device ID]],BOM!$B$3:$BQ$35,32,FALSE),"")</f>
        <v>AVCoreB</v>
      </c>
      <c r="AC461" s="59" t="str">
        <f>IFERROR(VLOOKUP(Tabelle32[[#This Row],[Device ID]],BOM!$B$3:$BQ$35,33,FALSE),"")</f>
        <v>5_36_1</v>
      </c>
      <c r="AD461" s="59" t="str">
        <f>IFERROR(VLOOKUP(Tabelle32[[#This Row],[Device ID]],BOM!$B$3:$BQ$35,34,FALSE),"")</f>
        <v>tpco-megw-vgw103.st-net.media.int</v>
      </c>
      <c r="AE461" s="59" t="str">
        <f>IFERROR(VLOOKUP(Tabelle32[[#This Row],[Device ID]],BOM!$B$3:$BQ$35,35,FALSE),"")</f>
        <v>10.120.67.141</v>
      </c>
      <c r="AF461" s="59">
        <f>IFERROR(VLOOKUP(Tabelle32[[#This Row],[Device ID]],BOM!$B$3:$BQ$35,36,FALSE),"")</f>
        <v>0</v>
      </c>
      <c r="AG461" s="59">
        <f>IFERROR(VLOOKUP(Tabelle32[[#This Row],[Device ID]],BOM!$B$3:$BQ$35,37,FALSE),"")</f>
        <v>0</v>
      </c>
      <c r="AH461" s="59"/>
      <c r="AI461" s="59"/>
      <c r="AJ461" s="59"/>
      <c r="AK461" s="59"/>
      <c r="AL461" s="59" t="str">
        <f>IFERROR(VLOOKUP(Tabelle32[[#This Row],[Device ID]],BOM!$B$3:$BQ$35,42,FALSE),"")</f>
        <v>Imagine Communications SNP</v>
      </c>
      <c r="AM461" s="59" t="str">
        <f>IFERROR(VLOOKUP(Tabelle32[[#This Row],[Device ID]],BOM!$B$3:$BQ$35,43,FALSE),"")</f>
        <v>no</v>
      </c>
      <c r="AN461" s="59" t="str">
        <f>IFERROR(VLOOKUP(Tabelle32[[#This Row],[Device ID]],BOM!$B$3:$BQ$35,44,FALSE),"")</f>
        <v>yes</v>
      </c>
      <c r="AO461" s="59" t="str">
        <f>IFERROR(VLOOKUP(Tabelle32[[#This Row],[Device ID]],BOM!$B$3:$BQ$35,45,FALSE),"")</f>
        <v>no</v>
      </c>
      <c r="AP461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61" s="59"/>
      <c r="AR461" s="101"/>
      <c r="AS461" s="101"/>
      <c r="AT461" s="101"/>
      <c r="AU461" s="101"/>
      <c r="AV461" s="101"/>
      <c r="AW461" s="101"/>
      <c r="AX461" s="101"/>
      <c r="AY461" s="101"/>
      <c r="AZ461" s="101"/>
      <c r="BA461" s="101"/>
      <c r="BB461" s="101"/>
      <c r="BC461" s="101"/>
      <c r="BD461" s="101"/>
      <c r="BE461" s="101"/>
      <c r="BF461" s="101"/>
      <c r="BG461" s="101"/>
      <c r="BH461" s="73" t="s">
        <v>199</v>
      </c>
      <c r="BI461" s="30" t="str">
        <f>IF(COUNTA(Tabelle32[[#This Row],[Type:Vid_1080i50]:[Type:Anc_Prot]])&gt;0,"x","")</f>
        <v/>
      </c>
      <c r="BJ46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61" s="59"/>
      <c r="BL461" s="59"/>
      <c r="BM461" s="63"/>
      <c r="BN461" s="63"/>
      <c r="BO461" s="96"/>
      <c r="BP461" s="96"/>
      <c r="BQ461" s="75">
        <f>LEN(Tabelle32[[#This Row],[Label 1
GFX-Unit]])</f>
        <v>0</v>
      </c>
      <c r="BR461" s="63"/>
      <c r="BS461" s="63"/>
      <c r="BT461" s="59"/>
      <c r="BU461" s="59"/>
      <c r="BV461" s="59" t="s">
        <v>260</v>
      </c>
      <c r="BW461" s="59" t="s">
        <v>261</v>
      </c>
      <c r="BX461" s="59" t="s">
        <v>926</v>
      </c>
      <c r="BY461" s="59">
        <v>22</v>
      </c>
    </row>
    <row r="462" spans="1:77" hidden="1" x14ac:dyDescent="0.2">
      <c r="A462" s="58" t="str">
        <f>CONCATENATE(Tabelle32[[#This Row],[Device ID]],".",Tabelle32[[#This Row],[Streamcounter]])</f>
        <v>399.22215</v>
      </c>
      <c r="B46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VGW-103_SDI22_AUDrec_0015</v>
      </c>
      <c r="C462" s="60"/>
      <c r="D462" s="61"/>
      <c r="E462" s="62"/>
      <c r="F462" s="59" t="str">
        <f>IFERROR(VLOOKUP(Tabelle32[[#This Row],[Device ID]],BOM!$B$3:$BQ$35,16,FALSE),"")</f>
        <v>EditPC-08 IN</v>
      </c>
      <c r="G462" s="63">
        <f>VLOOKUP(Tabelle32[[#This Row],[SDI Interface]],BOM!$A$4:$B$35,2,FALSE)</f>
        <v>399</v>
      </c>
      <c r="H462" s="59" t="str">
        <f>BOM!$C$4</f>
        <v>VGW-103</v>
      </c>
      <c r="I462" s="59" t="str">
        <f>IFERROR(VLOOKUP(Tabelle32[[#This Row],[Device ID]],BOM!$B$3:$BQ$35,12,FALSE),"")</f>
        <v>Edit Suite</v>
      </c>
      <c r="J462" s="59" t="str">
        <f>IFERROR(VLOOKUP(Tabelle32[[#This Row],[Device ID]],BOM!$B$3:$BQ$35,13,FALSE),"")</f>
        <v>TC.U1.223 | MDC</v>
      </c>
      <c r="K462" s="59" t="str">
        <f>IFERROR(VLOOKUP(Tabelle32[[#This Row],[Device ID]],BOM!$B$3:$BQ$35,14,FALSE),"")</f>
        <v>Imagine Comunications</v>
      </c>
      <c r="L462" s="59" t="str">
        <f>IFERROR(VLOOKUP(Tabelle32[[#This Row],[Device ID]],BOM!$B$3:$BQ$35,16,FALSE),"")</f>
        <v>EditPC-08 IN</v>
      </c>
      <c r="M462" s="63" t="str">
        <f>IFERROR(VLOOKUP(Tabelle32[[#This Row],[Device ID]],BOM!$B$3:$BQ$35,17,FALSE),"")</f>
        <v>EDIT SUITE 08</v>
      </c>
      <c r="N462" s="59" t="str">
        <f>IFERROR(VLOOKUP(Tabelle32[[#This Row],[Device ID]],BOM!$B$3:$BQ$35,18,FALSE),"")</f>
        <v>TC.03.068 | Edit 08</v>
      </c>
      <c r="O462" s="64"/>
      <c r="P462" s="64">
        <f>IFERROR(VLOOKUP(Tabelle32[[#This Row],[Device ID]],BOM!$B$3:$BO$50,20,FALSE),"")</f>
        <v>0</v>
      </c>
      <c r="Q462" s="64">
        <f>IFERROR(VLOOKUP(Tabelle32[[#This Row],[Device ID]],BOM!$B$3:$BO$50,21,FALSE),"")</f>
        <v>1</v>
      </c>
      <c r="R462" s="64">
        <f>IFERROR(VLOOKUP(Tabelle32[[#This Row],[Device ID]],BOM!$B$3:$BO$50,22,FALSE),"")</f>
        <v>0</v>
      </c>
      <c r="S462" s="64"/>
      <c r="T462" s="64"/>
      <c r="U462" s="59" t="str">
        <f>IFERROR(VLOOKUP(Tabelle32[[#This Row],[Device ID]],BOM!$B$3:$BQ$35,25,FALSE),"")</f>
        <v>Luis/Ivo</v>
      </c>
      <c r="V462" s="59" t="str">
        <f>IFERROR(VLOOKUP(Tabelle32[[#This Row],[Device ID]],BOM!$B$3:$BQ$35,26,FALSE),"")</f>
        <v>tpco-megw-vgw103.rta.st-net.media.int</v>
      </c>
      <c r="W462" s="59" t="str">
        <f>IFERROR(VLOOKUP(Tabelle32[[#This Row],[Device ID]],BOM!$B$3:$BQ$35,27,FALSE),"")</f>
        <v>10.120.236.50</v>
      </c>
      <c r="X462" s="59" t="str">
        <f>IFERROR(VLOOKUP(Tabelle32[[#This Row],[Device ID]],BOM!$B$3:$BQ$35,28,FALSE),"")</f>
        <v>AVCoreA</v>
      </c>
      <c r="Y462" s="59" t="str">
        <f>IFERROR(VLOOKUP(Tabelle32[[#This Row],[Device ID]],BOM!$B$3:$BQ$35,29,FALSE),"")</f>
        <v>5_36_1</v>
      </c>
      <c r="Z462" s="59" t="str">
        <f>IFERROR(VLOOKUP(Tabelle32[[#This Row],[Device ID]],BOM!$B$3:$BQ$35,30,FALSE),"")</f>
        <v>tpco-megw-vgw103.rtb.st-net.media.int</v>
      </c>
      <c r="AA462" s="59" t="str">
        <f>IFERROR(VLOOKUP(Tabelle32[[#This Row],[Device ID]],BOM!$B$3:$BQ$35,31,FALSE),"")</f>
        <v>10.120.236.54</v>
      </c>
      <c r="AB462" s="59" t="str">
        <f>IFERROR(VLOOKUP(Tabelle32[[#This Row],[Device ID]],BOM!$B$3:$BQ$35,32,FALSE),"")</f>
        <v>AVCoreB</v>
      </c>
      <c r="AC462" s="59" t="str">
        <f>IFERROR(VLOOKUP(Tabelle32[[#This Row],[Device ID]],BOM!$B$3:$BQ$35,33,FALSE),"")</f>
        <v>5_36_1</v>
      </c>
      <c r="AD462" s="59" t="str">
        <f>IFERROR(VLOOKUP(Tabelle32[[#This Row],[Device ID]],BOM!$B$3:$BQ$35,34,FALSE),"")</f>
        <v>tpco-megw-vgw103.st-net.media.int</v>
      </c>
      <c r="AE462" s="59" t="str">
        <f>IFERROR(VLOOKUP(Tabelle32[[#This Row],[Device ID]],BOM!$B$3:$BQ$35,35,FALSE),"")</f>
        <v>10.120.67.141</v>
      </c>
      <c r="AF462" s="59">
        <f>IFERROR(VLOOKUP(Tabelle32[[#This Row],[Device ID]],BOM!$B$3:$BQ$35,36,FALSE),"")</f>
        <v>0</v>
      </c>
      <c r="AG462" s="59">
        <f>IFERROR(VLOOKUP(Tabelle32[[#This Row],[Device ID]],BOM!$B$3:$BQ$35,37,FALSE),"")</f>
        <v>0</v>
      </c>
      <c r="AH462" s="59"/>
      <c r="AI462" s="59"/>
      <c r="AJ462" s="59"/>
      <c r="AK462" s="59"/>
      <c r="AL462" s="59" t="str">
        <f>IFERROR(VLOOKUP(Tabelle32[[#This Row],[Device ID]],BOM!$B$3:$BQ$35,42,FALSE),"")</f>
        <v>Imagine Communications SNP</v>
      </c>
      <c r="AM462" s="59" t="str">
        <f>IFERROR(VLOOKUP(Tabelle32[[#This Row],[Device ID]],BOM!$B$3:$BQ$35,43,FALSE),"")</f>
        <v>no</v>
      </c>
      <c r="AN462" s="59" t="str">
        <f>IFERROR(VLOOKUP(Tabelle32[[#This Row],[Device ID]],BOM!$B$3:$BQ$35,44,FALSE),"")</f>
        <v>yes</v>
      </c>
      <c r="AO462" s="59" t="str">
        <f>IFERROR(VLOOKUP(Tabelle32[[#This Row],[Device ID]],BOM!$B$3:$BQ$35,45,FALSE),"")</f>
        <v>no</v>
      </c>
      <c r="AP462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62" s="59"/>
      <c r="AR462" s="90"/>
      <c r="AS462" s="90"/>
      <c r="AT462" s="90"/>
      <c r="AU462" s="90"/>
      <c r="AV462" s="90"/>
      <c r="AW462" s="90"/>
      <c r="AX462" s="90"/>
      <c r="AY462" s="90"/>
      <c r="AZ462" s="90"/>
      <c r="BA462" s="90"/>
      <c r="BB462" s="90"/>
      <c r="BC462" s="90"/>
      <c r="BD462" s="90"/>
      <c r="BE462" s="90"/>
      <c r="BF462" s="90"/>
      <c r="BG462" s="90"/>
      <c r="BH462" s="73" t="s">
        <v>199</v>
      </c>
      <c r="BI462" s="30" t="str">
        <f>IF(COUNTA(Tabelle32[[#This Row],[Type:Vid_1080i50]:[Type:Anc_Prot]])&gt;0,"x","")</f>
        <v/>
      </c>
      <c r="BJ46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62" s="59"/>
      <c r="BL462" s="59"/>
      <c r="BM462" s="63"/>
      <c r="BN462" s="63"/>
      <c r="BO462" s="96"/>
      <c r="BP462" s="96"/>
      <c r="BQ462" s="75">
        <f>LEN(Tabelle32[[#This Row],[Label 1
GFX-Unit]])</f>
        <v>0</v>
      </c>
      <c r="BR462" s="63"/>
      <c r="BS462" s="63"/>
      <c r="BT462" s="59"/>
      <c r="BU462" s="59"/>
      <c r="BV462" s="59" t="s">
        <v>264</v>
      </c>
      <c r="BW462" s="59" t="s">
        <v>265</v>
      </c>
      <c r="BX462" s="59" t="s">
        <v>927</v>
      </c>
      <c r="BY462" s="59">
        <v>22</v>
      </c>
    </row>
    <row r="463" spans="1:77" hidden="1" x14ac:dyDescent="0.2">
      <c r="A463" s="58" t="str">
        <f>CONCATENATE(Tabelle32[[#This Row],[Device ID]],".",Tabelle32[[#This Row],[Streamcounter]])</f>
        <v>399.22216</v>
      </c>
      <c r="B46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VGW-103_SDI22_AUDrec_0016</v>
      </c>
      <c r="C463" s="60"/>
      <c r="D463" s="61"/>
      <c r="E463" s="62"/>
      <c r="F463" s="59" t="str">
        <f>IFERROR(VLOOKUP(Tabelle32[[#This Row],[Device ID]],BOM!$B$3:$BQ$35,16,FALSE),"")</f>
        <v>EditPC-08 IN</v>
      </c>
      <c r="G463" s="63">
        <f>VLOOKUP(Tabelle32[[#This Row],[SDI Interface]],BOM!$A$4:$B$35,2,FALSE)</f>
        <v>399</v>
      </c>
      <c r="H463" s="59" t="str">
        <f>BOM!$C$4</f>
        <v>VGW-103</v>
      </c>
      <c r="I463" s="59" t="str">
        <f>IFERROR(VLOOKUP(Tabelle32[[#This Row],[Device ID]],BOM!$B$3:$BQ$35,12,FALSE),"")</f>
        <v>Edit Suite</v>
      </c>
      <c r="J463" s="59" t="str">
        <f>IFERROR(VLOOKUP(Tabelle32[[#This Row],[Device ID]],BOM!$B$3:$BQ$35,13,FALSE),"")</f>
        <v>TC.U1.223 | MDC</v>
      </c>
      <c r="K463" s="59" t="str">
        <f>IFERROR(VLOOKUP(Tabelle32[[#This Row],[Device ID]],BOM!$B$3:$BQ$35,14,FALSE),"")</f>
        <v>Imagine Comunications</v>
      </c>
      <c r="L463" s="59" t="str">
        <f>IFERROR(VLOOKUP(Tabelle32[[#This Row],[Device ID]],BOM!$B$3:$BQ$35,16,FALSE),"")</f>
        <v>EditPC-08 IN</v>
      </c>
      <c r="M463" s="63" t="str">
        <f>IFERROR(VLOOKUP(Tabelle32[[#This Row],[Device ID]],BOM!$B$3:$BQ$35,17,FALSE),"")</f>
        <v>EDIT SUITE 08</v>
      </c>
      <c r="N463" s="59" t="str">
        <f>IFERROR(VLOOKUP(Tabelle32[[#This Row],[Device ID]],BOM!$B$3:$BQ$35,18,FALSE),"")</f>
        <v>TC.03.068 | Edit 08</v>
      </c>
      <c r="O463" s="64"/>
      <c r="P463" s="64">
        <f>IFERROR(VLOOKUP(Tabelle32[[#This Row],[Device ID]],BOM!$B$3:$BO$50,20,FALSE),"")</f>
        <v>0</v>
      </c>
      <c r="Q463" s="64">
        <f>IFERROR(VLOOKUP(Tabelle32[[#This Row],[Device ID]],BOM!$B$3:$BO$50,21,FALSE),"")</f>
        <v>1</v>
      </c>
      <c r="R463" s="64">
        <f>IFERROR(VLOOKUP(Tabelle32[[#This Row],[Device ID]],BOM!$B$3:$BO$50,22,FALSE),"")</f>
        <v>0</v>
      </c>
      <c r="S463" s="64"/>
      <c r="T463" s="64"/>
      <c r="U463" s="59" t="str">
        <f>IFERROR(VLOOKUP(Tabelle32[[#This Row],[Device ID]],BOM!$B$3:$BQ$35,25,FALSE),"")</f>
        <v>Luis/Ivo</v>
      </c>
      <c r="V463" s="59" t="str">
        <f>IFERROR(VLOOKUP(Tabelle32[[#This Row],[Device ID]],BOM!$B$3:$BQ$35,26,FALSE),"")</f>
        <v>tpco-megw-vgw103.rta.st-net.media.int</v>
      </c>
      <c r="W463" s="59" t="str">
        <f>IFERROR(VLOOKUP(Tabelle32[[#This Row],[Device ID]],BOM!$B$3:$BQ$35,27,FALSE),"")</f>
        <v>10.120.236.50</v>
      </c>
      <c r="X463" s="59" t="str">
        <f>IFERROR(VLOOKUP(Tabelle32[[#This Row],[Device ID]],BOM!$B$3:$BQ$35,28,FALSE),"")</f>
        <v>AVCoreA</v>
      </c>
      <c r="Y463" s="59" t="str">
        <f>IFERROR(VLOOKUP(Tabelle32[[#This Row],[Device ID]],BOM!$B$3:$BQ$35,29,FALSE),"")</f>
        <v>5_36_1</v>
      </c>
      <c r="Z463" s="59" t="str">
        <f>IFERROR(VLOOKUP(Tabelle32[[#This Row],[Device ID]],BOM!$B$3:$BQ$35,30,FALSE),"")</f>
        <v>tpco-megw-vgw103.rtb.st-net.media.int</v>
      </c>
      <c r="AA463" s="59" t="str">
        <f>IFERROR(VLOOKUP(Tabelle32[[#This Row],[Device ID]],BOM!$B$3:$BQ$35,31,FALSE),"")</f>
        <v>10.120.236.54</v>
      </c>
      <c r="AB463" s="59" t="str">
        <f>IFERROR(VLOOKUP(Tabelle32[[#This Row],[Device ID]],BOM!$B$3:$BQ$35,32,FALSE),"")</f>
        <v>AVCoreB</v>
      </c>
      <c r="AC463" s="59" t="str">
        <f>IFERROR(VLOOKUP(Tabelle32[[#This Row],[Device ID]],BOM!$B$3:$BQ$35,33,FALSE),"")</f>
        <v>5_36_1</v>
      </c>
      <c r="AD463" s="59" t="str">
        <f>IFERROR(VLOOKUP(Tabelle32[[#This Row],[Device ID]],BOM!$B$3:$BQ$35,34,FALSE),"")</f>
        <v>tpco-megw-vgw103.st-net.media.int</v>
      </c>
      <c r="AE463" s="59" t="str">
        <f>IFERROR(VLOOKUP(Tabelle32[[#This Row],[Device ID]],BOM!$B$3:$BQ$35,35,FALSE),"")</f>
        <v>10.120.67.141</v>
      </c>
      <c r="AF463" s="59">
        <f>IFERROR(VLOOKUP(Tabelle32[[#This Row],[Device ID]],BOM!$B$3:$BQ$35,36,FALSE),"")</f>
        <v>0</v>
      </c>
      <c r="AG463" s="59">
        <f>IFERROR(VLOOKUP(Tabelle32[[#This Row],[Device ID]],BOM!$B$3:$BQ$35,37,FALSE),"")</f>
        <v>0</v>
      </c>
      <c r="AH463" s="59"/>
      <c r="AI463" s="59"/>
      <c r="AJ463" s="59"/>
      <c r="AK463" s="59"/>
      <c r="AL463" s="59" t="str">
        <f>IFERROR(VLOOKUP(Tabelle32[[#This Row],[Device ID]],BOM!$B$3:$BQ$35,42,FALSE),"")</f>
        <v>Imagine Communications SNP</v>
      </c>
      <c r="AM463" s="59" t="str">
        <f>IFERROR(VLOOKUP(Tabelle32[[#This Row],[Device ID]],BOM!$B$3:$BQ$35,43,FALSE),"")</f>
        <v>no</v>
      </c>
      <c r="AN463" s="59" t="str">
        <f>IFERROR(VLOOKUP(Tabelle32[[#This Row],[Device ID]],BOM!$B$3:$BQ$35,44,FALSE),"")</f>
        <v>yes</v>
      </c>
      <c r="AO463" s="59" t="str">
        <f>IFERROR(VLOOKUP(Tabelle32[[#This Row],[Device ID]],BOM!$B$3:$BQ$35,45,FALSE),"")</f>
        <v>no</v>
      </c>
      <c r="AP463" s="59" t="str">
        <f>IFERROR(CONCATENATE(Tabelle32[[#This Row],[Family
GFX-Unit]]," | ",Tabelle32[[#This Row],[Label 1
GFX-Unit]]," | ",Tabelle32[[#This Row],[Attached Device if Gateway]]),"")</f>
        <v xml:space="preserve"> |  | EditPC-08 IN</v>
      </c>
      <c r="AQ463" s="59"/>
      <c r="AR463" s="90"/>
      <c r="AS463" s="90"/>
      <c r="AT463" s="90"/>
      <c r="AU463" s="90"/>
      <c r="AV463" s="90"/>
      <c r="AW463" s="90"/>
      <c r="AX463" s="90"/>
      <c r="AY463" s="90"/>
      <c r="AZ463" s="90"/>
      <c r="BA463" s="90"/>
      <c r="BB463" s="90"/>
      <c r="BC463" s="90"/>
      <c r="BD463" s="90"/>
      <c r="BE463" s="90"/>
      <c r="BF463" s="90"/>
      <c r="BG463" s="90"/>
      <c r="BH463" s="73" t="s">
        <v>199</v>
      </c>
      <c r="BI463" s="30" t="str">
        <f>IF(COUNTA(Tabelle32[[#This Row],[Type:Vid_1080i50]:[Type:Anc_Prot]])&gt;0,"x","")</f>
        <v/>
      </c>
      <c r="BJ46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63" s="59"/>
      <c r="BL463" s="59"/>
      <c r="BM463" s="63"/>
      <c r="BN463" s="63"/>
      <c r="BO463" s="96"/>
      <c r="BP463" s="96"/>
      <c r="BQ463" s="75">
        <f>LEN(Tabelle32[[#This Row],[Label 1
GFX-Unit]])</f>
        <v>0</v>
      </c>
      <c r="BR463" s="63"/>
      <c r="BS463" s="63"/>
      <c r="BT463" s="59"/>
      <c r="BU463" s="59"/>
      <c r="BV463" s="59" t="s">
        <v>268</v>
      </c>
      <c r="BW463" s="59" t="s">
        <v>269</v>
      </c>
      <c r="BX463" s="59" t="s">
        <v>928</v>
      </c>
      <c r="BY463" s="59">
        <v>22</v>
      </c>
    </row>
    <row r="464" spans="1:77" x14ac:dyDescent="0.2">
      <c r="A464" s="58" t="str">
        <f>CONCATENATE(Tabelle32[[#This Row],[Device ID]],".",Tabelle32[[#This Row],[Streamcounter]])</f>
        <v>399.22101</v>
      </c>
      <c r="B46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VGW-103_SDI22_VIDrec_0001</v>
      </c>
      <c r="C464" s="60"/>
      <c r="D464" s="61"/>
      <c r="E464" s="62"/>
      <c r="F464" s="59" t="str">
        <f>IFERROR(VLOOKUP(Tabelle32[[#This Row],[Device ID]],BOM!$B$3:$BQ$35,16,FALSE),"")</f>
        <v>EditPC-08 IN</v>
      </c>
      <c r="G464" s="63">
        <f>VLOOKUP(Tabelle32[[#This Row],[SDI Interface]],BOM!$A$4:$B$35,2,FALSE)</f>
        <v>399</v>
      </c>
      <c r="H464" s="59" t="str">
        <f>BOM!$C$4</f>
        <v>VGW-103</v>
      </c>
      <c r="I464" s="59" t="str">
        <f>IFERROR(VLOOKUP(Tabelle32[[#This Row],[Device ID]],BOM!$B$3:$BQ$35,12,FALSE),"")</f>
        <v>Edit Suite</v>
      </c>
      <c r="J464" s="59" t="str">
        <f>IFERROR(VLOOKUP(Tabelle32[[#This Row],[Device ID]],BOM!$B$3:$BQ$35,13,FALSE),"")</f>
        <v>TC.U1.223 | MDC</v>
      </c>
      <c r="K464" s="59" t="str">
        <f>IFERROR(VLOOKUP(Tabelle32[[#This Row],[Device ID]],BOM!$B$3:$BQ$35,14,FALSE),"")</f>
        <v>Imagine Comunications</v>
      </c>
      <c r="L464" s="59" t="str">
        <f>IFERROR(VLOOKUP(Tabelle32[[#This Row],[Device ID]],BOM!$B$3:$BQ$35,16,FALSE),"")</f>
        <v>EditPC-08 IN</v>
      </c>
      <c r="M464" s="63" t="str">
        <f>IFERROR(VLOOKUP(Tabelle32[[#This Row],[Device ID]],BOM!$B$3:$BQ$35,17,FALSE),"")</f>
        <v>EDIT SUITE 08</v>
      </c>
      <c r="N464" s="59" t="str">
        <f>IFERROR(VLOOKUP(Tabelle32[[#This Row],[Device ID]],BOM!$B$3:$BQ$35,18,FALSE),"")</f>
        <v>TC.03.068 | Edit 08</v>
      </c>
      <c r="O464" s="64"/>
      <c r="P464" s="64">
        <f>IFERROR(VLOOKUP(Tabelle32[[#This Row],[Device ID]],BOM!$B$3:$BO$50,20,FALSE),"")</f>
        <v>0</v>
      </c>
      <c r="Q464" s="64">
        <f>IFERROR(VLOOKUP(Tabelle32[[#This Row],[Device ID]],BOM!$B$3:$BO$50,21,FALSE),"")</f>
        <v>1</v>
      </c>
      <c r="R464" s="64">
        <f>IFERROR(VLOOKUP(Tabelle32[[#This Row],[Device ID]],BOM!$B$3:$BO$50,22,FALSE),"")</f>
        <v>0</v>
      </c>
      <c r="S464" s="64"/>
      <c r="T464" s="64"/>
      <c r="U464" s="59" t="str">
        <f>IFERROR(VLOOKUP(Tabelle32[[#This Row],[Device ID]],BOM!$B$3:$BQ$35,25,FALSE),"")</f>
        <v>Luis/Ivo</v>
      </c>
      <c r="V464" s="59" t="str">
        <f>IFERROR(VLOOKUP(Tabelle32[[#This Row],[Device ID]],BOM!$B$3:$BQ$35,26,FALSE),"")</f>
        <v>tpco-megw-vgw103.rta.st-net.media.int</v>
      </c>
      <c r="W464" s="59" t="str">
        <f>IFERROR(VLOOKUP(Tabelle32[[#This Row],[Device ID]],BOM!$B$3:$BQ$35,27,FALSE),"")</f>
        <v>10.120.236.50</v>
      </c>
      <c r="X464" s="59" t="str">
        <f>IFERROR(VLOOKUP(Tabelle32[[#This Row],[Device ID]],BOM!$B$3:$BQ$35,28,FALSE),"")</f>
        <v>AVCoreA</v>
      </c>
      <c r="Y464" s="59" t="str">
        <f>IFERROR(VLOOKUP(Tabelle32[[#This Row],[Device ID]],BOM!$B$3:$BQ$35,29,FALSE),"")</f>
        <v>5_36_1</v>
      </c>
      <c r="Z464" s="59" t="str">
        <f>IFERROR(VLOOKUP(Tabelle32[[#This Row],[Device ID]],BOM!$B$3:$BQ$35,30,FALSE),"")</f>
        <v>tpco-megw-vgw103.rtb.st-net.media.int</v>
      </c>
      <c r="AA464" s="59" t="str">
        <f>IFERROR(VLOOKUP(Tabelle32[[#This Row],[Device ID]],BOM!$B$3:$BQ$35,31,FALSE),"")</f>
        <v>10.120.236.54</v>
      </c>
      <c r="AB464" s="59" t="str">
        <f>IFERROR(VLOOKUP(Tabelle32[[#This Row],[Device ID]],BOM!$B$3:$BQ$35,32,FALSE),"")</f>
        <v>AVCoreB</v>
      </c>
      <c r="AC464" s="59" t="str">
        <f>IFERROR(VLOOKUP(Tabelle32[[#This Row],[Device ID]],BOM!$B$3:$BQ$35,33,FALSE),"")</f>
        <v>5_36_1</v>
      </c>
      <c r="AD464" s="59" t="str">
        <f>IFERROR(VLOOKUP(Tabelle32[[#This Row],[Device ID]],BOM!$B$3:$BQ$35,34,FALSE),"")</f>
        <v>tpco-megw-vgw103.st-net.media.int</v>
      </c>
      <c r="AE464" s="59" t="str">
        <f>IFERROR(VLOOKUP(Tabelle32[[#This Row],[Device ID]],BOM!$B$3:$BQ$35,35,FALSE),"")</f>
        <v>10.120.67.141</v>
      </c>
      <c r="AF464" s="59">
        <f>IFERROR(VLOOKUP(Tabelle32[[#This Row],[Device ID]],BOM!$B$3:$BQ$35,36,FALSE),"")</f>
        <v>0</v>
      </c>
      <c r="AG464" s="59">
        <f>IFERROR(VLOOKUP(Tabelle32[[#This Row],[Device ID]],BOM!$B$3:$BQ$35,37,FALSE),"")</f>
        <v>0</v>
      </c>
      <c r="AH464" s="59"/>
      <c r="AI464" s="59"/>
      <c r="AJ464" s="59"/>
      <c r="AK464" s="59"/>
      <c r="AL464" s="59" t="str">
        <f>IFERROR(VLOOKUP(Tabelle32[[#This Row],[Device ID]],BOM!$B$3:$BQ$35,42,FALSE),"")</f>
        <v>Imagine Communications SNP</v>
      </c>
      <c r="AM464" s="59" t="str">
        <f>IFERROR(VLOOKUP(Tabelle32[[#This Row],[Device ID]],BOM!$B$3:$BQ$35,43,FALSE),"")</f>
        <v>no</v>
      </c>
      <c r="AN464" s="59" t="str">
        <f>IFERROR(VLOOKUP(Tabelle32[[#This Row],[Device ID]],BOM!$B$3:$BQ$35,44,FALSE),"")</f>
        <v>yes</v>
      </c>
      <c r="AO464" s="59" t="str">
        <f>IFERROR(VLOOKUP(Tabelle32[[#This Row],[Device ID]],BOM!$B$3:$BQ$35,45,FALSE),"")</f>
        <v>no</v>
      </c>
      <c r="AP464" s="59" t="str">
        <f>IFERROR(CONCATENATE(Tabelle32[[#This Row],[Family
GFX-Unit]]," | ",Tabelle32[[#This Row],[Label 1
GFX-Unit]]," | ",Tabelle32[[#This Row],[Attached Device if Gateway]]),"")</f>
        <v>MEDEM Edit08 | In Edit08 | EditPC-08 IN</v>
      </c>
      <c r="AQ464" s="59"/>
      <c r="AR464" s="96" t="s">
        <v>97</v>
      </c>
      <c r="AS464" s="96" t="s">
        <v>97</v>
      </c>
      <c r="AT464" s="96" t="s">
        <v>97</v>
      </c>
      <c r="AU464" s="96"/>
      <c r="AV464" s="96" t="s">
        <v>97</v>
      </c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73" t="s">
        <v>199</v>
      </c>
      <c r="BI464" s="30" t="str">
        <f>IF(COUNTA(Tabelle32[[#This Row],[Type:Vid_1080i50]:[Type:Anc_Prot]])&gt;0,"x","")</f>
        <v>x</v>
      </c>
      <c r="BJ46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464" s="59"/>
      <c r="BL464" s="59"/>
      <c r="BM464" s="63"/>
      <c r="BN464" s="63"/>
      <c r="BO464" s="97" t="s">
        <v>898</v>
      </c>
      <c r="BP464" s="97" t="s">
        <v>929</v>
      </c>
      <c r="BQ464" s="75">
        <f>LEN(Tabelle32[[#This Row],[Label 1
GFX-Unit]])</f>
        <v>9</v>
      </c>
      <c r="BR464" s="63"/>
      <c r="BS464" s="63"/>
      <c r="BT464" s="59"/>
      <c r="BU464" s="59"/>
      <c r="BV464" s="59" t="s">
        <v>272</v>
      </c>
      <c r="BW464" s="59" t="s">
        <v>273</v>
      </c>
      <c r="BX464" s="59" t="s">
        <v>930</v>
      </c>
      <c r="BY464" s="59">
        <v>22</v>
      </c>
    </row>
    <row r="465" spans="1:77" x14ac:dyDescent="0.2">
      <c r="A465" s="58" t="str">
        <f>CONCATENATE(Tabelle32[[#This Row],[Device ID]],".",Tabelle32[[#This Row],[Streamcounter]])</f>
        <v>400.23301</v>
      </c>
      <c r="B46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VGW-103_SDI23_ANCrec_0001</v>
      </c>
      <c r="C465" s="60"/>
      <c r="D465" s="61"/>
      <c r="E465" s="62"/>
      <c r="F465" s="59" t="str">
        <f>IFERROR(VLOOKUP(Tabelle32[[#This Row],[Device ID]],BOM!$B$3:$BQ$35,16,FALSE),"")</f>
        <v>EditPC-09 IN</v>
      </c>
      <c r="G465" s="63">
        <f>VLOOKUP(Tabelle32[[#This Row],[SDI Interface]],BOM!$A$4:$B$35,2,FALSE)</f>
        <v>400</v>
      </c>
      <c r="H465" s="59" t="str">
        <f>BOM!$C$4</f>
        <v>VGW-103</v>
      </c>
      <c r="I465" s="59" t="str">
        <f>IFERROR(VLOOKUP(Tabelle32[[#This Row],[Device ID]],BOM!$B$3:$BQ$35,12,FALSE),"")</f>
        <v>Edit Suite</v>
      </c>
      <c r="J465" s="59" t="str">
        <f>IFERROR(VLOOKUP(Tabelle32[[#This Row],[Device ID]],BOM!$B$3:$BQ$35,13,FALSE),"")</f>
        <v>TC.U1.223 | MDC</v>
      </c>
      <c r="K465" s="59" t="str">
        <f>IFERROR(VLOOKUP(Tabelle32[[#This Row],[Device ID]],BOM!$B$3:$BQ$35,14,FALSE),"")</f>
        <v>Imagine Comunications</v>
      </c>
      <c r="L465" s="59" t="str">
        <f>IFERROR(VLOOKUP(Tabelle32[[#This Row],[Device ID]],BOM!$B$3:$BQ$35,16,FALSE),"")</f>
        <v>EditPC-09 IN</v>
      </c>
      <c r="M465" s="63" t="str">
        <f>IFERROR(VLOOKUP(Tabelle32[[#This Row],[Device ID]],BOM!$B$3:$BQ$35,17,FALSE),"")</f>
        <v>EDIT SUITE 09</v>
      </c>
      <c r="N465" s="59" t="str">
        <f>IFERROR(VLOOKUP(Tabelle32[[#This Row],[Device ID]],BOM!$B$3:$BQ$35,18,FALSE),"")</f>
        <v>TC.03.030 | Edit 09</v>
      </c>
      <c r="O465" s="64"/>
      <c r="P465" s="64">
        <f>IFERROR(VLOOKUP(Tabelle32[[#This Row],[Device ID]],BOM!$B$3:$BO$50,20,FALSE),"")</f>
        <v>0</v>
      </c>
      <c r="Q465" s="64">
        <f>IFERROR(VLOOKUP(Tabelle32[[#This Row],[Device ID]],BOM!$B$3:$BO$50,21,FALSE),"")</f>
        <v>1</v>
      </c>
      <c r="R465" s="64">
        <f>IFERROR(VLOOKUP(Tabelle32[[#This Row],[Device ID]],BOM!$B$3:$BO$50,22,FALSE),"")</f>
        <v>0</v>
      </c>
      <c r="S465" s="64"/>
      <c r="T465" s="64"/>
      <c r="U465" s="59" t="str">
        <f>IFERROR(VLOOKUP(Tabelle32[[#This Row],[Device ID]],BOM!$B$3:$BQ$35,25,FALSE),"")</f>
        <v>Luis/Ivo</v>
      </c>
      <c r="V465" s="59" t="str">
        <f>IFERROR(VLOOKUP(Tabelle32[[#This Row],[Device ID]],BOM!$B$3:$BQ$35,26,FALSE),"")</f>
        <v>tpco-megw-vgw103.rta.st-net.media.int</v>
      </c>
      <c r="W465" s="59" t="str">
        <f>IFERROR(VLOOKUP(Tabelle32[[#This Row],[Device ID]],BOM!$B$3:$BQ$35,27,FALSE),"")</f>
        <v>10.120.236.50</v>
      </c>
      <c r="X465" s="59" t="str">
        <f>IFERROR(VLOOKUP(Tabelle32[[#This Row],[Device ID]],BOM!$B$3:$BQ$35,28,FALSE),"")</f>
        <v>AVCoreA</v>
      </c>
      <c r="Y465" s="59" t="str">
        <f>IFERROR(VLOOKUP(Tabelle32[[#This Row],[Device ID]],BOM!$B$3:$BQ$35,29,FALSE),"")</f>
        <v>5_36_1</v>
      </c>
      <c r="Z465" s="59" t="str">
        <f>IFERROR(VLOOKUP(Tabelle32[[#This Row],[Device ID]],BOM!$B$3:$BQ$35,30,FALSE),"")</f>
        <v>tpco-megw-vgw103.rtb.st-net.media.int</v>
      </c>
      <c r="AA465" s="59" t="str">
        <f>IFERROR(VLOOKUP(Tabelle32[[#This Row],[Device ID]],BOM!$B$3:$BQ$35,31,FALSE),"")</f>
        <v>10.120.236.54</v>
      </c>
      <c r="AB465" s="59" t="str">
        <f>IFERROR(VLOOKUP(Tabelle32[[#This Row],[Device ID]],BOM!$B$3:$BQ$35,32,FALSE),"")</f>
        <v>AVCoreB</v>
      </c>
      <c r="AC465" s="59" t="str">
        <f>IFERROR(VLOOKUP(Tabelle32[[#This Row],[Device ID]],BOM!$B$3:$BQ$35,33,FALSE),"")</f>
        <v>5_36_1</v>
      </c>
      <c r="AD465" s="59" t="str">
        <f>IFERROR(VLOOKUP(Tabelle32[[#This Row],[Device ID]],BOM!$B$3:$BQ$35,34,FALSE),"")</f>
        <v>tpco-megw-vgw103.st-net.media.int</v>
      </c>
      <c r="AE465" s="59" t="str">
        <f>IFERROR(VLOOKUP(Tabelle32[[#This Row],[Device ID]],BOM!$B$3:$BQ$35,35,FALSE),"")</f>
        <v>10.120.67.141</v>
      </c>
      <c r="AF465" s="59">
        <f>IFERROR(VLOOKUP(Tabelle32[[#This Row],[Device ID]],BOM!$B$3:$BQ$35,36,FALSE),"")</f>
        <v>0</v>
      </c>
      <c r="AG465" s="59">
        <f>IFERROR(VLOOKUP(Tabelle32[[#This Row],[Device ID]],BOM!$B$3:$BQ$35,37,FALSE),"")</f>
        <v>0</v>
      </c>
      <c r="AH465" s="59"/>
      <c r="AI465" s="59"/>
      <c r="AJ465" s="59"/>
      <c r="AK465" s="59"/>
      <c r="AL465" s="59" t="str">
        <f>IFERROR(VLOOKUP(Tabelle32[[#This Row],[Device ID]],BOM!$B$3:$BQ$35,42,FALSE),"")</f>
        <v>Imagine Communications SNP</v>
      </c>
      <c r="AM465" s="59" t="str">
        <f>IFERROR(VLOOKUP(Tabelle32[[#This Row],[Device ID]],BOM!$B$3:$BQ$35,43,FALSE),"")</f>
        <v>no</v>
      </c>
      <c r="AN465" s="59" t="str">
        <f>IFERROR(VLOOKUP(Tabelle32[[#This Row],[Device ID]],BOM!$B$3:$BQ$35,44,FALSE),"")</f>
        <v>yes</v>
      </c>
      <c r="AO465" s="59" t="str">
        <f>IFERROR(VLOOKUP(Tabelle32[[#This Row],[Device ID]],BOM!$B$3:$BQ$35,45,FALSE),"")</f>
        <v>no</v>
      </c>
      <c r="AP465" s="59" t="str">
        <f>IFERROR(CONCATENATE(Tabelle32[[#This Row],[Family
GFX-Unit]]," | ",Tabelle32[[#This Row],[Label 1
GFX-Unit]]," | ",Tabelle32[[#This Row],[Attached Device if Gateway]]),"")</f>
        <v>MEDEM Edit09 | In Edit09-ANC1 | EditPC-09 IN</v>
      </c>
      <c r="AQ465" s="5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  <c r="BG465" s="99" t="s">
        <v>97</v>
      </c>
      <c r="BH465" s="73" t="s">
        <v>199</v>
      </c>
      <c r="BI465" s="30" t="str">
        <f>IF(COUNTA(Tabelle32[[#This Row],[Type:Vid_1080i50]:[Type:Anc_Prot]])&gt;0,"x","")</f>
        <v>x</v>
      </c>
      <c r="BJ46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465" s="59"/>
      <c r="BL465" s="59"/>
      <c r="BM465" s="63"/>
      <c r="BN465" s="63"/>
      <c r="BO465" s="97" t="s">
        <v>931</v>
      </c>
      <c r="BP465" s="97" t="s">
        <v>932</v>
      </c>
      <c r="BQ465" s="75">
        <f>LEN(Tabelle32[[#This Row],[Label 1
GFX-Unit]])</f>
        <v>14</v>
      </c>
      <c r="BR465" s="63"/>
      <c r="BS465" s="63"/>
      <c r="BT465" s="59"/>
      <c r="BU465" s="59"/>
      <c r="BV465" s="59" t="s">
        <v>202</v>
      </c>
      <c r="BW465" s="59" t="s">
        <v>203</v>
      </c>
      <c r="BX465" s="59" t="s">
        <v>933</v>
      </c>
      <c r="BY465" s="59">
        <v>23</v>
      </c>
    </row>
    <row r="466" spans="1:77" hidden="1" x14ac:dyDescent="0.2">
      <c r="A466" s="58" t="str">
        <f>CONCATENATE(Tabelle32[[#This Row],[Device ID]],".",Tabelle32[[#This Row],[Streamcounter]])</f>
        <v>400.23302</v>
      </c>
      <c r="B46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VGW-103_SDI23_ANCrec_0002</v>
      </c>
      <c r="C466" s="60"/>
      <c r="D466" s="61"/>
      <c r="E466" s="62"/>
      <c r="F466" s="59" t="str">
        <f>IFERROR(VLOOKUP(Tabelle32[[#This Row],[Device ID]],BOM!$B$3:$BQ$35,16,FALSE),"")</f>
        <v>EditPC-09 IN</v>
      </c>
      <c r="G466" s="63">
        <f>VLOOKUP(Tabelle32[[#This Row],[SDI Interface]],BOM!$A$4:$B$35,2,FALSE)</f>
        <v>400</v>
      </c>
      <c r="H466" s="59" t="str">
        <f>BOM!$C$4</f>
        <v>VGW-103</v>
      </c>
      <c r="I466" s="59" t="str">
        <f>IFERROR(VLOOKUP(Tabelle32[[#This Row],[Device ID]],BOM!$B$3:$BQ$35,12,FALSE),"")</f>
        <v>Edit Suite</v>
      </c>
      <c r="J466" s="59" t="str">
        <f>IFERROR(VLOOKUP(Tabelle32[[#This Row],[Device ID]],BOM!$B$3:$BQ$35,13,FALSE),"")</f>
        <v>TC.U1.223 | MDC</v>
      </c>
      <c r="K466" s="59" t="str">
        <f>IFERROR(VLOOKUP(Tabelle32[[#This Row],[Device ID]],BOM!$B$3:$BQ$35,14,FALSE),"")</f>
        <v>Imagine Comunications</v>
      </c>
      <c r="L466" s="59" t="str">
        <f>IFERROR(VLOOKUP(Tabelle32[[#This Row],[Device ID]],BOM!$B$3:$BQ$35,16,FALSE),"")</f>
        <v>EditPC-09 IN</v>
      </c>
      <c r="M466" s="63" t="str">
        <f>IFERROR(VLOOKUP(Tabelle32[[#This Row],[Device ID]],BOM!$B$3:$BQ$35,17,FALSE),"")</f>
        <v>EDIT SUITE 09</v>
      </c>
      <c r="N466" s="59" t="str">
        <f>IFERROR(VLOOKUP(Tabelle32[[#This Row],[Device ID]],BOM!$B$3:$BQ$35,18,FALSE),"")</f>
        <v>TC.03.030 | Edit 09</v>
      </c>
      <c r="O466" s="64"/>
      <c r="P466" s="64">
        <f>IFERROR(VLOOKUP(Tabelle32[[#This Row],[Device ID]],BOM!$B$3:$BO$50,20,FALSE),"")</f>
        <v>0</v>
      </c>
      <c r="Q466" s="64">
        <f>IFERROR(VLOOKUP(Tabelle32[[#This Row],[Device ID]],BOM!$B$3:$BO$50,21,FALSE),"")</f>
        <v>1</v>
      </c>
      <c r="R466" s="64">
        <f>IFERROR(VLOOKUP(Tabelle32[[#This Row],[Device ID]],BOM!$B$3:$BO$50,22,FALSE),"")</f>
        <v>0</v>
      </c>
      <c r="S466" s="64"/>
      <c r="T466" s="64"/>
      <c r="U466" s="59" t="str">
        <f>IFERROR(VLOOKUP(Tabelle32[[#This Row],[Device ID]],BOM!$B$3:$BQ$35,25,FALSE),"")</f>
        <v>Luis/Ivo</v>
      </c>
      <c r="V466" s="59" t="str">
        <f>IFERROR(VLOOKUP(Tabelle32[[#This Row],[Device ID]],BOM!$B$3:$BQ$35,26,FALSE),"")</f>
        <v>tpco-megw-vgw103.rta.st-net.media.int</v>
      </c>
      <c r="W466" s="59" t="str">
        <f>IFERROR(VLOOKUP(Tabelle32[[#This Row],[Device ID]],BOM!$B$3:$BQ$35,27,FALSE),"")</f>
        <v>10.120.236.50</v>
      </c>
      <c r="X466" s="59" t="str">
        <f>IFERROR(VLOOKUP(Tabelle32[[#This Row],[Device ID]],BOM!$B$3:$BQ$35,28,FALSE),"")</f>
        <v>AVCoreA</v>
      </c>
      <c r="Y466" s="59" t="str">
        <f>IFERROR(VLOOKUP(Tabelle32[[#This Row],[Device ID]],BOM!$B$3:$BQ$35,29,FALSE),"")</f>
        <v>5_36_1</v>
      </c>
      <c r="Z466" s="59" t="str">
        <f>IFERROR(VLOOKUP(Tabelle32[[#This Row],[Device ID]],BOM!$B$3:$BQ$35,30,FALSE),"")</f>
        <v>tpco-megw-vgw103.rtb.st-net.media.int</v>
      </c>
      <c r="AA466" s="59" t="str">
        <f>IFERROR(VLOOKUP(Tabelle32[[#This Row],[Device ID]],BOM!$B$3:$BQ$35,31,FALSE),"")</f>
        <v>10.120.236.54</v>
      </c>
      <c r="AB466" s="59" t="str">
        <f>IFERROR(VLOOKUP(Tabelle32[[#This Row],[Device ID]],BOM!$B$3:$BQ$35,32,FALSE),"")</f>
        <v>AVCoreB</v>
      </c>
      <c r="AC466" s="59" t="str">
        <f>IFERROR(VLOOKUP(Tabelle32[[#This Row],[Device ID]],BOM!$B$3:$BQ$35,33,FALSE),"")</f>
        <v>5_36_1</v>
      </c>
      <c r="AD466" s="59" t="str">
        <f>IFERROR(VLOOKUP(Tabelle32[[#This Row],[Device ID]],BOM!$B$3:$BQ$35,34,FALSE),"")</f>
        <v>tpco-megw-vgw103.st-net.media.int</v>
      </c>
      <c r="AE466" s="59" t="str">
        <f>IFERROR(VLOOKUP(Tabelle32[[#This Row],[Device ID]],BOM!$B$3:$BQ$35,35,FALSE),"")</f>
        <v>10.120.67.141</v>
      </c>
      <c r="AF466" s="59">
        <f>IFERROR(VLOOKUP(Tabelle32[[#This Row],[Device ID]],BOM!$B$3:$BQ$35,36,FALSE),"")</f>
        <v>0</v>
      </c>
      <c r="AG466" s="59">
        <f>IFERROR(VLOOKUP(Tabelle32[[#This Row],[Device ID]],BOM!$B$3:$BQ$35,37,FALSE),"")</f>
        <v>0</v>
      </c>
      <c r="AH466" s="59"/>
      <c r="AI466" s="59"/>
      <c r="AJ466" s="59"/>
      <c r="AK466" s="59"/>
      <c r="AL466" s="59" t="str">
        <f>IFERROR(VLOOKUP(Tabelle32[[#This Row],[Device ID]],BOM!$B$3:$BQ$35,42,FALSE),"")</f>
        <v>Imagine Communications SNP</v>
      </c>
      <c r="AM466" s="59" t="str">
        <f>IFERROR(VLOOKUP(Tabelle32[[#This Row],[Device ID]],BOM!$B$3:$BQ$35,43,FALSE),"")</f>
        <v>no</v>
      </c>
      <c r="AN466" s="59" t="str">
        <f>IFERROR(VLOOKUP(Tabelle32[[#This Row],[Device ID]],BOM!$B$3:$BQ$35,44,FALSE),"")</f>
        <v>yes</v>
      </c>
      <c r="AO466" s="59" t="str">
        <f>IFERROR(VLOOKUP(Tabelle32[[#This Row],[Device ID]],BOM!$B$3:$BQ$35,45,FALSE),"")</f>
        <v>no</v>
      </c>
      <c r="AP466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66" s="59"/>
      <c r="AR466" s="101"/>
      <c r="AS466" s="101"/>
      <c r="AT466" s="101"/>
      <c r="AU466" s="101"/>
      <c r="AV466" s="101"/>
      <c r="AW466" s="101"/>
      <c r="AX466" s="101"/>
      <c r="AY466" s="101"/>
      <c r="AZ466" s="101"/>
      <c r="BA466" s="101"/>
      <c r="BB466" s="101"/>
      <c r="BC466" s="101"/>
      <c r="BD466" s="101"/>
      <c r="BE466" s="101"/>
      <c r="BF466" s="101"/>
      <c r="BG466" s="101"/>
      <c r="BH466" s="73" t="s">
        <v>199</v>
      </c>
      <c r="BI466" s="30" t="str">
        <f>IF(COUNTA(Tabelle32[[#This Row],[Type:Vid_1080i50]:[Type:Anc_Prot]])&gt;0,"x","")</f>
        <v/>
      </c>
      <c r="BJ46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66" s="59"/>
      <c r="BL466" s="59"/>
      <c r="BM466" s="63"/>
      <c r="BN466" s="63"/>
      <c r="BO466" s="96"/>
      <c r="BP466" s="96"/>
      <c r="BQ466" s="75">
        <f>LEN(Tabelle32[[#This Row],[Label 1
GFX-Unit]])</f>
        <v>0</v>
      </c>
      <c r="BR466" s="63"/>
      <c r="BS466" s="63"/>
      <c r="BT466" s="59"/>
      <c r="BU466" s="59"/>
      <c r="BV466" s="59" t="s">
        <v>205</v>
      </c>
      <c r="BW466" s="59" t="s">
        <v>206</v>
      </c>
      <c r="BX466" s="59" t="s">
        <v>934</v>
      </c>
      <c r="BY466" s="59">
        <v>23</v>
      </c>
    </row>
    <row r="467" spans="1:77" hidden="1" x14ac:dyDescent="0.2">
      <c r="A467" s="58" t="str">
        <f>CONCATENATE(Tabelle32[[#This Row],[Device ID]],".",Tabelle32[[#This Row],[Streamcounter]])</f>
        <v>400.23303</v>
      </c>
      <c r="B46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VGW-103_SDI23_ANCrec_0003</v>
      </c>
      <c r="C467" s="60"/>
      <c r="D467" s="61"/>
      <c r="E467" s="62"/>
      <c r="F467" s="59" t="str">
        <f>IFERROR(VLOOKUP(Tabelle32[[#This Row],[Device ID]],BOM!$B$3:$BQ$35,16,FALSE),"")</f>
        <v>EditPC-09 IN</v>
      </c>
      <c r="G467" s="63">
        <f>VLOOKUP(Tabelle32[[#This Row],[SDI Interface]],BOM!$A$4:$B$35,2,FALSE)</f>
        <v>400</v>
      </c>
      <c r="H467" s="59" t="str">
        <f>BOM!$C$4</f>
        <v>VGW-103</v>
      </c>
      <c r="I467" s="59" t="str">
        <f>IFERROR(VLOOKUP(Tabelle32[[#This Row],[Device ID]],BOM!$B$3:$BQ$35,12,FALSE),"")</f>
        <v>Edit Suite</v>
      </c>
      <c r="J467" s="59" t="str">
        <f>IFERROR(VLOOKUP(Tabelle32[[#This Row],[Device ID]],BOM!$B$3:$BQ$35,13,FALSE),"")</f>
        <v>TC.U1.223 | MDC</v>
      </c>
      <c r="K467" s="59" t="str">
        <f>IFERROR(VLOOKUP(Tabelle32[[#This Row],[Device ID]],BOM!$B$3:$BQ$35,14,FALSE),"")</f>
        <v>Imagine Comunications</v>
      </c>
      <c r="L467" s="59" t="str">
        <f>IFERROR(VLOOKUP(Tabelle32[[#This Row],[Device ID]],BOM!$B$3:$BQ$35,16,FALSE),"")</f>
        <v>EditPC-09 IN</v>
      </c>
      <c r="M467" s="63" t="str">
        <f>IFERROR(VLOOKUP(Tabelle32[[#This Row],[Device ID]],BOM!$B$3:$BQ$35,17,FALSE),"")</f>
        <v>EDIT SUITE 09</v>
      </c>
      <c r="N467" s="59" t="str">
        <f>IFERROR(VLOOKUP(Tabelle32[[#This Row],[Device ID]],BOM!$B$3:$BQ$35,18,FALSE),"")</f>
        <v>TC.03.030 | Edit 09</v>
      </c>
      <c r="O467" s="64"/>
      <c r="P467" s="64">
        <f>IFERROR(VLOOKUP(Tabelle32[[#This Row],[Device ID]],BOM!$B$3:$BO$50,20,FALSE),"")</f>
        <v>0</v>
      </c>
      <c r="Q467" s="64">
        <f>IFERROR(VLOOKUP(Tabelle32[[#This Row],[Device ID]],BOM!$B$3:$BO$50,21,FALSE),"")</f>
        <v>1</v>
      </c>
      <c r="R467" s="64">
        <f>IFERROR(VLOOKUP(Tabelle32[[#This Row],[Device ID]],BOM!$B$3:$BO$50,22,FALSE),"")</f>
        <v>0</v>
      </c>
      <c r="S467" s="64"/>
      <c r="T467" s="64"/>
      <c r="U467" s="59" t="str">
        <f>IFERROR(VLOOKUP(Tabelle32[[#This Row],[Device ID]],BOM!$B$3:$BQ$35,25,FALSE),"")</f>
        <v>Luis/Ivo</v>
      </c>
      <c r="V467" s="59" t="str">
        <f>IFERROR(VLOOKUP(Tabelle32[[#This Row],[Device ID]],BOM!$B$3:$BQ$35,26,FALSE),"")</f>
        <v>tpco-megw-vgw103.rta.st-net.media.int</v>
      </c>
      <c r="W467" s="59" t="str">
        <f>IFERROR(VLOOKUP(Tabelle32[[#This Row],[Device ID]],BOM!$B$3:$BQ$35,27,FALSE),"")</f>
        <v>10.120.236.50</v>
      </c>
      <c r="X467" s="59" t="str">
        <f>IFERROR(VLOOKUP(Tabelle32[[#This Row],[Device ID]],BOM!$B$3:$BQ$35,28,FALSE),"")</f>
        <v>AVCoreA</v>
      </c>
      <c r="Y467" s="59" t="str">
        <f>IFERROR(VLOOKUP(Tabelle32[[#This Row],[Device ID]],BOM!$B$3:$BQ$35,29,FALSE),"")</f>
        <v>5_36_1</v>
      </c>
      <c r="Z467" s="59" t="str">
        <f>IFERROR(VLOOKUP(Tabelle32[[#This Row],[Device ID]],BOM!$B$3:$BQ$35,30,FALSE),"")</f>
        <v>tpco-megw-vgw103.rtb.st-net.media.int</v>
      </c>
      <c r="AA467" s="59" t="str">
        <f>IFERROR(VLOOKUP(Tabelle32[[#This Row],[Device ID]],BOM!$B$3:$BQ$35,31,FALSE),"")</f>
        <v>10.120.236.54</v>
      </c>
      <c r="AB467" s="59" t="str">
        <f>IFERROR(VLOOKUP(Tabelle32[[#This Row],[Device ID]],BOM!$B$3:$BQ$35,32,FALSE),"")</f>
        <v>AVCoreB</v>
      </c>
      <c r="AC467" s="59" t="str">
        <f>IFERROR(VLOOKUP(Tabelle32[[#This Row],[Device ID]],BOM!$B$3:$BQ$35,33,FALSE),"")</f>
        <v>5_36_1</v>
      </c>
      <c r="AD467" s="59" t="str">
        <f>IFERROR(VLOOKUP(Tabelle32[[#This Row],[Device ID]],BOM!$B$3:$BQ$35,34,FALSE),"")</f>
        <v>tpco-megw-vgw103.st-net.media.int</v>
      </c>
      <c r="AE467" s="59" t="str">
        <f>IFERROR(VLOOKUP(Tabelle32[[#This Row],[Device ID]],BOM!$B$3:$BQ$35,35,FALSE),"")</f>
        <v>10.120.67.141</v>
      </c>
      <c r="AF467" s="59">
        <f>IFERROR(VLOOKUP(Tabelle32[[#This Row],[Device ID]],BOM!$B$3:$BQ$35,36,FALSE),"")</f>
        <v>0</v>
      </c>
      <c r="AG467" s="59">
        <f>IFERROR(VLOOKUP(Tabelle32[[#This Row],[Device ID]],BOM!$B$3:$BQ$35,37,FALSE),"")</f>
        <v>0</v>
      </c>
      <c r="AH467" s="59"/>
      <c r="AI467" s="59"/>
      <c r="AJ467" s="59"/>
      <c r="AK467" s="59"/>
      <c r="AL467" s="59" t="str">
        <f>IFERROR(VLOOKUP(Tabelle32[[#This Row],[Device ID]],BOM!$B$3:$BQ$35,42,FALSE),"")</f>
        <v>Imagine Communications SNP</v>
      </c>
      <c r="AM467" s="59" t="str">
        <f>IFERROR(VLOOKUP(Tabelle32[[#This Row],[Device ID]],BOM!$B$3:$BQ$35,43,FALSE),"")</f>
        <v>no</v>
      </c>
      <c r="AN467" s="59" t="str">
        <f>IFERROR(VLOOKUP(Tabelle32[[#This Row],[Device ID]],BOM!$B$3:$BQ$35,44,FALSE),"")</f>
        <v>yes</v>
      </c>
      <c r="AO467" s="59" t="str">
        <f>IFERROR(VLOOKUP(Tabelle32[[#This Row],[Device ID]],BOM!$B$3:$BQ$35,45,FALSE),"")</f>
        <v>no</v>
      </c>
      <c r="AP467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67" s="59"/>
      <c r="AR467" s="101"/>
      <c r="AS467" s="101"/>
      <c r="AT467" s="101"/>
      <c r="AU467" s="101"/>
      <c r="AV467" s="101"/>
      <c r="AW467" s="101"/>
      <c r="AX467" s="101"/>
      <c r="AY467" s="101"/>
      <c r="AZ467" s="101"/>
      <c r="BA467" s="101"/>
      <c r="BB467" s="101"/>
      <c r="BC467" s="101"/>
      <c r="BD467" s="101"/>
      <c r="BE467" s="101"/>
      <c r="BF467" s="101"/>
      <c r="BG467" s="101"/>
      <c r="BH467" s="73" t="s">
        <v>199</v>
      </c>
      <c r="BI467" s="30" t="str">
        <f>IF(COUNTA(Tabelle32[[#This Row],[Type:Vid_1080i50]:[Type:Anc_Prot]])&gt;0,"x","")</f>
        <v/>
      </c>
      <c r="BJ46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67" s="59"/>
      <c r="BL467" s="59"/>
      <c r="BM467" s="63"/>
      <c r="BN467" s="63"/>
      <c r="BO467" s="96"/>
      <c r="BP467" s="96"/>
      <c r="BQ467" s="75">
        <f>LEN(Tabelle32[[#This Row],[Label 1
GFX-Unit]])</f>
        <v>0</v>
      </c>
      <c r="BR467" s="63"/>
      <c r="BS467" s="63"/>
      <c r="BT467" s="59"/>
      <c r="BU467" s="59"/>
      <c r="BV467" s="59" t="s">
        <v>208</v>
      </c>
      <c r="BW467" s="59" t="s">
        <v>209</v>
      </c>
      <c r="BX467" s="59" t="s">
        <v>935</v>
      </c>
      <c r="BY467" s="59">
        <v>23</v>
      </c>
    </row>
    <row r="468" spans="1:77" hidden="1" x14ac:dyDescent="0.2">
      <c r="A468" s="58" t="str">
        <f>CONCATENATE(Tabelle32[[#This Row],[Device ID]],".",Tabelle32[[#This Row],[Streamcounter]])</f>
        <v>400.23304</v>
      </c>
      <c r="B46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VGW-103_SDI23_ANCrec_0004</v>
      </c>
      <c r="C468" s="60"/>
      <c r="D468" s="61"/>
      <c r="E468" s="62"/>
      <c r="F468" s="59" t="str">
        <f>IFERROR(VLOOKUP(Tabelle32[[#This Row],[Device ID]],BOM!$B$3:$BQ$35,16,FALSE),"")</f>
        <v>EditPC-09 IN</v>
      </c>
      <c r="G468" s="63">
        <f>VLOOKUP(Tabelle32[[#This Row],[SDI Interface]],BOM!$A$4:$B$35,2,FALSE)</f>
        <v>400</v>
      </c>
      <c r="H468" s="59" t="str">
        <f>BOM!$C$4</f>
        <v>VGW-103</v>
      </c>
      <c r="I468" s="59" t="str">
        <f>IFERROR(VLOOKUP(Tabelle32[[#This Row],[Device ID]],BOM!$B$3:$BQ$35,12,FALSE),"")</f>
        <v>Edit Suite</v>
      </c>
      <c r="J468" s="59" t="str">
        <f>IFERROR(VLOOKUP(Tabelle32[[#This Row],[Device ID]],BOM!$B$3:$BQ$35,13,FALSE),"")</f>
        <v>TC.U1.223 | MDC</v>
      </c>
      <c r="K468" s="59" t="str">
        <f>IFERROR(VLOOKUP(Tabelle32[[#This Row],[Device ID]],BOM!$B$3:$BQ$35,14,FALSE),"")</f>
        <v>Imagine Comunications</v>
      </c>
      <c r="L468" s="59" t="str">
        <f>IFERROR(VLOOKUP(Tabelle32[[#This Row],[Device ID]],BOM!$B$3:$BQ$35,16,FALSE),"")</f>
        <v>EditPC-09 IN</v>
      </c>
      <c r="M468" s="63" t="str">
        <f>IFERROR(VLOOKUP(Tabelle32[[#This Row],[Device ID]],BOM!$B$3:$BQ$35,17,FALSE),"")</f>
        <v>EDIT SUITE 09</v>
      </c>
      <c r="N468" s="59" t="str">
        <f>IFERROR(VLOOKUP(Tabelle32[[#This Row],[Device ID]],BOM!$B$3:$BQ$35,18,FALSE),"")</f>
        <v>TC.03.030 | Edit 09</v>
      </c>
      <c r="O468" s="64"/>
      <c r="P468" s="64">
        <f>IFERROR(VLOOKUP(Tabelle32[[#This Row],[Device ID]],BOM!$B$3:$BO$50,20,FALSE),"")</f>
        <v>0</v>
      </c>
      <c r="Q468" s="64">
        <f>IFERROR(VLOOKUP(Tabelle32[[#This Row],[Device ID]],BOM!$B$3:$BO$50,21,FALSE),"")</f>
        <v>1</v>
      </c>
      <c r="R468" s="64">
        <f>IFERROR(VLOOKUP(Tabelle32[[#This Row],[Device ID]],BOM!$B$3:$BO$50,22,FALSE),"")</f>
        <v>0</v>
      </c>
      <c r="S468" s="64"/>
      <c r="T468" s="64"/>
      <c r="U468" s="59" t="str">
        <f>IFERROR(VLOOKUP(Tabelle32[[#This Row],[Device ID]],BOM!$B$3:$BQ$35,25,FALSE),"")</f>
        <v>Luis/Ivo</v>
      </c>
      <c r="V468" s="59" t="str">
        <f>IFERROR(VLOOKUP(Tabelle32[[#This Row],[Device ID]],BOM!$B$3:$BQ$35,26,FALSE),"")</f>
        <v>tpco-megw-vgw103.rta.st-net.media.int</v>
      </c>
      <c r="W468" s="59" t="str">
        <f>IFERROR(VLOOKUP(Tabelle32[[#This Row],[Device ID]],BOM!$B$3:$BQ$35,27,FALSE),"")</f>
        <v>10.120.236.50</v>
      </c>
      <c r="X468" s="59" t="str">
        <f>IFERROR(VLOOKUP(Tabelle32[[#This Row],[Device ID]],BOM!$B$3:$BQ$35,28,FALSE),"")</f>
        <v>AVCoreA</v>
      </c>
      <c r="Y468" s="59" t="str">
        <f>IFERROR(VLOOKUP(Tabelle32[[#This Row],[Device ID]],BOM!$B$3:$BQ$35,29,FALSE),"")</f>
        <v>5_36_1</v>
      </c>
      <c r="Z468" s="59" t="str">
        <f>IFERROR(VLOOKUP(Tabelle32[[#This Row],[Device ID]],BOM!$B$3:$BQ$35,30,FALSE),"")</f>
        <v>tpco-megw-vgw103.rtb.st-net.media.int</v>
      </c>
      <c r="AA468" s="59" t="str">
        <f>IFERROR(VLOOKUP(Tabelle32[[#This Row],[Device ID]],BOM!$B$3:$BQ$35,31,FALSE),"")</f>
        <v>10.120.236.54</v>
      </c>
      <c r="AB468" s="59" t="str">
        <f>IFERROR(VLOOKUP(Tabelle32[[#This Row],[Device ID]],BOM!$B$3:$BQ$35,32,FALSE),"")</f>
        <v>AVCoreB</v>
      </c>
      <c r="AC468" s="59" t="str">
        <f>IFERROR(VLOOKUP(Tabelle32[[#This Row],[Device ID]],BOM!$B$3:$BQ$35,33,FALSE),"")</f>
        <v>5_36_1</v>
      </c>
      <c r="AD468" s="59" t="str">
        <f>IFERROR(VLOOKUP(Tabelle32[[#This Row],[Device ID]],BOM!$B$3:$BQ$35,34,FALSE),"")</f>
        <v>tpco-megw-vgw103.st-net.media.int</v>
      </c>
      <c r="AE468" s="59" t="str">
        <f>IFERROR(VLOOKUP(Tabelle32[[#This Row],[Device ID]],BOM!$B$3:$BQ$35,35,FALSE),"")</f>
        <v>10.120.67.141</v>
      </c>
      <c r="AF468" s="59">
        <f>IFERROR(VLOOKUP(Tabelle32[[#This Row],[Device ID]],BOM!$B$3:$BQ$35,36,FALSE),"")</f>
        <v>0</v>
      </c>
      <c r="AG468" s="59">
        <f>IFERROR(VLOOKUP(Tabelle32[[#This Row],[Device ID]],BOM!$B$3:$BQ$35,37,FALSE),"")</f>
        <v>0</v>
      </c>
      <c r="AH468" s="59"/>
      <c r="AI468" s="59"/>
      <c r="AJ468" s="59"/>
      <c r="AK468" s="59"/>
      <c r="AL468" s="59" t="str">
        <f>IFERROR(VLOOKUP(Tabelle32[[#This Row],[Device ID]],BOM!$B$3:$BQ$35,42,FALSE),"")</f>
        <v>Imagine Communications SNP</v>
      </c>
      <c r="AM468" s="59" t="str">
        <f>IFERROR(VLOOKUP(Tabelle32[[#This Row],[Device ID]],BOM!$B$3:$BQ$35,43,FALSE),"")</f>
        <v>no</v>
      </c>
      <c r="AN468" s="59" t="str">
        <f>IFERROR(VLOOKUP(Tabelle32[[#This Row],[Device ID]],BOM!$B$3:$BQ$35,44,FALSE),"")</f>
        <v>yes</v>
      </c>
      <c r="AO468" s="59" t="str">
        <f>IFERROR(VLOOKUP(Tabelle32[[#This Row],[Device ID]],BOM!$B$3:$BQ$35,45,FALSE),"")</f>
        <v>no</v>
      </c>
      <c r="AP468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68" s="59"/>
      <c r="AR468" s="101"/>
      <c r="AS468" s="101"/>
      <c r="AT468" s="101"/>
      <c r="AU468" s="101"/>
      <c r="AV468" s="101"/>
      <c r="AW468" s="101"/>
      <c r="AX468" s="101"/>
      <c r="AY468" s="101"/>
      <c r="AZ468" s="101"/>
      <c r="BA468" s="101"/>
      <c r="BB468" s="101"/>
      <c r="BC468" s="101"/>
      <c r="BD468" s="101"/>
      <c r="BE468" s="101"/>
      <c r="BF468" s="101"/>
      <c r="BG468" s="101"/>
      <c r="BH468" s="73" t="s">
        <v>199</v>
      </c>
      <c r="BI468" s="30" t="str">
        <f>IF(COUNTA(Tabelle32[[#This Row],[Type:Vid_1080i50]:[Type:Anc_Prot]])&gt;0,"x","")</f>
        <v/>
      </c>
      <c r="BJ46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68" s="59"/>
      <c r="BL468" s="59"/>
      <c r="BM468" s="63"/>
      <c r="BN468" s="63"/>
      <c r="BO468" s="96"/>
      <c r="BP468" s="96"/>
      <c r="BQ468" s="75">
        <f>LEN(Tabelle32[[#This Row],[Label 1
GFX-Unit]])</f>
        <v>0</v>
      </c>
      <c r="BR468" s="63"/>
      <c r="BS468" s="63"/>
      <c r="BT468" s="59"/>
      <c r="BU468" s="59"/>
      <c r="BV468" s="59" t="s">
        <v>211</v>
      </c>
      <c r="BW468" s="59" t="s">
        <v>212</v>
      </c>
      <c r="BX468" s="59" t="s">
        <v>936</v>
      </c>
      <c r="BY468" s="59">
        <v>23</v>
      </c>
    </row>
    <row r="469" spans="1:77" x14ac:dyDescent="0.2">
      <c r="A469" s="58" t="str">
        <f>CONCATENATE(Tabelle32[[#This Row],[Device ID]],".",Tabelle32[[#This Row],[Streamcounter]])</f>
        <v>400.23201</v>
      </c>
      <c r="B46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VGW-103_SDI23_AUDrec_0001</v>
      </c>
      <c r="C469" s="60"/>
      <c r="D469" s="61"/>
      <c r="E469" s="62"/>
      <c r="F469" s="59" t="str">
        <f>IFERROR(VLOOKUP(Tabelle32[[#This Row],[Device ID]],BOM!$B$3:$BQ$35,16,FALSE),"")</f>
        <v>EditPC-09 IN</v>
      </c>
      <c r="G469" s="63">
        <f>VLOOKUP(Tabelle32[[#This Row],[SDI Interface]],BOM!$A$4:$B$35,2,FALSE)</f>
        <v>400</v>
      </c>
      <c r="H469" s="59" t="str">
        <f>BOM!$C$4</f>
        <v>VGW-103</v>
      </c>
      <c r="I469" s="59" t="str">
        <f>IFERROR(VLOOKUP(Tabelle32[[#This Row],[Device ID]],BOM!$B$3:$BQ$35,12,FALSE),"")</f>
        <v>Edit Suite</v>
      </c>
      <c r="J469" s="59" t="str">
        <f>IFERROR(VLOOKUP(Tabelle32[[#This Row],[Device ID]],BOM!$B$3:$BQ$35,13,FALSE),"")</f>
        <v>TC.U1.223 | MDC</v>
      </c>
      <c r="K469" s="59" t="str">
        <f>IFERROR(VLOOKUP(Tabelle32[[#This Row],[Device ID]],BOM!$B$3:$BQ$35,14,FALSE),"")</f>
        <v>Imagine Comunications</v>
      </c>
      <c r="L469" s="59" t="str">
        <f>IFERROR(VLOOKUP(Tabelle32[[#This Row],[Device ID]],BOM!$B$3:$BQ$35,16,FALSE),"")</f>
        <v>EditPC-09 IN</v>
      </c>
      <c r="M469" s="63" t="str">
        <f>IFERROR(VLOOKUP(Tabelle32[[#This Row],[Device ID]],BOM!$B$3:$BQ$35,17,FALSE),"")</f>
        <v>EDIT SUITE 09</v>
      </c>
      <c r="N469" s="59" t="str">
        <f>IFERROR(VLOOKUP(Tabelle32[[#This Row],[Device ID]],BOM!$B$3:$BQ$35,18,FALSE),"")</f>
        <v>TC.03.030 | Edit 09</v>
      </c>
      <c r="O469" s="64"/>
      <c r="P469" s="64">
        <f>IFERROR(VLOOKUP(Tabelle32[[#This Row],[Device ID]],BOM!$B$3:$BO$50,20,FALSE),"")</f>
        <v>0</v>
      </c>
      <c r="Q469" s="64">
        <f>IFERROR(VLOOKUP(Tabelle32[[#This Row],[Device ID]],BOM!$B$3:$BO$50,21,FALSE),"")</f>
        <v>1</v>
      </c>
      <c r="R469" s="64">
        <f>IFERROR(VLOOKUP(Tabelle32[[#This Row],[Device ID]],BOM!$B$3:$BO$50,22,FALSE),"")</f>
        <v>0</v>
      </c>
      <c r="S469" s="64"/>
      <c r="T469" s="64"/>
      <c r="U469" s="59" t="str">
        <f>IFERROR(VLOOKUP(Tabelle32[[#This Row],[Device ID]],BOM!$B$3:$BQ$35,25,FALSE),"")</f>
        <v>Luis/Ivo</v>
      </c>
      <c r="V469" s="59" t="str">
        <f>IFERROR(VLOOKUP(Tabelle32[[#This Row],[Device ID]],BOM!$B$3:$BQ$35,26,FALSE),"")</f>
        <v>tpco-megw-vgw103.rta.st-net.media.int</v>
      </c>
      <c r="W469" s="59" t="str">
        <f>IFERROR(VLOOKUP(Tabelle32[[#This Row],[Device ID]],BOM!$B$3:$BQ$35,27,FALSE),"")</f>
        <v>10.120.236.50</v>
      </c>
      <c r="X469" s="59" t="str">
        <f>IFERROR(VLOOKUP(Tabelle32[[#This Row],[Device ID]],BOM!$B$3:$BQ$35,28,FALSE),"")</f>
        <v>AVCoreA</v>
      </c>
      <c r="Y469" s="59" t="str">
        <f>IFERROR(VLOOKUP(Tabelle32[[#This Row],[Device ID]],BOM!$B$3:$BQ$35,29,FALSE),"")</f>
        <v>5_36_1</v>
      </c>
      <c r="Z469" s="59" t="str">
        <f>IFERROR(VLOOKUP(Tabelle32[[#This Row],[Device ID]],BOM!$B$3:$BQ$35,30,FALSE),"")</f>
        <v>tpco-megw-vgw103.rtb.st-net.media.int</v>
      </c>
      <c r="AA469" s="59" t="str">
        <f>IFERROR(VLOOKUP(Tabelle32[[#This Row],[Device ID]],BOM!$B$3:$BQ$35,31,FALSE),"")</f>
        <v>10.120.236.54</v>
      </c>
      <c r="AB469" s="59" t="str">
        <f>IFERROR(VLOOKUP(Tabelle32[[#This Row],[Device ID]],BOM!$B$3:$BQ$35,32,FALSE),"")</f>
        <v>AVCoreB</v>
      </c>
      <c r="AC469" s="59" t="str">
        <f>IFERROR(VLOOKUP(Tabelle32[[#This Row],[Device ID]],BOM!$B$3:$BQ$35,33,FALSE),"")</f>
        <v>5_36_1</v>
      </c>
      <c r="AD469" s="59" t="str">
        <f>IFERROR(VLOOKUP(Tabelle32[[#This Row],[Device ID]],BOM!$B$3:$BQ$35,34,FALSE),"")</f>
        <v>tpco-megw-vgw103.st-net.media.int</v>
      </c>
      <c r="AE469" s="59" t="str">
        <f>IFERROR(VLOOKUP(Tabelle32[[#This Row],[Device ID]],BOM!$B$3:$BQ$35,35,FALSE),"")</f>
        <v>10.120.67.141</v>
      </c>
      <c r="AF469" s="59">
        <f>IFERROR(VLOOKUP(Tabelle32[[#This Row],[Device ID]],BOM!$B$3:$BQ$35,36,FALSE),"")</f>
        <v>0</v>
      </c>
      <c r="AG469" s="59">
        <f>IFERROR(VLOOKUP(Tabelle32[[#This Row],[Device ID]],BOM!$B$3:$BQ$35,37,FALSE),"")</f>
        <v>0</v>
      </c>
      <c r="AH469" s="59"/>
      <c r="AI469" s="59"/>
      <c r="AJ469" s="59"/>
      <c r="AK469" s="59"/>
      <c r="AL469" s="59" t="str">
        <f>IFERROR(VLOOKUP(Tabelle32[[#This Row],[Device ID]],BOM!$B$3:$BQ$35,42,FALSE),"")</f>
        <v>Imagine Communications SNP</v>
      </c>
      <c r="AM469" s="59" t="str">
        <f>IFERROR(VLOOKUP(Tabelle32[[#This Row],[Device ID]],BOM!$B$3:$BQ$35,43,FALSE),"")</f>
        <v>no</v>
      </c>
      <c r="AN469" s="59" t="str">
        <f>IFERROR(VLOOKUP(Tabelle32[[#This Row],[Device ID]],BOM!$B$3:$BQ$35,44,FALSE),"")</f>
        <v>yes</v>
      </c>
      <c r="AO469" s="59" t="str">
        <f>IFERROR(VLOOKUP(Tabelle32[[#This Row],[Device ID]],BOM!$B$3:$BQ$35,45,FALSE),"")</f>
        <v>no</v>
      </c>
      <c r="AP469" s="59" t="str">
        <f>IFERROR(CONCATENATE(Tabelle32[[#This Row],[Family
GFX-Unit]]," | ",Tabelle32[[#This Row],[Label 1
GFX-Unit]]," | ",Tabelle32[[#This Row],[Attached Device if Gateway]]),"")</f>
        <v>MEDEM Edit09 | In Edit09-01 | EditPC-09 IN</v>
      </c>
      <c r="AQ469" s="59"/>
      <c r="AR469" s="99"/>
      <c r="AS469" s="99"/>
      <c r="AT469" s="99"/>
      <c r="AU469" s="99"/>
      <c r="AV469" s="99"/>
      <c r="AW469" s="99" t="s">
        <v>97</v>
      </c>
      <c r="AX469" s="99" t="s">
        <v>199</v>
      </c>
      <c r="AY469" s="99" t="s">
        <v>199</v>
      </c>
      <c r="AZ469" s="99" t="s">
        <v>97</v>
      </c>
      <c r="BA469" s="99"/>
      <c r="BB469" s="99" t="s">
        <v>97</v>
      </c>
      <c r="BC469" s="99" t="s">
        <v>97</v>
      </c>
      <c r="BD469" s="99"/>
      <c r="BE469" s="99"/>
      <c r="BF469" s="99"/>
      <c r="BG469" s="99"/>
      <c r="BH469" s="73" t="s">
        <v>199</v>
      </c>
      <c r="BI469" s="30" t="str">
        <f>IF(COUNTA(Tabelle32[[#This Row],[Type:Vid_1080i50]:[Type:Anc_Prot]])&gt;0,"x","")</f>
        <v>x</v>
      </c>
      <c r="BJ46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69" s="59"/>
      <c r="BL469" s="59"/>
      <c r="BM469" s="63"/>
      <c r="BN469" s="63"/>
      <c r="BO469" s="97" t="s">
        <v>931</v>
      </c>
      <c r="BP469" s="97" t="s">
        <v>937</v>
      </c>
      <c r="BQ469" s="75">
        <f>LEN(Tabelle32[[#This Row],[Label 1
GFX-Unit]])</f>
        <v>12</v>
      </c>
      <c r="BR469" s="63"/>
      <c r="BS469" s="63"/>
      <c r="BT469" s="59"/>
      <c r="BU469" s="59"/>
      <c r="BV469" s="59" t="s">
        <v>214</v>
      </c>
      <c r="BW469" s="59" t="s">
        <v>215</v>
      </c>
      <c r="BX469" s="59" t="s">
        <v>938</v>
      </c>
      <c r="BY469" s="59">
        <v>23</v>
      </c>
    </row>
    <row r="470" spans="1:77" x14ac:dyDescent="0.2">
      <c r="A470" s="58" t="str">
        <f>CONCATENATE(Tabelle32[[#This Row],[Device ID]],".",Tabelle32[[#This Row],[Streamcounter]])</f>
        <v>400.23202</v>
      </c>
      <c r="B47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VGW-103_SDI23_AUDrec_0002</v>
      </c>
      <c r="C470" s="67"/>
      <c r="D470" s="61"/>
      <c r="E470" s="67"/>
      <c r="F470" s="59" t="str">
        <f>IFERROR(VLOOKUP(Tabelle32[[#This Row],[Device ID]],BOM!$B$3:$BQ$35,16,FALSE),"")</f>
        <v>EditPC-09 IN</v>
      </c>
      <c r="G470" s="63">
        <f>VLOOKUP(Tabelle32[[#This Row],[SDI Interface]],BOM!$A$4:$B$35,2,FALSE)</f>
        <v>400</v>
      </c>
      <c r="H470" s="59" t="str">
        <f>BOM!$C$4</f>
        <v>VGW-103</v>
      </c>
      <c r="I470" s="59" t="str">
        <f>IFERROR(VLOOKUP(Tabelle32[[#This Row],[Device ID]],BOM!$B$3:$BQ$35,12,FALSE),"")</f>
        <v>Edit Suite</v>
      </c>
      <c r="J470" s="59" t="str">
        <f>IFERROR(VLOOKUP(Tabelle32[[#This Row],[Device ID]],BOM!$B$3:$BQ$35,13,FALSE),"")</f>
        <v>TC.U1.223 | MDC</v>
      </c>
      <c r="K470" s="59" t="str">
        <f>IFERROR(VLOOKUP(Tabelle32[[#This Row],[Device ID]],BOM!$B$3:$BQ$35,14,FALSE),"")</f>
        <v>Imagine Comunications</v>
      </c>
      <c r="L470" s="59" t="str">
        <f>IFERROR(VLOOKUP(Tabelle32[[#This Row],[Device ID]],BOM!$B$3:$BQ$35,16,FALSE),"")</f>
        <v>EditPC-09 IN</v>
      </c>
      <c r="M470" s="63" t="str">
        <f>IFERROR(VLOOKUP(Tabelle32[[#This Row],[Device ID]],BOM!$B$3:$BQ$35,17,FALSE),"")</f>
        <v>EDIT SUITE 09</v>
      </c>
      <c r="N470" s="59" t="str">
        <f>IFERROR(VLOOKUP(Tabelle32[[#This Row],[Device ID]],BOM!$B$3:$BQ$35,18,FALSE),"")</f>
        <v>TC.03.030 | Edit 09</v>
      </c>
      <c r="O470" s="64"/>
      <c r="P470" s="64">
        <f>IFERROR(VLOOKUP(Tabelle32[[#This Row],[Device ID]],BOM!$B$3:$BO$50,20,FALSE),"")</f>
        <v>0</v>
      </c>
      <c r="Q470" s="64">
        <f>IFERROR(VLOOKUP(Tabelle32[[#This Row],[Device ID]],BOM!$B$3:$BO$50,21,FALSE),"")</f>
        <v>1</v>
      </c>
      <c r="R470" s="64">
        <f>IFERROR(VLOOKUP(Tabelle32[[#This Row],[Device ID]],BOM!$B$3:$BO$50,22,FALSE),"")</f>
        <v>0</v>
      </c>
      <c r="S470" s="64"/>
      <c r="T470" s="64"/>
      <c r="U470" s="59" t="str">
        <f>IFERROR(VLOOKUP(Tabelle32[[#This Row],[Device ID]],BOM!$B$3:$BQ$35,25,FALSE),"")</f>
        <v>Luis/Ivo</v>
      </c>
      <c r="V470" s="59" t="str">
        <f>IFERROR(VLOOKUP(Tabelle32[[#This Row],[Device ID]],BOM!$B$3:$BQ$35,26,FALSE),"")</f>
        <v>tpco-megw-vgw103.rta.st-net.media.int</v>
      </c>
      <c r="W470" s="59" t="str">
        <f>IFERROR(VLOOKUP(Tabelle32[[#This Row],[Device ID]],BOM!$B$3:$BQ$35,27,FALSE),"")</f>
        <v>10.120.236.50</v>
      </c>
      <c r="X470" s="59" t="str">
        <f>IFERROR(VLOOKUP(Tabelle32[[#This Row],[Device ID]],BOM!$B$3:$BQ$35,28,FALSE),"")</f>
        <v>AVCoreA</v>
      </c>
      <c r="Y470" s="59" t="str">
        <f>IFERROR(VLOOKUP(Tabelle32[[#This Row],[Device ID]],BOM!$B$3:$BQ$35,29,FALSE),"")</f>
        <v>5_36_1</v>
      </c>
      <c r="Z470" s="59" t="str">
        <f>IFERROR(VLOOKUP(Tabelle32[[#This Row],[Device ID]],BOM!$B$3:$BQ$35,30,FALSE),"")</f>
        <v>tpco-megw-vgw103.rtb.st-net.media.int</v>
      </c>
      <c r="AA470" s="59" t="str">
        <f>IFERROR(VLOOKUP(Tabelle32[[#This Row],[Device ID]],BOM!$B$3:$BQ$35,31,FALSE),"")</f>
        <v>10.120.236.54</v>
      </c>
      <c r="AB470" s="59" t="str">
        <f>IFERROR(VLOOKUP(Tabelle32[[#This Row],[Device ID]],BOM!$B$3:$BQ$35,32,FALSE),"")</f>
        <v>AVCoreB</v>
      </c>
      <c r="AC470" s="59" t="str">
        <f>IFERROR(VLOOKUP(Tabelle32[[#This Row],[Device ID]],BOM!$B$3:$BQ$35,33,FALSE),"")</f>
        <v>5_36_1</v>
      </c>
      <c r="AD470" s="59" t="str">
        <f>IFERROR(VLOOKUP(Tabelle32[[#This Row],[Device ID]],BOM!$B$3:$BQ$35,34,FALSE),"")</f>
        <v>tpco-megw-vgw103.st-net.media.int</v>
      </c>
      <c r="AE470" s="59" t="str">
        <f>IFERROR(VLOOKUP(Tabelle32[[#This Row],[Device ID]],BOM!$B$3:$BQ$35,35,FALSE),"")</f>
        <v>10.120.67.141</v>
      </c>
      <c r="AF470" s="59">
        <f>IFERROR(VLOOKUP(Tabelle32[[#This Row],[Device ID]],BOM!$B$3:$BQ$35,36,FALSE),"")</f>
        <v>0</v>
      </c>
      <c r="AG470" s="59">
        <f>IFERROR(VLOOKUP(Tabelle32[[#This Row],[Device ID]],BOM!$B$3:$BQ$35,37,FALSE),"")</f>
        <v>0</v>
      </c>
      <c r="AH470" s="59"/>
      <c r="AI470" s="59"/>
      <c r="AJ470" s="59"/>
      <c r="AK470" s="59"/>
      <c r="AL470" s="59" t="str">
        <f>IFERROR(VLOOKUP(Tabelle32[[#This Row],[Device ID]],BOM!$B$3:$BQ$35,42,FALSE),"")</f>
        <v>Imagine Communications SNP</v>
      </c>
      <c r="AM470" s="59" t="str">
        <f>IFERROR(VLOOKUP(Tabelle32[[#This Row],[Device ID]],BOM!$B$3:$BQ$35,43,FALSE),"")</f>
        <v>no</v>
      </c>
      <c r="AN470" s="59" t="str">
        <f>IFERROR(VLOOKUP(Tabelle32[[#This Row],[Device ID]],BOM!$B$3:$BQ$35,44,FALSE),"")</f>
        <v>yes</v>
      </c>
      <c r="AO470" s="59" t="str">
        <f>IFERROR(VLOOKUP(Tabelle32[[#This Row],[Device ID]],BOM!$B$3:$BQ$35,45,FALSE),"")</f>
        <v>no</v>
      </c>
      <c r="AP470" s="59" t="str">
        <f>IFERROR(CONCATENATE(Tabelle32[[#This Row],[Family
GFX-Unit]]," | ",Tabelle32[[#This Row],[Label 1
GFX-Unit]]," | ",Tabelle32[[#This Row],[Attached Device if Gateway]]),"")</f>
        <v>MEDEM Edit09 | In Edit09-02 | EditPC-09 IN</v>
      </c>
      <c r="AQ470" s="59"/>
      <c r="AR470" s="99"/>
      <c r="AS470" s="99"/>
      <c r="AT470" s="99"/>
      <c r="AU470" s="99"/>
      <c r="AV470" s="99"/>
      <c r="AW470" s="99" t="s">
        <v>97</v>
      </c>
      <c r="AX470" s="99" t="s">
        <v>199</v>
      </c>
      <c r="AY470" s="99" t="s">
        <v>199</v>
      </c>
      <c r="AZ470" s="99" t="s">
        <v>97</v>
      </c>
      <c r="BA470" s="99"/>
      <c r="BB470" s="99" t="s">
        <v>97</v>
      </c>
      <c r="BC470" s="99" t="s">
        <v>97</v>
      </c>
      <c r="BD470" s="99"/>
      <c r="BE470" s="99"/>
      <c r="BF470" s="99"/>
      <c r="BG470" s="99"/>
      <c r="BH470" s="73" t="s">
        <v>199</v>
      </c>
      <c r="BI470" s="30" t="str">
        <f>IF(COUNTA(Tabelle32[[#This Row],[Type:Vid_1080i50]:[Type:Anc_Prot]])&gt;0,"x","")</f>
        <v>x</v>
      </c>
      <c r="BJ47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70" s="59"/>
      <c r="BL470" s="59"/>
      <c r="BM470" s="63"/>
      <c r="BN470" s="63"/>
      <c r="BO470" s="97" t="s">
        <v>931</v>
      </c>
      <c r="BP470" s="97" t="s">
        <v>939</v>
      </c>
      <c r="BQ470" s="75">
        <f>LEN(Tabelle32[[#This Row],[Label 1
GFX-Unit]])</f>
        <v>12</v>
      </c>
      <c r="BR470" s="63"/>
      <c r="BS470" s="63"/>
      <c r="BT470" s="59"/>
      <c r="BU470" s="59"/>
      <c r="BV470" s="59" t="s">
        <v>218</v>
      </c>
      <c r="BW470" s="59" t="s">
        <v>219</v>
      </c>
      <c r="BX470" s="59" t="s">
        <v>940</v>
      </c>
      <c r="BY470" s="59">
        <v>23</v>
      </c>
    </row>
    <row r="471" spans="1:77" x14ac:dyDescent="0.2">
      <c r="A471" s="58" t="str">
        <f>CONCATENATE(Tabelle32[[#This Row],[Device ID]],".",Tabelle32[[#This Row],[Streamcounter]])</f>
        <v>400.23203</v>
      </c>
      <c r="B47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VGW-103_SDI23_AUDrec_0003</v>
      </c>
      <c r="C471" s="67"/>
      <c r="D471" s="61"/>
      <c r="E471" s="67"/>
      <c r="F471" s="59" t="str">
        <f>IFERROR(VLOOKUP(Tabelle32[[#This Row],[Device ID]],BOM!$B$3:$BQ$35,16,FALSE),"")</f>
        <v>EditPC-09 IN</v>
      </c>
      <c r="G471" s="63">
        <f>VLOOKUP(Tabelle32[[#This Row],[SDI Interface]],BOM!$A$4:$B$35,2,FALSE)</f>
        <v>400</v>
      </c>
      <c r="H471" s="59" t="str">
        <f>BOM!$C$4</f>
        <v>VGW-103</v>
      </c>
      <c r="I471" s="59" t="str">
        <f>IFERROR(VLOOKUP(Tabelle32[[#This Row],[Device ID]],BOM!$B$3:$BQ$35,12,FALSE),"")</f>
        <v>Edit Suite</v>
      </c>
      <c r="J471" s="59" t="str">
        <f>IFERROR(VLOOKUP(Tabelle32[[#This Row],[Device ID]],BOM!$B$3:$BQ$35,13,FALSE),"")</f>
        <v>TC.U1.223 | MDC</v>
      </c>
      <c r="K471" s="59" t="str">
        <f>IFERROR(VLOOKUP(Tabelle32[[#This Row],[Device ID]],BOM!$B$3:$BQ$35,14,FALSE),"")</f>
        <v>Imagine Comunications</v>
      </c>
      <c r="L471" s="59" t="str">
        <f>IFERROR(VLOOKUP(Tabelle32[[#This Row],[Device ID]],BOM!$B$3:$BQ$35,16,FALSE),"")</f>
        <v>EditPC-09 IN</v>
      </c>
      <c r="M471" s="63" t="str">
        <f>IFERROR(VLOOKUP(Tabelle32[[#This Row],[Device ID]],BOM!$B$3:$BQ$35,17,FALSE),"")</f>
        <v>EDIT SUITE 09</v>
      </c>
      <c r="N471" s="59" t="str">
        <f>IFERROR(VLOOKUP(Tabelle32[[#This Row],[Device ID]],BOM!$B$3:$BQ$35,18,FALSE),"")</f>
        <v>TC.03.030 | Edit 09</v>
      </c>
      <c r="O471" s="64"/>
      <c r="P471" s="64">
        <f>IFERROR(VLOOKUP(Tabelle32[[#This Row],[Device ID]],BOM!$B$3:$BO$50,20,FALSE),"")</f>
        <v>0</v>
      </c>
      <c r="Q471" s="64">
        <f>IFERROR(VLOOKUP(Tabelle32[[#This Row],[Device ID]],BOM!$B$3:$BO$50,21,FALSE),"")</f>
        <v>1</v>
      </c>
      <c r="R471" s="64">
        <f>IFERROR(VLOOKUP(Tabelle32[[#This Row],[Device ID]],BOM!$B$3:$BO$50,22,FALSE),"")</f>
        <v>0</v>
      </c>
      <c r="S471" s="64"/>
      <c r="T471" s="64"/>
      <c r="U471" s="59" t="str">
        <f>IFERROR(VLOOKUP(Tabelle32[[#This Row],[Device ID]],BOM!$B$3:$BQ$35,25,FALSE),"")</f>
        <v>Luis/Ivo</v>
      </c>
      <c r="V471" s="59" t="str">
        <f>IFERROR(VLOOKUP(Tabelle32[[#This Row],[Device ID]],BOM!$B$3:$BQ$35,26,FALSE),"")</f>
        <v>tpco-megw-vgw103.rta.st-net.media.int</v>
      </c>
      <c r="W471" s="59" t="str">
        <f>IFERROR(VLOOKUP(Tabelle32[[#This Row],[Device ID]],BOM!$B$3:$BQ$35,27,FALSE),"")</f>
        <v>10.120.236.50</v>
      </c>
      <c r="X471" s="59" t="str">
        <f>IFERROR(VLOOKUP(Tabelle32[[#This Row],[Device ID]],BOM!$B$3:$BQ$35,28,FALSE),"")</f>
        <v>AVCoreA</v>
      </c>
      <c r="Y471" s="59" t="str">
        <f>IFERROR(VLOOKUP(Tabelle32[[#This Row],[Device ID]],BOM!$B$3:$BQ$35,29,FALSE),"")</f>
        <v>5_36_1</v>
      </c>
      <c r="Z471" s="59" t="str">
        <f>IFERROR(VLOOKUP(Tabelle32[[#This Row],[Device ID]],BOM!$B$3:$BQ$35,30,FALSE),"")</f>
        <v>tpco-megw-vgw103.rtb.st-net.media.int</v>
      </c>
      <c r="AA471" s="59" t="str">
        <f>IFERROR(VLOOKUP(Tabelle32[[#This Row],[Device ID]],BOM!$B$3:$BQ$35,31,FALSE),"")</f>
        <v>10.120.236.54</v>
      </c>
      <c r="AB471" s="59" t="str">
        <f>IFERROR(VLOOKUP(Tabelle32[[#This Row],[Device ID]],BOM!$B$3:$BQ$35,32,FALSE),"")</f>
        <v>AVCoreB</v>
      </c>
      <c r="AC471" s="59" t="str">
        <f>IFERROR(VLOOKUP(Tabelle32[[#This Row],[Device ID]],BOM!$B$3:$BQ$35,33,FALSE),"")</f>
        <v>5_36_1</v>
      </c>
      <c r="AD471" s="59" t="str">
        <f>IFERROR(VLOOKUP(Tabelle32[[#This Row],[Device ID]],BOM!$B$3:$BQ$35,34,FALSE),"")</f>
        <v>tpco-megw-vgw103.st-net.media.int</v>
      </c>
      <c r="AE471" s="59" t="str">
        <f>IFERROR(VLOOKUP(Tabelle32[[#This Row],[Device ID]],BOM!$B$3:$BQ$35,35,FALSE),"")</f>
        <v>10.120.67.141</v>
      </c>
      <c r="AF471" s="59">
        <f>IFERROR(VLOOKUP(Tabelle32[[#This Row],[Device ID]],BOM!$B$3:$BQ$35,36,FALSE),"")</f>
        <v>0</v>
      </c>
      <c r="AG471" s="59">
        <f>IFERROR(VLOOKUP(Tabelle32[[#This Row],[Device ID]],BOM!$B$3:$BQ$35,37,FALSE),"")</f>
        <v>0</v>
      </c>
      <c r="AH471" s="59"/>
      <c r="AI471" s="59"/>
      <c r="AJ471" s="59"/>
      <c r="AK471" s="59"/>
      <c r="AL471" s="59" t="str">
        <f>IFERROR(VLOOKUP(Tabelle32[[#This Row],[Device ID]],BOM!$B$3:$BQ$35,42,FALSE),"")</f>
        <v>Imagine Communications SNP</v>
      </c>
      <c r="AM471" s="59" t="str">
        <f>IFERROR(VLOOKUP(Tabelle32[[#This Row],[Device ID]],BOM!$B$3:$BQ$35,43,FALSE),"")</f>
        <v>no</v>
      </c>
      <c r="AN471" s="59" t="str">
        <f>IFERROR(VLOOKUP(Tabelle32[[#This Row],[Device ID]],BOM!$B$3:$BQ$35,44,FALSE),"")</f>
        <v>yes</v>
      </c>
      <c r="AO471" s="59" t="str">
        <f>IFERROR(VLOOKUP(Tabelle32[[#This Row],[Device ID]],BOM!$B$3:$BQ$35,45,FALSE),"")</f>
        <v>no</v>
      </c>
      <c r="AP471" s="59" t="str">
        <f>IFERROR(CONCATENATE(Tabelle32[[#This Row],[Family
GFX-Unit]]," | ",Tabelle32[[#This Row],[Label 1
GFX-Unit]]," | ",Tabelle32[[#This Row],[Attached Device if Gateway]]),"")</f>
        <v>MEDEM Edit09 | In Edit09-03 | EditPC-09 IN</v>
      </c>
      <c r="AQ471" s="59"/>
      <c r="AR471" s="99"/>
      <c r="AS471" s="99"/>
      <c r="AT471" s="99"/>
      <c r="AU471" s="99"/>
      <c r="AV471" s="99"/>
      <c r="AW471" s="99" t="s">
        <v>97</v>
      </c>
      <c r="AX471" s="99" t="s">
        <v>199</v>
      </c>
      <c r="AY471" s="99" t="s">
        <v>199</v>
      </c>
      <c r="AZ471" s="99" t="s">
        <v>97</v>
      </c>
      <c r="BA471" s="99"/>
      <c r="BB471" s="99" t="s">
        <v>97</v>
      </c>
      <c r="BC471" s="99" t="s">
        <v>97</v>
      </c>
      <c r="BD471" s="99"/>
      <c r="BE471" s="99"/>
      <c r="BF471" s="99"/>
      <c r="BG471" s="99"/>
      <c r="BH471" s="73" t="s">
        <v>199</v>
      </c>
      <c r="BI471" s="30" t="str">
        <f>IF(COUNTA(Tabelle32[[#This Row],[Type:Vid_1080i50]:[Type:Anc_Prot]])&gt;0,"x","")</f>
        <v>x</v>
      </c>
      <c r="BJ47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71" s="59"/>
      <c r="BL471" s="59"/>
      <c r="BM471" s="63"/>
      <c r="BN471" s="63"/>
      <c r="BO471" s="97" t="s">
        <v>931</v>
      </c>
      <c r="BP471" s="97" t="s">
        <v>941</v>
      </c>
      <c r="BQ471" s="75">
        <f>LEN(Tabelle32[[#This Row],[Label 1
GFX-Unit]])</f>
        <v>12</v>
      </c>
      <c r="BR471" s="63"/>
      <c r="BS471" s="63"/>
      <c r="BT471" s="59"/>
      <c r="BU471" s="59"/>
      <c r="BV471" s="59" t="s">
        <v>222</v>
      </c>
      <c r="BW471" s="59" t="s">
        <v>223</v>
      </c>
      <c r="BX471" s="59" t="s">
        <v>942</v>
      </c>
      <c r="BY471" s="59">
        <v>23</v>
      </c>
    </row>
    <row r="472" spans="1:77" x14ac:dyDescent="0.2">
      <c r="A472" s="58" t="str">
        <f>CONCATENATE(Tabelle32[[#This Row],[Device ID]],".",Tabelle32[[#This Row],[Streamcounter]])</f>
        <v>400.23204</v>
      </c>
      <c r="B47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VGW-103_SDI23_AUDrec_0004</v>
      </c>
      <c r="C472" s="60"/>
      <c r="D472" s="61"/>
      <c r="E472" s="62"/>
      <c r="F472" s="59" t="str">
        <f>IFERROR(VLOOKUP(Tabelle32[[#This Row],[Device ID]],BOM!$B$3:$BQ$35,16,FALSE),"")</f>
        <v>EditPC-09 IN</v>
      </c>
      <c r="G472" s="63">
        <f>VLOOKUP(Tabelle32[[#This Row],[SDI Interface]],BOM!$A$4:$B$35,2,FALSE)</f>
        <v>400</v>
      </c>
      <c r="H472" s="59" t="str">
        <f>BOM!$C$4</f>
        <v>VGW-103</v>
      </c>
      <c r="I472" s="59" t="str">
        <f>IFERROR(VLOOKUP(Tabelle32[[#This Row],[Device ID]],BOM!$B$3:$BQ$35,12,FALSE),"")</f>
        <v>Edit Suite</v>
      </c>
      <c r="J472" s="59" t="str">
        <f>IFERROR(VLOOKUP(Tabelle32[[#This Row],[Device ID]],BOM!$B$3:$BQ$35,13,FALSE),"")</f>
        <v>TC.U1.223 | MDC</v>
      </c>
      <c r="K472" s="59" t="str">
        <f>IFERROR(VLOOKUP(Tabelle32[[#This Row],[Device ID]],BOM!$B$3:$BQ$35,14,FALSE),"")</f>
        <v>Imagine Comunications</v>
      </c>
      <c r="L472" s="59" t="str">
        <f>IFERROR(VLOOKUP(Tabelle32[[#This Row],[Device ID]],BOM!$B$3:$BQ$35,16,FALSE),"")</f>
        <v>EditPC-09 IN</v>
      </c>
      <c r="M472" s="63" t="str">
        <f>IFERROR(VLOOKUP(Tabelle32[[#This Row],[Device ID]],BOM!$B$3:$BQ$35,17,FALSE),"")</f>
        <v>EDIT SUITE 09</v>
      </c>
      <c r="N472" s="59" t="str">
        <f>IFERROR(VLOOKUP(Tabelle32[[#This Row],[Device ID]],BOM!$B$3:$BQ$35,18,FALSE),"")</f>
        <v>TC.03.030 | Edit 09</v>
      </c>
      <c r="O472" s="64"/>
      <c r="P472" s="64">
        <f>IFERROR(VLOOKUP(Tabelle32[[#This Row],[Device ID]],BOM!$B$3:$BO$50,20,FALSE),"")</f>
        <v>0</v>
      </c>
      <c r="Q472" s="64">
        <f>IFERROR(VLOOKUP(Tabelle32[[#This Row],[Device ID]],BOM!$B$3:$BO$50,21,FALSE),"")</f>
        <v>1</v>
      </c>
      <c r="R472" s="64">
        <f>IFERROR(VLOOKUP(Tabelle32[[#This Row],[Device ID]],BOM!$B$3:$BO$50,22,FALSE),"")</f>
        <v>0</v>
      </c>
      <c r="S472" s="64"/>
      <c r="T472" s="64"/>
      <c r="U472" s="59" t="str">
        <f>IFERROR(VLOOKUP(Tabelle32[[#This Row],[Device ID]],BOM!$B$3:$BQ$35,25,FALSE),"")</f>
        <v>Luis/Ivo</v>
      </c>
      <c r="V472" s="59" t="str">
        <f>IFERROR(VLOOKUP(Tabelle32[[#This Row],[Device ID]],BOM!$B$3:$BQ$35,26,FALSE),"")</f>
        <v>tpco-megw-vgw103.rta.st-net.media.int</v>
      </c>
      <c r="W472" s="59" t="str">
        <f>IFERROR(VLOOKUP(Tabelle32[[#This Row],[Device ID]],BOM!$B$3:$BQ$35,27,FALSE),"")</f>
        <v>10.120.236.50</v>
      </c>
      <c r="X472" s="59" t="str">
        <f>IFERROR(VLOOKUP(Tabelle32[[#This Row],[Device ID]],BOM!$B$3:$BQ$35,28,FALSE),"")</f>
        <v>AVCoreA</v>
      </c>
      <c r="Y472" s="59" t="str">
        <f>IFERROR(VLOOKUP(Tabelle32[[#This Row],[Device ID]],BOM!$B$3:$BQ$35,29,FALSE),"")</f>
        <v>5_36_1</v>
      </c>
      <c r="Z472" s="59" t="str">
        <f>IFERROR(VLOOKUP(Tabelle32[[#This Row],[Device ID]],BOM!$B$3:$BQ$35,30,FALSE),"")</f>
        <v>tpco-megw-vgw103.rtb.st-net.media.int</v>
      </c>
      <c r="AA472" s="59" t="str">
        <f>IFERROR(VLOOKUP(Tabelle32[[#This Row],[Device ID]],BOM!$B$3:$BQ$35,31,FALSE),"")</f>
        <v>10.120.236.54</v>
      </c>
      <c r="AB472" s="59" t="str">
        <f>IFERROR(VLOOKUP(Tabelle32[[#This Row],[Device ID]],BOM!$B$3:$BQ$35,32,FALSE),"")</f>
        <v>AVCoreB</v>
      </c>
      <c r="AC472" s="59" t="str">
        <f>IFERROR(VLOOKUP(Tabelle32[[#This Row],[Device ID]],BOM!$B$3:$BQ$35,33,FALSE),"")</f>
        <v>5_36_1</v>
      </c>
      <c r="AD472" s="59" t="str">
        <f>IFERROR(VLOOKUP(Tabelle32[[#This Row],[Device ID]],BOM!$B$3:$BQ$35,34,FALSE),"")</f>
        <v>tpco-megw-vgw103.st-net.media.int</v>
      </c>
      <c r="AE472" s="59" t="str">
        <f>IFERROR(VLOOKUP(Tabelle32[[#This Row],[Device ID]],BOM!$B$3:$BQ$35,35,FALSE),"")</f>
        <v>10.120.67.141</v>
      </c>
      <c r="AF472" s="59">
        <f>IFERROR(VLOOKUP(Tabelle32[[#This Row],[Device ID]],BOM!$B$3:$BQ$35,36,FALSE),"")</f>
        <v>0</v>
      </c>
      <c r="AG472" s="59">
        <f>IFERROR(VLOOKUP(Tabelle32[[#This Row],[Device ID]],BOM!$B$3:$BQ$35,37,FALSE),"")</f>
        <v>0</v>
      </c>
      <c r="AH472" s="59"/>
      <c r="AI472" s="59"/>
      <c r="AJ472" s="59"/>
      <c r="AK472" s="59"/>
      <c r="AL472" s="59" t="str">
        <f>IFERROR(VLOOKUP(Tabelle32[[#This Row],[Device ID]],BOM!$B$3:$BQ$35,42,FALSE),"")</f>
        <v>Imagine Communications SNP</v>
      </c>
      <c r="AM472" s="59" t="str">
        <f>IFERROR(VLOOKUP(Tabelle32[[#This Row],[Device ID]],BOM!$B$3:$BQ$35,43,FALSE),"")</f>
        <v>no</v>
      </c>
      <c r="AN472" s="59" t="str">
        <f>IFERROR(VLOOKUP(Tabelle32[[#This Row],[Device ID]],BOM!$B$3:$BQ$35,44,FALSE),"")</f>
        <v>yes</v>
      </c>
      <c r="AO472" s="59" t="str">
        <f>IFERROR(VLOOKUP(Tabelle32[[#This Row],[Device ID]],BOM!$B$3:$BQ$35,45,FALSE),"")</f>
        <v>no</v>
      </c>
      <c r="AP472" s="59" t="str">
        <f>IFERROR(CONCATENATE(Tabelle32[[#This Row],[Family
GFX-Unit]]," | ",Tabelle32[[#This Row],[Label 1
GFX-Unit]]," | ",Tabelle32[[#This Row],[Attached Device if Gateway]]),"")</f>
        <v>MEDEM Edit09 | In Edit09-04 | EditPC-09 IN</v>
      </c>
      <c r="AQ472" s="59"/>
      <c r="AR472" s="99"/>
      <c r="AS472" s="99"/>
      <c r="AT472" s="99"/>
      <c r="AU472" s="99"/>
      <c r="AV472" s="99"/>
      <c r="AW472" s="99" t="s">
        <v>97</v>
      </c>
      <c r="AX472" s="99" t="s">
        <v>199</v>
      </c>
      <c r="AY472" s="99" t="s">
        <v>199</v>
      </c>
      <c r="AZ472" s="99" t="s">
        <v>97</v>
      </c>
      <c r="BA472" s="99"/>
      <c r="BB472" s="99" t="s">
        <v>97</v>
      </c>
      <c r="BC472" s="99" t="s">
        <v>97</v>
      </c>
      <c r="BD472" s="99"/>
      <c r="BE472" s="99"/>
      <c r="BF472" s="99"/>
      <c r="BG472" s="99"/>
      <c r="BH472" s="73" t="s">
        <v>199</v>
      </c>
      <c r="BI472" s="30" t="str">
        <f>IF(COUNTA(Tabelle32[[#This Row],[Type:Vid_1080i50]:[Type:Anc_Prot]])&gt;0,"x","")</f>
        <v>x</v>
      </c>
      <c r="BJ47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72" s="59"/>
      <c r="BL472" s="59"/>
      <c r="BM472" s="63"/>
      <c r="BN472" s="63"/>
      <c r="BO472" s="97" t="s">
        <v>931</v>
      </c>
      <c r="BP472" s="97" t="s">
        <v>943</v>
      </c>
      <c r="BQ472" s="75">
        <f>LEN(Tabelle32[[#This Row],[Label 1
GFX-Unit]])</f>
        <v>12</v>
      </c>
      <c r="BR472" s="63"/>
      <c r="BS472" s="63"/>
      <c r="BT472" s="59"/>
      <c r="BU472" s="59"/>
      <c r="BV472" s="59" t="s">
        <v>226</v>
      </c>
      <c r="BW472" s="59" t="s">
        <v>227</v>
      </c>
      <c r="BX472" s="59" t="s">
        <v>944</v>
      </c>
      <c r="BY472" s="59">
        <v>23</v>
      </c>
    </row>
    <row r="473" spans="1:77" x14ac:dyDescent="0.2">
      <c r="A473" s="58" t="str">
        <f>CONCATENATE(Tabelle32[[#This Row],[Device ID]],".",Tabelle32[[#This Row],[Streamcounter]])</f>
        <v>400.23205</v>
      </c>
      <c r="B47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VGW-103_SDI23_AUDrec_0005</v>
      </c>
      <c r="C473" s="60"/>
      <c r="D473" s="61"/>
      <c r="E473" s="62"/>
      <c r="F473" s="59" t="str">
        <f>IFERROR(VLOOKUP(Tabelle32[[#This Row],[Device ID]],BOM!$B$3:$BQ$35,16,FALSE),"")</f>
        <v>EditPC-09 IN</v>
      </c>
      <c r="G473" s="63">
        <f>VLOOKUP(Tabelle32[[#This Row],[SDI Interface]],BOM!$A$4:$B$35,2,FALSE)</f>
        <v>400</v>
      </c>
      <c r="H473" s="59" t="str">
        <f>BOM!$C$4</f>
        <v>VGW-103</v>
      </c>
      <c r="I473" s="59" t="str">
        <f>IFERROR(VLOOKUP(Tabelle32[[#This Row],[Device ID]],BOM!$B$3:$BQ$35,12,FALSE),"")</f>
        <v>Edit Suite</v>
      </c>
      <c r="J473" s="59" t="str">
        <f>IFERROR(VLOOKUP(Tabelle32[[#This Row],[Device ID]],BOM!$B$3:$BQ$35,13,FALSE),"")</f>
        <v>TC.U1.223 | MDC</v>
      </c>
      <c r="K473" s="59" t="str">
        <f>IFERROR(VLOOKUP(Tabelle32[[#This Row],[Device ID]],BOM!$B$3:$BQ$35,14,FALSE),"")</f>
        <v>Imagine Comunications</v>
      </c>
      <c r="L473" s="59" t="str">
        <f>IFERROR(VLOOKUP(Tabelle32[[#This Row],[Device ID]],BOM!$B$3:$BQ$35,16,FALSE),"")</f>
        <v>EditPC-09 IN</v>
      </c>
      <c r="M473" s="63" t="str">
        <f>IFERROR(VLOOKUP(Tabelle32[[#This Row],[Device ID]],BOM!$B$3:$BQ$35,17,FALSE),"")</f>
        <v>EDIT SUITE 09</v>
      </c>
      <c r="N473" s="59" t="str">
        <f>IFERROR(VLOOKUP(Tabelle32[[#This Row],[Device ID]],BOM!$B$3:$BQ$35,18,FALSE),"")</f>
        <v>TC.03.030 | Edit 09</v>
      </c>
      <c r="O473" s="64"/>
      <c r="P473" s="64">
        <f>IFERROR(VLOOKUP(Tabelle32[[#This Row],[Device ID]],BOM!$B$3:$BO$50,20,FALSE),"")</f>
        <v>0</v>
      </c>
      <c r="Q473" s="64">
        <f>IFERROR(VLOOKUP(Tabelle32[[#This Row],[Device ID]],BOM!$B$3:$BO$50,21,FALSE),"")</f>
        <v>1</v>
      </c>
      <c r="R473" s="64">
        <f>IFERROR(VLOOKUP(Tabelle32[[#This Row],[Device ID]],BOM!$B$3:$BO$50,22,FALSE),"")</f>
        <v>0</v>
      </c>
      <c r="S473" s="64"/>
      <c r="T473" s="64"/>
      <c r="U473" s="59" t="str">
        <f>IFERROR(VLOOKUP(Tabelle32[[#This Row],[Device ID]],BOM!$B$3:$BQ$35,25,FALSE),"")</f>
        <v>Luis/Ivo</v>
      </c>
      <c r="V473" s="59" t="str">
        <f>IFERROR(VLOOKUP(Tabelle32[[#This Row],[Device ID]],BOM!$B$3:$BQ$35,26,FALSE),"")</f>
        <v>tpco-megw-vgw103.rta.st-net.media.int</v>
      </c>
      <c r="W473" s="59" t="str">
        <f>IFERROR(VLOOKUP(Tabelle32[[#This Row],[Device ID]],BOM!$B$3:$BQ$35,27,FALSE),"")</f>
        <v>10.120.236.50</v>
      </c>
      <c r="X473" s="59" t="str">
        <f>IFERROR(VLOOKUP(Tabelle32[[#This Row],[Device ID]],BOM!$B$3:$BQ$35,28,FALSE),"")</f>
        <v>AVCoreA</v>
      </c>
      <c r="Y473" s="59" t="str">
        <f>IFERROR(VLOOKUP(Tabelle32[[#This Row],[Device ID]],BOM!$B$3:$BQ$35,29,FALSE),"")</f>
        <v>5_36_1</v>
      </c>
      <c r="Z473" s="59" t="str">
        <f>IFERROR(VLOOKUP(Tabelle32[[#This Row],[Device ID]],BOM!$B$3:$BQ$35,30,FALSE),"")</f>
        <v>tpco-megw-vgw103.rtb.st-net.media.int</v>
      </c>
      <c r="AA473" s="59" t="str">
        <f>IFERROR(VLOOKUP(Tabelle32[[#This Row],[Device ID]],BOM!$B$3:$BQ$35,31,FALSE),"")</f>
        <v>10.120.236.54</v>
      </c>
      <c r="AB473" s="59" t="str">
        <f>IFERROR(VLOOKUP(Tabelle32[[#This Row],[Device ID]],BOM!$B$3:$BQ$35,32,FALSE),"")</f>
        <v>AVCoreB</v>
      </c>
      <c r="AC473" s="59" t="str">
        <f>IFERROR(VLOOKUP(Tabelle32[[#This Row],[Device ID]],BOM!$B$3:$BQ$35,33,FALSE),"")</f>
        <v>5_36_1</v>
      </c>
      <c r="AD473" s="59" t="str">
        <f>IFERROR(VLOOKUP(Tabelle32[[#This Row],[Device ID]],BOM!$B$3:$BQ$35,34,FALSE),"")</f>
        <v>tpco-megw-vgw103.st-net.media.int</v>
      </c>
      <c r="AE473" s="59" t="str">
        <f>IFERROR(VLOOKUP(Tabelle32[[#This Row],[Device ID]],BOM!$B$3:$BQ$35,35,FALSE),"")</f>
        <v>10.120.67.141</v>
      </c>
      <c r="AF473" s="59">
        <f>IFERROR(VLOOKUP(Tabelle32[[#This Row],[Device ID]],BOM!$B$3:$BQ$35,36,FALSE),"")</f>
        <v>0</v>
      </c>
      <c r="AG473" s="59">
        <f>IFERROR(VLOOKUP(Tabelle32[[#This Row],[Device ID]],BOM!$B$3:$BQ$35,37,FALSE),"")</f>
        <v>0</v>
      </c>
      <c r="AH473" s="59"/>
      <c r="AI473" s="59"/>
      <c r="AJ473" s="59"/>
      <c r="AK473" s="59"/>
      <c r="AL473" s="59" t="str">
        <f>IFERROR(VLOOKUP(Tabelle32[[#This Row],[Device ID]],BOM!$B$3:$BQ$35,42,FALSE),"")</f>
        <v>Imagine Communications SNP</v>
      </c>
      <c r="AM473" s="59" t="str">
        <f>IFERROR(VLOOKUP(Tabelle32[[#This Row],[Device ID]],BOM!$B$3:$BQ$35,43,FALSE),"")</f>
        <v>no</v>
      </c>
      <c r="AN473" s="59" t="str">
        <f>IFERROR(VLOOKUP(Tabelle32[[#This Row],[Device ID]],BOM!$B$3:$BQ$35,44,FALSE),"")</f>
        <v>yes</v>
      </c>
      <c r="AO473" s="59" t="str">
        <f>IFERROR(VLOOKUP(Tabelle32[[#This Row],[Device ID]],BOM!$B$3:$BQ$35,45,FALSE),"")</f>
        <v>no</v>
      </c>
      <c r="AP473" s="59" t="str">
        <f>IFERROR(CONCATENATE(Tabelle32[[#This Row],[Family
GFX-Unit]]," | ",Tabelle32[[#This Row],[Label 1
GFX-Unit]]," | ",Tabelle32[[#This Row],[Attached Device if Gateway]]),"")</f>
        <v>MEDEM Edit09 | In Edit09-05 | EditPC-09 IN</v>
      </c>
      <c r="AQ473" s="59"/>
      <c r="AR473" s="99"/>
      <c r="AS473" s="99"/>
      <c r="AT473" s="99"/>
      <c r="AU473" s="99"/>
      <c r="AV473" s="99"/>
      <c r="AW473" s="99" t="s">
        <v>97</v>
      </c>
      <c r="AX473" s="99" t="s">
        <v>199</v>
      </c>
      <c r="AY473" s="99" t="s">
        <v>199</v>
      </c>
      <c r="AZ473" s="99" t="s">
        <v>97</v>
      </c>
      <c r="BA473" s="99"/>
      <c r="BB473" s="99" t="s">
        <v>97</v>
      </c>
      <c r="BC473" s="99" t="s">
        <v>97</v>
      </c>
      <c r="BD473" s="99"/>
      <c r="BE473" s="99"/>
      <c r="BF473" s="99"/>
      <c r="BG473" s="99"/>
      <c r="BH473" s="73" t="s">
        <v>199</v>
      </c>
      <c r="BI473" s="30" t="str">
        <f>IF(COUNTA(Tabelle32[[#This Row],[Type:Vid_1080i50]:[Type:Anc_Prot]])&gt;0,"x","")</f>
        <v>x</v>
      </c>
      <c r="BJ47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73" s="59"/>
      <c r="BL473" s="59"/>
      <c r="BM473" s="63"/>
      <c r="BN473" s="63"/>
      <c r="BO473" s="97" t="s">
        <v>931</v>
      </c>
      <c r="BP473" s="97" t="s">
        <v>945</v>
      </c>
      <c r="BQ473" s="75">
        <f>LEN(Tabelle32[[#This Row],[Label 1
GFX-Unit]])</f>
        <v>12</v>
      </c>
      <c r="BR473" s="63"/>
      <c r="BS473" s="63"/>
      <c r="BT473" s="59"/>
      <c r="BU473" s="59"/>
      <c r="BV473" s="59" t="s">
        <v>230</v>
      </c>
      <c r="BW473" s="59" t="s">
        <v>231</v>
      </c>
      <c r="BX473" s="59" t="s">
        <v>946</v>
      </c>
      <c r="BY473" s="59">
        <v>23</v>
      </c>
    </row>
    <row r="474" spans="1:77" x14ac:dyDescent="0.2">
      <c r="A474" s="58" t="str">
        <f>CONCATENATE(Tabelle32[[#This Row],[Device ID]],".",Tabelle32[[#This Row],[Streamcounter]])</f>
        <v>400.23206</v>
      </c>
      <c r="B47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VGW-103_SDI23_AUDrec_0006</v>
      </c>
      <c r="C474" s="60"/>
      <c r="D474" s="61"/>
      <c r="E474" s="62"/>
      <c r="F474" s="59" t="str">
        <f>IFERROR(VLOOKUP(Tabelle32[[#This Row],[Device ID]],BOM!$B$3:$BQ$35,16,FALSE),"")</f>
        <v>EditPC-09 IN</v>
      </c>
      <c r="G474" s="63">
        <f>VLOOKUP(Tabelle32[[#This Row],[SDI Interface]],BOM!$A$4:$B$35,2,FALSE)</f>
        <v>400</v>
      </c>
      <c r="H474" s="59" t="str">
        <f>BOM!$C$4</f>
        <v>VGW-103</v>
      </c>
      <c r="I474" s="59" t="str">
        <f>IFERROR(VLOOKUP(Tabelle32[[#This Row],[Device ID]],BOM!$B$3:$BQ$35,12,FALSE),"")</f>
        <v>Edit Suite</v>
      </c>
      <c r="J474" s="59" t="str">
        <f>IFERROR(VLOOKUP(Tabelle32[[#This Row],[Device ID]],BOM!$B$3:$BQ$35,13,FALSE),"")</f>
        <v>TC.U1.223 | MDC</v>
      </c>
      <c r="K474" s="59" t="str">
        <f>IFERROR(VLOOKUP(Tabelle32[[#This Row],[Device ID]],BOM!$B$3:$BQ$35,14,FALSE),"")</f>
        <v>Imagine Comunications</v>
      </c>
      <c r="L474" s="59" t="str">
        <f>IFERROR(VLOOKUP(Tabelle32[[#This Row],[Device ID]],BOM!$B$3:$BQ$35,16,FALSE),"")</f>
        <v>EditPC-09 IN</v>
      </c>
      <c r="M474" s="63" t="str">
        <f>IFERROR(VLOOKUP(Tabelle32[[#This Row],[Device ID]],BOM!$B$3:$BQ$35,17,FALSE),"")</f>
        <v>EDIT SUITE 09</v>
      </c>
      <c r="N474" s="59" t="str">
        <f>IFERROR(VLOOKUP(Tabelle32[[#This Row],[Device ID]],BOM!$B$3:$BQ$35,18,FALSE),"")</f>
        <v>TC.03.030 | Edit 09</v>
      </c>
      <c r="O474" s="64"/>
      <c r="P474" s="64">
        <f>IFERROR(VLOOKUP(Tabelle32[[#This Row],[Device ID]],BOM!$B$3:$BO$50,20,FALSE),"")</f>
        <v>0</v>
      </c>
      <c r="Q474" s="64">
        <f>IFERROR(VLOOKUP(Tabelle32[[#This Row],[Device ID]],BOM!$B$3:$BO$50,21,FALSE),"")</f>
        <v>1</v>
      </c>
      <c r="R474" s="64">
        <f>IFERROR(VLOOKUP(Tabelle32[[#This Row],[Device ID]],BOM!$B$3:$BO$50,22,FALSE),"")</f>
        <v>0</v>
      </c>
      <c r="S474" s="64"/>
      <c r="T474" s="64"/>
      <c r="U474" s="59" t="str">
        <f>IFERROR(VLOOKUP(Tabelle32[[#This Row],[Device ID]],BOM!$B$3:$BQ$35,25,FALSE),"")</f>
        <v>Luis/Ivo</v>
      </c>
      <c r="V474" s="59" t="str">
        <f>IFERROR(VLOOKUP(Tabelle32[[#This Row],[Device ID]],BOM!$B$3:$BQ$35,26,FALSE),"")</f>
        <v>tpco-megw-vgw103.rta.st-net.media.int</v>
      </c>
      <c r="W474" s="59" t="str">
        <f>IFERROR(VLOOKUP(Tabelle32[[#This Row],[Device ID]],BOM!$B$3:$BQ$35,27,FALSE),"")</f>
        <v>10.120.236.50</v>
      </c>
      <c r="X474" s="59" t="str">
        <f>IFERROR(VLOOKUP(Tabelle32[[#This Row],[Device ID]],BOM!$B$3:$BQ$35,28,FALSE),"")</f>
        <v>AVCoreA</v>
      </c>
      <c r="Y474" s="59" t="str">
        <f>IFERROR(VLOOKUP(Tabelle32[[#This Row],[Device ID]],BOM!$B$3:$BQ$35,29,FALSE),"")</f>
        <v>5_36_1</v>
      </c>
      <c r="Z474" s="59" t="str">
        <f>IFERROR(VLOOKUP(Tabelle32[[#This Row],[Device ID]],BOM!$B$3:$BQ$35,30,FALSE),"")</f>
        <v>tpco-megw-vgw103.rtb.st-net.media.int</v>
      </c>
      <c r="AA474" s="59" t="str">
        <f>IFERROR(VLOOKUP(Tabelle32[[#This Row],[Device ID]],BOM!$B$3:$BQ$35,31,FALSE),"")</f>
        <v>10.120.236.54</v>
      </c>
      <c r="AB474" s="59" t="str">
        <f>IFERROR(VLOOKUP(Tabelle32[[#This Row],[Device ID]],BOM!$B$3:$BQ$35,32,FALSE),"")</f>
        <v>AVCoreB</v>
      </c>
      <c r="AC474" s="59" t="str">
        <f>IFERROR(VLOOKUP(Tabelle32[[#This Row],[Device ID]],BOM!$B$3:$BQ$35,33,FALSE),"")</f>
        <v>5_36_1</v>
      </c>
      <c r="AD474" s="59" t="str">
        <f>IFERROR(VLOOKUP(Tabelle32[[#This Row],[Device ID]],BOM!$B$3:$BQ$35,34,FALSE),"")</f>
        <v>tpco-megw-vgw103.st-net.media.int</v>
      </c>
      <c r="AE474" s="59" t="str">
        <f>IFERROR(VLOOKUP(Tabelle32[[#This Row],[Device ID]],BOM!$B$3:$BQ$35,35,FALSE),"")</f>
        <v>10.120.67.141</v>
      </c>
      <c r="AF474" s="59">
        <f>IFERROR(VLOOKUP(Tabelle32[[#This Row],[Device ID]],BOM!$B$3:$BQ$35,36,FALSE),"")</f>
        <v>0</v>
      </c>
      <c r="AG474" s="59">
        <f>IFERROR(VLOOKUP(Tabelle32[[#This Row],[Device ID]],BOM!$B$3:$BQ$35,37,FALSE),"")</f>
        <v>0</v>
      </c>
      <c r="AH474" s="59"/>
      <c r="AI474" s="59"/>
      <c r="AJ474" s="59"/>
      <c r="AK474" s="59"/>
      <c r="AL474" s="59" t="str">
        <f>IFERROR(VLOOKUP(Tabelle32[[#This Row],[Device ID]],BOM!$B$3:$BQ$35,42,FALSE),"")</f>
        <v>Imagine Communications SNP</v>
      </c>
      <c r="AM474" s="59" t="str">
        <f>IFERROR(VLOOKUP(Tabelle32[[#This Row],[Device ID]],BOM!$B$3:$BQ$35,43,FALSE),"")</f>
        <v>no</v>
      </c>
      <c r="AN474" s="59" t="str">
        <f>IFERROR(VLOOKUP(Tabelle32[[#This Row],[Device ID]],BOM!$B$3:$BQ$35,44,FALSE),"")</f>
        <v>yes</v>
      </c>
      <c r="AO474" s="59" t="str">
        <f>IFERROR(VLOOKUP(Tabelle32[[#This Row],[Device ID]],BOM!$B$3:$BQ$35,45,FALSE),"")</f>
        <v>no</v>
      </c>
      <c r="AP474" s="59" t="str">
        <f>IFERROR(CONCATENATE(Tabelle32[[#This Row],[Family
GFX-Unit]]," | ",Tabelle32[[#This Row],[Label 1
GFX-Unit]]," | ",Tabelle32[[#This Row],[Attached Device if Gateway]]),"")</f>
        <v>MEDEM Edit09 | In Edit09-06 | EditPC-09 IN</v>
      </c>
      <c r="AQ474" s="59"/>
      <c r="AR474" s="99"/>
      <c r="AS474" s="99"/>
      <c r="AT474" s="99"/>
      <c r="AU474" s="99"/>
      <c r="AV474" s="99"/>
      <c r="AW474" s="99" t="s">
        <v>97</v>
      </c>
      <c r="AX474" s="99" t="s">
        <v>199</v>
      </c>
      <c r="AY474" s="99" t="s">
        <v>199</v>
      </c>
      <c r="AZ474" s="99" t="s">
        <v>97</v>
      </c>
      <c r="BA474" s="99"/>
      <c r="BB474" s="99" t="s">
        <v>97</v>
      </c>
      <c r="BC474" s="99" t="s">
        <v>97</v>
      </c>
      <c r="BD474" s="99"/>
      <c r="BE474" s="99"/>
      <c r="BF474" s="99"/>
      <c r="BG474" s="99"/>
      <c r="BH474" s="73" t="s">
        <v>199</v>
      </c>
      <c r="BI474" s="30" t="str">
        <f>IF(COUNTA(Tabelle32[[#This Row],[Type:Vid_1080i50]:[Type:Anc_Prot]])&gt;0,"x","")</f>
        <v>x</v>
      </c>
      <c r="BJ47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74" s="59"/>
      <c r="BL474" s="59"/>
      <c r="BM474" s="63"/>
      <c r="BN474" s="63"/>
      <c r="BO474" s="97" t="s">
        <v>931</v>
      </c>
      <c r="BP474" s="97" t="s">
        <v>947</v>
      </c>
      <c r="BQ474" s="75">
        <f>LEN(Tabelle32[[#This Row],[Label 1
GFX-Unit]])</f>
        <v>12</v>
      </c>
      <c r="BR474" s="63"/>
      <c r="BS474" s="63"/>
      <c r="BT474" s="59"/>
      <c r="BU474" s="59"/>
      <c r="BV474" s="59" t="s">
        <v>234</v>
      </c>
      <c r="BW474" s="59" t="s">
        <v>235</v>
      </c>
      <c r="BX474" s="59" t="s">
        <v>948</v>
      </c>
      <c r="BY474" s="59">
        <v>23</v>
      </c>
    </row>
    <row r="475" spans="1:77" x14ac:dyDescent="0.2">
      <c r="A475" s="58" t="str">
        <f>CONCATENATE(Tabelle32[[#This Row],[Device ID]],".",Tabelle32[[#This Row],[Streamcounter]])</f>
        <v>400.23207</v>
      </c>
      <c r="B47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VGW-103_SDI23_AUDrec_0007</v>
      </c>
      <c r="C475" s="60"/>
      <c r="D475" s="61"/>
      <c r="E475" s="62"/>
      <c r="F475" s="59" t="str">
        <f>IFERROR(VLOOKUP(Tabelle32[[#This Row],[Device ID]],BOM!$B$3:$BQ$35,16,FALSE),"")</f>
        <v>EditPC-09 IN</v>
      </c>
      <c r="G475" s="63">
        <f>VLOOKUP(Tabelle32[[#This Row],[SDI Interface]],BOM!$A$4:$B$35,2,FALSE)</f>
        <v>400</v>
      </c>
      <c r="H475" s="59" t="str">
        <f>BOM!$C$4</f>
        <v>VGW-103</v>
      </c>
      <c r="I475" s="59" t="str">
        <f>IFERROR(VLOOKUP(Tabelle32[[#This Row],[Device ID]],BOM!$B$3:$BQ$35,12,FALSE),"")</f>
        <v>Edit Suite</v>
      </c>
      <c r="J475" s="59" t="str">
        <f>IFERROR(VLOOKUP(Tabelle32[[#This Row],[Device ID]],BOM!$B$3:$BQ$35,13,FALSE),"")</f>
        <v>TC.U1.223 | MDC</v>
      </c>
      <c r="K475" s="59" t="str">
        <f>IFERROR(VLOOKUP(Tabelle32[[#This Row],[Device ID]],BOM!$B$3:$BQ$35,14,FALSE),"")</f>
        <v>Imagine Comunications</v>
      </c>
      <c r="L475" s="59" t="str">
        <f>IFERROR(VLOOKUP(Tabelle32[[#This Row],[Device ID]],BOM!$B$3:$BQ$35,16,FALSE),"")</f>
        <v>EditPC-09 IN</v>
      </c>
      <c r="M475" s="63" t="str">
        <f>IFERROR(VLOOKUP(Tabelle32[[#This Row],[Device ID]],BOM!$B$3:$BQ$35,17,FALSE),"")</f>
        <v>EDIT SUITE 09</v>
      </c>
      <c r="N475" s="59" t="str">
        <f>IFERROR(VLOOKUP(Tabelle32[[#This Row],[Device ID]],BOM!$B$3:$BQ$35,18,FALSE),"")</f>
        <v>TC.03.030 | Edit 09</v>
      </c>
      <c r="O475" s="64"/>
      <c r="P475" s="64">
        <f>IFERROR(VLOOKUP(Tabelle32[[#This Row],[Device ID]],BOM!$B$3:$BO$50,20,FALSE),"")</f>
        <v>0</v>
      </c>
      <c r="Q475" s="64">
        <f>IFERROR(VLOOKUP(Tabelle32[[#This Row],[Device ID]],BOM!$B$3:$BO$50,21,FALSE),"")</f>
        <v>1</v>
      </c>
      <c r="R475" s="64">
        <f>IFERROR(VLOOKUP(Tabelle32[[#This Row],[Device ID]],BOM!$B$3:$BO$50,22,FALSE),"")</f>
        <v>0</v>
      </c>
      <c r="S475" s="64"/>
      <c r="T475" s="64"/>
      <c r="U475" s="59" t="str">
        <f>IFERROR(VLOOKUP(Tabelle32[[#This Row],[Device ID]],BOM!$B$3:$BQ$35,25,FALSE),"")</f>
        <v>Luis/Ivo</v>
      </c>
      <c r="V475" s="59" t="str">
        <f>IFERROR(VLOOKUP(Tabelle32[[#This Row],[Device ID]],BOM!$B$3:$BQ$35,26,FALSE),"")</f>
        <v>tpco-megw-vgw103.rta.st-net.media.int</v>
      </c>
      <c r="W475" s="59" t="str">
        <f>IFERROR(VLOOKUP(Tabelle32[[#This Row],[Device ID]],BOM!$B$3:$BQ$35,27,FALSE),"")</f>
        <v>10.120.236.50</v>
      </c>
      <c r="X475" s="59" t="str">
        <f>IFERROR(VLOOKUP(Tabelle32[[#This Row],[Device ID]],BOM!$B$3:$BQ$35,28,FALSE),"")</f>
        <v>AVCoreA</v>
      </c>
      <c r="Y475" s="59" t="str">
        <f>IFERROR(VLOOKUP(Tabelle32[[#This Row],[Device ID]],BOM!$B$3:$BQ$35,29,FALSE),"")</f>
        <v>5_36_1</v>
      </c>
      <c r="Z475" s="59" t="str">
        <f>IFERROR(VLOOKUP(Tabelle32[[#This Row],[Device ID]],BOM!$B$3:$BQ$35,30,FALSE),"")</f>
        <v>tpco-megw-vgw103.rtb.st-net.media.int</v>
      </c>
      <c r="AA475" s="59" t="str">
        <f>IFERROR(VLOOKUP(Tabelle32[[#This Row],[Device ID]],BOM!$B$3:$BQ$35,31,FALSE),"")</f>
        <v>10.120.236.54</v>
      </c>
      <c r="AB475" s="59" t="str">
        <f>IFERROR(VLOOKUP(Tabelle32[[#This Row],[Device ID]],BOM!$B$3:$BQ$35,32,FALSE),"")</f>
        <v>AVCoreB</v>
      </c>
      <c r="AC475" s="59" t="str">
        <f>IFERROR(VLOOKUP(Tabelle32[[#This Row],[Device ID]],BOM!$B$3:$BQ$35,33,FALSE),"")</f>
        <v>5_36_1</v>
      </c>
      <c r="AD475" s="59" t="str">
        <f>IFERROR(VLOOKUP(Tabelle32[[#This Row],[Device ID]],BOM!$B$3:$BQ$35,34,FALSE),"")</f>
        <v>tpco-megw-vgw103.st-net.media.int</v>
      </c>
      <c r="AE475" s="59" t="str">
        <f>IFERROR(VLOOKUP(Tabelle32[[#This Row],[Device ID]],BOM!$B$3:$BQ$35,35,FALSE),"")</f>
        <v>10.120.67.141</v>
      </c>
      <c r="AF475" s="59">
        <f>IFERROR(VLOOKUP(Tabelle32[[#This Row],[Device ID]],BOM!$B$3:$BQ$35,36,FALSE),"")</f>
        <v>0</v>
      </c>
      <c r="AG475" s="59">
        <f>IFERROR(VLOOKUP(Tabelle32[[#This Row],[Device ID]],BOM!$B$3:$BQ$35,37,FALSE),"")</f>
        <v>0</v>
      </c>
      <c r="AH475" s="59"/>
      <c r="AI475" s="59"/>
      <c r="AJ475" s="59"/>
      <c r="AK475" s="59"/>
      <c r="AL475" s="59" t="str">
        <f>IFERROR(VLOOKUP(Tabelle32[[#This Row],[Device ID]],BOM!$B$3:$BQ$35,42,FALSE),"")</f>
        <v>Imagine Communications SNP</v>
      </c>
      <c r="AM475" s="59" t="str">
        <f>IFERROR(VLOOKUP(Tabelle32[[#This Row],[Device ID]],BOM!$B$3:$BQ$35,43,FALSE),"")</f>
        <v>no</v>
      </c>
      <c r="AN475" s="59" t="str">
        <f>IFERROR(VLOOKUP(Tabelle32[[#This Row],[Device ID]],BOM!$B$3:$BQ$35,44,FALSE),"")</f>
        <v>yes</v>
      </c>
      <c r="AO475" s="59" t="str">
        <f>IFERROR(VLOOKUP(Tabelle32[[#This Row],[Device ID]],BOM!$B$3:$BQ$35,45,FALSE),"")</f>
        <v>no</v>
      </c>
      <c r="AP475" s="59" t="str">
        <f>IFERROR(CONCATENATE(Tabelle32[[#This Row],[Family
GFX-Unit]]," | ",Tabelle32[[#This Row],[Label 1
GFX-Unit]]," | ",Tabelle32[[#This Row],[Attached Device if Gateway]]),"")</f>
        <v>MEDEM Edit09 | In Edit09-07 | EditPC-09 IN</v>
      </c>
      <c r="AQ475" s="59"/>
      <c r="AR475" s="96"/>
      <c r="AS475" s="96"/>
      <c r="AT475" s="96"/>
      <c r="AU475" s="96"/>
      <c r="AV475" s="96"/>
      <c r="AW475" s="96" t="s">
        <v>97</v>
      </c>
      <c r="AX475" s="96" t="s">
        <v>199</v>
      </c>
      <c r="AY475" s="96" t="s">
        <v>199</v>
      </c>
      <c r="AZ475" s="96" t="s">
        <v>97</v>
      </c>
      <c r="BA475" s="96"/>
      <c r="BB475" s="96" t="s">
        <v>97</v>
      </c>
      <c r="BC475" s="96" t="s">
        <v>97</v>
      </c>
      <c r="BD475" s="96"/>
      <c r="BE475" s="96"/>
      <c r="BF475" s="96"/>
      <c r="BG475" s="96"/>
      <c r="BH475" s="73" t="s">
        <v>199</v>
      </c>
      <c r="BI475" s="30" t="str">
        <f>IF(COUNTA(Tabelle32[[#This Row],[Type:Vid_1080i50]:[Type:Anc_Prot]])&gt;0,"x","")</f>
        <v>x</v>
      </c>
      <c r="BJ47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75" s="59"/>
      <c r="BL475" s="59"/>
      <c r="BM475" s="63"/>
      <c r="BN475" s="63"/>
      <c r="BO475" s="97" t="s">
        <v>931</v>
      </c>
      <c r="BP475" s="97" t="s">
        <v>949</v>
      </c>
      <c r="BQ475" s="75">
        <f>LEN(Tabelle32[[#This Row],[Label 1
GFX-Unit]])</f>
        <v>12</v>
      </c>
      <c r="BR475" s="63"/>
      <c r="BS475" s="63"/>
      <c r="BT475" s="59"/>
      <c r="BU475" s="59"/>
      <c r="BV475" s="59" t="s">
        <v>238</v>
      </c>
      <c r="BW475" s="59" t="s">
        <v>239</v>
      </c>
      <c r="BX475" s="59" t="s">
        <v>950</v>
      </c>
      <c r="BY475" s="59">
        <v>23</v>
      </c>
    </row>
    <row r="476" spans="1:77" x14ac:dyDescent="0.2">
      <c r="A476" s="58" t="str">
        <f>CONCATENATE(Tabelle32[[#This Row],[Device ID]],".",Tabelle32[[#This Row],[Streamcounter]])</f>
        <v>400.23208</v>
      </c>
      <c r="B47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VGW-103_SDI23_AUDrec_0008</v>
      </c>
      <c r="C476" s="60"/>
      <c r="D476" s="61"/>
      <c r="E476" s="62"/>
      <c r="F476" s="59" t="str">
        <f>IFERROR(VLOOKUP(Tabelle32[[#This Row],[Device ID]],BOM!$B$3:$BQ$35,16,FALSE),"")</f>
        <v>EditPC-09 IN</v>
      </c>
      <c r="G476" s="63">
        <f>VLOOKUP(Tabelle32[[#This Row],[SDI Interface]],BOM!$A$4:$B$35,2,FALSE)</f>
        <v>400</v>
      </c>
      <c r="H476" s="59" t="str">
        <f>BOM!$C$4</f>
        <v>VGW-103</v>
      </c>
      <c r="I476" s="59" t="str">
        <f>IFERROR(VLOOKUP(Tabelle32[[#This Row],[Device ID]],BOM!$B$3:$BQ$35,12,FALSE),"")</f>
        <v>Edit Suite</v>
      </c>
      <c r="J476" s="59" t="str">
        <f>IFERROR(VLOOKUP(Tabelle32[[#This Row],[Device ID]],BOM!$B$3:$BQ$35,13,FALSE),"")</f>
        <v>TC.U1.223 | MDC</v>
      </c>
      <c r="K476" s="59" t="str">
        <f>IFERROR(VLOOKUP(Tabelle32[[#This Row],[Device ID]],BOM!$B$3:$BQ$35,14,FALSE),"")</f>
        <v>Imagine Comunications</v>
      </c>
      <c r="L476" s="59" t="str">
        <f>IFERROR(VLOOKUP(Tabelle32[[#This Row],[Device ID]],BOM!$B$3:$BQ$35,16,FALSE),"")</f>
        <v>EditPC-09 IN</v>
      </c>
      <c r="M476" s="63" t="str">
        <f>IFERROR(VLOOKUP(Tabelle32[[#This Row],[Device ID]],BOM!$B$3:$BQ$35,17,FALSE),"")</f>
        <v>EDIT SUITE 09</v>
      </c>
      <c r="N476" s="59" t="str">
        <f>IFERROR(VLOOKUP(Tabelle32[[#This Row],[Device ID]],BOM!$B$3:$BQ$35,18,FALSE),"")</f>
        <v>TC.03.030 | Edit 09</v>
      </c>
      <c r="O476" s="64"/>
      <c r="P476" s="64">
        <f>IFERROR(VLOOKUP(Tabelle32[[#This Row],[Device ID]],BOM!$B$3:$BO$50,20,FALSE),"")</f>
        <v>0</v>
      </c>
      <c r="Q476" s="64">
        <f>IFERROR(VLOOKUP(Tabelle32[[#This Row],[Device ID]],BOM!$B$3:$BO$50,21,FALSE),"")</f>
        <v>1</v>
      </c>
      <c r="R476" s="64">
        <f>IFERROR(VLOOKUP(Tabelle32[[#This Row],[Device ID]],BOM!$B$3:$BO$50,22,FALSE),"")</f>
        <v>0</v>
      </c>
      <c r="S476" s="64"/>
      <c r="T476" s="64"/>
      <c r="U476" s="59" t="str">
        <f>IFERROR(VLOOKUP(Tabelle32[[#This Row],[Device ID]],BOM!$B$3:$BQ$35,25,FALSE),"")</f>
        <v>Luis/Ivo</v>
      </c>
      <c r="V476" s="59" t="str">
        <f>IFERROR(VLOOKUP(Tabelle32[[#This Row],[Device ID]],BOM!$B$3:$BQ$35,26,FALSE),"")</f>
        <v>tpco-megw-vgw103.rta.st-net.media.int</v>
      </c>
      <c r="W476" s="59" t="str">
        <f>IFERROR(VLOOKUP(Tabelle32[[#This Row],[Device ID]],BOM!$B$3:$BQ$35,27,FALSE),"")</f>
        <v>10.120.236.50</v>
      </c>
      <c r="X476" s="59" t="str">
        <f>IFERROR(VLOOKUP(Tabelle32[[#This Row],[Device ID]],BOM!$B$3:$BQ$35,28,FALSE),"")</f>
        <v>AVCoreA</v>
      </c>
      <c r="Y476" s="59" t="str">
        <f>IFERROR(VLOOKUP(Tabelle32[[#This Row],[Device ID]],BOM!$B$3:$BQ$35,29,FALSE),"")</f>
        <v>5_36_1</v>
      </c>
      <c r="Z476" s="59" t="str">
        <f>IFERROR(VLOOKUP(Tabelle32[[#This Row],[Device ID]],BOM!$B$3:$BQ$35,30,FALSE),"")</f>
        <v>tpco-megw-vgw103.rtb.st-net.media.int</v>
      </c>
      <c r="AA476" s="59" t="str">
        <f>IFERROR(VLOOKUP(Tabelle32[[#This Row],[Device ID]],BOM!$B$3:$BQ$35,31,FALSE),"")</f>
        <v>10.120.236.54</v>
      </c>
      <c r="AB476" s="59" t="str">
        <f>IFERROR(VLOOKUP(Tabelle32[[#This Row],[Device ID]],BOM!$B$3:$BQ$35,32,FALSE),"")</f>
        <v>AVCoreB</v>
      </c>
      <c r="AC476" s="59" t="str">
        <f>IFERROR(VLOOKUP(Tabelle32[[#This Row],[Device ID]],BOM!$B$3:$BQ$35,33,FALSE),"")</f>
        <v>5_36_1</v>
      </c>
      <c r="AD476" s="59" t="str">
        <f>IFERROR(VLOOKUP(Tabelle32[[#This Row],[Device ID]],BOM!$B$3:$BQ$35,34,FALSE),"")</f>
        <v>tpco-megw-vgw103.st-net.media.int</v>
      </c>
      <c r="AE476" s="59" t="str">
        <f>IFERROR(VLOOKUP(Tabelle32[[#This Row],[Device ID]],BOM!$B$3:$BQ$35,35,FALSE),"")</f>
        <v>10.120.67.141</v>
      </c>
      <c r="AF476" s="59">
        <f>IFERROR(VLOOKUP(Tabelle32[[#This Row],[Device ID]],BOM!$B$3:$BQ$35,36,FALSE),"")</f>
        <v>0</v>
      </c>
      <c r="AG476" s="59">
        <f>IFERROR(VLOOKUP(Tabelle32[[#This Row],[Device ID]],BOM!$B$3:$BQ$35,37,FALSE),"")</f>
        <v>0</v>
      </c>
      <c r="AH476" s="59"/>
      <c r="AI476" s="59"/>
      <c r="AJ476" s="59"/>
      <c r="AK476" s="59"/>
      <c r="AL476" s="59" t="str">
        <f>IFERROR(VLOOKUP(Tabelle32[[#This Row],[Device ID]],BOM!$B$3:$BQ$35,42,FALSE),"")</f>
        <v>Imagine Communications SNP</v>
      </c>
      <c r="AM476" s="59" t="str">
        <f>IFERROR(VLOOKUP(Tabelle32[[#This Row],[Device ID]],BOM!$B$3:$BQ$35,43,FALSE),"")</f>
        <v>no</v>
      </c>
      <c r="AN476" s="59" t="str">
        <f>IFERROR(VLOOKUP(Tabelle32[[#This Row],[Device ID]],BOM!$B$3:$BQ$35,44,FALSE),"")</f>
        <v>yes</v>
      </c>
      <c r="AO476" s="59" t="str">
        <f>IFERROR(VLOOKUP(Tabelle32[[#This Row],[Device ID]],BOM!$B$3:$BQ$35,45,FALSE),"")</f>
        <v>no</v>
      </c>
      <c r="AP476" s="59" t="str">
        <f>IFERROR(CONCATENATE(Tabelle32[[#This Row],[Family
GFX-Unit]]," | ",Tabelle32[[#This Row],[Label 1
GFX-Unit]]," | ",Tabelle32[[#This Row],[Attached Device if Gateway]]),"")</f>
        <v>MEDEM Edit09 | In Edit09-08 | EditPC-09 IN</v>
      </c>
      <c r="AQ476" s="59"/>
      <c r="AR476" s="96"/>
      <c r="AS476" s="96"/>
      <c r="AT476" s="96"/>
      <c r="AU476" s="96"/>
      <c r="AV476" s="96"/>
      <c r="AW476" s="96" t="s">
        <v>97</v>
      </c>
      <c r="AX476" s="96" t="s">
        <v>199</v>
      </c>
      <c r="AY476" s="96" t="s">
        <v>199</v>
      </c>
      <c r="AZ476" s="96" t="s">
        <v>97</v>
      </c>
      <c r="BA476" s="96"/>
      <c r="BB476" s="96" t="s">
        <v>97</v>
      </c>
      <c r="BC476" s="96" t="s">
        <v>97</v>
      </c>
      <c r="BD476" s="96"/>
      <c r="BE476" s="96"/>
      <c r="BF476" s="96"/>
      <c r="BG476" s="96"/>
      <c r="BH476" s="73" t="s">
        <v>199</v>
      </c>
      <c r="BI476" s="30" t="str">
        <f>IF(COUNTA(Tabelle32[[#This Row],[Type:Vid_1080i50]:[Type:Anc_Prot]])&gt;0,"x","")</f>
        <v>x</v>
      </c>
      <c r="BJ47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76" s="59"/>
      <c r="BL476" s="59"/>
      <c r="BM476" s="63"/>
      <c r="BN476" s="63"/>
      <c r="BO476" s="97" t="s">
        <v>931</v>
      </c>
      <c r="BP476" s="97" t="s">
        <v>951</v>
      </c>
      <c r="BQ476" s="75">
        <f>LEN(Tabelle32[[#This Row],[Label 1
GFX-Unit]])</f>
        <v>12</v>
      </c>
      <c r="BR476" s="63"/>
      <c r="BS476" s="63"/>
      <c r="BT476" s="59"/>
      <c r="BU476" s="59"/>
      <c r="BV476" s="59" t="s">
        <v>242</v>
      </c>
      <c r="BW476" s="59" t="s">
        <v>243</v>
      </c>
      <c r="BX476" s="59" t="s">
        <v>952</v>
      </c>
      <c r="BY476" s="59">
        <v>23</v>
      </c>
    </row>
    <row r="477" spans="1:77" x14ac:dyDescent="0.2">
      <c r="A477" s="58" t="str">
        <f>CONCATENATE(Tabelle32[[#This Row],[Device ID]],".",Tabelle32[[#This Row],[Streamcounter]])</f>
        <v>400.23209</v>
      </c>
      <c r="B47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VGW-103_SDI23_AUDrec_0009</v>
      </c>
      <c r="C477" s="60"/>
      <c r="D477" s="61"/>
      <c r="E477" s="62"/>
      <c r="F477" s="59" t="str">
        <f>IFERROR(VLOOKUP(Tabelle32[[#This Row],[Device ID]],BOM!$B$3:$BQ$35,16,FALSE),"")</f>
        <v>EditPC-09 IN</v>
      </c>
      <c r="G477" s="63">
        <f>VLOOKUP(Tabelle32[[#This Row],[SDI Interface]],BOM!$A$4:$B$35,2,FALSE)</f>
        <v>400</v>
      </c>
      <c r="H477" s="59" t="str">
        <f>BOM!$C$4</f>
        <v>VGW-103</v>
      </c>
      <c r="I477" s="59" t="str">
        <f>IFERROR(VLOOKUP(Tabelle32[[#This Row],[Device ID]],BOM!$B$3:$BQ$35,12,FALSE),"")</f>
        <v>Edit Suite</v>
      </c>
      <c r="J477" s="59" t="str">
        <f>IFERROR(VLOOKUP(Tabelle32[[#This Row],[Device ID]],BOM!$B$3:$BQ$35,13,FALSE),"")</f>
        <v>TC.U1.223 | MDC</v>
      </c>
      <c r="K477" s="59" t="str">
        <f>IFERROR(VLOOKUP(Tabelle32[[#This Row],[Device ID]],BOM!$B$3:$BQ$35,14,FALSE),"")</f>
        <v>Imagine Comunications</v>
      </c>
      <c r="L477" s="59" t="str">
        <f>IFERROR(VLOOKUP(Tabelle32[[#This Row],[Device ID]],BOM!$B$3:$BQ$35,16,FALSE),"")</f>
        <v>EditPC-09 IN</v>
      </c>
      <c r="M477" s="63" t="str">
        <f>IFERROR(VLOOKUP(Tabelle32[[#This Row],[Device ID]],BOM!$B$3:$BQ$35,17,FALSE),"")</f>
        <v>EDIT SUITE 09</v>
      </c>
      <c r="N477" s="59" t="str">
        <f>IFERROR(VLOOKUP(Tabelle32[[#This Row],[Device ID]],BOM!$B$3:$BQ$35,18,FALSE),"")</f>
        <v>TC.03.030 | Edit 09</v>
      </c>
      <c r="O477" s="64"/>
      <c r="P477" s="64">
        <f>IFERROR(VLOOKUP(Tabelle32[[#This Row],[Device ID]],BOM!$B$3:$BO$50,20,FALSE),"")</f>
        <v>0</v>
      </c>
      <c r="Q477" s="64">
        <f>IFERROR(VLOOKUP(Tabelle32[[#This Row],[Device ID]],BOM!$B$3:$BO$50,21,FALSE),"")</f>
        <v>1</v>
      </c>
      <c r="R477" s="64">
        <f>IFERROR(VLOOKUP(Tabelle32[[#This Row],[Device ID]],BOM!$B$3:$BO$50,22,FALSE),"")</f>
        <v>0</v>
      </c>
      <c r="S477" s="64"/>
      <c r="T477" s="64"/>
      <c r="U477" s="59" t="str">
        <f>IFERROR(VLOOKUP(Tabelle32[[#This Row],[Device ID]],BOM!$B$3:$BQ$35,25,FALSE),"")</f>
        <v>Luis/Ivo</v>
      </c>
      <c r="V477" s="59" t="str">
        <f>IFERROR(VLOOKUP(Tabelle32[[#This Row],[Device ID]],BOM!$B$3:$BQ$35,26,FALSE),"")</f>
        <v>tpco-megw-vgw103.rta.st-net.media.int</v>
      </c>
      <c r="W477" s="59" t="str">
        <f>IFERROR(VLOOKUP(Tabelle32[[#This Row],[Device ID]],BOM!$B$3:$BQ$35,27,FALSE),"")</f>
        <v>10.120.236.50</v>
      </c>
      <c r="X477" s="59" t="str">
        <f>IFERROR(VLOOKUP(Tabelle32[[#This Row],[Device ID]],BOM!$B$3:$BQ$35,28,FALSE),"")</f>
        <v>AVCoreA</v>
      </c>
      <c r="Y477" s="59" t="str">
        <f>IFERROR(VLOOKUP(Tabelle32[[#This Row],[Device ID]],BOM!$B$3:$BQ$35,29,FALSE),"")</f>
        <v>5_36_1</v>
      </c>
      <c r="Z477" s="59" t="str">
        <f>IFERROR(VLOOKUP(Tabelle32[[#This Row],[Device ID]],BOM!$B$3:$BQ$35,30,FALSE),"")</f>
        <v>tpco-megw-vgw103.rtb.st-net.media.int</v>
      </c>
      <c r="AA477" s="59" t="str">
        <f>IFERROR(VLOOKUP(Tabelle32[[#This Row],[Device ID]],BOM!$B$3:$BQ$35,31,FALSE),"")</f>
        <v>10.120.236.54</v>
      </c>
      <c r="AB477" s="59" t="str">
        <f>IFERROR(VLOOKUP(Tabelle32[[#This Row],[Device ID]],BOM!$B$3:$BQ$35,32,FALSE),"")</f>
        <v>AVCoreB</v>
      </c>
      <c r="AC477" s="59" t="str">
        <f>IFERROR(VLOOKUP(Tabelle32[[#This Row],[Device ID]],BOM!$B$3:$BQ$35,33,FALSE),"")</f>
        <v>5_36_1</v>
      </c>
      <c r="AD477" s="59" t="str">
        <f>IFERROR(VLOOKUP(Tabelle32[[#This Row],[Device ID]],BOM!$B$3:$BQ$35,34,FALSE),"")</f>
        <v>tpco-megw-vgw103.st-net.media.int</v>
      </c>
      <c r="AE477" s="59" t="str">
        <f>IFERROR(VLOOKUP(Tabelle32[[#This Row],[Device ID]],BOM!$B$3:$BQ$35,35,FALSE),"")</f>
        <v>10.120.67.141</v>
      </c>
      <c r="AF477" s="59">
        <f>IFERROR(VLOOKUP(Tabelle32[[#This Row],[Device ID]],BOM!$B$3:$BQ$35,36,FALSE),"")</f>
        <v>0</v>
      </c>
      <c r="AG477" s="59">
        <f>IFERROR(VLOOKUP(Tabelle32[[#This Row],[Device ID]],BOM!$B$3:$BQ$35,37,FALSE),"")</f>
        <v>0</v>
      </c>
      <c r="AH477" s="59"/>
      <c r="AI477" s="59"/>
      <c r="AJ477" s="59"/>
      <c r="AK477" s="59"/>
      <c r="AL477" s="59" t="str">
        <f>IFERROR(VLOOKUP(Tabelle32[[#This Row],[Device ID]],BOM!$B$3:$BQ$35,42,FALSE),"")</f>
        <v>Imagine Communications SNP</v>
      </c>
      <c r="AM477" s="59" t="str">
        <f>IFERROR(VLOOKUP(Tabelle32[[#This Row],[Device ID]],BOM!$B$3:$BQ$35,43,FALSE),"")</f>
        <v>no</v>
      </c>
      <c r="AN477" s="59" t="str">
        <f>IFERROR(VLOOKUP(Tabelle32[[#This Row],[Device ID]],BOM!$B$3:$BQ$35,44,FALSE),"")</f>
        <v>yes</v>
      </c>
      <c r="AO477" s="59" t="str">
        <f>IFERROR(VLOOKUP(Tabelle32[[#This Row],[Device ID]],BOM!$B$3:$BQ$35,45,FALSE),"")</f>
        <v>no</v>
      </c>
      <c r="AP477" s="59" t="str">
        <f>IFERROR(CONCATENATE(Tabelle32[[#This Row],[Family
GFX-Unit]]," | ",Tabelle32[[#This Row],[Label 1
GFX-Unit]]," | ",Tabelle32[[#This Row],[Attached Device if Gateway]]),"")</f>
        <v>MEDEM Edit09 | In Edit09-09 | EditPC-09 IN</v>
      </c>
      <c r="AQ477" s="59"/>
      <c r="AR477" s="96"/>
      <c r="AS477" s="96"/>
      <c r="AT477" s="96"/>
      <c r="AU477" s="96"/>
      <c r="AV477" s="96"/>
      <c r="AW477" s="96" t="s">
        <v>97</v>
      </c>
      <c r="AX477" s="96" t="s">
        <v>199</v>
      </c>
      <c r="AY477" s="96" t="s">
        <v>199</v>
      </c>
      <c r="AZ477" s="96" t="s">
        <v>97</v>
      </c>
      <c r="BA477" s="96"/>
      <c r="BB477" s="96" t="s">
        <v>97</v>
      </c>
      <c r="BC477" s="96" t="s">
        <v>97</v>
      </c>
      <c r="BD477" s="96"/>
      <c r="BE477" s="96"/>
      <c r="BF477" s="96"/>
      <c r="BG477" s="96"/>
      <c r="BH477" s="73" t="s">
        <v>199</v>
      </c>
      <c r="BI477" s="30" t="str">
        <f>IF(COUNTA(Tabelle32[[#This Row],[Type:Vid_1080i50]:[Type:Anc_Prot]])&gt;0,"x","")</f>
        <v>x</v>
      </c>
      <c r="BJ47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77" s="59"/>
      <c r="BL477" s="59"/>
      <c r="BM477" s="63"/>
      <c r="BN477" s="63"/>
      <c r="BO477" s="97" t="s">
        <v>931</v>
      </c>
      <c r="BP477" s="97" t="s">
        <v>953</v>
      </c>
      <c r="BQ477" s="75">
        <f>LEN(Tabelle32[[#This Row],[Label 1
GFX-Unit]])</f>
        <v>12</v>
      </c>
      <c r="BR477" s="63"/>
      <c r="BS477" s="63"/>
      <c r="BT477" s="59"/>
      <c r="BU477" s="59"/>
      <c r="BV477" s="59" t="s">
        <v>245</v>
      </c>
      <c r="BW477" s="59" t="s">
        <v>246</v>
      </c>
      <c r="BX477" s="59" t="s">
        <v>954</v>
      </c>
      <c r="BY477" s="59">
        <v>23</v>
      </c>
    </row>
    <row r="478" spans="1:77" hidden="1" x14ac:dyDescent="0.2">
      <c r="A478" s="58" t="str">
        <f>CONCATENATE(Tabelle32[[#This Row],[Device ID]],".",Tabelle32[[#This Row],[Streamcounter]])</f>
        <v>400.23210</v>
      </c>
      <c r="B47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VGW-103_SDI23_AUDrec_0010</v>
      </c>
      <c r="C478" s="60"/>
      <c r="D478" s="61"/>
      <c r="E478" s="62"/>
      <c r="F478" s="59" t="str">
        <f>IFERROR(VLOOKUP(Tabelle32[[#This Row],[Device ID]],BOM!$B$3:$BQ$35,16,FALSE),"")</f>
        <v>EditPC-09 IN</v>
      </c>
      <c r="G478" s="63">
        <f>VLOOKUP(Tabelle32[[#This Row],[SDI Interface]],BOM!$A$4:$B$35,2,FALSE)</f>
        <v>400</v>
      </c>
      <c r="H478" s="59" t="str">
        <f>BOM!$C$4</f>
        <v>VGW-103</v>
      </c>
      <c r="I478" s="59" t="str">
        <f>IFERROR(VLOOKUP(Tabelle32[[#This Row],[Device ID]],BOM!$B$3:$BQ$35,12,FALSE),"")</f>
        <v>Edit Suite</v>
      </c>
      <c r="J478" s="59" t="str">
        <f>IFERROR(VLOOKUP(Tabelle32[[#This Row],[Device ID]],BOM!$B$3:$BQ$35,13,FALSE),"")</f>
        <v>TC.U1.223 | MDC</v>
      </c>
      <c r="K478" s="59" t="str">
        <f>IFERROR(VLOOKUP(Tabelle32[[#This Row],[Device ID]],BOM!$B$3:$BQ$35,14,FALSE),"")</f>
        <v>Imagine Comunications</v>
      </c>
      <c r="L478" s="59" t="str">
        <f>IFERROR(VLOOKUP(Tabelle32[[#This Row],[Device ID]],BOM!$B$3:$BQ$35,16,FALSE),"")</f>
        <v>EditPC-09 IN</v>
      </c>
      <c r="M478" s="63" t="str">
        <f>IFERROR(VLOOKUP(Tabelle32[[#This Row],[Device ID]],BOM!$B$3:$BQ$35,17,FALSE),"")</f>
        <v>EDIT SUITE 09</v>
      </c>
      <c r="N478" s="59" t="str">
        <f>IFERROR(VLOOKUP(Tabelle32[[#This Row],[Device ID]],BOM!$B$3:$BQ$35,18,FALSE),"")</f>
        <v>TC.03.030 | Edit 09</v>
      </c>
      <c r="O478" s="64"/>
      <c r="P478" s="64">
        <f>IFERROR(VLOOKUP(Tabelle32[[#This Row],[Device ID]],BOM!$B$3:$BO$50,20,FALSE),"")</f>
        <v>0</v>
      </c>
      <c r="Q478" s="64">
        <f>IFERROR(VLOOKUP(Tabelle32[[#This Row],[Device ID]],BOM!$B$3:$BO$50,21,FALSE),"")</f>
        <v>1</v>
      </c>
      <c r="R478" s="64">
        <f>IFERROR(VLOOKUP(Tabelle32[[#This Row],[Device ID]],BOM!$B$3:$BO$50,22,FALSE),"")</f>
        <v>0</v>
      </c>
      <c r="S478" s="64"/>
      <c r="T478" s="64"/>
      <c r="U478" s="59" t="str">
        <f>IFERROR(VLOOKUP(Tabelle32[[#This Row],[Device ID]],BOM!$B$3:$BQ$35,25,FALSE),"")</f>
        <v>Luis/Ivo</v>
      </c>
      <c r="V478" s="59" t="str">
        <f>IFERROR(VLOOKUP(Tabelle32[[#This Row],[Device ID]],BOM!$B$3:$BQ$35,26,FALSE),"")</f>
        <v>tpco-megw-vgw103.rta.st-net.media.int</v>
      </c>
      <c r="W478" s="59" t="str">
        <f>IFERROR(VLOOKUP(Tabelle32[[#This Row],[Device ID]],BOM!$B$3:$BQ$35,27,FALSE),"")</f>
        <v>10.120.236.50</v>
      </c>
      <c r="X478" s="59" t="str">
        <f>IFERROR(VLOOKUP(Tabelle32[[#This Row],[Device ID]],BOM!$B$3:$BQ$35,28,FALSE),"")</f>
        <v>AVCoreA</v>
      </c>
      <c r="Y478" s="59" t="str">
        <f>IFERROR(VLOOKUP(Tabelle32[[#This Row],[Device ID]],BOM!$B$3:$BQ$35,29,FALSE),"")</f>
        <v>5_36_1</v>
      </c>
      <c r="Z478" s="59" t="str">
        <f>IFERROR(VLOOKUP(Tabelle32[[#This Row],[Device ID]],BOM!$B$3:$BQ$35,30,FALSE),"")</f>
        <v>tpco-megw-vgw103.rtb.st-net.media.int</v>
      </c>
      <c r="AA478" s="59" t="str">
        <f>IFERROR(VLOOKUP(Tabelle32[[#This Row],[Device ID]],BOM!$B$3:$BQ$35,31,FALSE),"")</f>
        <v>10.120.236.54</v>
      </c>
      <c r="AB478" s="59" t="str">
        <f>IFERROR(VLOOKUP(Tabelle32[[#This Row],[Device ID]],BOM!$B$3:$BQ$35,32,FALSE),"")</f>
        <v>AVCoreB</v>
      </c>
      <c r="AC478" s="59" t="str">
        <f>IFERROR(VLOOKUP(Tabelle32[[#This Row],[Device ID]],BOM!$B$3:$BQ$35,33,FALSE),"")</f>
        <v>5_36_1</v>
      </c>
      <c r="AD478" s="59" t="str">
        <f>IFERROR(VLOOKUP(Tabelle32[[#This Row],[Device ID]],BOM!$B$3:$BQ$35,34,FALSE),"")</f>
        <v>tpco-megw-vgw103.st-net.media.int</v>
      </c>
      <c r="AE478" s="59" t="str">
        <f>IFERROR(VLOOKUP(Tabelle32[[#This Row],[Device ID]],BOM!$B$3:$BQ$35,35,FALSE),"")</f>
        <v>10.120.67.141</v>
      </c>
      <c r="AF478" s="59">
        <f>IFERROR(VLOOKUP(Tabelle32[[#This Row],[Device ID]],BOM!$B$3:$BQ$35,36,FALSE),"")</f>
        <v>0</v>
      </c>
      <c r="AG478" s="59">
        <f>IFERROR(VLOOKUP(Tabelle32[[#This Row],[Device ID]],BOM!$B$3:$BQ$35,37,FALSE),"")</f>
        <v>0</v>
      </c>
      <c r="AH478" s="59"/>
      <c r="AI478" s="59"/>
      <c r="AJ478" s="59"/>
      <c r="AK478" s="59"/>
      <c r="AL478" s="59" t="str">
        <f>IFERROR(VLOOKUP(Tabelle32[[#This Row],[Device ID]],BOM!$B$3:$BQ$35,42,FALSE),"")</f>
        <v>Imagine Communications SNP</v>
      </c>
      <c r="AM478" s="59" t="str">
        <f>IFERROR(VLOOKUP(Tabelle32[[#This Row],[Device ID]],BOM!$B$3:$BQ$35,43,FALSE),"")</f>
        <v>no</v>
      </c>
      <c r="AN478" s="59" t="str">
        <f>IFERROR(VLOOKUP(Tabelle32[[#This Row],[Device ID]],BOM!$B$3:$BQ$35,44,FALSE),"")</f>
        <v>yes</v>
      </c>
      <c r="AO478" s="59" t="str">
        <f>IFERROR(VLOOKUP(Tabelle32[[#This Row],[Device ID]],BOM!$B$3:$BQ$35,45,FALSE),"")</f>
        <v>no</v>
      </c>
      <c r="AP478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78" s="59"/>
      <c r="AR478" s="90"/>
      <c r="AS478" s="90"/>
      <c r="AT478" s="90"/>
      <c r="AU478" s="90"/>
      <c r="AV478" s="90"/>
      <c r="AW478" s="90"/>
      <c r="AX478" s="90"/>
      <c r="AY478" s="90"/>
      <c r="AZ478" s="90"/>
      <c r="BA478" s="90"/>
      <c r="BB478" s="90"/>
      <c r="BC478" s="90"/>
      <c r="BD478" s="90"/>
      <c r="BE478" s="90"/>
      <c r="BF478" s="90"/>
      <c r="BG478" s="90"/>
      <c r="BH478" s="73" t="s">
        <v>199</v>
      </c>
      <c r="BI478" s="30" t="str">
        <f>IF(COUNTA(Tabelle32[[#This Row],[Type:Vid_1080i50]:[Type:Anc_Prot]])&gt;0,"x","")</f>
        <v/>
      </c>
      <c r="BJ47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78" s="59"/>
      <c r="BL478" s="59"/>
      <c r="BM478" s="63"/>
      <c r="BN478" s="63"/>
      <c r="BO478" s="96"/>
      <c r="BP478" s="96"/>
      <c r="BQ478" s="75">
        <f>LEN(Tabelle32[[#This Row],[Label 1
GFX-Unit]])</f>
        <v>0</v>
      </c>
      <c r="BR478" s="63"/>
      <c r="BS478" s="63"/>
      <c r="BT478" s="59"/>
      <c r="BU478" s="59"/>
      <c r="BV478" s="59" t="s">
        <v>248</v>
      </c>
      <c r="BW478" s="59" t="s">
        <v>249</v>
      </c>
      <c r="BX478" s="59" t="s">
        <v>955</v>
      </c>
      <c r="BY478" s="59">
        <v>23</v>
      </c>
    </row>
    <row r="479" spans="1:77" hidden="1" x14ac:dyDescent="0.2">
      <c r="A479" s="58" t="str">
        <f>CONCATENATE(Tabelle32[[#This Row],[Device ID]],".",Tabelle32[[#This Row],[Streamcounter]])</f>
        <v>400.23211</v>
      </c>
      <c r="B47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VGW-103_SDI23_AUDrec_0011</v>
      </c>
      <c r="C479" s="60"/>
      <c r="D479" s="61"/>
      <c r="E479" s="62"/>
      <c r="F479" s="59" t="str">
        <f>IFERROR(VLOOKUP(Tabelle32[[#This Row],[Device ID]],BOM!$B$3:$BQ$35,16,FALSE),"")</f>
        <v>EditPC-09 IN</v>
      </c>
      <c r="G479" s="63">
        <f>VLOOKUP(Tabelle32[[#This Row],[SDI Interface]],BOM!$A$4:$B$35,2,FALSE)</f>
        <v>400</v>
      </c>
      <c r="H479" s="59" t="str">
        <f>BOM!$C$4</f>
        <v>VGW-103</v>
      </c>
      <c r="I479" s="59" t="str">
        <f>IFERROR(VLOOKUP(Tabelle32[[#This Row],[Device ID]],BOM!$B$3:$BQ$35,12,FALSE),"")</f>
        <v>Edit Suite</v>
      </c>
      <c r="J479" s="59" t="str">
        <f>IFERROR(VLOOKUP(Tabelle32[[#This Row],[Device ID]],BOM!$B$3:$BQ$35,13,FALSE),"")</f>
        <v>TC.U1.223 | MDC</v>
      </c>
      <c r="K479" s="59" t="str">
        <f>IFERROR(VLOOKUP(Tabelle32[[#This Row],[Device ID]],BOM!$B$3:$BQ$35,14,FALSE),"")</f>
        <v>Imagine Comunications</v>
      </c>
      <c r="L479" s="59" t="str">
        <f>IFERROR(VLOOKUP(Tabelle32[[#This Row],[Device ID]],BOM!$B$3:$BQ$35,16,FALSE),"")</f>
        <v>EditPC-09 IN</v>
      </c>
      <c r="M479" s="63" t="str">
        <f>IFERROR(VLOOKUP(Tabelle32[[#This Row],[Device ID]],BOM!$B$3:$BQ$35,17,FALSE),"")</f>
        <v>EDIT SUITE 09</v>
      </c>
      <c r="N479" s="59" t="str">
        <f>IFERROR(VLOOKUP(Tabelle32[[#This Row],[Device ID]],BOM!$B$3:$BQ$35,18,FALSE),"")</f>
        <v>TC.03.030 | Edit 09</v>
      </c>
      <c r="O479" s="64"/>
      <c r="P479" s="64">
        <f>IFERROR(VLOOKUP(Tabelle32[[#This Row],[Device ID]],BOM!$B$3:$BO$50,20,FALSE),"")</f>
        <v>0</v>
      </c>
      <c r="Q479" s="64">
        <f>IFERROR(VLOOKUP(Tabelle32[[#This Row],[Device ID]],BOM!$B$3:$BO$50,21,FALSE),"")</f>
        <v>1</v>
      </c>
      <c r="R479" s="64">
        <f>IFERROR(VLOOKUP(Tabelle32[[#This Row],[Device ID]],BOM!$B$3:$BO$50,22,FALSE),"")</f>
        <v>0</v>
      </c>
      <c r="S479" s="64"/>
      <c r="T479" s="64"/>
      <c r="U479" s="59" t="str">
        <f>IFERROR(VLOOKUP(Tabelle32[[#This Row],[Device ID]],BOM!$B$3:$BQ$35,25,FALSE),"")</f>
        <v>Luis/Ivo</v>
      </c>
      <c r="V479" s="59" t="str">
        <f>IFERROR(VLOOKUP(Tabelle32[[#This Row],[Device ID]],BOM!$B$3:$BQ$35,26,FALSE),"")</f>
        <v>tpco-megw-vgw103.rta.st-net.media.int</v>
      </c>
      <c r="W479" s="59" t="str">
        <f>IFERROR(VLOOKUP(Tabelle32[[#This Row],[Device ID]],BOM!$B$3:$BQ$35,27,FALSE),"")</f>
        <v>10.120.236.50</v>
      </c>
      <c r="X479" s="59" t="str">
        <f>IFERROR(VLOOKUP(Tabelle32[[#This Row],[Device ID]],BOM!$B$3:$BQ$35,28,FALSE),"")</f>
        <v>AVCoreA</v>
      </c>
      <c r="Y479" s="59" t="str">
        <f>IFERROR(VLOOKUP(Tabelle32[[#This Row],[Device ID]],BOM!$B$3:$BQ$35,29,FALSE),"")</f>
        <v>5_36_1</v>
      </c>
      <c r="Z479" s="59" t="str">
        <f>IFERROR(VLOOKUP(Tabelle32[[#This Row],[Device ID]],BOM!$B$3:$BQ$35,30,FALSE),"")</f>
        <v>tpco-megw-vgw103.rtb.st-net.media.int</v>
      </c>
      <c r="AA479" s="59" t="str">
        <f>IFERROR(VLOOKUP(Tabelle32[[#This Row],[Device ID]],BOM!$B$3:$BQ$35,31,FALSE),"")</f>
        <v>10.120.236.54</v>
      </c>
      <c r="AB479" s="59" t="str">
        <f>IFERROR(VLOOKUP(Tabelle32[[#This Row],[Device ID]],BOM!$B$3:$BQ$35,32,FALSE),"")</f>
        <v>AVCoreB</v>
      </c>
      <c r="AC479" s="59" t="str">
        <f>IFERROR(VLOOKUP(Tabelle32[[#This Row],[Device ID]],BOM!$B$3:$BQ$35,33,FALSE),"")</f>
        <v>5_36_1</v>
      </c>
      <c r="AD479" s="59" t="str">
        <f>IFERROR(VLOOKUP(Tabelle32[[#This Row],[Device ID]],BOM!$B$3:$BQ$35,34,FALSE),"")</f>
        <v>tpco-megw-vgw103.st-net.media.int</v>
      </c>
      <c r="AE479" s="59" t="str">
        <f>IFERROR(VLOOKUP(Tabelle32[[#This Row],[Device ID]],BOM!$B$3:$BQ$35,35,FALSE),"")</f>
        <v>10.120.67.141</v>
      </c>
      <c r="AF479" s="59">
        <f>IFERROR(VLOOKUP(Tabelle32[[#This Row],[Device ID]],BOM!$B$3:$BQ$35,36,FALSE),"")</f>
        <v>0</v>
      </c>
      <c r="AG479" s="59">
        <f>IFERROR(VLOOKUP(Tabelle32[[#This Row],[Device ID]],BOM!$B$3:$BQ$35,37,FALSE),"")</f>
        <v>0</v>
      </c>
      <c r="AH479" s="59"/>
      <c r="AI479" s="59"/>
      <c r="AJ479" s="59"/>
      <c r="AK479" s="59"/>
      <c r="AL479" s="59" t="str">
        <f>IFERROR(VLOOKUP(Tabelle32[[#This Row],[Device ID]],BOM!$B$3:$BQ$35,42,FALSE),"")</f>
        <v>Imagine Communications SNP</v>
      </c>
      <c r="AM479" s="59" t="str">
        <f>IFERROR(VLOOKUP(Tabelle32[[#This Row],[Device ID]],BOM!$B$3:$BQ$35,43,FALSE),"")</f>
        <v>no</v>
      </c>
      <c r="AN479" s="59" t="str">
        <f>IFERROR(VLOOKUP(Tabelle32[[#This Row],[Device ID]],BOM!$B$3:$BQ$35,44,FALSE),"")</f>
        <v>yes</v>
      </c>
      <c r="AO479" s="59" t="str">
        <f>IFERROR(VLOOKUP(Tabelle32[[#This Row],[Device ID]],BOM!$B$3:$BQ$35,45,FALSE),"")</f>
        <v>no</v>
      </c>
      <c r="AP479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79" s="59"/>
      <c r="AR479" s="90"/>
      <c r="AS479" s="90"/>
      <c r="AT479" s="90"/>
      <c r="AU479" s="90"/>
      <c r="AV479" s="90"/>
      <c r="AW479" s="90"/>
      <c r="AX479" s="90"/>
      <c r="AY479" s="90"/>
      <c r="AZ479" s="90"/>
      <c r="BA479" s="90"/>
      <c r="BB479" s="90"/>
      <c r="BC479" s="90"/>
      <c r="BD479" s="90"/>
      <c r="BE479" s="90"/>
      <c r="BF479" s="90"/>
      <c r="BG479" s="90"/>
      <c r="BH479" s="73" t="s">
        <v>199</v>
      </c>
      <c r="BI479" s="30" t="str">
        <f>IF(COUNTA(Tabelle32[[#This Row],[Type:Vid_1080i50]:[Type:Anc_Prot]])&gt;0,"x","")</f>
        <v/>
      </c>
      <c r="BJ47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79" s="59"/>
      <c r="BL479" s="59"/>
      <c r="BM479" s="63"/>
      <c r="BN479" s="63"/>
      <c r="BO479" s="96"/>
      <c r="BP479" s="96"/>
      <c r="BQ479" s="75">
        <f>LEN(Tabelle32[[#This Row],[Label 1
GFX-Unit]])</f>
        <v>0</v>
      </c>
      <c r="BR479" s="63"/>
      <c r="BS479" s="63"/>
      <c r="BT479" s="59"/>
      <c r="BU479" s="59"/>
      <c r="BV479" s="59" t="s">
        <v>251</v>
      </c>
      <c r="BW479" s="59" t="s">
        <v>252</v>
      </c>
      <c r="BX479" s="59" t="s">
        <v>956</v>
      </c>
      <c r="BY479" s="59">
        <v>23</v>
      </c>
    </row>
    <row r="480" spans="1:77" hidden="1" x14ac:dyDescent="0.2">
      <c r="A480" s="58" t="str">
        <f>CONCATENATE(Tabelle32[[#This Row],[Device ID]],".",Tabelle32[[#This Row],[Streamcounter]])</f>
        <v>400.23212</v>
      </c>
      <c r="B48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VGW-103_SDI23_AUDrec_0012</v>
      </c>
      <c r="C480" s="60"/>
      <c r="D480" s="61"/>
      <c r="E480" s="62"/>
      <c r="F480" s="59" t="str">
        <f>IFERROR(VLOOKUP(Tabelle32[[#This Row],[Device ID]],BOM!$B$3:$BQ$35,16,FALSE),"")</f>
        <v>EditPC-09 IN</v>
      </c>
      <c r="G480" s="63">
        <f>VLOOKUP(Tabelle32[[#This Row],[SDI Interface]],BOM!$A$4:$B$35,2,FALSE)</f>
        <v>400</v>
      </c>
      <c r="H480" s="59" t="str">
        <f>BOM!$C$4</f>
        <v>VGW-103</v>
      </c>
      <c r="I480" s="59" t="str">
        <f>IFERROR(VLOOKUP(Tabelle32[[#This Row],[Device ID]],BOM!$B$3:$BQ$35,12,FALSE),"")</f>
        <v>Edit Suite</v>
      </c>
      <c r="J480" s="59" t="str">
        <f>IFERROR(VLOOKUP(Tabelle32[[#This Row],[Device ID]],BOM!$B$3:$BQ$35,13,FALSE),"")</f>
        <v>TC.U1.223 | MDC</v>
      </c>
      <c r="K480" s="59" t="str">
        <f>IFERROR(VLOOKUP(Tabelle32[[#This Row],[Device ID]],BOM!$B$3:$BQ$35,14,FALSE),"")</f>
        <v>Imagine Comunications</v>
      </c>
      <c r="L480" s="59" t="str">
        <f>IFERROR(VLOOKUP(Tabelle32[[#This Row],[Device ID]],BOM!$B$3:$BQ$35,16,FALSE),"")</f>
        <v>EditPC-09 IN</v>
      </c>
      <c r="M480" s="63" t="str">
        <f>IFERROR(VLOOKUP(Tabelle32[[#This Row],[Device ID]],BOM!$B$3:$BQ$35,17,FALSE),"")</f>
        <v>EDIT SUITE 09</v>
      </c>
      <c r="N480" s="59" t="str">
        <f>IFERROR(VLOOKUP(Tabelle32[[#This Row],[Device ID]],BOM!$B$3:$BQ$35,18,FALSE),"")</f>
        <v>TC.03.030 | Edit 09</v>
      </c>
      <c r="O480" s="64"/>
      <c r="P480" s="64">
        <f>IFERROR(VLOOKUP(Tabelle32[[#This Row],[Device ID]],BOM!$B$3:$BO$50,20,FALSE),"")</f>
        <v>0</v>
      </c>
      <c r="Q480" s="64">
        <f>IFERROR(VLOOKUP(Tabelle32[[#This Row],[Device ID]],BOM!$B$3:$BO$50,21,FALSE),"")</f>
        <v>1</v>
      </c>
      <c r="R480" s="64">
        <f>IFERROR(VLOOKUP(Tabelle32[[#This Row],[Device ID]],BOM!$B$3:$BO$50,22,FALSE),"")</f>
        <v>0</v>
      </c>
      <c r="S480" s="64"/>
      <c r="T480" s="64"/>
      <c r="U480" s="59" t="str">
        <f>IFERROR(VLOOKUP(Tabelle32[[#This Row],[Device ID]],BOM!$B$3:$BQ$35,25,FALSE),"")</f>
        <v>Luis/Ivo</v>
      </c>
      <c r="V480" s="59" t="str">
        <f>IFERROR(VLOOKUP(Tabelle32[[#This Row],[Device ID]],BOM!$B$3:$BQ$35,26,FALSE),"")</f>
        <v>tpco-megw-vgw103.rta.st-net.media.int</v>
      </c>
      <c r="W480" s="59" t="str">
        <f>IFERROR(VLOOKUP(Tabelle32[[#This Row],[Device ID]],BOM!$B$3:$BQ$35,27,FALSE),"")</f>
        <v>10.120.236.50</v>
      </c>
      <c r="X480" s="59" t="str">
        <f>IFERROR(VLOOKUP(Tabelle32[[#This Row],[Device ID]],BOM!$B$3:$BQ$35,28,FALSE),"")</f>
        <v>AVCoreA</v>
      </c>
      <c r="Y480" s="59" t="str">
        <f>IFERROR(VLOOKUP(Tabelle32[[#This Row],[Device ID]],BOM!$B$3:$BQ$35,29,FALSE),"")</f>
        <v>5_36_1</v>
      </c>
      <c r="Z480" s="59" t="str">
        <f>IFERROR(VLOOKUP(Tabelle32[[#This Row],[Device ID]],BOM!$B$3:$BQ$35,30,FALSE),"")</f>
        <v>tpco-megw-vgw103.rtb.st-net.media.int</v>
      </c>
      <c r="AA480" s="59" t="str">
        <f>IFERROR(VLOOKUP(Tabelle32[[#This Row],[Device ID]],BOM!$B$3:$BQ$35,31,FALSE),"")</f>
        <v>10.120.236.54</v>
      </c>
      <c r="AB480" s="59" t="str">
        <f>IFERROR(VLOOKUP(Tabelle32[[#This Row],[Device ID]],BOM!$B$3:$BQ$35,32,FALSE),"")</f>
        <v>AVCoreB</v>
      </c>
      <c r="AC480" s="59" t="str">
        <f>IFERROR(VLOOKUP(Tabelle32[[#This Row],[Device ID]],BOM!$B$3:$BQ$35,33,FALSE),"")</f>
        <v>5_36_1</v>
      </c>
      <c r="AD480" s="59" t="str">
        <f>IFERROR(VLOOKUP(Tabelle32[[#This Row],[Device ID]],BOM!$B$3:$BQ$35,34,FALSE),"")</f>
        <v>tpco-megw-vgw103.st-net.media.int</v>
      </c>
      <c r="AE480" s="59" t="str">
        <f>IFERROR(VLOOKUP(Tabelle32[[#This Row],[Device ID]],BOM!$B$3:$BQ$35,35,FALSE),"")</f>
        <v>10.120.67.141</v>
      </c>
      <c r="AF480" s="59">
        <f>IFERROR(VLOOKUP(Tabelle32[[#This Row],[Device ID]],BOM!$B$3:$BQ$35,36,FALSE),"")</f>
        <v>0</v>
      </c>
      <c r="AG480" s="59">
        <f>IFERROR(VLOOKUP(Tabelle32[[#This Row],[Device ID]],BOM!$B$3:$BQ$35,37,FALSE),"")</f>
        <v>0</v>
      </c>
      <c r="AH480" s="59"/>
      <c r="AI480" s="59"/>
      <c r="AJ480" s="59"/>
      <c r="AK480" s="59"/>
      <c r="AL480" s="59" t="str">
        <f>IFERROR(VLOOKUP(Tabelle32[[#This Row],[Device ID]],BOM!$B$3:$BQ$35,42,FALSE),"")</f>
        <v>Imagine Communications SNP</v>
      </c>
      <c r="AM480" s="59" t="str">
        <f>IFERROR(VLOOKUP(Tabelle32[[#This Row],[Device ID]],BOM!$B$3:$BQ$35,43,FALSE),"")</f>
        <v>no</v>
      </c>
      <c r="AN480" s="59" t="str">
        <f>IFERROR(VLOOKUP(Tabelle32[[#This Row],[Device ID]],BOM!$B$3:$BQ$35,44,FALSE),"")</f>
        <v>yes</v>
      </c>
      <c r="AO480" s="59" t="str">
        <f>IFERROR(VLOOKUP(Tabelle32[[#This Row],[Device ID]],BOM!$B$3:$BQ$35,45,FALSE),"")</f>
        <v>no</v>
      </c>
      <c r="AP480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80" s="59"/>
      <c r="AR480" s="90"/>
      <c r="AS480" s="90"/>
      <c r="AT480" s="90"/>
      <c r="AU480" s="90"/>
      <c r="AV480" s="90"/>
      <c r="AW480" s="90"/>
      <c r="AX480" s="90"/>
      <c r="AY480" s="90"/>
      <c r="AZ480" s="90"/>
      <c r="BA480" s="90"/>
      <c r="BB480" s="90"/>
      <c r="BC480" s="90"/>
      <c r="BD480" s="90"/>
      <c r="BE480" s="90"/>
      <c r="BF480" s="90"/>
      <c r="BG480" s="90"/>
      <c r="BH480" s="73" t="s">
        <v>199</v>
      </c>
      <c r="BI480" s="30" t="str">
        <f>IF(COUNTA(Tabelle32[[#This Row],[Type:Vid_1080i50]:[Type:Anc_Prot]])&gt;0,"x","")</f>
        <v/>
      </c>
      <c r="BJ48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0" s="59"/>
      <c r="BL480" s="59"/>
      <c r="BM480" s="63"/>
      <c r="BN480" s="63"/>
      <c r="BO480" s="96"/>
      <c r="BP480" s="96"/>
      <c r="BQ480" s="75">
        <f>LEN(Tabelle32[[#This Row],[Label 1
GFX-Unit]])</f>
        <v>0</v>
      </c>
      <c r="BR480" s="63"/>
      <c r="BS480" s="63"/>
      <c r="BT480" s="59"/>
      <c r="BU480" s="59"/>
      <c r="BV480" s="59" t="s">
        <v>254</v>
      </c>
      <c r="BW480" s="59" t="s">
        <v>255</v>
      </c>
      <c r="BX480" s="59" t="s">
        <v>957</v>
      </c>
      <c r="BY480" s="59">
        <v>23</v>
      </c>
    </row>
    <row r="481" spans="1:77" hidden="1" x14ac:dyDescent="0.2">
      <c r="A481" s="58" t="str">
        <f>CONCATENATE(Tabelle32[[#This Row],[Device ID]],".",Tabelle32[[#This Row],[Streamcounter]])</f>
        <v>400.23213</v>
      </c>
      <c r="B48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VGW-103_SDI23_AUDrec_0013</v>
      </c>
      <c r="C481" s="60"/>
      <c r="D481" s="61"/>
      <c r="E481" s="62"/>
      <c r="F481" s="59" t="str">
        <f>IFERROR(VLOOKUP(Tabelle32[[#This Row],[Device ID]],BOM!$B$3:$BQ$35,16,FALSE),"")</f>
        <v>EditPC-09 IN</v>
      </c>
      <c r="G481" s="63">
        <f>VLOOKUP(Tabelle32[[#This Row],[SDI Interface]],BOM!$A$4:$B$35,2,FALSE)</f>
        <v>400</v>
      </c>
      <c r="H481" s="59" t="str">
        <f>BOM!$C$4</f>
        <v>VGW-103</v>
      </c>
      <c r="I481" s="59" t="str">
        <f>IFERROR(VLOOKUP(Tabelle32[[#This Row],[Device ID]],BOM!$B$3:$BQ$35,12,FALSE),"")</f>
        <v>Edit Suite</v>
      </c>
      <c r="J481" s="59" t="str">
        <f>IFERROR(VLOOKUP(Tabelle32[[#This Row],[Device ID]],BOM!$B$3:$BQ$35,13,FALSE),"")</f>
        <v>TC.U1.223 | MDC</v>
      </c>
      <c r="K481" s="59" t="str">
        <f>IFERROR(VLOOKUP(Tabelle32[[#This Row],[Device ID]],BOM!$B$3:$BQ$35,14,FALSE),"")</f>
        <v>Imagine Comunications</v>
      </c>
      <c r="L481" s="59" t="str">
        <f>IFERROR(VLOOKUP(Tabelle32[[#This Row],[Device ID]],BOM!$B$3:$BQ$35,16,FALSE),"")</f>
        <v>EditPC-09 IN</v>
      </c>
      <c r="M481" s="63" t="str">
        <f>IFERROR(VLOOKUP(Tabelle32[[#This Row],[Device ID]],BOM!$B$3:$BQ$35,17,FALSE),"")</f>
        <v>EDIT SUITE 09</v>
      </c>
      <c r="N481" s="59" t="str">
        <f>IFERROR(VLOOKUP(Tabelle32[[#This Row],[Device ID]],BOM!$B$3:$BQ$35,18,FALSE),"")</f>
        <v>TC.03.030 | Edit 09</v>
      </c>
      <c r="O481" s="64"/>
      <c r="P481" s="64">
        <f>IFERROR(VLOOKUP(Tabelle32[[#This Row],[Device ID]],BOM!$B$3:$BO$50,20,FALSE),"")</f>
        <v>0</v>
      </c>
      <c r="Q481" s="64">
        <f>IFERROR(VLOOKUP(Tabelle32[[#This Row],[Device ID]],BOM!$B$3:$BO$50,21,FALSE),"")</f>
        <v>1</v>
      </c>
      <c r="R481" s="64">
        <f>IFERROR(VLOOKUP(Tabelle32[[#This Row],[Device ID]],BOM!$B$3:$BO$50,22,FALSE),"")</f>
        <v>0</v>
      </c>
      <c r="S481" s="64"/>
      <c r="T481" s="64"/>
      <c r="U481" s="59" t="str">
        <f>IFERROR(VLOOKUP(Tabelle32[[#This Row],[Device ID]],BOM!$B$3:$BQ$35,25,FALSE),"")</f>
        <v>Luis/Ivo</v>
      </c>
      <c r="V481" s="59" t="str">
        <f>IFERROR(VLOOKUP(Tabelle32[[#This Row],[Device ID]],BOM!$B$3:$BQ$35,26,FALSE),"")</f>
        <v>tpco-megw-vgw103.rta.st-net.media.int</v>
      </c>
      <c r="W481" s="59" t="str">
        <f>IFERROR(VLOOKUP(Tabelle32[[#This Row],[Device ID]],BOM!$B$3:$BQ$35,27,FALSE),"")</f>
        <v>10.120.236.50</v>
      </c>
      <c r="X481" s="59" t="str">
        <f>IFERROR(VLOOKUP(Tabelle32[[#This Row],[Device ID]],BOM!$B$3:$BQ$35,28,FALSE),"")</f>
        <v>AVCoreA</v>
      </c>
      <c r="Y481" s="59" t="str">
        <f>IFERROR(VLOOKUP(Tabelle32[[#This Row],[Device ID]],BOM!$B$3:$BQ$35,29,FALSE),"")</f>
        <v>5_36_1</v>
      </c>
      <c r="Z481" s="59" t="str">
        <f>IFERROR(VLOOKUP(Tabelle32[[#This Row],[Device ID]],BOM!$B$3:$BQ$35,30,FALSE),"")</f>
        <v>tpco-megw-vgw103.rtb.st-net.media.int</v>
      </c>
      <c r="AA481" s="59" t="str">
        <f>IFERROR(VLOOKUP(Tabelle32[[#This Row],[Device ID]],BOM!$B$3:$BQ$35,31,FALSE),"")</f>
        <v>10.120.236.54</v>
      </c>
      <c r="AB481" s="59" t="str">
        <f>IFERROR(VLOOKUP(Tabelle32[[#This Row],[Device ID]],BOM!$B$3:$BQ$35,32,FALSE),"")</f>
        <v>AVCoreB</v>
      </c>
      <c r="AC481" s="59" t="str">
        <f>IFERROR(VLOOKUP(Tabelle32[[#This Row],[Device ID]],BOM!$B$3:$BQ$35,33,FALSE),"")</f>
        <v>5_36_1</v>
      </c>
      <c r="AD481" s="59" t="str">
        <f>IFERROR(VLOOKUP(Tabelle32[[#This Row],[Device ID]],BOM!$B$3:$BQ$35,34,FALSE),"")</f>
        <v>tpco-megw-vgw103.st-net.media.int</v>
      </c>
      <c r="AE481" s="59" t="str">
        <f>IFERROR(VLOOKUP(Tabelle32[[#This Row],[Device ID]],BOM!$B$3:$BQ$35,35,FALSE),"")</f>
        <v>10.120.67.141</v>
      </c>
      <c r="AF481" s="59">
        <f>IFERROR(VLOOKUP(Tabelle32[[#This Row],[Device ID]],BOM!$B$3:$BQ$35,36,FALSE),"")</f>
        <v>0</v>
      </c>
      <c r="AG481" s="59">
        <f>IFERROR(VLOOKUP(Tabelle32[[#This Row],[Device ID]],BOM!$B$3:$BQ$35,37,FALSE),"")</f>
        <v>0</v>
      </c>
      <c r="AH481" s="59"/>
      <c r="AI481" s="59"/>
      <c r="AJ481" s="59"/>
      <c r="AK481" s="59"/>
      <c r="AL481" s="59" t="str">
        <f>IFERROR(VLOOKUP(Tabelle32[[#This Row],[Device ID]],BOM!$B$3:$BQ$35,42,FALSE),"")</f>
        <v>Imagine Communications SNP</v>
      </c>
      <c r="AM481" s="59" t="str">
        <f>IFERROR(VLOOKUP(Tabelle32[[#This Row],[Device ID]],BOM!$B$3:$BQ$35,43,FALSE),"")</f>
        <v>no</v>
      </c>
      <c r="AN481" s="59" t="str">
        <f>IFERROR(VLOOKUP(Tabelle32[[#This Row],[Device ID]],BOM!$B$3:$BQ$35,44,FALSE),"")</f>
        <v>yes</v>
      </c>
      <c r="AO481" s="59" t="str">
        <f>IFERROR(VLOOKUP(Tabelle32[[#This Row],[Device ID]],BOM!$B$3:$BQ$35,45,FALSE),"")</f>
        <v>no</v>
      </c>
      <c r="AP481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81" s="59"/>
      <c r="AR481" s="90"/>
      <c r="AS481" s="90"/>
      <c r="AT481" s="90"/>
      <c r="AU481" s="90"/>
      <c r="AV481" s="90"/>
      <c r="AW481" s="90"/>
      <c r="AX481" s="90"/>
      <c r="AY481" s="90"/>
      <c r="AZ481" s="90"/>
      <c r="BA481" s="90"/>
      <c r="BB481" s="90"/>
      <c r="BC481" s="90"/>
      <c r="BD481" s="90"/>
      <c r="BE481" s="90"/>
      <c r="BF481" s="90"/>
      <c r="BG481" s="90"/>
      <c r="BH481" s="73" t="s">
        <v>199</v>
      </c>
      <c r="BI481" s="30" t="str">
        <f>IF(COUNTA(Tabelle32[[#This Row],[Type:Vid_1080i50]:[Type:Anc_Prot]])&gt;0,"x","")</f>
        <v/>
      </c>
      <c r="BJ48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1" s="59"/>
      <c r="BL481" s="59"/>
      <c r="BM481" s="63"/>
      <c r="BN481" s="63"/>
      <c r="BO481" s="96"/>
      <c r="BP481" s="96"/>
      <c r="BQ481" s="75">
        <f>LEN(Tabelle32[[#This Row],[Label 1
GFX-Unit]])</f>
        <v>0</v>
      </c>
      <c r="BR481" s="63"/>
      <c r="BS481" s="63"/>
      <c r="BT481" s="59"/>
      <c r="BU481" s="59"/>
      <c r="BV481" s="59" t="s">
        <v>257</v>
      </c>
      <c r="BW481" s="59" t="s">
        <v>258</v>
      </c>
      <c r="BX481" s="59" t="s">
        <v>958</v>
      </c>
      <c r="BY481" s="59">
        <v>23</v>
      </c>
    </row>
    <row r="482" spans="1:77" hidden="1" x14ac:dyDescent="0.2">
      <c r="A482" s="58" t="str">
        <f>CONCATENATE(Tabelle32[[#This Row],[Device ID]],".",Tabelle32[[#This Row],[Streamcounter]])</f>
        <v>400.23214</v>
      </c>
      <c r="B48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VGW-103_SDI23_AUDrec_0014</v>
      </c>
      <c r="C482" s="60"/>
      <c r="D482" s="61"/>
      <c r="E482" s="62"/>
      <c r="F482" s="59" t="str">
        <f>IFERROR(VLOOKUP(Tabelle32[[#This Row],[Device ID]],BOM!$B$3:$BQ$35,16,FALSE),"")</f>
        <v>EditPC-09 IN</v>
      </c>
      <c r="G482" s="63">
        <f>VLOOKUP(Tabelle32[[#This Row],[SDI Interface]],BOM!$A$4:$B$35,2,FALSE)</f>
        <v>400</v>
      </c>
      <c r="H482" s="59" t="str">
        <f>BOM!$C$4</f>
        <v>VGW-103</v>
      </c>
      <c r="I482" s="59" t="str">
        <f>IFERROR(VLOOKUP(Tabelle32[[#This Row],[Device ID]],BOM!$B$3:$BQ$35,12,FALSE),"")</f>
        <v>Edit Suite</v>
      </c>
      <c r="J482" s="59" t="str">
        <f>IFERROR(VLOOKUP(Tabelle32[[#This Row],[Device ID]],BOM!$B$3:$BQ$35,13,FALSE),"")</f>
        <v>TC.U1.223 | MDC</v>
      </c>
      <c r="K482" s="59" t="str">
        <f>IFERROR(VLOOKUP(Tabelle32[[#This Row],[Device ID]],BOM!$B$3:$BQ$35,14,FALSE),"")</f>
        <v>Imagine Comunications</v>
      </c>
      <c r="L482" s="59" t="str">
        <f>IFERROR(VLOOKUP(Tabelle32[[#This Row],[Device ID]],BOM!$B$3:$BQ$35,16,FALSE),"")</f>
        <v>EditPC-09 IN</v>
      </c>
      <c r="M482" s="63" t="str">
        <f>IFERROR(VLOOKUP(Tabelle32[[#This Row],[Device ID]],BOM!$B$3:$BQ$35,17,FALSE),"")</f>
        <v>EDIT SUITE 09</v>
      </c>
      <c r="N482" s="59" t="str">
        <f>IFERROR(VLOOKUP(Tabelle32[[#This Row],[Device ID]],BOM!$B$3:$BQ$35,18,FALSE),"")</f>
        <v>TC.03.030 | Edit 09</v>
      </c>
      <c r="O482" s="64"/>
      <c r="P482" s="64">
        <f>IFERROR(VLOOKUP(Tabelle32[[#This Row],[Device ID]],BOM!$B$3:$BO$50,20,FALSE),"")</f>
        <v>0</v>
      </c>
      <c r="Q482" s="64">
        <f>IFERROR(VLOOKUP(Tabelle32[[#This Row],[Device ID]],BOM!$B$3:$BO$50,21,FALSE),"")</f>
        <v>1</v>
      </c>
      <c r="R482" s="64">
        <f>IFERROR(VLOOKUP(Tabelle32[[#This Row],[Device ID]],BOM!$B$3:$BO$50,22,FALSE),"")</f>
        <v>0</v>
      </c>
      <c r="S482" s="64"/>
      <c r="T482" s="64"/>
      <c r="U482" s="59" t="str">
        <f>IFERROR(VLOOKUP(Tabelle32[[#This Row],[Device ID]],BOM!$B$3:$BQ$35,25,FALSE),"")</f>
        <v>Luis/Ivo</v>
      </c>
      <c r="V482" s="59" t="str">
        <f>IFERROR(VLOOKUP(Tabelle32[[#This Row],[Device ID]],BOM!$B$3:$BQ$35,26,FALSE),"")</f>
        <v>tpco-megw-vgw103.rta.st-net.media.int</v>
      </c>
      <c r="W482" s="59" t="str">
        <f>IFERROR(VLOOKUP(Tabelle32[[#This Row],[Device ID]],BOM!$B$3:$BQ$35,27,FALSE),"")</f>
        <v>10.120.236.50</v>
      </c>
      <c r="X482" s="59" t="str">
        <f>IFERROR(VLOOKUP(Tabelle32[[#This Row],[Device ID]],BOM!$B$3:$BQ$35,28,FALSE),"")</f>
        <v>AVCoreA</v>
      </c>
      <c r="Y482" s="59" t="str">
        <f>IFERROR(VLOOKUP(Tabelle32[[#This Row],[Device ID]],BOM!$B$3:$BQ$35,29,FALSE),"")</f>
        <v>5_36_1</v>
      </c>
      <c r="Z482" s="59" t="str">
        <f>IFERROR(VLOOKUP(Tabelle32[[#This Row],[Device ID]],BOM!$B$3:$BQ$35,30,FALSE),"")</f>
        <v>tpco-megw-vgw103.rtb.st-net.media.int</v>
      </c>
      <c r="AA482" s="59" t="str">
        <f>IFERROR(VLOOKUP(Tabelle32[[#This Row],[Device ID]],BOM!$B$3:$BQ$35,31,FALSE),"")</f>
        <v>10.120.236.54</v>
      </c>
      <c r="AB482" s="59" t="str">
        <f>IFERROR(VLOOKUP(Tabelle32[[#This Row],[Device ID]],BOM!$B$3:$BQ$35,32,FALSE),"")</f>
        <v>AVCoreB</v>
      </c>
      <c r="AC482" s="59" t="str">
        <f>IFERROR(VLOOKUP(Tabelle32[[#This Row],[Device ID]],BOM!$B$3:$BQ$35,33,FALSE),"")</f>
        <v>5_36_1</v>
      </c>
      <c r="AD482" s="59" t="str">
        <f>IFERROR(VLOOKUP(Tabelle32[[#This Row],[Device ID]],BOM!$B$3:$BQ$35,34,FALSE),"")</f>
        <v>tpco-megw-vgw103.st-net.media.int</v>
      </c>
      <c r="AE482" s="59" t="str">
        <f>IFERROR(VLOOKUP(Tabelle32[[#This Row],[Device ID]],BOM!$B$3:$BQ$35,35,FALSE),"")</f>
        <v>10.120.67.141</v>
      </c>
      <c r="AF482" s="59">
        <f>IFERROR(VLOOKUP(Tabelle32[[#This Row],[Device ID]],BOM!$B$3:$BQ$35,36,FALSE),"")</f>
        <v>0</v>
      </c>
      <c r="AG482" s="59">
        <f>IFERROR(VLOOKUP(Tabelle32[[#This Row],[Device ID]],BOM!$B$3:$BQ$35,37,FALSE),"")</f>
        <v>0</v>
      </c>
      <c r="AH482" s="59"/>
      <c r="AI482" s="59"/>
      <c r="AJ482" s="59"/>
      <c r="AK482" s="59"/>
      <c r="AL482" s="59" t="str">
        <f>IFERROR(VLOOKUP(Tabelle32[[#This Row],[Device ID]],BOM!$B$3:$BQ$35,42,FALSE),"")</f>
        <v>Imagine Communications SNP</v>
      </c>
      <c r="AM482" s="59" t="str">
        <f>IFERROR(VLOOKUP(Tabelle32[[#This Row],[Device ID]],BOM!$B$3:$BQ$35,43,FALSE),"")</f>
        <v>no</v>
      </c>
      <c r="AN482" s="59" t="str">
        <f>IFERROR(VLOOKUP(Tabelle32[[#This Row],[Device ID]],BOM!$B$3:$BQ$35,44,FALSE),"")</f>
        <v>yes</v>
      </c>
      <c r="AO482" s="59" t="str">
        <f>IFERROR(VLOOKUP(Tabelle32[[#This Row],[Device ID]],BOM!$B$3:$BQ$35,45,FALSE),"")</f>
        <v>no</v>
      </c>
      <c r="AP482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82" s="59"/>
      <c r="AR482" s="101"/>
      <c r="AS482" s="101"/>
      <c r="AT482" s="101"/>
      <c r="AU482" s="101"/>
      <c r="AV482" s="101"/>
      <c r="AW482" s="101"/>
      <c r="AX482" s="101"/>
      <c r="AY482" s="101"/>
      <c r="AZ482" s="101"/>
      <c r="BA482" s="101"/>
      <c r="BB482" s="101"/>
      <c r="BC482" s="101"/>
      <c r="BD482" s="101"/>
      <c r="BE482" s="101"/>
      <c r="BF482" s="101"/>
      <c r="BG482" s="101"/>
      <c r="BH482" s="73" t="s">
        <v>199</v>
      </c>
      <c r="BI482" s="30" t="str">
        <f>IF(COUNTA(Tabelle32[[#This Row],[Type:Vid_1080i50]:[Type:Anc_Prot]])&gt;0,"x","")</f>
        <v/>
      </c>
      <c r="BJ48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2" s="59"/>
      <c r="BL482" s="59"/>
      <c r="BM482" s="63"/>
      <c r="BN482" s="63"/>
      <c r="BO482" s="96"/>
      <c r="BP482" s="96"/>
      <c r="BQ482" s="75">
        <f>LEN(Tabelle32[[#This Row],[Label 1
GFX-Unit]])</f>
        <v>0</v>
      </c>
      <c r="BR482" s="63"/>
      <c r="BS482" s="63"/>
      <c r="BT482" s="59"/>
      <c r="BU482" s="59"/>
      <c r="BV482" s="59" t="s">
        <v>260</v>
      </c>
      <c r="BW482" s="59" t="s">
        <v>261</v>
      </c>
      <c r="BX482" s="59" t="s">
        <v>959</v>
      </c>
      <c r="BY482" s="59">
        <v>23</v>
      </c>
    </row>
    <row r="483" spans="1:77" hidden="1" x14ac:dyDescent="0.2">
      <c r="A483" s="58" t="str">
        <f>CONCATENATE(Tabelle32[[#This Row],[Device ID]],".",Tabelle32[[#This Row],[Streamcounter]])</f>
        <v>400.23215</v>
      </c>
      <c r="B48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VGW-103_SDI23_AUDrec_0015</v>
      </c>
      <c r="C483" s="60"/>
      <c r="D483" s="61"/>
      <c r="E483" s="62"/>
      <c r="F483" s="59" t="str">
        <f>IFERROR(VLOOKUP(Tabelle32[[#This Row],[Device ID]],BOM!$B$3:$BQ$35,16,FALSE),"")</f>
        <v>EditPC-09 IN</v>
      </c>
      <c r="G483" s="63">
        <f>VLOOKUP(Tabelle32[[#This Row],[SDI Interface]],BOM!$A$4:$B$35,2,FALSE)</f>
        <v>400</v>
      </c>
      <c r="H483" s="59" t="str">
        <f>BOM!$C$4</f>
        <v>VGW-103</v>
      </c>
      <c r="I483" s="59" t="str">
        <f>IFERROR(VLOOKUP(Tabelle32[[#This Row],[Device ID]],BOM!$B$3:$BQ$35,12,FALSE),"")</f>
        <v>Edit Suite</v>
      </c>
      <c r="J483" s="59" t="str">
        <f>IFERROR(VLOOKUP(Tabelle32[[#This Row],[Device ID]],BOM!$B$3:$BQ$35,13,FALSE),"")</f>
        <v>TC.U1.223 | MDC</v>
      </c>
      <c r="K483" s="59" t="str">
        <f>IFERROR(VLOOKUP(Tabelle32[[#This Row],[Device ID]],BOM!$B$3:$BQ$35,14,FALSE),"")</f>
        <v>Imagine Comunications</v>
      </c>
      <c r="L483" s="59" t="str">
        <f>IFERROR(VLOOKUP(Tabelle32[[#This Row],[Device ID]],BOM!$B$3:$BQ$35,16,FALSE),"")</f>
        <v>EditPC-09 IN</v>
      </c>
      <c r="M483" s="63" t="str">
        <f>IFERROR(VLOOKUP(Tabelle32[[#This Row],[Device ID]],BOM!$B$3:$BQ$35,17,FALSE),"")</f>
        <v>EDIT SUITE 09</v>
      </c>
      <c r="N483" s="59" t="str">
        <f>IFERROR(VLOOKUP(Tabelle32[[#This Row],[Device ID]],BOM!$B$3:$BQ$35,18,FALSE),"")</f>
        <v>TC.03.030 | Edit 09</v>
      </c>
      <c r="O483" s="64"/>
      <c r="P483" s="64">
        <f>IFERROR(VLOOKUP(Tabelle32[[#This Row],[Device ID]],BOM!$B$3:$BO$50,20,FALSE),"")</f>
        <v>0</v>
      </c>
      <c r="Q483" s="64">
        <f>IFERROR(VLOOKUP(Tabelle32[[#This Row],[Device ID]],BOM!$B$3:$BO$50,21,FALSE),"")</f>
        <v>1</v>
      </c>
      <c r="R483" s="64">
        <f>IFERROR(VLOOKUP(Tabelle32[[#This Row],[Device ID]],BOM!$B$3:$BO$50,22,FALSE),"")</f>
        <v>0</v>
      </c>
      <c r="S483" s="64"/>
      <c r="T483" s="64"/>
      <c r="U483" s="59" t="str">
        <f>IFERROR(VLOOKUP(Tabelle32[[#This Row],[Device ID]],BOM!$B$3:$BQ$35,25,FALSE),"")</f>
        <v>Luis/Ivo</v>
      </c>
      <c r="V483" s="59" t="str">
        <f>IFERROR(VLOOKUP(Tabelle32[[#This Row],[Device ID]],BOM!$B$3:$BQ$35,26,FALSE),"")</f>
        <v>tpco-megw-vgw103.rta.st-net.media.int</v>
      </c>
      <c r="W483" s="59" t="str">
        <f>IFERROR(VLOOKUP(Tabelle32[[#This Row],[Device ID]],BOM!$B$3:$BQ$35,27,FALSE),"")</f>
        <v>10.120.236.50</v>
      </c>
      <c r="X483" s="59" t="str">
        <f>IFERROR(VLOOKUP(Tabelle32[[#This Row],[Device ID]],BOM!$B$3:$BQ$35,28,FALSE),"")</f>
        <v>AVCoreA</v>
      </c>
      <c r="Y483" s="59" t="str">
        <f>IFERROR(VLOOKUP(Tabelle32[[#This Row],[Device ID]],BOM!$B$3:$BQ$35,29,FALSE),"")</f>
        <v>5_36_1</v>
      </c>
      <c r="Z483" s="59" t="str">
        <f>IFERROR(VLOOKUP(Tabelle32[[#This Row],[Device ID]],BOM!$B$3:$BQ$35,30,FALSE),"")</f>
        <v>tpco-megw-vgw103.rtb.st-net.media.int</v>
      </c>
      <c r="AA483" s="59" t="str">
        <f>IFERROR(VLOOKUP(Tabelle32[[#This Row],[Device ID]],BOM!$B$3:$BQ$35,31,FALSE),"")</f>
        <v>10.120.236.54</v>
      </c>
      <c r="AB483" s="59" t="str">
        <f>IFERROR(VLOOKUP(Tabelle32[[#This Row],[Device ID]],BOM!$B$3:$BQ$35,32,FALSE),"")</f>
        <v>AVCoreB</v>
      </c>
      <c r="AC483" s="59" t="str">
        <f>IFERROR(VLOOKUP(Tabelle32[[#This Row],[Device ID]],BOM!$B$3:$BQ$35,33,FALSE),"")</f>
        <v>5_36_1</v>
      </c>
      <c r="AD483" s="59" t="str">
        <f>IFERROR(VLOOKUP(Tabelle32[[#This Row],[Device ID]],BOM!$B$3:$BQ$35,34,FALSE),"")</f>
        <v>tpco-megw-vgw103.st-net.media.int</v>
      </c>
      <c r="AE483" s="59" t="str">
        <f>IFERROR(VLOOKUP(Tabelle32[[#This Row],[Device ID]],BOM!$B$3:$BQ$35,35,FALSE),"")</f>
        <v>10.120.67.141</v>
      </c>
      <c r="AF483" s="59">
        <f>IFERROR(VLOOKUP(Tabelle32[[#This Row],[Device ID]],BOM!$B$3:$BQ$35,36,FALSE),"")</f>
        <v>0</v>
      </c>
      <c r="AG483" s="59">
        <f>IFERROR(VLOOKUP(Tabelle32[[#This Row],[Device ID]],BOM!$B$3:$BQ$35,37,FALSE),"")</f>
        <v>0</v>
      </c>
      <c r="AH483" s="59"/>
      <c r="AI483" s="59"/>
      <c r="AJ483" s="59"/>
      <c r="AK483" s="59"/>
      <c r="AL483" s="59" t="str">
        <f>IFERROR(VLOOKUP(Tabelle32[[#This Row],[Device ID]],BOM!$B$3:$BQ$35,42,FALSE),"")</f>
        <v>Imagine Communications SNP</v>
      </c>
      <c r="AM483" s="59" t="str">
        <f>IFERROR(VLOOKUP(Tabelle32[[#This Row],[Device ID]],BOM!$B$3:$BQ$35,43,FALSE),"")</f>
        <v>no</v>
      </c>
      <c r="AN483" s="59" t="str">
        <f>IFERROR(VLOOKUP(Tabelle32[[#This Row],[Device ID]],BOM!$B$3:$BQ$35,44,FALSE),"")</f>
        <v>yes</v>
      </c>
      <c r="AO483" s="59" t="str">
        <f>IFERROR(VLOOKUP(Tabelle32[[#This Row],[Device ID]],BOM!$B$3:$BQ$35,45,FALSE),"")</f>
        <v>no</v>
      </c>
      <c r="AP483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83" s="59"/>
      <c r="AR483" s="90"/>
      <c r="AS483" s="90"/>
      <c r="AT483" s="90"/>
      <c r="AU483" s="90"/>
      <c r="AV483" s="90"/>
      <c r="AW483" s="90"/>
      <c r="AX483" s="90"/>
      <c r="AY483" s="90"/>
      <c r="AZ483" s="90"/>
      <c r="BA483" s="90"/>
      <c r="BB483" s="90"/>
      <c r="BC483" s="90"/>
      <c r="BD483" s="90"/>
      <c r="BE483" s="90"/>
      <c r="BF483" s="90"/>
      <c r="BG483" s="90"/>
      <c r="BH483" s="73" t="s">
        <v>199</v>
      </c>
      <c r="BI483" s="30" t="str">
        <f>IF(COUNTA(Tabelle32[[#This Row],[Type:Vid_1080i50]:[Type:Anc_Prot]])&gt;0,"x","")</f>
        <v/>
      </c>
      <c r="BJ48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3" s="59"/>
      <c r="BL483" s="59"/>
      <c r="BM483" s="63"/>
      <c r="BN483" s="63"/>
      <c r="BO483" s="96"/>
      <c r="BP483" s="96"/>
      <c r="BQ483" s="75">
        <f>LEN(Tabelle32[[#This Row],[Label 1
GFX-Unit]])</f>
        <v>0</v>
      </c>
      <c r="BR483" s="63"/>
      <c r="BS483" s="63"/>
      <c r="BT483" s="59"/>
      <c r="BU483" s="59"/>
      <c r="BV483" s="59" t="s">
        <v>264</v>
      </c>
      <c r="BW483" s="59" t="s">
        <v>265</v>
      </c>
      <c r="BX483" s="59" t="s">
        <v>960</v>
      </c>
      <c r="BY483" s="59">
        <v>23</v>
      </c>
    </row>
    <row r="484" spans="1:77" hidden="1" x14ac:dyDescent="0.2">
      <c r="A484" s="58" t="str">
        <f>CONCATENATE(Tabelle32[[#This Row],[Device ID]],".",Tabelle32[[#This Row],[Streamcounter]])</f>
        <v>400.23216</v>
      </c>
      <c r="B48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VGW-103_SDI23_AUDrec_0016</v>
      </c>
      <c r="C484" s="60"/>
      <c r="D484" s="61"/>
      <c r="E484" s="62"/>
      <c r="F484" s="59" t="str">
        <f>IFERROR(VLOOKUP(Tabelle32[[#This Row],[Device ID]],BOM!$B$3:$BQ$35,16,FALSE),"")</f>
        <v>EditPC-09 IN</v>
      </c>
      <c r="G484" s="63">
        <f>VLOOKUP(Tabelle32[[#This Row],[SDI Interface]],BOM!$A$4:$B$35,2,FALSE)</f>
        <v>400</v>
      </c>
      <c r="H484" s="59" t="str">
        <f>BOM!$C$4</f>
        <v>VGW-103</v>
      </c>
      <c r="I484" s="59" t="str">
        <f>IFERROR(VLOOKUP(Tabelle32[[#This Row],[Device ID]],BOM!$B$3:$BQ$35,12,FALSE),"")</f>
        <v>Edit Suite</v>
      </c>
      <c r="J484" s="59" t="str">
        <f>IFERROR(VLOOKUP(Tabelle32[[#This Row],[Device ID]],BOM!$B$3:$BQ$35,13,FALSE),"")</f>
        <v>TC.U1.223 | MDC</v>
      </c>
      <c r="K484" s="59" t="str">
        <f>IFERROR(VLOOKUP(Tabelle32[[#This Row],[Device ID]],BOM!$B$3:$BQ$35,14,FALSE),"")</f>
        <v>Imagine Comunications</v>
      </c>
      <c r="L484" s="59" t="str">
        <f>IFERROR(VLOOKUP(Tabelle32[[#This Row],[Device ID]],BOM!$B$3:$BQ$35,16,FALSE),"")</f>
        <v>EditPC-09 IN</v>
      </c>
      <c r="M484" s="63" t="str">
        <f>IFERROR(VLOOKUP(Tabelle32[[#This Row],[Device ID]],BOM!$B$3:$BQ$35,17,FALSE),"")</f>
        <v>EDIT SUITE 09</v>
      </c>
      <c r="N484" s="59" t="str">
        <f>IFERROR(VLOOKUP(Tabelle32[[#This Row],[Device ID]],BOM!$B$3:$BQ$35,18,FALSE),"")</f>
        <v>TC.03.030 | Edit 09</v>
      </c>
      <c r="O484" s="64"/>
      <c r="P484" s="64">
        <f>IFERROR(VLOOKUP(Tabelle32[[#This Row],[Device ID]],BOM!$B$3:$BO$50,20,FALSE),"")</f>
        <v>0</v>
      </c>
      <c r="Q484" s="64">
        <f>IFERROR(VLOOKUP(Tabelle32[[#This Row],[Device ID]],BOM!$B$3:$BO$50,21,FALSE),"")</f>
        <v>1</v>
      </c>
      <c r="R484" s="64">
        <f>IFERROR(VLOOKUP(Tabelle32[[#This Row],[Device ID]],BOM!$B$3:$BO$50,22,FALSE),"")</f>
        <v>0</v>
      </c>
      <c r="S484" s="64"/>
      <c r="T484" s="64"/>
      <c r="U484" s="59" t="str">
        <f>IFERROR(VLOOKUP(Tabelle32[[#This Row],[Device ID]],BOM!$B$3:$BQ$35,25,FALSE),"")</f>
        <v>Luis/Ivo</v>
      </c>
      <c r="V484" s="59" t="str">
        <f>IFERROR(VLOOKUP(Tabelle32[[#This Row],[Device ID]],BOM!$B$3:$BQ$35,26,FALSE),"")</f>
        <v>tpco-megw-vgw103.rta.st-net.media.int</v>
      </c>
      <c r="W484" s="59" t="str">
        <f>IFERROR(VLOOKUP(Tabelle32[[#This Row],[Device ID]],BOM!$B$3:$BQ$35,27,FALSE),"")</f>
        <v>10.120.236.50</v>
      </c>
      <c r="X484" s="59" t="str">
        <f>IFERROR(VLOOKUP(Tabelle32[[#This Row],[Device ID]],BOM!$B$3:$BQ$35,28,FALSE),"")</f>
        <v>AVCoreA</v>
      </c>
      <c r="Y484" s="59" t="str">
        <f>IFERROR(VLOOKUP(Tabelle32[[#This Row],[Device ID]],BOM!$B$3:$BQ$35,29,FALSE),"")</f>
        <v>5_36_1</v>
      </c>
      <c r="Z484" s="59" t="str">
        <f>IFERROR(VLOOKUP(Tabelle32[[#This Row],[Device ID]],BOM!$B$3:$BQ$35,30,FALSE),"")</f>
        <v>tpco-megw-vgw103.rtb.st-net.media.int</v>
      </c>
      <c r="AA484" s="59" t="str">
        <f>IFERROR(VLOOKUP(Tabelle32[[#This Row],[Device ID]],BOM!$B$3:$BQ$35,31,FALSE),"")</f>
        <v>10.120.236.54</v>
      </c>
      <c r="AB484" s="59" t="str">
        <f>IFERROR(VLOOKUP(Tabelle32[[#This Row],[Device ID]],BOM!$B$3:$BQ$35,32,FALSE),"")</f>
        <v>AVCoreB</v>
      </c>
      <c r="AC484" s="59" t="str">
        <f>IFERROR(VLOOKUP(Tabelle32[[#This Row],[Device ID]],BOM!$B$3:$BQ$35,33,FALSE),"")</f>
        <v>5_36_1</v>
      </c>
      <c r="AD484" s="59" t="str">
        <f>IFERROR(VLOOKUP(Tabelle32[[#This Row],[Device ID]],BOM!$B$3:$BQ$35,34,FALSE),"")</f>
        <v>tpco-megw-vgw103.st-net.media.int</v>
      </c>
      <c r="AE484" s="59" t="str">
        <f>IFERROR(VLOOKUP(Tabelle32[[#This Row],[Device ID]],BOM!$B$3:$BQ$35,35,FALSE),"")</f>
        <v>10.120.67.141</v>
      </c>
      <c r="AF484" s="59">
        <f>IFERROR(VLOOKUP(Tabelle32[[#This Row],[Device ID]],BOM!$B$3:$BQ$35,36,FALSE),"")</f>
        <v>0</v>
      </c>
      <c r="AG484" s="59">
        <f>IFERROR(VLOOKUP(Tabelle32[[#This Row],[Device ID]],BOM!$B$3:$BQ$35,37,FALSE),"")</f>
        <v>0</v>
      </c>
      <c r="AH484" s="59"/>
      <c r="AI484" s="59"/>
      <c r="AJ484" s="59"/>
      <c r="AK484" s="59"/>
      <c r="AL484" s="59" t="str">
        <f>IFERROR(VLOOKUP(Tabelle32[[#This Row],[Device ID]],BOM!$B$3:$BQ$35,42,FALSE),"")</f>
        <v>Imagine Communications SNP</v>
      </c>
      <c r="AM484" s="59" t="str">
        <f>IFERROR(VLOOKUP(Tabelle32[[#This Row],[Device ID]],BOM!$B$3:$BQ$35,43,FALSE),"")</f>
        <v>no</v>
      </c>
      <c r="AN484" s="59" t="str">
        <f>IFERROR(VLOOKUP(Tabelle32[[#This Row],[Device ID]],BOM!$B$3:$BQ$35,44,FALSE),"")</f>
        <v>yes</v>
      </c>
      <c r="AO484" s="59" t="str">
        <f>IFERROR(VLOOKUP(Tabelle32[[#This Row],[Device ID]],BOM!$B$3:$BQ$35,45,FALSE),"")</f>
        <v>no</v>
      </c>
      <c r="AP484" s="59" t="str">
        <f>IFERROR(CONCATENATE(Tabelle32[[#This Row],[Family
GFX-Unit]]," | ",Tabelle32[[#This Row],[Label 1
GFX-Unit]]," | ",Tabelle32[[#This Row],[Attached Device if Gateway]]),"")</f>
        <v xml:space="preserve"> |  | EditPC-09 IN</v>
      </c>
      <c r="AQ484" s="59"/>
      <c r="AR484" s="90"/>
      <c r="AS484" s="90"/>
      <c r="AT484" s="90"/>
      <c r="AU484" s="90"/>
      <c r="AV484" s="90"/>
      <c r="AW484" s="90"/>
      <c r="AX484" s="90"/>
      <c r="AY484" s="90"/>
      <c r="AZ484" s="90"/>
      <c r="BA484" s="90"/>
      <c r="BB484" s="90"/>
      <c r="BC484" s="90"/>
      <c r="BD484" s="90"/>
      <c r="BE484" s="90"/>
      <c r="BF484" s="90"/>
      <c r="BG484" s="90"/>
      <c r="BH484" s="73" t="s">
        <v>199</v>
      </c>
      <c r="BI484" s="30" t="str">
        <f>IF(COUNTA(Tabelle32[[#This Row],[Type:Vid_1080i50]:[Type:Anc_Prot]])&gt;0,"x","")</f>
        <v/>
      </c>
      <c r="BJ48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4" s="59"/>
      <c r="BL484" s="59"/>
      <c r="BM484" s="63"/>
      <c r="BN484" s="63"/>
      <c r="BO484" s="96"/>
      <c r="BP484" s="96"/>
      <c r="BQ484" s="75">
        <f>LEN(Tabelle32[[#This Row],[Label 1
GFX-Unit]])</f>
        <v>0</v>
      </c>
      <c r="BR484" s="63"/>
      <c r="BS484" s="63"/>
      <c r="BT484" s="59"/>
      <c r="BU484" s="59"/>
      <c r="BV484" s="59" t="s">
        <v>268</v>
      </c>
      <c r="BW484" s="59" t="s">
        <v>269</v>
      </c>
      <c r="BX484" s="59" t="s">
        <v>961</v>
      </c>
      <c r="BY484" s="59">
        <v>23</v>
      </c>
    </row>
    <row r="485" spans="1:77" x14ac:dyDescent="0.2">
      <c r="A485" s="58" t="str">
        <f>CONCATENATE(Tabelle32[[#This Row],[Device ID]],".",Tabelle32[[#This Row],[Streamcounter]])</f>
        <v>400.23101</v>
      </c>
      <c r="B48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VGW-103_SDI23_VIDrec_0001</v>
      </c>
      <c r="C485" s="60"/>
      <c r="D485" s="61"/>
      <c r="E485" s="62"/>
      <c r="F485" s="59" t="str">
        <f>IFERROR(VLOOKUP(Tabelle32[[#This Row],[Device ID]],BOM!$B$3:$BQ$35,16,FALSE),"")</f>
        <v>EditPC-09 IN</v>
      </c>
      <c r="G485" s="63">
        <f>VLOOKUP(Tabelle32[[#This Row],[SDI Interface]],BOM!$A$4:$B$35,2,FALSE)</f>
        <v>400</v>
      </c>
      <c r="H485" s="59" t="str">
        <f>BOM!$C$4</f>
        <v>VGW-103</v>
      </c>
      <c r="I485" s="59" t="str">
        <f>IFERROR(VLOOKUP(Tabelle32[[#This Row],[Device ID]],BOM!$B$3:$BQ$35,12,FALSE),"")</f>
        <v>Edit Suite</v>
      </c>
      <c r="J485" s="59" t="str">
        <f>IFERROR(VLOOKUP(Tabelle32[[#This Row],[Device ID]],BOM!$B$3:$BQ$35,13,FALSE),"")</f>
        <v>TC.U1.223 | MDC</v>
      </c>
      <c r="K485" s="59" t="str">
        <f>IFERROR(VLOOKUP(Tabelle32[[#This Row],[Device ID]],BOM!$B$3:$BQ$35,14,FALSE),"")</f>
        <v>Imagine Comunications</v>
      </c>
      <c r="L485" s="59" t="str">
        <f>IFERROR(VLOOKUP(Tabelle32[[#This Row],[Device ID]],BOM!$B$3:$BQ$35,16,FALSE),"")</f>
        <v>EditPC-09 IN</v>
      </c>
      <c r="M485" s="63" t="str">
        <f>IFERROR(VLOOKUP(Tabelle32[[#This Row],[Device ID]],BOM!$B$3:$BQ$35,17,FALSE),"")</f>
        <v>EDIT SUITE 09</v>
      </c>
      <c r="N485" s="59" t="str">
        <f>IFERROR(VLOOKUP(Tabelle32[[#This Row],[Device ID]],BOM!$B$3:$BQ$35,18,FALSE),"")</f>
        <v>TC.03.030 | Edit 09</v>
      </c>
      <c r="O485" s="64"/>
      <c r="P485" s="64">
        <f>IFERROR(VLOOKUP(Tabelle32[[#This Row],[Device ID]],BOM!$B$3:$BO$50,20,FALSE),"")</f>
        <v>0</v>
      </c>
      <c r="Q485" s="64">
        <f>IFERROR(VLOOKUP(Tabelle32[[#This Row],[Device ID]],BOM!$B$3:$BO$50,21,FALSE),"")</f>
        <v>1</v>
      </c>
      <c r="R485" s="64">
        <f>IFERROR(VLOOKUP(Tabelle32[[#This Row],[Device ID]],BOM!$B$3:$BO$50,22,FALSE),"")</f>
        <v>0</v>
      </c>
      <c r="S485" s="64"/>
      <c r="T485" s="64"/>
      <c r="U485" s="59" t="str">
        <f>IFERROR(VLOOKUP(Tabelle32[[#This Row],[Device ID]],BOM!$B$3:$BQ$35,25,FALSE),"")</f>
        <v>Luis/Ivo</v>
      </c>
      <c r="V485" s="59" t="str">
        <f>IFERROR(VLOOKUP(Tabelle32[[#This Row],[Device ID]],BOM!$B$3:$BQ$35,26,FALSE),"")</f>
        <v>tpco-megw-vgw103.rta.st-net.media.int</v>
      </c>
      <c r="W485" s="59" t="str">
        <f>IFERROR(VLOOKUP(Tabelle32[[#This Row],[Device ID]],BOM!$B$3:$BQ$35,27,FALSE),"")</f>
        <v>10.120.236.50</v>
      </c>
      <c r="X485" s="59" t="str">
        <f>IFERROR(VLOOKUP(Tabelle32[[#This Row],[Device ID]],BOM!$B$3:$BQ$35,28,FALSE),"")</f>
        <v>AVCoreA</v>
      </c>
      <c r="Y485" s="59" t="str">
        <f>IFERROR(VLOOKUP(Tabelle32[[#This Row],[Device ID]],BOM!$B$3:$BQ$35,29,FALSE),"")</f>
        <v>5_36_1</v>
      </c>
      <c r="Z485" s="59" t="str">
        <f>IFERROR(VLOOKUP(Tabelle32[[#This Row],[Device ID]],BOM!$B$3:$BQ$35,30,FALSE),"")</f>
        <v>tpco-megw-vgw103.rtb.st-net.media.int</v>
      </c>
      <c r="AA485" s="59" t="str">
        <f>IFERROR(VLOOKUP(Tabelle32[[#This Row],[Device ID]],BOM!$B$3:$BQ$35,31,FALSE),"")</f>
        <v>10.120.236.54</v>
      </c>
      <c r="AB485" s="59" t="str">
        <f>IFERROR(VLOOKUP(Tabelle32[[#This Row],[Device ID]],BOM!$B$3:$BQ$35,32,FALSE),"")</f>
        <v>AVCoreB</v>
      </c>
      <c r="AC485" s="59" t="str">
        <f>IFERROR(VLOOKUP(Tabelle32[[#This Row],[Device ID]],BOM!$B$3:$BQ$35,33,FALSE),"")</f>
        <v>5_36_1</v>
      </c>
      <c r="AD485" s="59" t="str">
        <f>IFERROR(VLOOKUP(Tabelle32[[#This Row],[Device ID]],BOM!$B$3:$BQ$35,34,FALSE),"")</f>
        <v>tpco-megw-vgw103.st-net.media.int</v>
      </c>
      <c r="AE485" s="59" t="str">
        <f>IFERROR(VLOOKUP(Tabelle32[[#This Row],[Device ID]],BOM!$B$3:$BQ$35,35,FALSE),"")</f>
        <v>10.120.67.141</v>
      </c>
      <c r="AF485" s="59">
        <f>IFERROR(VLOOKUP(Tabelle32[[#This Row],[Device ID]],BOM!$B$3:$BQ$35,36,FALSE),"")</f>
        <v>0</v>
      </c>
      <c r="AG485" s="59">
        <f>IFERROR(VLOOKUP(Tabelle32[[#This Row],[Device ID]],BOM!$B$3:$BQ$35,37,FALSE),"")</f>
        <v>0</v>
      </c>
      <c r="AH485" s="59"/>
      <c r="AI485" s="59"/>
      <c r="AJ485" s="59"/>
      <c r="AK485" s="59"/>
      <c r="AL485" s="59" t="str">
        <f>IFERROR(VLOOKUP(Tabelle32[[#This Row],[Device ID]],BOM!$B$3:$BQ$35,42,FALSE),"")</f>
        <v>Imagine Communications SNP</v>
      </c>
      <c r="AM485" s="59" t="str">
        <f>IFERROR(VLOOKUP(Tabelle32[[#This Row],[Device ID]],BOM!$B$3:$BQ$35,43,FALSE),"")</f>
        <v>no</v>
      </c>
      <c r="AN485" s="59" t="str">
        <f>IFERROR(VLOOKUP(Tabelle32[[#This Row],[Device ID]],BOM!$B$3:$BQ$35,44,FALSE),"")</f>
        <v>yes</v>
      </c>
      <c r="AO485" s="59" t="str">
        <f>IFERROR(VLOOKUP(Tabelle32[[#This Row],[Device ID]],BOM!$B$3:$BQ$35,45,FALSE),"")</f>
        <v>no</v>
      </c>
      <c r="AP485" s="59" t="str">
        <f>IFERROR(CONCATENATE(Tabelle32[[#This Row],[Family
GFX-Unit]]," | ",Tabelle32[[#This Row],[Label 1
GFX-Unit]]," | ",Tabelle32[[#This Row],[Attached Device if Gateway]]),"")</f>
        <v>MEDEM Edit09 | In Edit09 | EditPC-09 IN</v>
      </c>
      <c r="AQ485" s="59"/>
      <c r="AR485" s="96" t="s">
        <v>97</v>
      </c>
      <c r="AS485" s="96" t="s">
        <v>97</v>
      </c>
      <c r="AT485" s="96" t="s">
        <v>97</v>
      </c>
      <c r="AU485" s="96"/>
      <c r="AV485" s="96" t="s">
        <v>97</v>
      </c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73" t="s">
        <v>199</v>
      </c>
      <c r="BI485" s="30" t="str">
        <f>IF(COUNTA(Tabelle32[[#This Row],[Type:Vid_1080i50]:[Type:Anc_Prot]])&gt;0,"x","")</f>
        <v>x</v>
      </c>
      <c r="BJ48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485" s="59"/>
      <c r="BL485" s="59"/>
      <c r="BM485" s="63"/>
      <c r="BN485" s="63"/>
      <c r="BO485" s="97" t="s">
        <v>931</v>
      </c>
      <c r="BP485" s="97" t="s">
        <v>962</v>
      </c>
      <c r="BQ485" s="75">
        <f>LEN(Tabelle32[[#This Row],[Label 1
GFX-Unit]])</f>
        <v>9</v>
      </c>
      <c r="BR485" s="63"/>
      <c r="BS485" s="63"/>
      <c r="BT485" s="59"/>
      <c r="BU485" s="59"/>
      <c r="BV485" s="59" t="s">
        <v>272</v>
      </c>
      <c r="BW485" s="59" t="s">
        <v>273</v>
      </c>
      <c r="BX485" s="59" t="s">
        <v>963</v>
      </c>
      <c r="BY485" s="59">
        <v>23</v>
      </c>
    </row>
    <row r="486" spans="1:77" x14ac:dyDescent="0.2">
      <c r="A486" s="58" t="str">
        <f>CONCATENATE(Tabelle32[[#This Row],[Device ID]],".",Tabelle32[[#This Row],[Streamcounter]])</f>
        <v>401.24301</v>
      </c>
      <c r="B48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VGW-103_SDI24_ANCrec_0001</v>
      </c>
      <c r="C486" s="60"/>
      <c r="D486" s="61"/>
      <c r="E486" s="62"/>
      <c r="F486" s="59" t="str">
        <f>IFERROR(VLOOKUP(Tabelle32[[#This Row],[Device ID]],BOM!$B$3:$BQ$35,16,FALSE),"")</f>
        <v>EditPC-10 IN</v>
      </c>
      <c r="G486" s="63">
        <f>VLOOKUP(Tabelle32[[#This Row],[SDI Interface]],BOM!$A$4:$B$35,2,FALSE)</f>
        <v>401</v>
      </c>
      <c r="H486" s="59" t="str">
        <f>BOM!$C$4</f>
        <v>VGW-103</v>
      </c>
      <c r="I486" s="59" t="str">
        <f>IFERROR(VLOOKUP(Tabelle32[[#This Row],[Device ID]],BOM!$B$3:$BQ$35,12,FALSE),"")</f>
        <v>Edit Suite</v>
      </c>
      <c r="J486" s="59" t="str">
        <f>IFERROR(VLOOKUP(Tabelle32[[#This Row],[Device ID]],BOM!$B$3:$BQ$35,13,FALSE),"")</f>
        <v>TC.U1.223 | MDC</v>
      </c>
      <c r="K486" s="59" t="str">
        <f>IFERROR(VLOOKUP(Tabelle32[[#This Row],[Device ID]],BOM!$B$3:$BQ$35,14,FALSE),"")</f>
        <v>Imagine Comunications</v>
      </c>
      <c r="L486" s="59" t="str">
        <f>IFERROR(VLOOKUP(Tabelle32[[#This Row],[Device ID]],BOM!$B$3:$BQ$35,16,FALSE),"")</f>
        <v>EditPC-10 IN</v>
      </c>
      <c r="M486" s="63" t="str">
        <f>IFERROR(VLOOKUP(Tabelle32[[#This Row],[Device ID]],BOM!$B$3:$BQ$35,17,FALSE),"")</f>
        <v>EDIT SUITE 10</v>
      </c>
      <c r="N486" s="59" t="str">
        <f>IFERROR(VLOOKUP(Tabelle32[[#This Row],[Device ID]],BOM!$B$3:$BQ$35,18,FALSE),"")</f>
        <v>TC.03.017 | Edit 10</v>
      </c>
      <c r="O486" s="64"/>
      <c r="P486" s="64">
        <f>IFERROR(VLOOKUP(Tabelle32[[#This Row],[Device ID]],BOM!$B$3:$BO$50,20,FALSE),"")</f>
        <v>0</v>
      </c>
      <c r="Q486" s="64">
        <f>IFERROR(VLOOKUP(Tabelle32[[#This Row],[Device ID]],BOM!$B$3:$BO$50,21,FALSE),"")</f>
        <v>1</v>
      </c>
      <c r="R486" s="64">
        <f>IFERROR(VLOOKUP(Tabelle32[[#This Row],[Device ID]],BOM!$B$3:$BO$50,22,FALSE),"")</f>
        <v>0</v>
      </c>
      <c r="S486" s="64"/>
      <c r="T486" s="64"/>
      <c r="U486" s="59" t="str">
        <f>IFERROR(VLOOKUP(Tabelle32[[#This Row],[Device ID]],BOM!$B$3:$BQ$35,25,FALSE),"")</f>
        <v>Luis/Ivo</v>
      </c>
      <c r="V486" s="59" t="str">
        <f>IFERROR(VLOOKUP(Tabelle32[[#This Row],[Device ID]],BOM!$B$3:$BQ$35,26,FALSE),"")</f>
        <v>tpco-megw-vgw103.rta.st-net.media.int</v>
      </c>
      <c r="W486" s="59" t="str">
        <f>IFERROR(VLOOKUP(Tabelle32[[#This Row],[Device ID]],BOM!$B$3:$BQ$35,27,FALSE),"")</f>
        <v>10.120.236.50</v>
      </c>
      <c r="X486" s="59" t="str">
        <f>IFERROR(VLOOKUP(Tabelle32[[#This Row],[Device ID]],BOM!$B$3:$BQ$35,28,FALSE),"")</f>
        <v>AVCoreA</v>
      </c>
      <c r="Y486" s="59" t="str">
        <f>IFERROR(VLOOKUP(Tabelle32[[#This Row],[Device ID]],BOM!$B$3:$BQ$35,29,FALSE),"")</f>
        <v>5_36_1</v>
      </c>
      <c r="Z486" s="59" t="str">
        <f>IFERROR(VLOOKUP(Tabelle32[[#This Row],[Device ID]],BOM!$B$3:$BQ$35,30,FALSE),"")</f>
        <v>tpco-megw-vgw103.rtb.st-net.media.int</v>
      </c>
      <c r="AA486" s="59" t="str">
        <f>IFERROR(VLOOKUP(Tabelle32[[#This Row],[Device ID]],BOM!$B$3:$BQ$35,31,FALSE),"")</f>
        <v>10.120.236.54</v>
      </c>
      <c r="AB486" s="59" t="str">
        <f>IFERROR(VLOOKUP(Tabelle32[[#This Row],[Device ID]],BOM!$B$3:$BQ$35,32,FALSE),"")</f>
        <v>AVCoreB</v>
      </c>
      <c r="AC486" s="59" t="str">
        <f>IFERROR(VLOOKUP(Tabelle32[[#This Row],[Device ID]],BOM!$B$3:$BQ$35,33,FALSE),"")</f>
        <v>5_36_1</v>
      </c>
      <c r="AD486" s="59" t="str">
        <f>IFERROR(VLOOKUP(Tabelle32[[#This Row],[Device ID]],BOM!$B$3:$BQ$35,34,FALSE),"")</f>
        <v>tpco-megw-vgw103.st-net.media.int</v>
      </c>
      <c r="AE486" s="59" t="str">
        <f>IFERROR(VLOOKUP(Tabelle32[[#This Row],[Device ID]],BOM!$B$3:$BQ$35,35,FALSE),"")</f>
        <v>10.120.67.141</v>
      </c>
      <c r="AF486" s="59">
        <f>IFERROR(VLOOKUP(Tabelle32[[#This Row],[Device ID]],BOM!$B$3:$BQ$35,36,FALSE),"")</f>
        <v>0</v>
      </c>
      <c r="AG486" s="59">
        <f>IFERROR(VLOOKUP(Tabelle32[[#This Row],[Device ID]],BOM!$B$3:$BQ$35,37,FALSE),"")</f>
        <v>0</v>
      </c>
      <c r="AH486" s="59"/>
      <c r="AI486" s="59"/>
      <c r="AJ486" s="59"/>
      <c r="AK486" s="59"/>
      <c r="AL486" s="59" t="str">
        <f>IFERROR(VLOOKUP(Tabelle32[[#This Row],[Device ID]],BOM!$B$3:$BQ$35,42,FALSE),"")</f>
        <v>Imagine Communications SNP</v>
      </c>
      <c r="AM486" s="59" t="str">
        <f>IFERROR(VLOOKUP(Tabelle32[[#This Row],[Device ID]],BOM!$B$3:$BQ$35,43,FALSE),"")</f>
        <v>no</v>
      </c>
      <c r="AN486" s="59" t="str">
        <f>IFERROR(VLOOKUP(Tabelle32[[#This Row],[Device ID]],BOM!$B$3:$BQ$35,44,FALSE),"")</f>
        <v>yes</v>
      </c>
      <c r="AO486" s="59" t="str">
        <f>IFERROR(VLOOKUP(Tabelle32[[#This Row],[Device ID]],BOM!$B$3:$BQ$35,45,FALSE),"")</f>
        <v>no</v>
      </c>
      <c r="AP486" s="59" t="str">
        <f>IFERROR(CONCATENATE(Tabelle32[[#This Row],[Family
GFX-Unit]]," | ",Tabelle32[[#This Row],[Label 1
GFX-Unit]]," | ",Tabelle32[[#This Row],[Attached Device if Gateway]]),"")</f>
        <v>MEDEM Edit10 | In Edit10-ANC1 | EditPC-10 IN</v>
      </c>
      <c r="AQ486" s="5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  <c r="BG486" s="99" t="s">
        <v>97</v>
      </c>
      <c r="BH486" s="73" t="s">
        <v>199</v>
      </c>
      <c r="BI486" s="30" t="str">
        <f>IF(COUNTA(Tabelle32[[#This Row],[Type:Vid_1080i50]:[Type:Anc_Prot]])&gt;0,"x","")</f>
        <v>x</v>
      </c>
      <c r="BJ48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486" s="59"/>
      <c r="BL486" s="59"/>
      <c r="BM486" s="63"/>
      <c r="BN486" s="63"/>
      <c r="BO486" s="97" t="s">
        <v>964</v>
      </c>
      <c r="BP486" s="97" t="s">
        <v>965</v>
      </c>
      <c r="BQ486" s="75">
        <f>LEN(Tabelle32[[#This Row],[Label 1
GFX-Unit]])</f>
        <v>14</v>
      </c>
      <c r="BR486" s="63"/>
      <c r="BS486" s="63"/>
      <c r="BT486" s="59"/>
      <c r="BU486" s="59"/>
      <c r="BV486" s="59" t="s">
        <v>202</v>
      </c>
      <c r="BW486" s="59" t="s">
        <v>203</v>
      </c>
      <c r="BX486" s="59" t="s">
        <v>966</v>
      </c>
      <c r="BY486" s="59">
        <v>24</v>
      </c>
    </row>
    <row r="487" spans="1:77" hidden="1" x14ac:dyDescent="0.2">
      <c r="A487" s="58" t="str">
        <f>CONCATENATE(Tabelle32[[#This Row],[Device ID]],".",Tabelle32[[#This Row],[Streamcounter]])</f>
        <v>401.24302</v>
      </c>
      <c r="B48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VGW-103_SDI24_ANCrec_0002</v>
      </c>
      <c r="C487" s="60"/>
      <c r="D487" s="61"/>
      <c r="E487" s="62"/>
      <c r="F487" s="59" t="str">
        <f>IFERROR(VLOOKUP(Tabelle32[[#This Row],[Device ID]],BOM!$B$3:$BQ$35,16,FALSE),"")</f>
        <v>EditPC-10 IN</v>
      </c>
      <c r="G487" s="63">
        <f>VLOOKUP(Tabelle32[[#This Row],[SDI Interface]],BOM!$A$4:$B$35,2,FALSE)</f>
        <v>401</v>
      </c>
      <c r="H487" s="59" t="str">
        <f>BOM!$C$4</f>
        <v>VGW-103</v>
      </c>
      <c r="I487" s="59" t="str">
        <f>IFERROR(VLOOKUP(Tabelle32[[#This Row],[Device ID]],BOM!$B$3:$BQ$35,12,FALSE),"")</f>
        <v>Edit Suite</v>
      </c>
      <c r="J487" s="59" t="str">
        <f>IFERROR(VLOOKUP(Tabelle32[[#This Row],[Device ID]],BOM!$B$3:$BQ$35,13,FALSE),"")</f>
        <v>TC.U1.223 | MDC</v>
      </c>
      <c r="K487" s="59" t="str">
        <f>IFERROR(VLOOKUP(Tabelle32[[#This Row],[Device ID]],BOM!$B$3:$BQ$35,14,FALSE),"")</f>
        <v>Imagine Comunications</v>
      </c>
      <c r="L487" s="59" t="str">
        <f>IFERROR(VLOOKUP(Tabelle32[[#This Row],[Device ID]],BOM!$B$3:$BQ$35,16,FALSE),"")</f>
        <v>EditPC-10 IN</v>
      </c>
      <c r="M487" s="63" t="str">
        <f>IFERROR(VLOOKUP(Tabelle32[[#This Row],[Device ID]],BOM!$B$3:$BQ$35,17,FALSE),"")</f>
        <v>EDIT SUITE 10</v>
      </c>
      <c r="N487" s="59" t="str">
        <f>IFERROR(VLOOKUP(Tabelle32[[#This Row],[Device ID]],BOM!$B$3:$BQ$35,18,FALSE),"")</f>
        <v>TC.03.017 | Edit 10</v>
      </c>
      <c r="O487" s="64"/>
      <c r="P487" s="64">
        <f>IFERROR(VLOOKUP(Tabelle32[[#This Row],[Device ID]],BOM!$B$3:$BO$50,20,FALSE),"")</f>
        <v>0</v>
      </c>
      <c r="Q487" s="64">
        <f>IFERROR(VLOOKUP(Tabelle32[[#This Row],[Device ID]],BOM!$B$3:$BO$50,21,FALSE),"")</f>
        <v>1</v>
      </c>
      <c r="R487" s="64">
        <f>IFERROR(VLOOKUP(Tabelle32[[#This Row],[Device ID]],BOM!$B$3:$BO$50,22,FALSE),"")</f>
        <v>0</v>
      </c>
      <c r="S487" s="64"/>
      <c r="T487" s="64"/>
      <c r="U487" s="59" t="str">
        <f>IFERROR(VLOOKUP(Tabelle32[[#This Row],[Device ID]],BOM!$B$3:$BQ$35,25,FALSE),"")</f>
        <v>Luis/Ivo</v>
      </c>
      <c r="V487" s="59" t="str">
        <f>IFERROR(VLOOKUP(Tabelle32[[#This Row],[Device ID]],BOM!$B$3:$BQ$35,26,FALSE),"")</f>
        <v>tpco-megw-vgw103.rta.st-net.media.int</v>
      </c>
      <c r="W487" s="59" t="str">
        <f>IFERROR(VLOOKUP(Tabelle32[[#This Row],[Device ID]],BOM!$B$3:$BQ$35,27,FALSE),"")</f>
        <v>10.120.236.50</v>
      </c>
      <c r="X487" s="59" t="str">
        <f>IFERROR(VLOOKUP(Tabelle32[[#This Row],[Device ID]],BOM!$B$3:$BQ$35,28,FALSE),"")</f>
        <v>AVCoreA</v>
      </c>
      <c r="Y487" s="59" t="str">
        <f>IFERROR(VLOOKUP(Tabelle32[[#This Row],[Device ID]],BOM!$B$3:$BQ$35,29,FALSE),"")</f>
        <v>5_36_1</v>
      </c>
      <c r="Z487" s="59" t="str">
        <f>IFERROR(VLOOKUP(Tabelle32[[#This Row],[Device ID]],BOM!$B$3:$BQ$35,30,FALSE),"")</f>
        <v>tpco-megw-vgw103.rtb.st-net.media.int</v>
      </c>
      <c r="AA487" s="59" t="str">
        <f>IFERROR(VLOOKUP(Tabelle32[[#This Row],[Device ID]],BOM!$B$3:$BQ$35,31,FALSE),"")</f>
        <v>10.120.236.54</v>
      </c>
      <c r="AB487" s="59" t="str">
        <f>IFERROR(VLOOKUP(Tabelle32[[#This Row],[Device ID]],BOM!$B$3:$BQ$35,32,FALSE),"")</f>
        <v>AVCoreB</v>
      </c>
      <c r="AC487" s="59" t="str">
        <f>IFERROR(VLOOKUP(Tabelle32[[#This Row],[Device ID]],BOM!$B$3:$BQ$35,33,FALSE),"")</f>
        <v>5_36_1</v>
      </c>
      <c r="AD487" s="59" t="str">
        <f>IFERROR(VLOOKUP(Tabelle32[[#This Row],[Device ID]],BOM!$B$3:$BQ$35,34,FALSE),"")</f>
        <v>tpco-megw-vgw103.st-net.media.int</v>
      </c>
      <c r="AE487" s="59" t="str">
        <f>IFERROR(VLOOKUP(Tabelle32[[#This Row],[Device ID]],BOM!$B$3:$BQ$35,35,FALSE),"")</f>
        <v>10.120.67.141</v>
      </c>
      <c r="AF487" s="59">
        <f>IFERROR(VLOOKUP(Tabelle32[[#This Row],[Device ID]],BOM!$B$3:$BQ$35,36,FALSE),"")</f>
        <v>0</v>
      </c>
      <c r="AG487" s="59">
        <f>IFERROR(VLOOKUP(Tabelle32[[#This Row],[Device ID]],BOM!$B$3:$BQ$35,37,FALSE),"")</f>
        <v>0</v>
      </c>
      <c r="AH487" s="59"/>
      <c r="AI487" s="59"/>
      <c r="AJ487" s="59"/>
      <c r="AK487" s="59"/>
      <c r="AL487" s="59" t="str">
        <f>IFERROR(VLOOKUP(Tabelle32[[#This Row],[Device ID]],BOM!$B$3:$BQ$35,42,FALSE),"")</f>
        <v>Imagine Communications SNP</v>
      </c>
      <c r="AM487" s="59" t="str">
        <f>IFERROR(VLOOKUP(Tabelle32[[#This Row],[Device ID]],BOM!$B$3:$BQ$35,43,FALSE),"")</f>
        <v>no</v>
      </c>
      <c r="AN487" s="59" t="str">
        <f>IFERROR(VLOOKUP(Tabelle32[[#This Row],[Device ID]],BOM!$B$3:$BQ$35,44,FALSE),"")</f>
        <v>yes</v>
      </c>
      <c r="AO487" s="59" t="str">
        <f>IFERROR(VLOOKUP(Tabelle32[[#This Row],[Device ID]],BOM!$B$3:$BQ$35,45,FALSE),"")</f>
        <v>no</v>
      </c>
      <c r="AP487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487" s="59"/>
      <c r="AR487" s="101"/>
      <c r="AS487" s="101"/>
      <c r="AT487" s="101"/>
      <c r="AU487" s="101"/>
      <c r="AV487" s="101"/>
      <c r="AW487" s="101"/>
      <c r="AX487" s="101"/>
      <c r="AY487" s="101"/>
      <c r="AZ487" s="101"/>
      <c r="BA487" s="101"/>
      <c r="BB487" s="101"/>
      <c r="BC487" s="101"/>
      <c r="BD487" s="101"/>
      <c r="BE487" s="101"/>
      <c r="BF487" s="101"/>
      <c r="BG487" s="101"/>
      <c r="BH487" s="73" t="s">
        <v>199</v>
      </c>
      <c r="BI487" s="30" t="str">
        <f>IF(COUNTA(Tabelle32[[#This Row],[Type:Vid_1080i50]:[Type:Anc_Prot]])&gt;0,"x","")</f>
        <v/>
      </c>
      <c r="BJ48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7" s="59"/>
      <c r="BL487" s="59"/>
      <c r="BM487" s="63"/>
      <c r="BN487" s="63"/>
      <c r="BO487" s="96"/>
      <c r="BP487" s="96"/>
      <c r="BQ487" s="75">
        <f>LEN(Tabelle32[[#This Row],[Label 1
GFX-Unit]])</f>
        <v>0</v>
      </c>
      <c r="BR487" s="63"/>
      <c r="BS487" s="63"/>
      <c r="BT487" s="59"/>
      <c r="BU487" s="59"/>
      <c r="BV487" s="59" t="s">
        <v>205</v>
      </c>
      <c r="BW487" s="59" t="s">
        <v>206</v>
      </c>
      <c r="BX487" s="59" t="s">
        <v>967</v>
      </c>
      <c r="BY487" s="59">
        <v>24</v>
      </c>
    </row>
    <row r="488" spans="1:77" hidden="1" x14ac:dyDescent="0.2">
      <c r="A488" s="58" t="str">
        <f>CONCATENATE(Tabelle32[[#This Row],[Device ID]],".",Tabelle32[[#This Row],[Streamcounter]])</f>
        <v>401.24303</v>
      </c>
      <c r="B48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VGW-103_SDI24_ANCrec_0003</v>
      </c>
      <c r="C488" s="60"/>
      <c r="D488" s="61"/>
      <c r="E488" s="62"/>
      <c r="F488" s="59" t="str">
        <f>IFERROR(VLOOKUP(Tabelle32[[#This Row],[Device ID]],BOM!$B$3:$BQ$35,16,FALSE),"")</f>
        <v>EditPC-10 IN</v>
      </c>
      <c r="G488" s="63">
        <f>VLOOKUP(Tabelle32[[#This Row],[SDI Interface]],BOM!$A$4:$B$35,2,FALSE)</f>
        <v>401</v>
      </c>
      <c r="H488" s="59" t="str">
        <f>BOM!$C$4</f>
        <v>VGW-103</v>
      </c>
      <c r="I488" s="59" t="str">
        <f>IFERROR(VLOOKUP(Tabelle32[[#This Row],[Device ID]],BOM!$B$3:$BQ$35,12,FALSE),"")</f>
        <v>Edit Suite</v>
      </c>
      <c r="J488" s="59" t="str">
        <f>IFERROR(VLOOKUP(Tabelle32[[#This Row],[Device ID]],BOM!$B$3:$BQ$35,13,FALSE),"")</f>
        <v>TC.U1.223 | MDC</v>
      </c>
      <c r="K488" s="59" t="str">
        <f>IFERROR(VLOOKUP(Tabelle32[[#This Row],[Device ID]],BOM!$B$3:$BQ$35,14,FALSE),"")</f>
        <v>Imagine Comunications</v>
      </c>
      <c r="L488" s="59" t="str">
        <f>IFERROR(VLOOKUP(Tabelle32[[#This Row],[Device ID]],BOM!$B$3:$BQ$35,16,FALSE),"")</f>
        <v>EditPC-10 IN</v>
      </c>
      <c r="M488" s="63" t="str">
        <f>IFERROR(VLOOKUP(Tabelle32[[#This Row],[Device ID]],BOM!$B$3:$BQ$35,17,FALSE),"")</f>
        <v>EDIT SUITE 10</v>
      </c>
      <c r="N488" s="59" t="str">
        <f>IFERROR(VLOOKUP(Tabelle32[[#This Row],[Device ID]],BOM!$B$3:$BQ$35,18,FALSE),"")</f>
        <v>TC.03.017 | Edit 10</v>
      </c>
      <c r="O488" s="64"/>
      <c r="P488" s="64">
        <f>IFERROR(VLOOKUP(Tabelle32[[#This Row],[Device ID]],BOM!$B$3:$BO$50,20,FALSE),"")</f>
        <v>0</v>
      </c>
      <c r="Q488" s="64">
        <f>IFERROR(VLOOKUP(Tabelle32[[#This Row],[Device ID]],BOM!$B$3:$BO$50,21,FALSE),"")</f>
        <v>1</v>
      </c>
      <c r="R488" s="64">
        <f>IFERROR(VLOOKUP(Tabelle32[[#This Row],[Device ID]],BOM!$B$3:$BO$50,22,FALSE),"")</f>
        <v>0</v>
      </c>
      <c r="S488" s="64"/>
      <c r="T488" s="64"/>
      <c r="U488" s="59" t="str">
        <f>IFERROR(VLOOKUP(Tabelle32[[#This Row],[Device ID]],BOM!$B$3:$BQ$35,25,FALSE),"")</f>
        <v>Luis/Ivo</v>
      </c>
      <c r="V488" s="59" t="str">
        <f>IFERROR(VLOOKUP(Tabelle32[[#This Row],[Device ID]],BOM!$B$3:$BQ$35,26,FALSE),"")</f>
        <v>tpco-megw-vgw103.rta.st-net.media.int</v>
      </c>
      <c r="W488" s="59" t="str">
        <f>IFERROR(VLOOKUP(Tabelle32[[#This Row],[Device ID]],BOM!$B$3:$BQ$35,27,FALSE),"")</f>
        <v>10.120.236.50</v>
      </c>
      <c r="X488" s="59" t="str">
        <f>IFERROR(VLOOKUP(Tabelle32[[#This Row],[Device ID]],BOM!$B$3:$BQ$35,28,FALSE),"")</f>
        <v>AVCoreA</v>
      </c>
      <c r="Y488" s="59" t="str">
        <f>IFERROR(VLOOKUP(Tabelle32[[#This Row],[Device ID]],BOM!$B$3:$BQ$35,29,FALSE),"")</f>
        <v>5_36_1</v>
      </c>
      <c r="Z488" s="59" t="str">
        <f>IFERROR(VLOOKUP(Tabelle32[[#This Row],[Device ID]],BOM!$B$3:$BQ$35,30,FALSE),"")</f>
        <v>tpco-megw-vgw103.rtb.st-net.media.int</v>
      </c>
      <c r="AA488" s="59" t="str">
        <f>IFERROR(VLOOKUP(Tabelle32[[#This Row],[Device ID]],BOM!$B$3:$BQ$35,31,FALSE),"")</f>
        <v>10.120.236.54</v>
      </c>
      <c r="AB488" s="59" t="str">
        <f>IFERROR(VLOOKUP(Tabelle32[[#This Row],[Device ID]],BOM!$B$3:$BQ$35,32,FALSE),"")</f>
        <v>AVCoreB</v>
      </c>
      <c r="AC488" s="59" t="str">
        <f>IFERROR(VLOOKUP(Tabelle32[[#This Row],[Device ID]],BOM!$B$3:$BQ$35,33,FALSE),"")</f>
        <v>5_36_1</v>
      </c>
      <c r="AD488" s="59" t="str">
        <f>IFERROR(VLOOKUP(Tabelle32[[#This Row],[Device ID]],BOM!$B$3:$BQ$35,34,FALSE),"")</f>
        <v>tpco-megw-vgw103.st-net.media.int</v>
      </c>
      <c r="AE488" s="59" t="str">
        <f>IFERROR(VLOOKUP(Tabelle32[[#This Row],[Device ID]],BOM!$B$3:$BQ$35,35,FALSE),"")</f>
        <v>10.120.67.141</v>
      </c>
      <c r="AF488" s="59">
        <f>IFERROR(VLOOKUP(Tabelle32[[#This Row],[Device ID]],BOM!$B$3:$BQ$35,36,FALSE),"")</f>
        <v>0</v>
      </c>
      <c r="AG488" s="59">
        <f>IFERROR(VLOOKUP(Tabelle32[[#This Row],[Device ID]],BOM!$B$3:$BQ$35,37,FALSE),"")</f>
        <v>0</v>
      </c>
      <c r="AH488" s="59"/>
      <c r="AI488" s="59"/>
      <c r="AJ488" s="59"/>
      <c r="AK488" s="59"/>
      <c r="AL488" s="59" t="str">
        <f>IFERROR(VLOOKUP(Tabelle32[[#This Row],[Device ID]],BOM!$B$3:$BQ$35,42,FALSE),"")</f>
        <v>Imagine Communications SNP</v>
      </c>
      <c r="AM488" s="59" t="str">
        <f>IFERROR(VLOOKUP(Tabelle32[[#This Row],[Device ID]],BOM!$B$3:$BQ$35,43,FALSE),"")</f>
        <v>no</v>
      </c>
      <c r="AN488" s="59" t="str">
        <f>IFERROR(VLOOKUP(Tabelle32[[#This Row],[Device ID]],BOM!$B$3:$BQ$35,44,FALSE),"")</f>
        <v>yes</v>
      </c>
      <c r="AO488" s="59" t="str">
        <f>IFERROR(VLOOKUP(Tabelle32[[#This Row],[Device ID]],BOM!$B$3:$BQ$35,45,FALSE),"")</f>
        <v>no</v>
      </c>
      <c r="AP488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488" s="59"/>
      <c r="AR488" s="101"/>
      <c r="AS488" s="101"/>
      <c r="AT488" s="101"/>
      <c r="AU488" s="101"/>
      <c r="AV488" s="101"/>
      <c r="AW488" s="101"/>
      <c r="AX488" s="101"/>
      <c r="AY488" s="101"/>
      <c r="AZ488" s="101"/>
      <c r="BA488" s="101"/>
      <c r="BB488" s="101"/>
      <c r="BC488" s="101"/>
      <c r="BD488" s="101"/>
      <c r="BE488" s="101"/>
      <c r="BF488" s="101"/>
      <c r="BG488" s="101"/>
      <c r="BH488" s="73" t="s">
        <v>199</v>
      </c>
      <c r="BI488" s="30" t="str">
        <f>IF(COUNTA(Tabelle32[[#This Row],[Type:Vid_1080i50]:[Type:Anc_Prot]])&gt;0,"x","")</f>
        <v/>
      </c>
      <c r="BJ48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8" s="59"/>
      <c r="BL488" s="59"/>
      <c r="BM488" s="63"/>
      <c r="BN488" s="63"/>
      <c r="BO488" s="96"/>
      <c r="BP488" s="96"/>
      <c r="BQ488" s="75">
        <f>LEN(Tabelle32[[#This Row],[Label 1
GFX-Unit]])</f>
        <v>0</v>
      </c>
      <c r="BR488" s="63"/>
      <c r="BS488" s="63"/>
      <c r="BT488" s="59"/>
      <c r="BU488" s="59"/>
      <c r="BV488" s="59" t="s">
        <v>208</v>
      </c>
      <c r="BW488" s="59" t="s">
        <v>209</v>
      </c>
      <c r="BX488" s="59" t="s">
        <v>968</v>
      </c>
      <c r="BY488" s="59">
        <v>24</v>
      </c>
    </row>
    <row r="489" spans="1:77" hidden="1" x14ac:dyDescent="0.2">
      <c r="A489" s="58" t="str">
        <f>CONCATENATE(Tabelle32[[#This Row],[Device ID]],".",Tabelle32[[#This Row],[Streamcounter]])</f>
        <v>401.24304</v>
      </c>
      <c r="B48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VGW-103_SDI24_ANCrec_0004</v>
      </c>
      <c r="C489" s="60"/>
      <c r="D489" s="61"/>
      <c r="E489" s="62"/>
      <c r="F489" s="59" t="str">
        <f>IFERROR(VLOOKUP(Tabelle32[[#This Row],[Device ID]],BOM!$B$3:$BQ$35,16,FALSE),"")</f>
        <v>EditPC-10 IN</v>
      </c>
      <c r="G489" s="63">
        <f>VLOOKUP(Tabelle32[[#This Row],[SDI Interface]],BOM!$A$4:$B$35,2,FALSE)</f>
        <v>401</v>
      </c>
      <c r="H489" s="59" t="str">
        <f>BOM!$C$4</f>
        <v>VGW-103</v>
      </c>
      <c r="I489" s="59" t="str">
        <f>IFERROR(VLOOKUP(Tabelle32[[#This Row],[Device ID]],BOM!$B$3:$BQ$35,12,FALSE),"")</f>
        <v>Edit Suite</v>
      </c>
      <c r="J489" s="59" t="str">
        <f>IFERROR(VLOOKUP(Tabelle32[[#This Row],[Device ID]],BOM!$B$3:$BQ$35,13,FALSE),"")</f>
        <v>TC.U1.223 | MDC</v>
      </c>
      <c r="K489" s="59" t="str">
        <f>IFERROR(VLOOKUP(Tabelle32[[#This Row],[Device ID]],BOM!$B$3:$BQ$35,14,FALSE),"")</f>
        <v>Imagine Comunications</v>
      </c>
      <c r="L489" s="59" t="str">
        <f>IFERROR(VLOOKUP(Tabelle32[[#This Row],[Device ID]],BOM!$B$3:$BQ$35,16,FALSE),"")</f>
        <v>EditPC-10 IN</v>
      </c>
      <c r="M489" s="63" t="str">
        <f>IFERROR(VLOOKUP(Tabelle32[[#This Row],[Device ID]],BOM!$B$3:$BQ$35,17,FALSE),"")</f>
        <v>EDIT SUITE 10</v>
      </c>
      <c r="N489" s="59" t="str">
        <f>IFERROR(VLOOKUP(Tabelle32[[#This Row],[Device ID]],BOM!$B$3:$BQ$35,18,FALSE),"")</f>
        <v>TC.03.017 | Edit 10</v>
      </c>
      <c r="O489" s="64"/>
      <c r="P489" s="64">
        <f>IFERROR(VLOOKUP(Tabelle32[[#This Row],[Device ID]],BOM!$B$3:$BO$50,20,FALSE),"")</f>
        <v>0</v>
      </c>
      <c r="Q489" s="64">
        <f>IFERROR(VLOOKUP(Tabelle32[[#This Row],[Device ID]],BOM!$B$3:$BO$50,21,FALSE),"")</f>
        <v>1</v>
      </c>
      <c r="R489" s="64">
        <f>IFERROR(VLOOKUP(Tabelle32[[#This Row],[Device ID]],BOM!$B$3:$BO$50,22,FALSE),"")</f>
        <v>0</v>
      </c>
      <c r="S489" s="64"/>
      <c r="T489" s="64"/>
      <c r="U489" s="59" t="str">
        <f>IFERROR(VLOOKUP(Tabelle32[[#This Row],[Device ID]],BOM!$B$3:$BQ$35,25,FALSE),"")</f>
        <v>Luis/Ivo</v>
      </c>
      <c r="V489" s="59" t="str">
        <f>IFERROR(VLOOKUP(Tabelle32[[#This Row],[Device ID]],BOM!$B$3:$BQ$35,26,FALSE),"")</f>
        <v>tpco-megw-vgw103.rta.st-net.media.int</v>
      </c>
      <c r="W489" s="59" t="str">
        <f>IFERROR(VLOOKUP(Tabelle32[[#This Row],[Device ID]],BOM!$B$3:$BQ$35,27,FALSE),"")</f>
        <v>10.120.236.50</v>
      </c>
      <c r="X489" s="59" t="str">
        <f>IFERROR(VLOOKUP(Tabelle32[[#This Row],[Device ID]],BOM!$B$3:$BQ$35,28,FALSE),"")</f>
        <v>AVCoreA</v>
      </c>
      <c r="Y489" s="59" t="str">
        <f>IFERROR(VLOOKUP(Tabelle32[[#This Row],[Device ID]],BOM!$B$3:$BQ$35,29,FALSE),"")</f>
        <v>5_36_1</v>
      </c>
      <c r="Z489" s="59" t="str">
        <f>IFERROR(VLOOKUP(Tabelle32[[#This Row],[Device ID]],BOM!$B$3:$BQ$35,30,FALSE),"")</f>
        <v>tpco-megw-vgw103.rtb.st-net.media.int</v>
      </c>
      <c r="AA489" s="59" t="str">
        <f>IFERROR(VLOOKUP(Tabelle32[[#This Row],[Device ID]],BOM!$B$3:$BQ$35,31,FALSE),"")</f>
        <v>10.120.236.54</v>
      </c>
      <c r="AB489" s="59" t="str">
        <f>IFERROR(VLOOKUP(Tabelle32[[#This Row],[Device ID]],BOM!$B$3:$BQ$35,32,FALSE),"")</f>
        <v>AVCoreB</v>
      </c>
      <c r="AC489" s="59" t="str">
        <f>IFERROR(VLOOKUP(Tabelle32[[#This Row],[Device ID]],BOM!$B$3:$BQ$35,33,FALSE),"")</f>
        <v>5_36_1</v>
      </c>
      <c r="AD489" s="59" t="str">
        <f>IFERROR(VLOOKUP(Tabelle32[[#This Row],[Device ID]],BOM!$B$3:$BQ$35,34,FALSE),"")</f>
        <v>tpco-megw-vgw103.st-net.media.int</v>
      </c>
      <c r="AE489" s="59" t="str">
        <f>IFERROR(VLOOKUP(Tabelle32[[#This Row],[Device ID]],BOM!$B$3:$BQ$35,35,FALSE),"")</f>
        <v>10.120.67.141</v>
      </c>
      <c r="AF489" s="59">
        <f>IFERROR(VLOOKUP(Tabelle32[[#This Row],[Device ID]],BOM!$B$3:$BQ$35,36,FALSE),"")</f>
        <v>0</v>
      </c>
      <c r="AG489" s="59">
        <f>IFERROR(VLOOKUP(Tabelle32[[#This Row],[Device ID]],BOM!$B$3:$BQ$35,37,FALSE),"")</f>
        <v>0</v>
      </c>
      <c r="AH489" s="59"/>
      <c r="AI489" s="59"/>
      <c r="AJ489" s="59"/>
      <c r="AK489" s="59"/>
      <c r="AL489" s="59" t="str">
        <f>IFERROR(VLOOKUP(Tabelle32[[#This Row],[Device ID]],BOM!$B$3:$BQ$35,42,FALSE),"")</f>
        <v>Imagine Communications SNP</v>
      </c>
      <c r="AM489" s="59" t="str">
        <f>IFERROR(VLOOKUP(Tabelle32[[#This Row],[Device ID]],BOM!$B$3:$BQ$35,43,FALSE),"")</f>
        <v>no</v>
      </c>
      <c r="AN489" s="59" t="str">
        <f>IFERROR(VLOOKUP(Tabelle32[[#This Row],[Device ID]],BOM!$B$3:$BQ$35,44,FALSE),"")</f>
        <v>yes</v>
      </c>
      <c r="AO489" s="59" t="str">
        <f>IFERROR(VLOOKUP(Tabelle32[[#This Row],[Device ID]],BOM!$B$3:$BQ$35,45,FALSE),"")</f>
        <v>no</v>
      </c>
      <c r="AP489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489" s="59"/>
      <c r="AR489" s="101"/>
      <c r="AS489" s="101"/>
      <c r="AT489" s="101"/>
      <c r="AU489" s="101"/>
      <c r="AV489" s="101"/>
      <c r="AW489" s="101"/>
      <c r="AX489" s="101"/>
      <c r="AY489" s="101"/>
      <c r="AZ489" s="101"/>
      <c r="BA489" s="101"/>
      <c r="BB489" s="101"/>
      <c r="BC489" s="101"/>
      <c r="BD489" s="101"/>
      <c r="BE489" s="101"/>
      <c r="BF489" s="101"/>
      <c r="BG489" s="101"/>
      <c r="BH489" s="73" t="s">
        <v>199</v>
      </c>
      <c r="BI489" s="30" t="str">
        <f>IF(COUNTA(Tabelle32[[#This Row],[Type:Vid_1080i50]:[Type:Anc_Prot]])&gt;0,"x","")</f>
        <v/>
      </c>
      <c r="BJ48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89" s="59"/>
      <c r="BL489" s="59"/>
      <c r="BM489" s="63"/>
      <c r="BN489" s="63"/>
      <c r="BO489" s="96"/>
      <c r="BP489" s="96"/>
      <c r="BQ489" s="75">
        <f>LEN(Tabelle32[[#This Row],[Label 1
GFX-Unit]])</f>
        <v>0</v>
      </c>
      <c r="BR489" s="63"/>
      <c r="BS489" s="63"/>
      <c r="BT489" s="59"/>
      <c r="BU489" s="59"/>
      <c r="BV489" s="59" t="s">
        <v>211</v>
      </c>
      <c r="BW489" s="59" t="s">
        <v>212</v>
      </c>
      <c r="BX489" s="59" t="s">
        <v>969</v>
      </c>
      <c r="BY489" s="59">
        <v>24</v>
      </c>
    </row>
    <row r="490" spans="1:77" x14ac:dyDescent="0.2">
      <c r="A490" s="58" t="str">
        <f>CONCATENATE(Tabelle32[[#This Row],[Device ID]],".",Tabelle32[[#This Row],[Streamcounter]])</f>
        <v>401.24201</v>
      </c>
      <c r="B49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VGW-103_SDI24_AUDrec_0001</v>
      </c>
      <c r="C490" s="60"/>
      <c r="D490" s="61"/>
      <c r="E490" s="62"/>
      <c r="F490" s="59" t="str">
        <f>IFERROR(VLOOKUP(Tabelle32[[#This Row],[Device ID]],BOM!$B$3:$BQ$35,16,FALSE),"")</f>
        <v>EditPC-10 IN</v>
      </c>
      <c r="G490" s="63">
        <f>VLOOKUP(Tabelle32[[#This Row],[SDI Interface]],BOM!$A$4:$B$35,2,FALSE)</f>
        <v>401</v>
      </c>
      <c r="H490" s="59" t="str">
        <f>BOM!$C$4</f>
        <v>VGW-103</v>
      </c>
      <c r="I490" s="59" t="str">
        <f>IFERROR(VLOOKUP(Tabelle32[[#This Row],[Device ID]],BOM!$B$3:$BQ$35,12,FALSE),"")</f>
        <v>Edit Suite</v>
      </c>
      <c r="J490" s="59" t="str">
        <f>IFERROR(VLOOKUP(Tabelle32[[#This Row],[Device ID]],BOM!$B$3:$BQ$35,13,FALSE),"")</f>
        <v>TC.U1.223 | MDC</v>
      </c>
      <c r="K490" s="59" t="str">
        <f>IFERROR(VLOOKUP(Tabelle32[[#This Row],[Device ID]],BOM!$B$3:$BQ$35,14,FALSE),"")</f>
        <v>Imagine Comunications</v>
      </c>
      <c r="L490" s="59" t="str">
        <f>IFERROR(VLOOKUP(Tabelle32[[#This Row],[Device ID]],BOM!$B$3:$BQ$35,16,FALSE),"")</f>
        <v>EditPC-10 IN</v>
      </c>
      <c r="M490" s="63" t="str">
        <f>IFERROR(VLOOKUP(Tabelle32[[#This Row],[Device ID]],BOM!$B$3:$BQ$35,17,FALSE),"")</f>
        <v>EDIT SUITE 10</v>
      </c>
      <c r="N490" s="59" t="str">
        <f>IFERROR(VLOOKUP(Tabelle32[[#This Row],[Device ID]],BOM!$B$3:$BQ$35,18,FALSE),"")</f>
        <v>TC.03.017 | Edit 10</v>
      </c>
      <c r="O490" s="64"/>
      <c r="P490" s="64">
        <f>IFERROR(VLOOKUP(Tabelle32[[#This Row],[Device ID]],BOM!$B$3:$BO$50,20,FALSE),"")</f>
        <v>0</v>
      </c>
      <c r="Q490" s="64">
        <f>IFERROR(VLOOKUP(Tabelle32[[#This Row],[Device ID]],BOM!$B$3:$BO$50,21,FALSE),"")</f>
        <v>1</v>
      </c>
      <c r="R490" s="64">
        <f>IFERROR(VLOOKUP(Tabelle32[[#This Row],[Device ID]],BOM!$B$3:$BO$50,22,FALSE),"")</f>
        <v>0</v>
      </c>
      <c r="S490" s="64"/>
      <c r="T490" s="64"/>
      <c r="U490" s="59" t="str">
        <f>IFERROR(VLOOKUP(Tabelle32[[#This Row],[Device ID]],BOM!$B$3:$BQ$35,25,FALSE),"")</f>
        <v>Luis/Ivo</v>
      </c>
      <c r="V490" s="59" t="str">
        <f>IFERROR(VLOOKUP(Tabelle32[[#This Row],[Device ID]],BOM!$B$3:$BQ$35,26,FALSE),"")</f>
        <v>tpco-megw-vgw103.rta.st-net.media.int</v>
      </c>
      <c r="W490" s="59" t="str">
        <f>IFERROR(VLOOKUP(Tabelle32[[#This Row],[Device ID]],BOM!$B$3:$BQ$35,27,FALSE),"")</f>
        <v>10.120.236.50</v>
      </c>
      <c r="X490" s="59" t="str">
        <f>IFERROR(VLOOKUP(Tabelle32[[#This Row],[Device ID]],BOM!$B$3:$BQ$35,28,FALSE),"")</f>
        <v>AVCoreA</v>
      </c>
      <c r="Y490" s="59" t="str">
        <f>IFERROR(VLOOKUP(Tabelle32[[#This Row],[Device ID]],BOM!$B$3:$BQ$35,29,FALSE),"")</f>
        <v>5_36_1</v>
      </c>
      <c r="Z490" s="59" t="str">
        <f>IFERROR(VLOOKUP(Tabelle32[[#This Row],[Device ID]],BOM!$B$3:$BQ$35,30,FALSE),"")</f>
        <v>tpco-megw-vgw103.rtb.st-net.media.int</v>
      </c>
      <c r="AA490" s="59" t="str">
        <f>IFERROR(VLOOKUP(Tabelle32[[#This Row],[Device ID]],BOM!$B$3:$BQ$35,31,FALSE),"")</f>
        <v>10.120.236.54</v>
      </c>
      <c r="AB490" s="59" t="str">
        <f>IFERROR(VLOOKUP(Tabelle32[[#This Row],[Device ID]],BOM!$B$3:$BQ$35,32,FALSE),"")</f>
        <v>AVCoreB</v>
      </c>
      <c r="AC490" s="59" t="str">
        <f>IFERROR(VLOOKUP(Tabelle32[[#This Row],[Device ID]],BOM!$B$3:$BQ$35,33,FALSE),"")</f>
        <v>5_36_1</v>
      </c>
      <c r="AD490" s="59" t="str">
        <f>IFERROR(VLOOKUP(Tabelle32[[#This Row],[Device ID]],BOM!$B$3:$BQ$35,34,FALSE),"")</f>
        <v>tpco-megw-vgw103.st-net.media.int</v>
      </c>
      <c r="AE490" s="59" t="str">
        <f>IFERROR(VLOOKUP(Tabelle32[[#This Row],[Device ID]],BOM!$B$3:$BQ$35,35,FALSE),"")</f>
        <v>10.120.67.141</v>
      </c>
      <c r="AF490" s="59">
        <f>IFERROR(VLOOKUP(Tabelle32[[#This Row],[Device ID]],BOM!$B$3:$BQ$35,36,FALSE),"")</f>
        <v>0</v>
      </c>
      <c r="AG490" s="59">
        <f>IFERROR(VLOOKUP(Tabelle32[[#This Row],[Device ID]],BOM!$B$3:$BQ$35,37,FALSE),"")</f>
        <v>0</v>
      </c>
      <c r="AH490" s="59"/>
      <c r="AI490" s="59"/>
      <c r="AJ490" s="59"/>
      <c r="AK490" s="59"/>
      <c r="AL490" s="59" t="str">
        <f>IFERROR(VLOOKUP(Tabelle32[[#This Row],[Device ID]],BOM!$B$3:$BQ$35,42,FALSE),"")</f>
        <v>Imagine Communications SNP</v>
      </c>
      <c r="AM490" s="59" t="str">
        <f>IFERROR(VLOOKUP(Tabelle32[[#This Row],[Device ID]],BOM!$B$3:$BQ$35,43,FALSE),"")</f>
        <v>no</v>
      </c>
      <c r="AN490" s="59" t="str">
        <f>IFERROR(VLOOKUP(Tabelle32[[#This Row],[Device ID]],BOM!$B$3:$BQ$35,44,FALSE),"")</f>
        <v>yes</v>
      </c>
      <c r="AO490" s="59" t="str">
        <f>IFERROR(VLOOKUP(Tabelle32[[#This Row],[Device ID]],BOM!$B$3:$BQ$35,45,FALSE),"")</f>
        <v>no</v>
      </c>
      <c r="AP490" s="59" t="str">
        <f>IFERROR(CONCATENATE(Tabelle32[[#This Row],[Family
GFX-Unit]]," | ",Tabelle32[[#This Row],[Label 1
GFX-Unit]]," | ",Tabelle32[[#This Row],[Attached Device if Gateway]]),"")</f>
        <v>MEDEM Edit10 | In Edit10-01 | EditPC-10 IN</v>
      </c>
      <c r="AQ490" s="59"/>
      <c r="AR490" s="99"/>
      <c r="AS490" s="99"/>
      <c r="AT490" s="99"/>
      <c r="AU490" s="99"/>
      <c r="AV490" s="99"/>
      <c r="AW490" s="99" t="s">
        <v>97</v>
      </c>
      <c r="AX490" s="99" t="s">
        <v>199</v>
      </c>
      <c r="AY490" s="99" t="s">
        <v>199</v>
      </c>
      <c r="AZ490" s="99" t="s">
        <v>97</v>
      </c>
      <c r="BA490" s="99"/>
      <c r="BB490" s="99" t="s">
        <v>97</v>
      </c>
      <c r="BC490" s="99" t="s">
        <v>97</v>
      </c>
      <c r="BD490" s="99"/>
      <c r="BE490" s="99"/>
      <c r="BF490" s="99"/>
      <c r="BG490" s="99"/>
      <c r="BH490" s="73" t="s">
        <v>199</v>
      </c>
      <c r="BI490" s="30" t="str">
        <f>IF(COUNTA(Tabelle32[[#This Row],[Type:Vid_1080i50]:[Type:Anc_Prot]])&gt;0,"x","")</f>
        <v>x</v>
      </c>
      <c r="BJ49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0" s="59"/>
      <c r="BL490" s="59"/>
      <c r="BM490" s="63"/>
      <c r="BN490" s="63"/>
      <c r="BO490" s="97" t="s">
        <v>964</v>
      </c>
      <c r="BP490" s="97" t="s">
        <v>970</v>
      </c>
      <c r="BQ490" s="75">
        <f>LEN(Tabelle32[[#This Row],[Label 1
GFX-Unit]])</f>
        <v>12</v>
      </c>
      <c r="BR490" s="63"/>
      <c r="BS490" s="63"/>
      <c r="BT490" s="59"/>
      <c r="BU490" s="59"/>
      <c r="BV490" s="59" t="s">
        <v>214</v>
      </c>
      <c r="BW490" s="59" t="s">
        <v>215</v>
      </c>
      <c r="BX490" s="59" t="s">
        <v>971</v>
      </c>
      <c r="BY490" s="59">
        <v>24</v>
      </c>
    </row>
    <row r="491" spans="1:77" x14ac:dyDescent="0.2">
      <c r="A491" s="58" t="str">
        <f>CONCATENATE(Tabelle32[[#This Row],[Device ID]],".",Tabelle32[[#This Row],[Streamcounter]])</f>
        <v>401.24202</v>
      </c>
      <c r="B49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VGW-103_SDI24_AUDrec_0002</v>
      </c>
      <c r="C491" s="67"/>
      <c r="D491" s="61"/>
      <c r="E491" s="67"/>
      <c r="F491" s="59" t="str">
        <f>IFERROR(VLOOKUP(Tabelle32[[#This Row],[Device ID]],BOM!$B$3:$BQ$35,16,FALSE),"")</f>
        <v>EditPC-10 IN</v>
      </c>
      <c r="G491" s="63">
        <f>VLOOKUP(Tabelle32[[#This Row],[SDI Interface]],BOM!$A$4:$B$35,2,FALSE)</f>
        <v>401</v>
      </c>
      <c r="H491" s="59" t="str">
        <f>BOM!$C$4</f>
        <v>VGW-103</v>
      </c>
      <c r="I491" s="59" t="str">
        <f>IFERROR(VLOOKUP(Tabelle32[[#This Row],[Device ID]],BOM!$B$3:$BQ$35,12,FALSE),"")</f>
        <v>Edit Suite</v>
      </c>
      <c r="J491" s="59" t="str">
        <f>IFERROR(VLOOKUP(Tabelle32[[#This Row],[Device ID]],BOM!$B$3:$BQ$35,13,FALSE),"")</f>
        <v>TC.U1.223 | MDC</v>
      </c>
      <c r="K491" s="59" t="str">
        <f>IFERROR(VLOOKUP(Tabelle32[[#This Row],[Device ID]],BOM!$B$3:$BQ$35,14,FALSE),"")</f>
        <v>Imagine Comunications</v>
      </c>
      <c r="L491" s="59" t="str">
        <f>IFERROR(VLOOKUP(Tabelle32[[#This Row],[Device ID]],BOM!$B$3:$BQ$35,16,FALSE),"")</f>
        <v>EditPC-10 IN</v>
      </c>
      <c r="M491" s="63" t="str">
        <f>IFERROR(VLOOKUP(Tabelle32[[#This Row],[Device ID]],BOM!$B$3:$BQ$35,17,FALSE),"")</f>
        <v>EDIT SUITE 10</v>
      </c>
      <c r="N491" s="59" t="str">
        <f>IFERROR(VLOOKUP(Tabelle32[[#This Row],[Device ID]],BOM!$B$3:$BQ$35,18,FALSE),"")</f>
        <v>TC.03.017 | Edit 10</v>
      </c>
      <c r="O491" s="64"/>
      <c r="P491" s="64">
        <f>IFERROR(VLOOKUP(Tabelle32[[#This Row],[Device ID]],BOM!$B$3:$BO$50,20,FALSE),"")</f>
        <v>0</v>
      </c>
      <c r="Q491" s="64">
        <f>IFERROR(VLOOKUP(Tabelle32[[#This Row],[Device ID]],BOM!$B$3:$BO$50,21,FALSE),"")</f>
        <v>1</v>
      </c>
      <c r="R491" s="64">
        <f>IFERROR(VLOOKUP(Tabelle32[[#This Row],[Device ID]],BOM!$B$3:$BO$50,22,FALSE),"")</f>
        <v>0</v>
      </c>
      <c r="S491" s="64"/>
      <c r="T491" s="64"/>
      <c r="U491" s="59" t="str">
        <f>IFERROR(VLOOKUP(Tabelle32[[#This Row],[Device ID]],BOM!$B$3:$BQ$35,25,FALSE),"")</f>
        <v>Luis/Ivo</v>
      </c>
      <c r="V491" s="59" t="str">
        <f>IFERROR(VLOOKUP(Tabelle32[[#This Row],[Device ID]],BOM!$B$3:$BQ$35,26,FALSE),"")</f>
        <v>tpco-megw-vgw103.rta.st-net.media.int</v>
      </c>
      <c r="W491" s="59" t="str">
        <f>IFERROR(VLOOKUP(Tabelle32[[#This Row],[Device ID]],BOM!$B$3:$BQ$35,27,FALSE),"")</f>
        <v>10.120.236.50</v>
      </c>
      <c r="X491" s="59" t="str">
        <f>IFERROR(VLOOKUP(Tabelle32[[#This Row],[Device ID]],BOM!$B$3:$BQ$35,28,FALSE),"")</f>
        <v>AVCoreA</v>
      </c>
      <c r="Y491" s="59" t="str">
        <f>IFERROR(VLOOKUP(Tabelle32[[#This Row],[Device ID]],BOM!$B$3:$BQ$35,29,FALSE),"")</f>
        <v>5_36_1</v>
      </c>
      <c r="Z491" s="59" t="str">
        <f>IFERROR(VLOOKUP(Tabelle32[[#This Row],[Device ID]],BOM!$B$3:$BQ$35,30,FALSE),"")</f>
        <v>tpco-megw-vgw103.rtb.st-net.media.int</v>
      </c>
      <c r="AA491" s="59" t="str">
        <f>IFERROR(VLOOKUP(Tabelle32[[#This Row],[Device ID]],BOM!$B$3:$BQ$35,31,FALSE),"")</f>
        <v>10.120.236.54</v>
      </c>
      <c r="AB491" s="59" t="str">
        <f>IFERROR(VLOOKUP(Tabelle32[[#This Row],[Device ID]],BOM!$B$3:$BQ$35,32,FALSE),"")</f>
        <v>AVCoreB</v>
      </c>
      <c r="AC491" s="59" t="str">
        <f>IFERROR(VLOOKUP(Tabelle32[[#This Row],[Device ID]],BOM!$B$3:$BQ$35,33,FALSE),"")</f>
        <v>5_36_1</v>
      </c>
      <c r="AD491" s="59" t="str">
        <f>IFERROR(VLOOKUP(Tabelle32[[#This Row],[Device ID]],BOM!$B$3:$BQ$35,34,FALSE),"")</f>
        <v>tpco-megw-vgw103.st-net.media.int</v>
      </c>
      <c r="AE491" s="59" t="str">
        <f>IFERROR(VLOOKUP(Tabelle32[[#This Row],[Device ID]],BOM!$B$3:$BQ$35,35,FALSE),"")</f>
        <v>10.120.67.141</v>
      </c>
      <c r="AF491" s="59">
        <f>IFERROR(VLOOKUP(Tabelle32[[#This Row],[Device ID]],BOM!$B$3:$BQ$35,36,FALSE),"")</f>
        <v>0</v>
      </c>
      <c r="AG491" s="59">
        <f>IFERROR(VLOOKUP(Tabelle32[[#This Row],[Device ID]],BOM!$B$3:$BQ$35,37,FALSE),"")</f>
        <v>0</v>
      </c>
      <c r="AH491" s="59"/>
      <c r="AI491" s="59"/>
      <c r="AJ491" s="59"/>
      <c r="AK491" s="59"/>
      <c r="AL491" s="59" t="str">
        <f>IFERROR(VLOOKUP(Tabelle32[[#This Row],[Device ID]],BOM!$B$3:$BQ$35,42,FALSE),"")</f>
        <v>Imagine Communications SNP</v>
      </c>
      <c r="AM491" s="59" t="str">
        <f>IFERROR(VLOOKUP(Tabelle32[[#This Row],[Device ID]],BOM!$B$3:$BQ$35,43,FALSE),"")</f>
        <v>no</v>
      </c>
      <c r="AN491" s="59" t="str">
        <f>IFERROR(VLOOKUP(Tabelle32[[#This Row],[Device ID]],BOM!$B$3:$BQ$35,44,FALSE),"")</f>
        <v>yes</v>
      </c>
      <c r="AO491" s="59" t="str">
        <f>IFERROR(VLOOKUP(Tabelle32[[#This Row],[Device ID]],BOM!$B$3:$BQ$35,45,FALSE),"")</f>
        <v>no</v>
      </c>
      <c r="AP491" s="59" t="str">
        <f>IFERROR(CONCATENATE(Tabelle32[[#This Row],[Family
GFX-Unit]]," | ",Tabelle32[[#This Row],[Label 1
GFX-Unit]]," | ",Tabelle32[[#This Row],[Attached Device if Gateway]]),"")</f>
        <v>MEDEM Edit10 | In Edit10-02 | EditPC-10 IN</v>
      </c>
      <c r="AQ491" s="59"/>
      <c r="AR491" s="99"/>
      <c r="AS491" s="99"/>
      <c r="AT491" s="99"/>
      <c r="AU491" s="99"/>
      <c r="AV491" s="99"/>
      <c r="AW491" s="99" t="s">
        <v>97</v>
      </c>
      <c r="AX491" s="99" t="s">
        <v>199</v>
      </c>
      <c r="AY491" s="99" t="s">
        <v>199</v>
      </c>
      <c r="AZ491" s="99" t="s">
        <v>97</v>
      </c>
      <c r="BA491" s="99"/>
      <c r="BB491" s="99" t="s">
        <v>97</v>
      </c>
      <c r="BC491" s="99" t="s">
        <v>97</v>
      </c>
      <c r="BD491" s="99"/>
      <c r="BE491" s="99"/>
      <c r="BF491" s="99"/>
      <c r="BG491" s="99"/>
      <c r="BH491" s="73" t="s">
        <v>199</v>
      </c>
      <c r="BI491" s="30" t="str">
        <f>IF(COUNTA(Tabelle32[[#This Row],[Type:Vid_1080i50]:[Type:Anc_Prot]])&gt;0,"x","")</f>
        <v>x</v>
      </c>
      <c r="BJ491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1" s="59"/>
      <c r="BL491" s="59"/>
      <c r="BM491" s="63"/>
      <c r="BN491" s="63"/>
      <c r="BO491" s="97" t="s">
        <v>964</v>
      </c>
      <c r="BP491" s="97" t="s">
        <v>972</v>
      </c>
      <c r="BQ491" s="75">
        <f>LEN(Tabelle32[[#This Row],[Label 1
GFX-Unit]])</f>
        <v>12</v>
      </c>
      <c r="BR491" s="63"/>
      <c r="BS491" s="63"/>
      <c r="BT491" s="59"/>
      <c r="BU491" s="59"/>
      <c r="BV491" s="59" t="s">
        <v>218</v>
      </c>
      <c r="BW491" s="59" t="s">
        <v>219</v>
      </c>
      <c r="BX491" s="59" t="s">
        <v>973</v>
      </c>
      <c r="BY491" s="59">
        <v>24</v>
      </c>
    </row>
    <row r="492" spans="1:77" x14ac:dyDescent="0.2">
      <c r="A492" s="58" t="str">
        <f>CONCATENATE(Tabelle32[[#This Row],[Device ID]],".",Tabelle32[[#This Row],[Streamcounter]])</f>
        <v>401.24203</v>
      </c>
      <c r="B49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VGW-103_SDI24_AUDrec_0003</v>
      </c>
      <c r="C492" s="67"/>
      <c r="D492" s="61"/>
      <c r="E492" s="67"/>
      <c r="F492" s="59" t="str">
        <f>IFERROR(VLOOKUP(Tabelle32[[#This Row],[Device ID]],BOM!$B$3:$BQ$35,16,FALSE),"")</f>
        <v>EditPC-10 IN</v>
      </c>
      <c r="G492" s="63">
        <f>VLOOKUP(Tabelle32[[#This Row],[SDI Interface]],BOM!$A$4:$B$35,2,FALSE)</f>
        <v>401</v>
      </c>
      <c r="H492" s="59" t="str">
        <f>BOM!$C$4</f>
        <v>VGW-103</v>
      </c>
      <c r="I492" s="59" t="str">
        <f>IFERROR(VLOOKUP(Tabelle32[[#This Row],[Device ID]],BOM!$B$3:$BQ$35,12,FALSE),"")</f>
        <v>Edit Suite</v>
      </c>
      <c r="J492" s="59" t="str">
        <f>IFERROR(VLOOKUP(Tabelle32[[#This Row],[Device ID]],BOM!$B$3:$BQ$35,13,FALSE),"")</f>
        <v>TC.U1.223 | MDC</v>
      </c>
      <c r="K492" s="59" t="str">
        <f>IFERROR(VLOOKUP(Tabelle32[[#This Row],[Device ID]],BOM!$B$3:$BQ$35,14,FALSE),"")</f>
        <v>Imagine Comunications</v>
      </c>
      <c r="L492" s="59" t="str">
        <f>IFERROR(VLOOKUP(Tabelle32[[#This Row],[Device ID]],BOM!$B$3:$BQ$35,16,FALSE),"")</f>
        <v>EditPC-10 IN</v>
      </c>
      <c r="M492" s="63" t="str">
        <f>IFERROR(VLOOKUP(Tabelle32[[#This Row],[Device ID]],BOM!$B$3:$BQ$35,17,FALSE),"")</f>
        <v>EDIT SUITE 10</v>
      </c>
      <c r="N492" s="59" t="str">
        <f>IFERROR(VLOOKUP(Tabelle32[[#This Row],[Device ID]],BOM!$B$3:$BQ$35,18,FALSE),"")</f>
        <v>TC.03.017 | Edit 10</v>
      </c>
      <c r="O492" s="64"/>
      <c r="P492" s="64">
        <f>IFERROR(VLOOKUP(Tabelle32[[#This Row],[Device ID]],BOM!$B$3:$BO$50,20,FALSE),"")</f>
        <v>0</v>
      </c>
      <c r="Q492" s="64">
        <f>IFERROR(VLOOKUP(Tabelle32[[#This Row],[Device ID]],BOM!$B$3:$BO$50,21,FALSE),"")</f>
        <v>1</v>
      </c>
      <c r="R492" s="64">
        <f>IFERROR(VLOOKUP(Tabelle32[[#This Row],[Device ID]],BOM!$B$3:$BO$50,22,FALSE),"")</f>
        <v>0</v>
      </c>
      <c r="S492" s="64"/>
      <c r="T492" s="64"/>
      <c r="U492" s="59" t="str">
        <f>IFERROR(VLOOKUP(Tabelle32[[#This Row],[Device ID]],BOM!$B$3:$BQ$35,25,FALSE),"")</f>
        <v>Luis/Ivo</v>
      </c>
      <c r="V492" s="59" t="str">
        <f>IFERROR(VLOOKUP(Tabelle32[[#This Row],[Device ID]],BOM!$B$3:$BQ$35,26,FALSE),"")</f>
        <v>tpco-megw-vgw103.rta.st-net.media.int</v>
      </c>
      <c r="W492" s="59" t="str">
        <f>IFERROR(VLOOKUP(Tabelle32[[#This Row],[Device ID]],BOM!$B$3:$BQ$35,27,FALSE),"")</f>
        <v>10.120.236.50</v>
      </c>
      <c r="X492" s="59" t="str">
        <f>IFERROR(VLOOKUP(Tabelle32[[#This Row],[Device ID]],BOM!$B$3:$BQ$35,28,FALSE),"")</f>
        <v>AVCoreA</v>
      </c>
      <c r="Y492" s="59" t="str">
        <f>IFERROR(VLOOKUP(Tabelle32[[#This Row],[Device ID]],BOM!$B$3:$BQ$35,29,FALSE),"")</f>
        <v>5_36_1</v>
      </c>
      <c r="Z492" s="59" t="str">
        <f>IFERROR(VLOOKUP(Tabelle32[[#This Row],[Device ID]],BOM!$B$3:$BQ$35,30,FALSE),"")</f>
        <v>tpco-megw-vgw103.rtb.st-net.media.int</v>
      </c>
      <c r="AA492" s="59" t="str">
        <f>IFERROR(VLOOKUP(Tabelle32[[#This Row],[Device ID]],BOM!$B$3:$BQ$35,31,FALSE),"")</f>
        <v>10.120.236.54</v>
      </c>
      <c r="AB492" s="59" t="str">
        <f>IFERROR(VLOOKUP(Tabelle32[[#This Row],[Device ID]],BOM!$B$3:$BQ$35,32,FALSE),"")</f>
        <v>AVCoreB</v>
      </c>
      <c r="AC492" s="59" t="str">
        <f>IFERROR(VLOOKUP(Tabelle32[[#This Row],[Device ID]],BOM!$B$3:$BQ$35,33,FALSE),"")</f>
        <v>5_36_1</v>
      </c>
      <c r="AD492" s="59" t="str">
        <f>IFERROR(VLOOKUP(Tabelle32[[#This Row],[Device ID]],BOM!$B$3:$BQ$35,34,FALSE),"")</f>
        <v>tpco-megw-vgw103.st-net.media.int</v>
      </c>
      <c r="AE492" s="59" t="str">
        <f>IFERROR(VLOOKUP(Tabelle32[[#This Row],[Device ID]],BOM!$B$3:$BQ$35,35,FALSE),"")</f>
        <v>10.120.67.141</v>
      </c>
      <c r="AF492" s="59">
        <f>IFERROR(VLOOKUP(Tabelle32[[#This Row],[Device ID]],BOM!$B$3:$BQ$35,36,FALSE),"")</f>
        <v>0</v>
      </c>
      <c r="AG492" s="59">
        <f>IFERROR(VLOOKUP(Tabelle32[[#This Row],[Device ID]],BOM!$B$3:$BQ$35,37,FALSE),"")</f>
        <v>0</v>
      </c>
      <c r="AH492" s="59"/>
      <c r="AI492" s="59"/>
      <c r="AJ492" s="59"/>
      <c r="AK492" s="59"/>
      <c r="AL492" s="59" t="str">
        <f>IFERROR(VLOOKUP(Tabelle32[[#This Row],[Device ID]],BOM!$B$3:$BQ$35,42,FALSE),"")</f>
        <v>Imagine Communications SNP</v>
      </c>
      <c r="AM492" s="59" t="str">
        <f>IFERROR(VLOOKUP(Tabelle32[[#This Row],[Device ID]],BOM!$B$3:$BQ$35,43,FALSE),"")</f>
        <v>no</v>
      </c>
      <c r="AN492" s="59" t="str">
        <f>IFERROR(VLOOKUP(Tabelle32[[#This Row],[Device ID]],BOM!$B$3:$BQ$35,44,FALSE),"")</f>
        <v>yes</v>
      </c>
      <c r="AO492" s="59" t="str">
        <f>IFERROR(VLOOKUP(Tabelle32[[#This Row],[Device ID]],BOM!$B$3:$BQ$35,45,FALSE),"")</f>
        <v>no</v>
      </c>
      <c r="AP492" s="59" t="str">
        <f>IFERROR(CONCATENATE(Tabelle32[[#This Row],[Family
GFX-Unit]]," | ",Tabelle32[[#This Row],[Label 1
GFX-Unit]]," | ",Tabelle32[[#This Row],[Attached Device if Gateway]]),"")</f>
        <v>MEDEM Edit10 | In Edit10-03 | EditPC-10 IN</v>
      </c>
      <c r="AQ492" s="59"/>
      <c r="AR492" s="99"/>
      <c r="AS492" s="99"/>
      <c r="AT492" s="99"/>
      <c r="AU492" s="99"/>
      <c r="AV492" s="99"/>
      <c r="AW492" s="99" t="s">
        <v>97</v>
      </c>
      <c r="AX492" s="99" t="s">
        <v>199</v>
      </c>
      <c r="AY492" s="99" t="s">
        <v>199</v>
      </c>
      <c r="AZ492" s="99" t="s">
        <v>97</v>
      </c>
      <c r="BA492" s="99"/>
      <c r="BB492" s="99" t="s">
        <v>97</v>
      </c>
      <c r="BC492" s="99" t="s">
        <v>97</v>
      </c>
      <c r="BD492" s="99"/>
      <c r="BE492" s="99"/>
      <c r="BF492" s="99"/>
      <c r="BG492" s="99"/>
      <c r="BH492" s="73" t="s">
        <v>199</v>
      </c>
      <c r="BI492" s="30" t="str">
        <f>IF(COUNTA(Tabelle32[[#This Row],[Type:Vid_1080i50]:[Type:Anc_Prot]])&gt;0,"x","")</f>
        <v>x</v>
      </c>
      <c r="BJ492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2" s="59"/>
      <c r="BL492" s="59"/>
      <c r="BM492" s="63"/>
      <c r="BN492" s="63"/>
      <c r="BO492" s="97" t="s">
        <v>964</v>
      </c>
      <c r="BP492" s="97" t="s">
        <v>974</v>
      </c>
      <c r="BQ492" s="75">
        <f>LEN(Tabelle32[[#This Row],[Label 1
GFX-Unit]])</f>
        <v>12</v>
      </c>
      <c r="BR492" s="63"/>
      <c r="BS492" s="63"/>
      <c r="BT492" s="59"/>
      <c r="BU492" s="59"/>
      <c r="BV492" s="59" t="s">
        <v>222</v>
      </c>
      <c r="BW492" s="59" t="s">
        <v>223</v>
      </c>
      <c r="BX492" s="59" t="s">
        <v>975</v>
      </c>
      <c r="BY492" s="59">
        <v>24</v>
      </c>
    </row>
    <row r="493" spans="1:77" x14ac:dyDescent="0.2">
      <c r="A493" s="58" t="str">
        <f>CONCATENATE(Tabelle32[[#This Row],[Device ID]],".",Tabelle32[[#This Row],[Streamcounter]])</f>
        <v>401.24204</v>
      </c>
      <c r="B49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VGW-103_SDI24_AUDrec_0004</v>
      </c>
      <c r="C493" s="60"/>
      <c r="D493" s="61"/>
      <c r="E493" s="62"/>
      <c r="F493" s="59" t="str">
        <f>IFERROR(VLOOKUP(Tabelle32[[#This Row],[Device ID]],BOM!$B$3:$BQ$35,16,FALSE),"")</f>
        <v>EditPC-10 IN</v>
      </c>
      <c r="G493" s="63">
        <f>VLOOKUP(Tabelle32[[#This Row],[SDI Interface]],BOM!$A$4:$B$35,2,FALSE)</f>
        <v>401</v>
      </c>
      <c r="H493" s="59" t="str">
        <f>BOM!$C$4</f>
        <v>VGW-103</v>
      </c>
      <c r="I493" s="59" t="str">
        <f>IFERROR(VLOOKUP(Tabelle32[[#This Row],[Device ID]],BOM!$B$3:$BQ$35,12,FALSE),"")</f>
        <v>Edit Suite</v>
      </c>
      <c r="J493" s="59" t="str">
        <f>IFERROR(VLOOKUP(Tabelle32[[#This Row],[Device ID]],BOM!$B$3:$BQ$35,13,FALSE),"")</f>
        <v>TC.U1.223 | MDC</v>
      </c>
      <c r="K493" s="59" t="str">
        <f>IFERROR(VLOOKUP(Tabelle32[[#This Row],[Device ID]],BOM!$B$3:$BQ$35,14,FALSE),"")</f>
        <v>Imagine Comunications</v>
      </c>
      <c r="L493" s="59" t="str">
        <f>IFERROR(VLOOKUP(Tabelle32[[#This Row],[Device ID]],BOM!$B$3:$BQ$35,16,FALSE),"")</f>
        <v>EditPC-10 IN</v>
      </c>
      <c r="M493" s="63" t="str">
        <f>IFERROR(VLOOKUP(Tabelle32[[#This Row],[Device ID]],BOM!$B$3:$BQ$35,17,FALSE),"")</f>
        <v>EDIT SUITE 10</v>
      </c>
      <c r="N493" s="59" t="str">
        <f>IFERROR(VLOOKUP(Tabelle32[[#This Row],[Device ID]],BOM!$B$3:$BQ$35,18,FALSE),"")</f>
        <v>TC.03.017 | Edit 10</v>
      </c>
      <c r="O493" s="64"/>
      <c r="P493" s="64">
        <f>IFERROR(VLOOKUP(Tabelle32[[#This Row],[Device ID]],BOM!$B$3:$BO$50,20,FALSE),"")</f>
        <v>0</v>
      </c>
      <c r="Q493" s="64">
        <f>IFERROR(VLOOKUP(Tabelle32[[#This Row],[Device ID]],BOM!$B$3:$BO$50,21,FALSE),"")</f>
        <v>1</v>
      </c>
      <c r="R493" s="64">
        <f>IFERROR(VLOOKUP(Tabelle32[[#This Row],[Device ID]],BOM!$B$3:$BO$50,22,FALSE),"")</f>
        <v>0</v>
      </c>
      <c r="S493" s="64"/>
      <c r="T493" s="64"/>
      <c r="U493" s="59" t="str">
        <f>IFERROR(VLOOKUP(Tabelle32[[#This Row],[Device ID]],BOM!$B$3:$BQ$35,25,FALSE),"")</f>
        <v>Luis/Ivo</v>
      </c>
      <c r="V493" s="59" t="str">
        <f>IFERROR(VLOOKUP(Tabelle32[[#This Row],[Device ID]],BOM!$B$3:$BQ$35,26,FALSE),"")</f>
        <v>tpco-megw-vgw103.rta.st-net.media.int</v>
      </c>
      <c r="W493" s="59" t="str">
        <f>IFERROR(VLOOKUP(Tabelle32[[#This Row],[Device ID]],BOM!$B$3:$BQ$35,27,FALSE),"")</f>
        <v>10.120.236.50</v>
      </c>
      <c r="X493" s="59" t="str">
        <f>IFERROR(VLOOKUP(Tabelle32[[#This Row],[Device ID]],BOM!$B$3:$BQ$35,28,FALSE),"")</f>
        <v>AVCoreA</v>
      </c>
      <c r="Y493" s="59" t="str">
        <f>IFERROR(VLOOKUP(Tabelle32[[#This Row],[Device ID]],BOM!$B$3:$BQ$35,29,FALSE),"")</f>
        <v>5_36_1</v>
      </c>
      <c r="Z493" s="59" t="str">
        <f>IFERROR(VLOOKUP(Tabelle32[[#This Row],[Device ID]],BOM!$B$3:$BQ$35,30,FALSE),"")</f>
        <v>tpco-megw-vgw103.rtb.st-net.media.int</v>
      </c>
      <c r="AA493" s="59" t="str">
        <f>IFERROR(VLOOKUP(Tabelle32[[#This Row],[Device ID]],BOM!$B$3:$BQ$35,31,FALSE),"")</f>
        <v>10.120.236.54</v>
      </c>
      <c r="AB493" s="59" t="str">
        <f>IFERROR(VLOOKUP(Tabelle32[[#This Row],[Device ID]],BOM!$B$3:$BQ$35,32,FALSE),"")</f>
        <v>AVCoreB</v>
      </c>
      <c r="AC493" s="59" t="str">
        <f>IFERROR(VLOOKUP(Tabelle32[[#This Row],[Device ID]],BOM!$B$3:$BQ$35,33,FALSE),"")</f>
        <v>5_36_1</v>
      </c>
      <c r="AD493" s="59" t="str">
        <f>IFERROR(VLOOKUP(Tabelle32[[#This Row],[Device ID]],BOM!$B$3:$BQ$35,34,FALSE),"")</f>
        <v>tpco-megw-vgw103.st-net.media.int</v>
      </c>
      <c r="AE493" s="59" t="str">
        <f>IFERROR(VLOOKUP(Tabelle32[[#This Row],[Device ID]],BOM!$B$3:$BQ$35,35,FALSE),"")</f>
        <v>10.120.67.141</v>
      </c>
      <c r="AF493" s="59">
        <f>IFERROR(VLOOKUP(Tabelle32[[#This Row],[Device ID]],BOM!$B$3:$BQ$35,36,FALSE),"")</f>
        <v>0</v>
      </c>
      <c r="AG493" s="59">
        <f>IFERROR(VLOOKUP(Tabelle32[[#This Row],[Device ID]],BOM!$B$3:$BQ$35,37,FALSE),"")</f>
        <v>0</v>
      </c>
      <c r="AH493" s="59"/>
      <c r="AI493" s="59"/>
      <c r="AJ493" s="59"/>
      <c r="AK493" s="59"/>
      <c r="AL493" s="59" t="str">
        <f>IFERROR(VLOOKUP(Tabelle32[[#This Row],[Device ID]],BOM!$B$3:$BQ$35,42,FALSE),"")</f>
        <v>Imagine Communications SNP</v>
      </c>
      <c r="AM493" s="59" t="str">
        <f>IFERROR(VLOOKUP(Tabelle32[[#This Row],[Device ID]],BOM!$B$3:$BQ$35,43,FALSE),"")</f>
        <v>no</v>
      </c>
      <c r="AN493" s="59" t="str">
        <f>IFERROR(VLOOKUP(Tabelle32[[#This Row],[Device ID]],BOM!$B$3:$BQ$35,44,FALSE),"")</f>
        <v>yes</v>
      </c>
      <c r="AO493" s="59" t="str">
        <f>IFERROR(VLOOKUP(Tabelle32[[#This Row],[Device ID]],BOM!$B$3:$BQ$35,45,FALSE),"")</f>
        <v>no</v>
      </c>
      <c r="AP493" s="59" t="str">
        <f>IFERROR(CONCATENATE(Tabelle32[[#This Row],[Family
GFX-Unit]]," | ",Tabelle32[[#This Row],[Label 1
GFX-Unit]]," | ",Tabelle32[[#This Row],[Attached Device if Gateway]]),"")</f>
        <v>MEDEM Edit10 | In Edit10-04 | EditPC-10 IN</v>
      </c>
      <c r="AQ493" s="59"/>
      <c r="AR493" s="99"/>
      <c r="AS493" s="99"/>
      <c r="AT493" s="99"/>
      <c r="AU493" s="99"/>
      <c r="AV493" s="99"/>
      <c r="AW493" s="99" t="s">
        <v>97</v>
      </c>
      <c r="AX493" s="99" t="s">
        <v>199</v>
      </c>
      <c r="AY493" s="99" t="s">
        <v>199</v>
      </c>
      <c r="AZ493" s="99" t="s">
        <v>97</v>
      </c>
      <c r="BA493" s="99"/>
      <c r="BB493" s="99" t="s">
        <v>97</v>
      </c>
      <c r="BC493" s="99" t="s">
        <v>97</v>
      </c>
      <c r="BD493" s="99"/>
      <c r="BE493" s="99"/>
      <c r="BF493" s="99"/>
      <c r="BG493" s="99"/>
      <c r="BH493" s="73" t="s">
        <v>199</v>
      </c>
      <c r="BI493" s="30" t="str">
        <f>IF(COUNTA(Tabelle32[[#This Row],[Type:Vid_1080i50]:[Type:Anc_Prot]])&gt;0,"x","")</f>
        <v>x</v>
      </c>
      <c r="BJ493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3" s="59"/>
      <c r="BL493" s="59"/>
      <c r="BM493" s="63"/>
      <c r="BN493" s="63"/>
      <c r="BO493" s="97" t="s">
        <v>964</v>
      </c>
      <c r="BP493" s="97" t="s">
        <v>976</v>
      </c>
      <c r="BQ493" s="75">
        <f>LEN(Tabelle32[[#This Row],[Label 1
GFX-Unit]])</f>
        <v>12</v>
      </c>
      <c r="BR493" s="63"/>
      <c r="BS493" s="63"/>
      <c r="BT493" s="59"/>
      <c r="BU493" s="59"/>
      <c r="BV493" s="59" t="s">
        <v>226</v>
      </c>
      <c r="BW493" s="59" t="s">
        <v>227</v>
      </c>
      <c r="BX493" s="59" t="s">
        <v>977</v>
      </c>
      <c r="BY493" s="59">
        <v>24</v>
      </c>
    </row>
    <row r="494" spans="1:77" x14ac:dyDescent="0.2">
      <c r="A494" s="58" t="str">
        <f>CONCATENATE(Tabelle32[[#This Row],[Device ID]],".",Tabelle32[[#This Row],[Streamcounter]])</f>
        <v>401.24205</v>
      </c>
      <c r="B49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VGW-103_SDI24_AUDrec_0005</v>
      </c>
      <c r="C494" s="60"/>
      <c r="D494" s="61"/>
      <c r="E494" s="62"/>
      <c r="F494" s="59" t="str">
        <f>IFERROR(VLOOKUP(Tabelle32[[#This Row],[Device ID]],BOM!$B$3:$BQ$35,16,FALSE),"")</f>
        <v>EditPC-10 IN</v>
      </c>
      <c r="G494" s="63">
        <f>VLOOKUP(Tabelle32[[#This Row],[SDI Interface]],BOM!$A$4:$B$35,2,FALSE)</f>
        <v>401</v>
      </c>
      <c r="H494" s="59" t="str">
        <f>BOM!$C$4</f>
        <v>VGW-103</v>
      </c>
      <c r="I494" s="59" t="str">
        <f>IFERROR(VLOOKUP(Tabelle32[[#This Row],[Device ID]],BOM!$B$3:$BQ$35,12,FALSE),"")</f>
        <v>Edit Suite</v>
      </c>
      <c r="J494" s="59" t="str">
        <f>IFERROR(VLOOKUP(Tabelle32[[#This Row],[Device ID]],BOM!$B$3:$BQ$35,13,FALSE),"")</f>
        <v>TC.U1.223 | MDC</v>
      </c>
      <c r="K494" s="59" t="str">
        <f>IFERROR(VLOOKUP(Tabelle32[[#This Row],[Device ID]],BOM!$B$3:$BQ$35,14,FALSE),"")</f>
        <v>Imagine Comunications</v>
      </c>
      <c r="L494" s="59" t="str">
        <f>IFERROR(VLOOKUP(Tabelle32[[#This Row],[Device ID]],BOM!$B$3:$BQ$35,16,FALSE),"")</f>
        <v>EditPC-10 IN</v>
      </c>
      <c r="M494" s="63" t="str">
        <f>IFERROR(VLOOKUP(Tabelle32[[#This Row],[Device ID]],BOM!$B$3:$BQ$35,17,FALSE),"")</f>
        <v>EDIT SUITE 10</v>
      </c>
      <c r="N494" s="59" t="str">
        <f>IFERROR(VLOOKUP(Tabelle32[[#This Row],[Device ID]],BOM!$B$3:$BQ$35,18,FALSE),"")</f>
        <v>TC.03.017 | Edit 10</v>
      </c>
      <c r="O494" s="64"/>
      <c r="P494" s="64">
        <f>IFERROR(VLOOKUP(Tabelle32[[#This Row],[Device ID]],BOM!$B$3:$BO$50,20,FALSE),"")</f>
        <v>0</v>
      </c>
      <c r="Q494" s="64">
        <f>IFERROR(VLOOKUP(Tabelle32[[#This Row],[Device ID]],BOM!$B$3:$BO$50,21,FALSE),"")</f>
        <v>1</v>
      </c>
      <c r="R494" s="64">
        <f>IFERROR(VLOOKUP(Tabelle32[[#This Row],[Device ID]],BOM!$B$3:$BO$50,22,FALSE),"")</f>
        <v>0</v>
      </c>
      <c r="S494" s="64"/>
      <c r="T494" s="64"/>
      <c r="U494" s="59" t="str">
        <f>IFERROR(VLOOKUP(Tabelle32[[#This Row],[Device ID]],BOM!$B$3:$BQ$35,25,FALSE),"")</f>
        <v>Luis/Ivo</v>
      </c>
      <c r="V494" s="59" t="str">
        <f>IFERROR(VLOOKUP(Tabelle32[[#This Row],[Device ID]],BOM!$B$3:$BQ$35,26,FALSE),"")</f>
        <v>tpco-megw-vgw103.rta.st-net.media.int</v>
      </c>
      <c r="W494" s="59" t="str">
        <f>IFERROR(VLOOKUP(Tabelle32[[#This Row],[Device ID]],BOM!$B$3:$BQ$35,27,FALSE),"")</f>
        <v>10.120.236.50</v>
      </c>
      <c r="X494" s="59" t="str">
        <f>IFERROR(VLOOKUP(Tabelle32[[#This Row],[Device ID]],BOM!$B$3:$BQ$35,28,FALSE),"")</f>
        <v>AVCoreA</v>
      </c>
      <c r="Y494" s="59" t="str">
        <f>IFERROR(VLOOKUP(Tabelle32[[#This Row],[Device ID]],BOM!$B$3:$BQ$35,29,FALSE),"")</f>
        <v>5_36_1</v>
      </c>
      <c r="Z494" s="59" t="str">
        <f>IFERROR(VLOOKUP(Tabelle32[[#This Row],[Device ID]],BOM!$B$3:$BQ$35,30,FALSE),"")</f>
        <v>tpco-megw-vgw103.rtb.st-net.media.int</v>
      </c>
      <c r="AA494" s="59" t="str">
        <f>IFERROR(VLOOKUP(Tabelle32[[#This Row],[Device ID]],BOM!$B$3:$BQ$35,31,FALSE),"")</f>
        <v>10.120.236.54</v>
      </c>
      <c r="AB494" s="59" t="str">
        <f>IFERROR(VLOOKUP(Tabelle32[[#This Row],[Device ID]],BOM!$B$3:$BQ$35,32,FALSE),"")</f>
        <v>AVCoreB</v>
      </c>
      <c r="AC494" s="59" t="str">
        <f>IFERROR(VLOOKUP(Tabelle32[[#This Row],[Device ID]],BOM!$B$3:$BQ$35,33,FALSE),"")</f>
        <v>5_36_1</v>
      </c>
      <c r="AD494" s="59" t="str">
        <f>IFERROR(VLOOKUP(Tabelle32[[#This Row],[Device ID]],BOM!$B$3:$BQ$35,34,FALSE),"")</f>
        <v>tpco-megw-vgw103.st-net.media.int</v>
      </c>
      <c r="AE494" s="59" t="str">
        <f>IFERROR(VLOOKUP(Tabelle32[[#This Row],[Device ID]],BOM!$B$3:$BQ$35,35,FALSE),"")</f>
        <v>10.120.67.141</v>
      </c>
      <c r="AF494" s="59">
        <f>IFERROR(VLOOKUP(Tabelle32[[#This Row],[Device ID]],BOM!$B$3:$BQ$35,36,FALSE),"")</f>
        <v>0</v>
      </c>
      <c r="AG494" s="59">
        <f>IFERROR(VLOOKUP(Tabelle32[[#This Row],[Device ID]],BOM!$B$3:$BQ$35,37,FALSE),"")</f>
        <v>0</v>
      </c>
      <c r="AH494" s="59"/>
      <c r="AI494" s="59"/>
      <c r="AJ494" s="59"/>
      <c r="AK494" s="59"/>
      <c r="AL494" s="59" t="str">
        <f>IFERROR(VLOOKUP(Tabelle32[[#This Row],[Device ID]],BOM!$B$3:$BQ$35,42,FALSE),"")</f>
        <v>Imagine Communications SNP</v>
      </c>
      <c r="AM494" s="59" t="str">
        <f>IFERROR(VLOOKUP(Tabelle32[[#This Row],[Device ID]],BOM!$B$3:$BQ$35,43,FALSE),"")</f>
        <v>no</v>
      </c>
      <c r="AN494" s="59" t="str">
        <f>IFERROR(VLOOKUP(Tabelle32[[#This Row],[Device ID]],BOM!$B$3:$BQ$35,44,FALSE),"")</f>
        <v>yes</v>
      </c>
      <c r="AO494" s="59" t="str">
        <f>IFERROR(VLOOKUP(Tabelle32[[#This Row],[Device ID]],BOM!$B$3:$BQ$35,45,FALSE),"")</f>
        <v>no</v>
      </c>
      <c r="AP494" s="59" t="str">
        <f>IFERROR(CONCATENATE(Tabelle32[[#This Row],[Family
GFX-Unit]]," | ",Tabelle32[[#This Row],[Label 1
GFX-Unit]]," | ",Tabelle32[[#This Row],[Attached Device if Gateway]]),"")</f>
        <v>MEDEM Edit10 | In Edit10-05 | EditPC-10 IN</v>
      </c>
      <c r="AQ494" s="59"/>
      <c r="AR494" s="99"/>
      <c r="AS494" s="99"/>
      <c r="AT494" s="99"/>
      <c r="AU494" s="99"/>
      <c r="AV494" s="99"/>
      <c r="AW494" s="99" t="s">
        <v>97</v>
      </c>
      <c r="AX494" s="99" t="s">
        <v>199</v>
      </c>
      <c r="AY494" s="99" t="s">
        <v>199</v>
      </c>
      <c r="AZ494" s="99" t="s">
        <v>97</v>
      </c>
      <c r="BA494" s="99"/>
      <c r="BB494" s="99" t="s">
        <v>97</v>
      </c>
      <c r="BC494" s="99" t="s">
        <v>97</v>
      </c>
      <c r="BD494" s="99"/>
      <c r="BE494" s="99"/>
      <c r="BF494" s="99"/>
      <c r="BG494" s="99"/>
      <c r="BH494" s="73" t="s">
        <v>199</v>
      </c>
      <c r="BI494" s="30" t="str">
        <f>IF(COUNTA(Tabelle32[[#This Row],[Type:Vid_1080i50]:[Type:Anc_Prot]])&gt;0,"x","")</f>
        <v>x</v>
      </c>
      <c r="BJ494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4" s="59"/>
      <c r="BL494" s="59"/>
      <c r="BM494" s="63"/>
      <c r="BN494" s="63"/>
      <c r="BO494" s="97" t="s">
        <v>964</v>
      </c>
      <c r="BP494" s="97" t="s">
        <v>978</v>
      </c>
      <c r="BQ494" s="75">
        <f>LEN(Tabelle32[[#This Row],[Label 1
GFX-Unit]])</f>
        <v>12</v>
      </c>
      <c r="BR494" s="63"/>
      <c r="BS494" s="63"/>
      <c r="BT494" s="59"/>
      <c r="BU494" s="59"/>
      <c r="BV494" s="59" t="s">
        <v>230</v>
      </c>
      <c r="BW494" s="59" t="s">
        <v>231</v>
      </c>
      <c r="BX494" s="59" t="s">
        <v>979</v>
      </c>
      <c r="BY494" s="59">
        <v>24</v>
      </c>
    </row>
    <row r="495" spans="1:77" x14ac:dyDescent="0.2">
      <c r="A495" s="58" t="str">
        <f>CONCATENATE(Tabelle32[[#This Row],[Device ID]],".",Tabelle32[[#This Row],[Streamcounter]])</f>
        <v>401.24206</v>
      </c>
      <c r="B49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VGW-103_SDI24_AUDrec_0006</v>
      </c>
      <c r="C495" s="60"/>
      <c r="D495" s="61"/>
      <c r="E495" s="62"/>
      <c r="F495" s="59" t="str">
        <f>IFERROR(VLOOKUP(Tabelle32[[#This Row],[Device ID]],BOM!$B$3:$BQ$35,16,FALSE),"")</f>
        <v>EditPC-10 IN</v>
      </c>
      <c r="G495" s="63">
        <f>VLOOKUP(Tabelle32[[#This Row],[SDI Interface]],BOM!$A$4:$B$35,2,FALSE)</f>
        <v>401</v>
      </c>
      <c r="H495" s="59" t="str">
        <f>BOM!$C$4</f>
        <v>VGW-103</v>
      </c>
      <c r="I495" s="59" t="str">
        <f>IFERROR(VLOOKUP(Tabelle32[[#This Row],[Device ID]],BOM!$B$3:$BQ$35,12,FALSE),"")</f>
        <v>Edit Suite</v>
      </c>
      <c r="J495" s="59" t="str">
        <f>IFERROR(VLOOKUP(Tabelle32[[#This Row],[Device ID]],BOM!$B$3:$BQ$35,13,FALSE),"")</f>
        <v>TC.U1.223 | MDC</v>
      </c>
      <c r="K495" s="59" t="str">
        <f>IFERROR(VLOOKUP(Tabelle32[[#This Row],[Device ID]],BOM!$B$3:$BQ$35,14,FALSE),"")</f>
        <v>Imagine Comunications</v>
      </c>
      <c r="L495" s="59" t="str">
        <f>IFERROR(VLOOKUP(Tabelle32[[#This Row],[Device ID]],BOM!$B$3:$BQ$35,16,FALSE),"")</f>
        <v>EditPC-10 IN</v>
      </c>
      <c r="M495" s="63" t="str">
        <f>IFERROR(VLOOKUP(Tabelle32[[#This Row],[Device ID]],BOM!$B$3:$BQ$35,17,FALSE),"")</f>
        <v>EDIT SUITE 10</v>
      </c>
      <c r="N495" s="59" t="str">
        <f>IFERROR(VLOOKUP(Tabelle32[[#This Row],[Device ID]],BOM!$B$3:$BQ$35,18,FALSE),"")</f>
        <v>TC.03.017 | Edit 10</v>
      </c>
      <c r="O495" s="64"/>
      <c r="P495" s="64">
        <f>IFERROR(VLOOKUP(Tabelle32[[#This Row],[Device ID]],BOM!$B$3:$BO$50,20,FALSE),"")</f>
        <v>0</v>
      </c>
      <c r="Q495" s="64">
        <f>IFERROR(VLOOKUP(Tabelle32[[#This Row],[Device ID]],BOM!$B$3:$BO$50,21,FALSE),"")</f>
        <v>1</v>
      </c>
      <c r="R495" s="64">
        <f>IFERROR(VLOOKUP(Tabelle32[[#This Row],[Device ID]],BOM!$B$3:$BO$50,22,FALSE),"")</f>
        <v>0</v>
      </c>
      <c r="S495" s="64"/>
      <c r="T495" s="64"/>
      <c r="U495" s="59" t="str">
        <f>IFERROR(VLOOKUP(Tabelle32[[#This Row],[Device ID]],BOM!$B$3:$BQ$35,25,FALSE),"")</f>
        <v>Luis/Ivo</v>
      </c>
      <c r="V495" s="59" t="str">
        <f>IFERROR(VLOOKUP(Tabelle32[[#This Row],[Device ID]],BOM!$B$3:$BQ$35,26,FALSE),"")</f>
        <v>tpco-megw-vgw103.rta.st-net.media.int</v>
      </c>
      <c r="W495" s="59" t="str">
        <f>IFERROR(VLOOKUP(Tabelle32[[#This Row],[Device ID]],BOM!$B$3:$BQ$35,27,FALSE),"")</f>
        <v>10.120.236.50</v>
      </c>
      <c r="X495" s="59" t="str">
        <f>IFERROR(VLOOKUP(Tabelle32[[#This Row],[Device ID]],BOM!$B$3:$BQ$35,28,FALSE),"")</f>
        <v>AVCoreA</v>
      </c>
      <c r="Y495" s="59" t="str">
        <f>IFERROR(VLOOKUP(Tabelle32[[#This Row],[Device ID]],BOM!$B$3:$BQ$35,29,FALSE),"")</f>
        <v>5_36_1</v>
      </c>
      <c r="Z495" s="59" t="str">
        <f>IFERROR(VLOOKUP(Tabelle32[[#This Row],[Device ID]],BOM!$B$3:$BQ$35,30,FALSE),"")</f>
        <v>tpco-megw-vgw103.rtb.st-net.media.int</v>
      </c>
      <c r="AA495" s="59" t="str">
        <f>IFERROR(VLOOKUP(Tabelle32[[#This Row],[Device ID]],BOM!$B$3:$BQ$35,31,FALSE),"")</f>
        <v>10.120.236.54</v>
      </c>
      <c r="AB495" s="59" t="str">
        <f>IFERROR(VLOOKUP(Tabelle32[[#This Row],[Device ID]],BOM!$B$3:$BQ$35,32,FALSE),"")</f>
        <v>AVCoreB</v>
      </c>
      <c r="AC495" s="59" t="str">
        <f>IFERROR(VLOOKUP(Tabelle32[[#This Row],[Device ID]],BOM!$B$3:$BQ$35,33,FALSE),"")</f>
        <v>5_36_1</v>
      </c>
      <c r="AD495" s="59" t="str">
        <f>IFERROR(VLOOKUP(Tabelle32[[#This Row],[Device ID]],BOM!$B$3:$BQ$35,34,FALSE),"")</f>
        <v>tpco-megw-vgw103.st-net.media.int</v>
      </c>
      <c r="AE495" s="59" t="str">
        <f>IFERROR(VLOOKUP(Tabelle32[[#This Row],[Device ID]],BOM!$B$3:$BQ$35,35,FALSE),"")</f>
        <v>10.120.67.141</v>
      </c>
      <c r="AF495" s="59">
        <f>IFERROR(VLOOKUP(Tabelle32[[#This Row],[Device ID]],BOM!$B$3:$BQ$35,36,FALSE),"")</f>
        <v>0</v>
      </c>
      <c r="AG495" s="59">
        <f>IFERROR(VLOOKUP(Tabelle32[[#This Row],[Device ID]],BOM!$B$3:$BQ$35,37,FALSE),"")</f>
        <v>0</v>
      </c>
      <c r="AH495" s="59"/>
      <c r="AI495" s="59"/>
      <c r="AJ495" s="59"/>
      <c r="AK495" s="59"/>
      <c r="AL495" s="59" t="str">
        <f>IFERROR(VLOOKUP(Tabelle32[[#This Row],[Device ID]],BOM!$B$3:$BQ$35,42,FALSE),"")</f>
        <v>Imagine Communications SNP</v>
      </c>
      <c r="AM495" s="59" t="str">
        <f>IFERROR(VLOOKUP(Tabelle32[[#This Row],[Device ID]],BOM!$B$3:$BQ$35,43,FALSE),"")</f>
        <v>no</v>
      </c>
      <c r="AN495" s="59" t="str">
        <f>IFERROR(VLOOKUP(Tabelle32[[#This Row],[Device ID]],BOM!$B$3:$BQ$35,44,FALSE),"")</f>
        <v>yes</v>
      </c>
      <c r="AO495" s="59" t="str">
        <f>IFERROR(VLOOKUP(Tabelle32[[#This Row],[Device ID]],BOM!$B$3:$BQ$35,45,FALSE),"")</f>
        <v>no</v>
      </c>
      <c r="AP495" s="59" t="str">
        <f>IFERROR(CONCATENATE(Tabelle32[[#This Row],[Family
GFX-Unit]]," | ",Tabelle32[[#This Row],[Label 1
GFX-Unit]]," | ",Tabelle32[[#This Row],[Attached Device if Gateway]]),"")</f>
        <v>MEDEM Edit10 | In Edit10-06 | EditPC-10 IN</v>
      </c>
      <c r="AQ495" s="59"/>
      <c r="AR495" s="99"/>
      <c r="AS495" s="99"/>
      <c r="AT495" s="99"/>
      <c r="AU495" s="99"/>
      <c r="AV495" s="99"/>
      <c r="AW495" s="99" t="s">
        <v>97</v>
      </c>
      <c r="AX495" s="99" t="s">
        <v>199</v>
      </c>
      <c r="AY495" s="99" t="s">
        <v>199</v>
      </c>
      <c r="AZ495" s="99" t="s">
        <v>97</v>
      </c>
      <c r="BA495" s="99"/>
      <c r="BB495" s="99" t="s">
        <v>97</v>
      </c>
      <c r="BC495" s="99" t="s">
        <v>97</v>
      </c>
      <c r="BD495" s="99"/>
      <c r="BE495" s="99"/>
      <c r="BF495" s="99"/>
      <c r="BG495" s="99"/>
      <c r="BH495" s="73" t="s">
        <v>199</v>
      </c>
      <c r="BI495" s="30" t="str">
        <f>IF(COUNTA(Tabelle32[[#This Row],[Type:Vid_1080i50]:[Type:Anc_Prot]])&gt;0,"x","")</f>
        <v>x</v>
      </c>
      <c r="BJ495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5" s="59"/>
      <c r="BL495" s="59"/>
      <c r="BM495" s="63"/>
      <c r="BN495" s="63"/>
      <c r="BO495" s="97" t="s">
        <v>964</v>
      </c>
      <c r="BP495" s="97" t="s">
        <v>980</v>
      </c>
      <c r="BQ495" s="75">
        <f>LEN(Tabelle32[[#This Row],[Label 1
GFX-Unit]])</f>
        <v>12</v>
      </c>
      <c r="BR495" s="63"/>
      <c r="BS495" s="63"/>
      <c r="BT495" s="59"/>
      <c r="BU495" s="59"/>
      <c r="BV495" s="59" t="s">
        <v>234</v>
      </c>
      <c r="BW495" s="59" t="s">
        <v>235</v>
      </c>
      <c r="BX495" s="59" t="s">
        <v>981</v>
      </c>
      <c r="BY495" s="59">
        <v>24</v>
      </c>
    </row>
    <row r="496" spans="1:77" x14ac:dyDescent="0.2">
      <c r="A496" s="58" t="str">
        <f>CONCATENATE(Tabelle32[[#This Row],[Device ID]],".",Tabelle32[[#This Row],[Streamcounter]])</f>
        <v>401.24207</v>
      </c>
      <c r="B49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VGW-103_SDI24_AUDrec_0007</v>
      </c>
      <c r="C496" s="60"/>
      <c r="D496" s="61"/>
      <c r="E496" s="62"/>
      <c r="F496" s="59" t="str">
        <f>IFERROR(VLOOKUP(Tabelle32[[#This Row],[Device ID]],BOM!$B$3:$BQ$35,16,FALSE),"")</f>
        <v>EditPC-10 IN</v>
      </c>
      <c r="G496" s="63">
        <f>VLOOKUP(Tabelle32[[#This Row],[SDI Interface]],BOM!$A$4:$B$35,2,FALSE)</f>
        <v>401</v>
      </c>
      <c r="H496" s="59" t="str">
        <f>BOM!$C$4</f>
        <v>VGW-103</v>
      </c>
      <c r="I496" s="59" t="str">
        <f>IFERROR(VLOOKUP(Tabelle32[[#This Row],[Device ID]],BOM!$B$3:$BQ$35,12,FALSE),"")</f>
        <v>Edit Suite</v>
      </c>
      <c r="J496" s="59" t="str">
        <f>IFERROR(VLOOKUP(Tabelle32[[#This Row],[Device ID]],BOM!$B$3:$BQ$35,13,FALSE),"")</f>
        <v>TC.U1.223 | MDC</v>
      </c>
      <c r="K496" s="59" t="str">
        <f>IFERROR(VLOOKUP(Tabelle32[[#This Row],[Device ID]],BOM!$B$3:$BQ$35,14,FALSE),"")</f>
        <v>Imagine Comunications</v>
      </c>
      <c r="L496" s="59" t="str">
        <f>IFERROR(VLOOKUP(Tabelle32[[#This Row],[Device ID]],BOM!$B$3:$BQ$35,16,FALSE),"")</f>
        <v>EditPC-10 IN</v>
      </c>
      <c r="M496" s="63" t="str">
        <f>IFERROR(VLOOKUP(Tabelle32[[#This Row],[Device ID]],BOM!$B$3:$BQ$35,17,FALSE),"")</f>
        <v>EDIT SUITE 10</v>
      </c>
      <c r="N496" s="59" t="str">
        <f>IFERROR(VLOOKUP(Tabelle32[[#This Row],[Device ID]],BOM!$B$3:$BQ$35,18,FALSE),"")</f>
        <v>TC.03.017 | Edit 10</v>
      </c>
      <c r="O496" s="64"/>
      <c r="P496" s="64">
        <f>IFERROR(VLOOKUP(Tabelle32[[#This Row],[Device ID]],BOM!$B$3:$BO$50,20,FALSE),"")</f>
        <v>0</v>
      </c>
      <c r="Q496" s="64">
        <f>IFERROR(VLOOKUP(Tabelle32[[#This Row],[Device ID]],BOM!$B$3:$BO$50,21,FALSE),"")</f>
        <v>1</v>
      </c>
      <c r="R496" s="64">
        <f>IFERROR(VLOOKUP(Tabelle32[[#This Row],[Device ID]],BOM!$B$3:$BO$50,22,FALSE),"")</f>
        <v>0</v>
      </c>
      <c r="S496" s="64"/>
      <c r="T496" s="64"/>
      <c r="U496" s="59" t="str">
        <f>IFERROR(VLOOKUP(Tabelle32[[#This Row],[Device ID]],BOM!$B$3:$BQ$35,25,FALSE),"")</f>
        <v>Luis/Ivo</v>
      </c>
      <c r="V496" s="59" t="str">
        <f>IFERROR(VLOOKUP(Tabelle32[[#This Row],[Device ID]],BOM!$B$3:$BQ$35,26,FALSE),"")</f>
        <v>tpco-megw-vgw103.rta.st-net.media.int</v>
      </c>
      <c r="W496" s="59" t="str">
        <f>IFERROR(VLOOKUP(Tabelle32[[#This Row],[Device ID]],BOM!$B$3:$BQ$35,27,FALSE),"")</f>
        <v>10.120.236.50</v>
      </c>
      <c r="X496" s="59" t="str">
        <f>IFERROR(VLOOKUP(Tabelle32[[#This Row],[Device ID]],BOM!$B$3:$BQ$35,28,FALSE),"")</f>
        <v>AVCoreA</v>
      </c>
      <c r="Y496" s="59" t="str">
        <f>IFERROR(VLOOKUP(Tabelle32[[#This Row],[Device ID]],BOM!$B$3:$BQ$35,29,FALSE),"")</f>
        <v>5_36_1</v>
      </c>
      <c r="Z496" s="59" t="str">
        <f>IFERROR(VLOOKUP(Tabelle32[[#This Row],[Device ID]],BOM!$B$3:$BQ$35,30,FALSE),"")</f>
        <v>tpco-megw-vgw103.rtb.st-net.media.int</v>
      </c>
      <c r="AA496" s="59" t="str">
        <f>IFERROR(VLOOKUP(Tabelle32[[#This Row],[Device ID]],BOM!$B$3:$BQ$35,31,FALSE),"")</f>
        <v>10.120.236.54</v>
      </c>
      <c r="AB496" s="59" t="str">
        <f>IFERROR(VLOOKUP(Tabelle32[[#This Row],[Device ID]],BOM!$B$3:$BQ$35,32,FALSE),"")</f>
        <v>AVCoreB</v>
      </c>
      <c r="AC496" s="59" t="str">
        <f>IFERROR(VLOOKUP(Tabelle32[[#This Row],[Device ID]],BOM!$B$3:$BQ$35,33,FALSE),"")</f>
        <v>5_36_1</v>
      </c>
      <c r="AD496" s="59" t="str">
        <f>IFERROR(VLOOKUP(Tabelle32[[#This Row],[Device ID]],BOM!$B$3:$BQ$35,34,FALSE),"")</f>
        <v>tpco-megw-vgw103.st-net.media.int</v>
      </c>
      <c r="AE496" s="59" t="str">
        <f>IFERROR(VLOOKUP(Tabelle32[[#This Row],[Device ID]],BOM!$B$3:$BQ$35,35,FALSE),"")</f>
        <v>10.120.67.141</v>
      </c>
      <c r="AF496" s="59">
        <f>IFERROR(VLOOKUP(Tabelle32[[#This Row],[Device ID]],BOM!$B$3:$BQ$35,36,FALSE),"")</f>
        <v>0</v>
      </c>
      <c r="AG496" s="59">
        <f>IFERROR(VLOOKUP(Tabelle32[[#This Row],[Device ID]],BOM!$B$3:$BQ$35,37,FALSE),"")</f>
        <v>0</v>
      </c>
      <c r="AH496" s="59"/>
      <c r="AI496" s="59"/>
      <c r="AJ496" s="59"/>
      <c r="AK496" s="59"/>
      <c r="AL496" s="59" t="str">
        <f>IFERROR(VLOOKUP(Tabelle32[[#This Row],[Device ID]],BOM!$B$3:$BQ$35,42,FALSE),"")</f>
        <v>Imagine Communications SNP</v>
      </c>
      <c r="AM496" s="59" t="str">
        <f>IFERROR(VLOOKUP(Tabelle32[[#This Row],[Device ID]],BOM!$B$3:$BQ$35,43,FALSE),"")</f>
        <v>no</v>
      </c>
      <c r="AN496" s="59" t="str">
        <f>IFERROR(VLOOKUP(Tabelle32[[#This Row],[Device ID]],BOM!$B$3:$BQ$35,44,FALSE),"")</f>
        <v>yes</v>
      </c>
      <c r="AO496" s="59" t="str">
        <f>IFERROR(VLOOKUP(Tabelle32[[#This Row],[Device ID]],BOM!$B$3:$BQ$35,45,FALSE),"")</f>
        <v>no</v>
      </c>
      <c r="AP496" s="59" t="str">
        <f>IFERROR(CONCATENATE(Tabelle32[[#This Row],[Family
GFX-Unit]]," | ",Tabelle32[[#This Row],[Label 1
GFX-Unit]]," | ",Tabelle32[[#This Row],[Attached Device if Gateway]]),"")</f>
        <v>MEDEM Edit10 | In Edit10-07 | EditPC-10 IN</v>
      </c>
      <c r="AQ496" s="59"/>
      <c r="AR496" s="96"/>
      <c r="AS496" s="96"/>
      <c r="AT496" s="96"/>
      <c r="AU496" s="96"/>
      <c r="AV496" s="96"/>
      <c r="AW496" s="96" t="s">
        <v>97</v>
      </c>
      <c r="AX496" s="96" t="s">
        <v>199</v>
      </c>
      <c r="AY496" s="96" t="s">
        <v>199</v>
      </c>
      <c r="AZ496" s="96" t="s">
        <v>97</v>
      </c>
      <c r="BA496" s="96"/>
      <c r="BB496" s="96" t="s">
        <v>97</v>
      </c>
      <c r="BC496" s="96" t="s">
        <v>97</v>
      </c>
      <c r="BD496" s="96"/>
      <c r="BE496" s="96"/>
      <c r="BF496" s="96"/>
      <c r="BG496" s="96"/>
      <c r="BH496" s="73" t="s">
        <v>199</v>
      </c>
      <c r="BI496" s="30" t="str">
        <f>IF(COUNTA(Tabelle32[[#This Row],[Type:Vid_1080i50]:[Type:Anc_Prot]])&gt;0,"x","")</f>
        <v>x</v>
      </c>
      <c r="BJ49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6" s="59"/>
      <c r="BL496" s="59"/>
      <c r="BM496" s="63"/>
      <c r="BN496" s="63"/>
      <c r="BO496" s="97" t="s">
        <v>964</v>
      </c>
      <c r="BP496" s="97" t="s">
        <v>982</v>
      </c>
      <c r="BQ496" s="75">
        <f>LEN(Tabelle32[[#This Row],[Label 1
GFX-Unit]])</f>
        <v>12</v>
      </c>
      <c r="BR496" s="63"/>
      <c r="BS496" s="63"/>
      <c r="BT496" s="59"/>
      <c r="BU496" s="59"/>
      <c r="BV496" s="59" t="s">
        <v>238</v>
      </c>
      <c r="BW496" s="59" t="s">
        <v>239</v>
      </c>
      <c r="BX496" s="59" t="s">
        <v>983</v>
      </c>
      <c r="BY496" s="59">
        <v>24</v>
      </c>
    </row>
    <row r="497" spans="1:77" x14ac:dyDescent="0.2">
      <c r="A497" s="58" t="str">
        <f>CONCATENATE(Tabelle32[[#This Row],[Device ID]],".",Tabelle32[[#This Row],[Streamcounter]])</f>
        <v>401.24208</v>
      </c>
      <c r="B49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VGW-103_SDI24_AUDrec_0008</v>
      </c>
      <c r="C497" s="60"/>
      <c r="D497" s="61"/>
      <c r="E497" s="62"/>
      <c r="F497" s="59" t="str">
        <f>IFERROR(VLOOKUP(Tabelle32[[#This Row],[Device ID]],BOM!$B$3:$BQ$35,16,FALSE),"")</f>
        <v>EditPC-10 IN</v>
      </c>
      <c r="G497" s="63">
        <f>VLOOKUP(Tabelle32[[#This Row],[SDI Interface]],BOM!$A$4:$B$35,2,FALSE)</f>
        <v>401</v>
      </c>
      <c r="H497" s="59" t="str">
        <f>BOM!$C$4</f>
        <v>VGW-103</v>
      </c>
      <c r="I497" s="59" t="str">
        <f>IFERROR(VLOOKUP(Tabelle32[[#This Row],[Device ID]],BOM!$B$3:$BQ$35,12,FALSE),"")</f>
        <v>Edit Suite</v>
      </c>
      <c r="J497" s="59" t="str">
        <f>IFERROR(VLOOKUP(Tabelle32[[#This Row],[Device ID]],BOM!$B$3:$BQ$35,13,FALSE),"")</f>
        <v>TC.U1.223 | MDC</v>
      </c>
      <c r="K497" s="59" t="str">
        <f>IFERROR(VLOOKUP(Tabelle32[[#This Row],[Device ID]],BOM!$B$3:$BQ$35,14,FALSE),"")</f>
        <v>Imagine Comunications</v>
      </c>
      <c r="L497" s="59" t="str">
        <f>IFERROR(VLOOKUP(Tabelle32[[#This Row],[Device ID]],BOM!$B$3:$BQ$35,16,FALSE),"")</f>
        <v>EditPC-10 IN</v>
      </c>
      <c r="M497" s="63" t="str">
        <f>IFERROR(VLOOKUP(Tabelle32[[#This Row],[Device ID]],BOM!$B$3:$BQ$35,17,FALSE),"")</f>
        <v>EDIT SUITE 10</v>
      </c>
      <c r="N497" s="59" t="str">
        <f>IFERROR(VLOOKUP(Tabelle32[[#This Row],[Device ID]],BOM!$B$3:$BQ$35,18,FALSE),"")</f>
        <v>TC.03.017 | Edit 10</v>
      </c>
      <c r="O497" s="64"/>
      <c r="P497" s="64">
        <f>IFERROR(VLOOKUP(Tabelle32[[#This Row],[Device ID]],BOM!$B$3:$BO$50,20,FALSE),"")</f>
        <v>0</v>
      </c>
      <c r="Q497" s="64">
        <f>IFERROR(VLOOKUP(Tabelle32[[#This Row],[Device ID]],BOM!$B$3:$BO$50,21,FALSE),"")</f>
        <v>1</v>
      </c>
      <c r="R497" s="64">
        <f>IFERROR(VLOOKUP(Tabelle32[[#This Row],[Device ID]],BOM!$B$3:$BO$50,22,FALSE),"")</f>
        <v>0</v>
      </c>
      <c r="S497" s="64"/>
      <c r="T497" s="64"/>
      <c r="U497" s="59" t="str">
        <f>IFERROR(VLOOKUP(Tabelle32[[#This Row],[Device ID]],BOM!$B$3:$BQ$35,25,FALSE),"")</f>
        <v>Luis/Ivo</v>
      </c>
      <c r="V497" s="59" t="str">
        <f>IFERROR(VLOOKUP(Tabelle32[[#This Row],[Device ID]],BOM!$B$3:$BQ$35,26,FALSE),"")</f>
        <v>tpco-megw-vgw103.rta.st-net.media.int</v>
      </c>
      <c r="W497" s="59" t="str">
        <f>IFERROR(VLOOKUP(Tabelle32[[#This Row],[Device ID]],BOM!$B$3:$BQ$35,27,FALSE),"")</f>
        <v>10.120.236.50</v>
      </c>
      <c r="X497" s="59" t="str">
        <f>IFERROR(VLOOKUP(Tabelle32[[#This Row],[Device ID]],BOM!$B$3:$BQ$35,28,FALSE),"")</f>
        <v>AVCoreA</v>
      </c>
      <c r="Y497" s="59" t="str">
        <f>IFERROR(VLOOKUP(Tabelle32[[#This Row],[Device ID]],BOM!$B$3:$BQ$35,29,FALSE),"")</f>
        <v>5_36_1</v>
      </c>
      <c r="Z497" s="59" t="str">
        <f>IFERROR(VLOOKUP(Tabelle32[[#This Row],[Device ID]],BOM!$B$3:$BQ$35,30,FALSE),"")</f>
        <v>tpco-megw-vgw103.rtb.st-net.media.int</v>
      </c>
      <c r="AA497" s="59" t="str">
        <f>IFERROR(VLOOKUP(Tabelle32[[#This Row],[Device ID]],BOM!$B$3:$BQ$35,31,FALSE),"")</f>
        <v>10.120.236.54</v>
      </c>
      <c r="AB497" s="59" t="str">
        <f>IFERROR(VLOOKUP(Tabelle32[[#This Row],[Device ID]],BOM!$B$3:$BQ$35,32,FALSE),"")</f>
        <v>AVCoreB</v>
      </c>
      <c r="AC497" s="59" t="str">
        <f>IFERROR(VLOOKUP(Tabelle32[[#This Row],[Device ID]],BOM!$B$3:$BQ$35,33,FALSE),"")</f>
        <v>5_36_1</v>
      </c>
      <c r="AD497" s="59" t="str">
        <f>IFERROR(VLOOKUP(Tabelle32[[#This Row],[Device ID]],BOM!$B$3:$BQ$35,34,FALSE),"")</f>
        <v>tpco-megw-vgw103.st-net.media.int</v>
      </c>
      <c r="AE497" s="59" t="str">
        <f>IFERROR(VLOOKUP(Tabelle32[[#This Row],[Device ID]],BOM!$B$3:$BQ$35,35,FALSE),"")</f>
        <v>10.120.67.141</v>
      </c>
      <c r="AF497" s="59">
        <f>IFERROR(VLOOKUP(Tabelle32[[#This Row],[Device ID]],BOM!$B$3:$BQ$35,36,FALSE),"")</f>
        <v>0</v>
      </c>
      <c r="AG497" s="59">
        <f>IFERROR(VLOOKUP(Tabelle32[[#This Row],[Device ID]],BOM!$B$3:$BQ$35,37,FALSE),"")</f>
        <v>0</v>
      </c>
      <c r="AH497" s="59"/>
      <c r="AI497" s="59"/>
      <c r="AJ497" s="59"/>
      <c r="AK497" s="59"/>
      <c r="AL497" s="59" t="str">
        <f>IFERROR(VLOOKUP(Tabelle32[[#This Row],[Device ID]],BOM!$B$3:$BQ$35,42,FALSE),"")</f>
        <v>Imagine Communications SNP</v>
      </c>
      <c r="AM497" s="59" t="str">
        <f>IFERROR(VLOOKUP(Tabelle32[[#This Row],[Device ID]],BOM!$B$3:$BQ$35,43,FALSE),"")</f>
        <v>no</v>
      </c>
      <c r="AN497" s="59" t="str">
        <f>IFERROR(VLOOKUP(Tabelle32[[#This Row],[Device ID]],BOM!$B$3:$BQ$35,44,FALSE),"")</f>
        <v>yes</v>
      </c>
      <c r="AO497" s="59" t="str">
        <f>IFERROR(VLOOKUP(Tabelle32[[#This Row],[Device ID]],BOM!$B$3:$BQ$35,45,FALSE),"")</f>
        <v>no</v>
      </c>
      <c r="AP497" s="59" t="str">
        <f>IFERROR(CONCATENATE(Tabelle32[[#This Row],[Family
GFX-Unit]]," | ",Tabelle32[[#This Row],[Label 1
GFX-Unit]]," | ",Tabelle32[[#This Row],[Attached Device if Gateway]]),"")</f>
        <v>MEDEM Edit10 | In Edit10-08 | EditPC-10 IN</v>
      </c>
      <c r="AQ497" s="59"/>
      <c r="AR497" s="96"/>
      <c r="AS497" s="96"/>
      <c r="AT497" s="96"/>
      <c r="AU497" s="96"/>
      <c r="AV497" s="96"/>
      <c r="AW497" s="96" t="s">
        <v>97</v>
      </c>
      <c r="AX497" s="96" t="s">
        <v>199</v>
      </c>
      <c r="AY497" s="96" t="s">
        <v>199</v>
      </c>
      <c r="AZ497" s="96" t="s">
        <v>97</v>
      </c>
      <c r="BA497" s="96"/>
      <c r="BB497" s="96" t="s">
        <v>97</v>
      </c>
      <c r="BC497" s="96" t="s">
        <v>97</v>
      </c>
      <c r="BD497" s="96"/>
      <c r="BE497" s="96"/>
      <c r="BF497" s="96"/>
      <c r="BG497" s="96"/>
      <c r="BH497" s="73" t="s">
        <v>199</v>
      </c>
      <c r="BI497" s="30" t="str">
        <f>IF(COUNTA(Tabelle32[[#This Row],[Type:Vid_1080i50]:[Type:Anc_Prot]])&gt;0,"x","")</f>
        <v>x</v>
      </c>
      <c r="BJ49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7" s="59"/>
      <c r="BL497" s="59"/>
      <c r="BM497" s="63"/>
      <c r="BN497" s="63"/>
      <c r="BO497" s="97" t="s">
        <v>964</v>
      </c>
      <c r="BP497" s="97" t="s">
        <v>984</v>
      </c>
      <c r="BQ497" s="75">
        <f>LEN(Tabelle32[[#This Row],[Label 1
GFX-Unit]])</f>
        <v>12</v>
      </c>
      <c r="BR497" s="63"/>
      <c r="BS497" s="63"/>
      <c r="BT497" s="59"/>
      <c r="BU497" s="59"/>
      <c r="BV497" s="59" t="s">
        <v>242</v>
      </c>
      <c r="BW497" s="59" t="s">
        <v>243</v>
      </c>
      <c r="BX497" s="59" t="s">
        <v>985</v>
      </c>
      <c r="BY497" s="59">
        <v>24</v>
      </c>
    </row>
    <row r="498" spans="1:77" x14ac:dyDescent="0.2">
      <c r="A498" s="58" t="str">
        <f>CONCATENATE(Tabelle32[[#This Row],[Device ID]],".",Tabelle32[[#This Row],[Streamcounter]])</f>
        <v>401.24209</v>
      </c>
      <c r="B49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VGW-103_SDI24_AUDrec_0009</v>
      </c>
      <c r="C498" s="60"/>
      <c r="D498" s="61"/>
      <c r="E498" s="62"/>
      <c r="F498" s="59" t="str">
        <f>IFERROR(VLOOKUP(Tabelle32[[#This Row],[Device ID]],BOM!$B$3:$BQ$35,16,FALSE),"")</f>
        <v>EditPC-10 IN</v>
      </c>
      <c r="G498" s="63">
        <f>VLOOKUP(Tabelle32[[#This Row],[SDI Interface]],BOM!$A$4:$B$35,2,FALSE)</f>
        <v>401</v>
      </c>
      <c r="H498" s="59" t="str">
        <f>BOM!$C$4</f>
        <v>VGW-103</v>
      </c>
      <c r="I498" s="59" t="str">
        <f>IFERROR(VLOOKUP(Tabelle32[[#This Row],[Device ID]],BOM!$B$3:$BQ$35,12,FALSE),"")</f>
        <v>Edit Suite</v>
      </c>
      <c r="J498" s="59" t="str">
        <f>IFERROR(VLOOKUP(Tabelle32[[#This Row],[Device ID]],BOM!$B$3:$BQ$35,13,FALSE),"")</f>
        <v>TC.U1.223 | MDC</v>
      </c>
      <c r="K498" s="59" t="str">
        <f>IFERROR(VLOOKUP(Tabelle32[[#This Row],[Device ID]],BOM!$B$3:$BQ$35,14,FALSE),"")</f>
        <v>Imagine Comunications</v>
      </c>
      <c r="L498" s="59" t="str">
        <f>IFERROR(VLOOKUP(Tabelle32[[#This Row],[Device ID]],BOM!$B$3:$BQ$35,16,FALSE),"")</f>
        <v>EditPC-10 IN</v>
      </c>
      <c r="M498" s="63" t="str">
        <f>IFERROR(VLOOKUP(Tabelle32[[#This Row],[Device ID]],BOM!$B$3:$BQ$35,17,FALSE),"")</f>
        <v>EDIT SUITE 10</v>
      </c>
      <c r="N498" s="59" t="str">
        <f>IFERROR(VLOOKUP(Tabelle32[[#This Row],[Device ID]],BOM!$B$3:$BQ$35,18,FALSE),"")</f>
        <v>TC.03.017 | Edit 10</v>
      </c>
      <c r="O498" s="64"/>
      <c r="P498" s="64">
        <f>IFERROR(VLOOKUP(Tabelle32[[#This Row],[Device ID]],BOM!$B$3:$BO$50,20,FALSE),"")</f>
        <v>0</v>
      </c>
      <c r="Q498" s="64">
        <f>IFERROR(VLOOKUP(Tabelle32[[#This Row],[Device ID]],BOM!$B$3:$BO$50,21,FALSE),"")</f>
        <v>1</v>
      </c>
      <c r="R498" s="64">
        <f>IFERROR(VLOOKUP(Tabelle32[[#This Row],[Device ID]],BOM!$B$3:$BO$50,22,FALSE),"")</f>
        <v>0</v>
      </c>
      <c r="S498" s="64"/>
      <c r="T498" s="64"/>
      <c r="U498" s="59" t="str">
        <f>IFERROR(VLOOKUP(Tabelle32[[#This Row],[Device ID]],BOM!$B$3:$BQ$35,25,FALSE),"")</f>
        <v>Luis/Ivo</v>
      </c>
      <c r="V498" s="59" t="str">
        <f>IFERROR(VLOOKUP(Tabelle32[[#This Row],[Device ID]],BOM!$B$3:$BQ$35,26,FALSE),"")</f>
        <v>tpco-megw-vgw103.rta.st-net.media.int</v>
      </c>
      <c r="W498" s="59" t="str">
        <f>IFERROR(VLOOKUP(Tabelle32[[#This Row],[Device ID]],BOM!$B$3:$BQ$35,27,FALSE),"")</f>
        <v>10.120.236.50</v>
      </c>
      <c r="X498" s="59" t="str">
        <f>IFERROR(VLOOKUP(Tabelle32[[#This Row],[Device ID]],BOM!$B$3:$BQ$35,28,FALSE),"")</f>
        <v>AVCoreA</v>
      </c>
      <c r="Y498" s="59" t="str">
        <f>IFERROR(VLOOKUP(Tabelle32[[#This Row],[Device ID]],BOM!$B$3:$BQ$35,29,FALSE),"")</f>
        <v>5_36_1</v>
      </c>
      <c r="Z498" s="59" t="str">
        <f>IFERROR(VLOOKUP(Tabelle32[[#This Row],[Device ID]],BOM!$B$3:$BQ$35,30,FALSE),"")</f>
        <v>tpco-megw-vgw103.rtb.st-net.media.int</v>
      </c>
      <c r="AA498" s="59" t="str">
        <f>IFERROR(VLOOKUP(Tabelle32[[#This Row],[Device ID]],BOM!$B$3:$BQ$35,31,FALSE),"")</f>
        <v>10.120.236.54</v>
      </c>
      <c r="AB498" s="59" t="str">
        <f>IFERROR(VLOOKUP(Tabelle32[[#This Row],[Device ID]],BOM!$B$3:$BQ$35,32,FALSE),"")</f>
        <v>AVCoreB</v>
      </c>
      <c r="AC498" s="59" t="str">
        <f>IFERROR(VLOOKUP(Tabelle32[[#This Row],[Device ID]],BOM!$B$3:$BQ$35,33,FALSE),"")</f>
        <v>5_36_1</v>
      </c>
      <c r="AD498" s="59" t="str">
        <f>IFERROR(VLOOKUP(Tabelle32[[#This Row],[Device ID]],BOM!$B$3:$BQ$35,34,FALSE),"")</f>
        <v>tpco-megw-vgw103.st-net.media.int</v>
      </c>
      <c r="AE498" s="59" t="str">
        <f>IFERROR(VLOOKUP(Tabelle32[[#This Row],[Device ID]],BOM!$B$3:$BQ$35,35,FALSE),"")</f>
        <v>10.120.67.141</v>
      </c>
      <c r="AF498" s="59">
        <f>IFERROR(VLOOKUP(Tabelle32[[#This Row],[Device ID]],BOM!$B$3:$BQ$35,36,FALSE),"")</f>
        <v>0</v>
      </c>
      <c r="AG498" s="59">
        <f>IFERROR(VLOOKUP(Tabelle32[[#This Row],[Device ID]],BOM!$B$3:$BQ$35,37,FALSE),"")</f>
        <v>0</v>
      </c>
      <c r="AH498" s="59"/>
      <c r="AI498" s="59"/>
      <c r="AJ498" s="59"/>
      <c r="AK498" s="59"/>
      <c r="AL498" s="59" t="str">
        <f>IFERROR(VLOOKUP(Tabelle32[[#This Row],[Device ID]],BOM!$B$3:$BQ$35,42,FALSE),"")</f>
        <v>Imagine Communications SNP</v>
      </c>
      <c r="AM498" s="59" t="str">
        <f>IFERROR(VLOOKUP(Tabelle32[[#This Row],[Device ID]],BOM!$B$3:$BQ$35,43,FALSE),"")</f>
        <v>no</v>
      </c>
      <c r="AN498" s="59" t="str">
        <f>IFERROR(VLOOKUP(Tabelle32[[#This Row],[Device ID]],BOM!$B$3:$BQ$35,44,FALSE),"")</f>
        <v>yes</v>
      </c>
      <c r="AO498" s="59" t="str">
        <f>IFERROR(VLOOKUP(Tabelle32[[#This Row],[Device ID]],BOM!$B$3:$BQ$35,45,FALSE),"")</f>
        <v>no</v>
      </c>
      <c r="AP498" s="59" t="str">
        <f>IFERROR(CONCATENATE(Tabelle32[[#This Row],[Family
GFX-Unit]]," | ",Tabelle32[[#This Row],[Label 1
GFX-Unit]]," | ",Tabelle32[[#This Row],[Attached Device if Gateway]]),"")</f>
        <v>MEDEM Edit10 | In Edit10-09 | EditPC-10 IN</v>
      </c>
      <c r="AQ498" s="59"/>
      <c r="AR498" s="96"/>
      <c r="AS498" s="96"/>
      <c r="AT498" s="96"/>
      <c r="AU498" s="96"/>
      <c r="AV498" s="96"/>
      <c r="AW498" s="96" t="s">
        <v>97</v>
      </c>
      <c r="AX498" s="96" t="s">
        <v>199</v>
      </c>
      <c r="AY498" s="96" t="s">
        <v>199</v>
      </c>
      <c r="AZ498" s="96" t="s">
        <v>97</v>
      </c>
      <c r="BA498" s="96"/>
      <c r="BB498" s="96" t="s">
        <v>97</v>
      </c>
      <c r="BC498" s="96" t="s">
        <v>97</v>
      </c>
      <c r="BD498" s="96"/>
      <c r="BE498" s="96"/>
      <c r="BF498" s="96"/>
      <c r="BG498" s="96"/>
      <c r="BH498" s="73" t="s">
        <v>199</v>
      </c>
      <c r="BI498" s="30" t="str">
        <f>IF(COUNTA(Tabelle32[[#This Row],[Type:Vid_1080i50]:[Type:Anc_Prot]])&gt;0,"x","")</f>
        <v>x</v>
      </c>
      <c r="BJ49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498" s="59"/>
      <c r="BL498" s="59"/>
      <c r="BM498" s="63"/>
      <c r="BN498" s="63"/>
      <c r="BO498" s="97" t="s">
        <v>964</v>
      </c>
      <c r="BP498" s="97" t="s">
        <v>986</v>
      </c>
      <c r="BQ498" s="75">
        <f>LEN(Tabelle32[[#This Row],[Label 1
GFX-Unit]])</f>
        <v>12</v>
      </c>
      <c r="BR498" s="63"/>
      <c r="BS498" s="63"/>
      <c r="BT498" s="59"/>
      <c r="BU498" s="59"/>
      <c r="BV498" s="59" t="s">
        <v>245</v>
      </c>
      <c r="BW498" s="59" t="s">
        <v>246</v>
      </c>
      <c r="BX498" s="59" t="s">
        <v>987</v>
      </c>
      <c r="BY498" s="59">
        <v>24</v>
      </c>
    </row>
    <row r="499" spans="1:77" hidden="1" x14ac:dyDescent="0.2">
      <c r="A499" s="58" t="str">
        <f>CONCATENATE(Tabelle32[[#This Row],[Device ID]],".",Tabelle32[[#This Row],[Streamcounter]])</f>
        <v>401.24210</v>
      </c>
      <c r="B49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VGW-103_SDI24_AUDrec_0010</v>
      </c>
      <c r="C499" s="60"/>
      <c r="D499" s="61"/>
      <c r="E499" s="62"/>
      <c r="F499" s="59" t="str">
        <f>IFERROR(VLOOKUP(Tabelle32[[#This Row],[Device ID]],BOM!$B$3:$BQ$35,16,FALSE),"")</f>
        <v>EditPC-10 IN</v>
      </c>
      <c r="G499" s="63">
        <f>VLOOKUP(Tabelle32[[#This Row],[SDI Interface]],BOM!$A$4:$B$35,2,FALSE)</f>
        <v>401</v>
      </c>
      <c r="H499" s="59" t="str">
        <f>BOM!$C$4</f>
        <v>VGW-103</v>
      </c>
      <c r="I499" s="59" t="str">
        <f>IFERROR(VLOOKUP(Tabelle32[[#This Row],[Device ID]],BOM!$B$3:$BQ$35,12,FALSE),"")</f>
        <v>Edit Suite</v>
      </c>
      <c r="J499" s="59" t="str">
        <f>IFERROR(VLOOKUP(Tabelle32[[#This Row],[Device ID]],BOM!$B$3:$BQ$35,13,FALSE),"")</f>
        <v>TC.U1.223 | MDC</v>
      </c>
      <c r="K499" s="59" t="str">
        <f>IFERROR(VLOOKUP(Tabelle32[[#This Row],[Device ID]],BOM!$B$3:$BQ$35,14,FALSE),"")</f>
        <v>Imagine Comunications</v>
      </c>
      <c r="L499" s="59" t="str">
        <f>IFERROR(VLOOKUP(Tabelle32[[#This Row],[Device ID]],BOM!$B$3:$BQ$35,16,FALSE),"")</f>
        <v>EditPC-10 IN</v>
      </c>
      <c r="M499" s="63" t="str">
        <f>IFERROR(VLOOKUP(Tabelle32[[#This Row],[Device ID]],BOM!$B$3:$BQ$35,17,FALSE),"")</f>
        <v>EDIT SUITE 10</v>
      </c>
      <c r="N499" s="59" t="str">
        <f>IFERROR(VLOOKUP(Tabelle32[[#This Row],[Device ID]],BOM!$B$3:$BQ$35,18,FALSE),"")</f>
        <v>TC.03.017 | Edit 10</v>
      </c>
      <c r="O499" s="64"/>
      <c r="P499" s="64">
        <f>IFERROR(VLOOKUP(Tabelle32[[#This Row],[Device ID]],BOM!$B$3:$BO$50,20,FALSE),"")</f>
        <v>0</v>
      </c>
      <c r="Q499" s="64">
        <f>IFERROR(VLOOKUP(Tabelle32[[#This Row],[Device ID]],BOM!$B$3:$BO$50,21,FALSE),"")</f>
        <v>1</v>
      </c>
      <c r="R499" s="64">
        <f>IFERROR(VLOOKUP(Tabelle32[[#This Row],[Device ID]],BOM!$B$3:$BO$50,22,FALSE),"")</f>
        <v>0</v>
      </c>
      <c r="S499" s="64"/>
      <c r="T499" s="64"/>
      <c r="U499" s="59" t="str">
        <f>IFERROR(VLOOKUP(Tabelle32[[#This Row],[Device ID]],BOM!$B$3:$BQ$35,25,FALSE),"")</f>
        <v>Luis/Ivo</v>
      </c>
      <c r="V499" s="59" t="str">
        <f>IFERROR(VLOOKUP(Tabelle32[[#This Row],[Device ID]],BOM!$B$3:$BQ$35,26,FALSE),"")</f>
        <v>tpco-megw-vgw103.rta.st-net.media.int</v>
      </c>
      <c r="W499" s="59" t="str">
        <f>IFERROR(VLOOKUP(Tabelle32[[#This Row],[Device ID]],BOM!$B$3:$BQ$35,27,FALSE),"")</f>
        <v>10.120.236.50</v>
      </c>
      <c r="X499" s="59" t="str">
        <f>IFERROR(VLOOKUP(Tabelle32[[#This Row],[Device ID]],BOM!$B$3:$BQ$35,28,FALSE),"")</f>
        <v>AVCoreA</v>
      </c>
      <c r="Y499" s="59" t="str">
        <f>IFERROR(VLOOKUP(Tabelle32[[#This Row],[Device ID]],BOM!$B$3:$BQ$35,29,FALSE),"")</f>
        <v>5_36_1</v>
      </c>
      <c r="Z499" s="59" t="str">
        <f>IFERROR(VLOOKUP(Tabelle32[[#This Row],[Device ID]],BOM!$B$3:$BQ$35,30,FALSE),"")</f>
        <v>tpco-megw-vgw103.rtb.st-net.media.int</v>
      </c>
      <c r="AA499" s="59" t="str">
        <f>IFERROR(VLOOKUP(Tabelle32[[#This Row],[Device ID]],BOM!$B$3:$BQ$35,31,FALSE),"")</f>
        <v>10.120.236.54</v>
      </c>
      <c r="AB499" s="59" t="str">
        <f>IFERROR(VLOOKUP(Tabelle32[[#This Row],[Device ID]],BOM!$B$3:$BQ$35,32,FALSE),"")</f>
        <v>AVCoreB</v>
      </c>
      <c r="AC499" s="59" t="str">
        <f>IFERROR(VLOOKUP(Tabelle32[[#This Row],[Device ID]],BOM!$B$3:$BQ$35,33,FALSE),"")</f>
        <v>5_36_1</v>
      </c>
      <c r="AD499" s="59" t="str">
        <f>IFERROR(VLOOKUP(Tabelle32[[#This Row],[Device ID]],BOM!$B$3:$BQ$35,34,FALSE),"")</f>
        <v>tpco-megw-vgw103.st-net.media.int</v>
      </c>
      <c r="AE499" s="59" t="str">
        <f>IFERROR(VLOOKUP(Tabelle32[[#This Row],[Device ID]],BOM!$B$3:$BQ$35,35,FALSE),"")</f>
        <v>10.120.67.141</v>
      </c>
      <c r="AF499" s="59">
        <f>IFERROR(VLOOKUP(Tabelle32[[#This Row],[Device ID]],BOM!$B$3:$BQ$35,36,FALSE),"")</f>
        <v>0</v>
      </c>
      <c r="AG499" s="59">
        <f>IFERROR(VLOOKUP(Tabelle32[[#This Row],[Device ID]],BOM!$B$3:$BQ$35,37,FALSE),"")</f>
        <v>0</v>
      </c>
      <c r="AH499" s="59"/>
      <c r="AI499" s="59"/>
      <c r="AJ499" s="59"/>
      <c r="AK499" s="59"/>
      <c r="AL499" s="59" t="str">
        <f>IFERROR(VLOOKUP(Tabelle32[[#This Row],[Device ID]],BOM!$B$3:$BQ$35,42,FALSE),"")</f>
        <v>Imagine Communications SNP</v>
      </c>
      <c r="AM499" s="59" t="str">
        <f>IFERROR(VLOOKUP(Tabelle32[[#This Row],[Device ID]],BOM!$B$3:$BQ$35,43,FALSE),"")</f>
        <v>no</v>
      </c>
      <c r="AN499" s="59" t="str">
        <f>IFERROR(VLOOKUP(Tabelle32[[#This Row],[Device ID]],BOM!$B$3:$BQ$35,44,FALSE),"")</f>
        <v>yes</v>
      </c>
      <c r="AO499" s="59" t="str">
        <f>IFERROR(VLOOKUP(Tabelle32[[#This Row],[Device ID]],BOM!$B$3:$BQ$35,45,FALSE),"")</f>
        <v>no</v>
      </c>
      <c r="AP499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499" s="59"/>
      <c r="AR499" s="90"/>
      <c r="AS499" s="90"/>
      <c r="AT499" s="90"/>
      <c r="AU499" s="90"/>
      <c r="AV499" s="90"/>
      <c r="AW499" s="90"/>
      <c r="AX499" s="90"/>
      <c r="AY499" s="90"/>
      <c r="AZ499" s="90"/>
      <c r="BA499" s="90"/>
      <c r="BB499" s="90"/>
      <c r="BC499" s="90"/>
      <c r="BD499" s="90"/>
      <c r="BE499" s="90"/>
      <c r="BF499" s="90"/>
      <c r="BG499" s="90"/>
      <c r="BH499" s="73" t="s">
        <v>199</v>
      </c>
      <c r="BI499" s="30" t="str">
        <f>IF(COUNTA(Tabelle32[[#This Row],[Type:Vid_1080i50]:[Type:Anc_Prot]])&gt;0,"x","")</f>
        <v/>
      </c>
      <c r="BJ49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499" s="59"/>
      <c r="BL499" s="59"/>
      <c r="BM499" s="63"/>
      <c r="BN499" s="63"/>
      <c r="BO499" s="96"/>
      <c r="BP499" s="96"/>
      <c r="BQ499" s="75">
        <f>LEN(Tabelle32[[#This Row],[Label 1
GFX-Unit]])</f>
        <v>0</v>
      </c>
      <c r="BR499" s="63"/>
      <c r="BS499" s="63"/>
      <c r="BT499" s="59"/>
      <c r="BU499" s="59"/>
      <c r="BV499" s="59" t="s">
        <v>248</v>
      </c>
      <c r="BW499" s="59" t="s">
        <v>249</v>
      </c>
      <c r="BX499" s="59" t="s">
        <v>988</v>
      </c>
      <c r="BY499" s="59">
        <v>24</v>
      </c>
    </row>
    <row r="500" spans="1:77" hidden="1" x14ac:dyDescent="0.2">
      <c r="A500" s="58" t="str">
        <f>CONCATENATE(Tabelle32[[#This Row],[Device ID]],".",Tabelle32[[#This Row],[Streamcounter]])</f>
        <v>401.24211</v>
      </c>
      <c r="B50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VGW-103_SDI24_AUDrec_0011</v>
      </c>
      <c r="C500" s="60"/>
      <c r="D500" s="61"/>
      <c r="E500" s="62"/>
      <c r="F500" s="59" t="str">
        <f>IFERROR(VLOOKUP(Tabelle32[[#This Row],[Device ID]],BOM!$B$3:$BQ$35,16,FALSE),"")</f>
        <v>EditPC-10 IN</v>
      </c>
      <c r="G500" s="63">
        <f>VLOOKUP(Tabelle32[[#This Row],[SDI Interface]],BOM!$A$4:$B$35,2,FALSE)</f>
        <v>401</v>
      </c>
      <c r="H500" s="59" t="str">
        <f>BOM!$C$4</f>
        <v>VGW-103</v>
      </c>
      <c r="I500" s="59" t="str">
        <f>IFERROR(VLOOKUP(Tabelle32[[#This Row],[Device ID]],BOM!$B$3:$BQ$35,12,FALSE),"")</f>
        <v>Edit Suite</v>
      </c>
      <c r="J500" s="59" t="str">
        <f>IFERROR(VLOOKUP(Tabelle32[[#This Row],[Device ID]],BOM!$B$3:$BQ$35,13,FALSE),"")</f>
        <v>TC.U1.223 | MDC</v>
      </c>
      <c r="K500" s="59" t="str">
        <f>IFERROR(VLOOKUP(Tabelle32[[#This Row],[Device ID]],BOM!$B$3:$BQ$35,14,FALSE),"")</f>
        <v>Imagine Comunications</v>
      </c>
      <c r="L500" s="59" t="str">
        <f>IFERROR(VLOOKUP(Tabelle32[[#This Row],[Device ID]],BOM!$B$3:$BQ$35,16,FALSE),"")</f>
        <v>EditPC-10 IN</v>
      </c>
      <c r="M500" s="63" t="str">
        <f>IFERROR(VLOOKUP(Tabelle32[[#This Row],[Device ID]],BOM!$B$3:$BQ$35,17,FALSE),"")</f>
        <v>EDIT SUITE 10</v>
      </c>
      <c r="N500" s="59" t="str">
        <f>IFERROR(VLOOKUP(Tabelle32[[#This Row],[Device ID]],BOM!$B$3:$BQ$35,18,FALSE),"")</f>
        <v>TC.03.017 | Edit 10</v>
      </c>
      <c r="O500" s="64"/>
      <c r="P500" s="64">
        <f>IFERROR(VLOOKUP(Tabelle32[[#This Row],[Device ID]],BOM!$B$3:$BO$50,20,FALSE),"")</f>
        <v>0</v>
      </c>
      <c r="Q500" s="64">
        <f>IFERROR(VLOOKUP(Tabelle32[[#This Row],[Device ID]],BOM!$B$3:$BO$50,21,FALSE),"")</f>
        <v>1</v>
      </c>
      <c r="R500" s="64">
        <f>IFERROR(VLOOKUP(Tabelle32[[#This Row],[Device ID]],BOM!$B$3:$BO$50,22,FALSE),"")</f>
        <v>0</v>
      </c>
      <c r="S500" s="64"/>
      <c r="T500" s="64"/>
      <c r="U500" s="59" t="str">
        <f>IFERROR(VLOOKUP(Tabelle32[[#This Row],[Device ID]],BOM!$B$3:$BQ$35,25,FALSE),"")</f>
        <v>Luis/Ivo</v>
      </c>
      <c r="V500" s="59" t="str">
        <f>IFERROR(VLOOKUP(Tabelle32[[#This Row],[Device ID]],BOM!$B$3:$BQ$35,26,FALSE),"")</f>
        <v>tpco-megw-vgw103.rta.st-net.media.int</v>
      </c>
      <c r="W500" s="59" t="str">
        <f>IFERROR(VLOOKUP(Tabelle32[[#This Row],[Device ID]],BOM!$B$3:$BQ$35,27,FALSE),"")</f>
        <v>10.120.236.50</v>
      </c>
      <c r="X500" s="59" t="str">
        <f>IFERROR(VLOOKUP(Tabelle32[[#This Row],[Device ID]],BOM!$B$3:$BQ$35,28,FALSE),"")</f>
        <v>AVCoreA</v>
      </c>
      <c r="Y500" s="59" t="str">
        <f>IFERROR(VLOOKUP(Tabelle32[[#This Row],[Device ID]],BOM!$B$3:$BQ$35,29,FALSE),"")</f>
        <v>5_36_1</v>
      </c>
      <c r="Z500" s="59" t="str">
        <f>IFERROR(VLOOKUP(Tabelle32[[#This Row],[Device ID]],BOM!$B$3:$BQ$35,30,FALSE),"")</f>
        <v>tpco-megw-vgw103.rtb.st-net.media.int</v>
      </c>
      <c r="AA500" s="59" t="str">
        <f>IFERROR(VLOOKUP(Tabelle32[[#This Row],[Device ID]],BOM!$B$3:$BQ$35,31,FALSE),"")</f>
        <v>10.120.236.54</v>
      </c>
      <c r="AB500" s="59" t="str">
        <f>IFERROR(VLOOKUP(Tabelle32[[#This Row],[Device ID]],BOM!$B$3:$BQ$35,32,FALSE),"")</f>
        <v>AVCoreB</v>
      </c>
      <c r="AC500" s="59" t="str">
        <f>IFERROR(VLOOKUP(Tabelle32[[#This Row],[Device ID]],BOM!$B$3:$BQ$35,33,FALSE),"")</f>
        <v>5_36_1</v>
      </c>
      <c r="AD500" s="59" t="str">
        <f>IFERROR(VLOOKUP(Tabelle32[[#This Row],[Device ID]],BOM!$B$3:$BQ$35,34,FALSE),"")</f>
        <v>tpco-megw-vgw103.st-net.media.int</v>
      </c>
      <c r="AE500" s="59" t="str">
        <f>IFERROR(VLOOKUP(Tabelle32[[#This Row],[Device ID]],BOM!$B$3:$BQ$35,35,FALSE),"")</f>
        <v>10.120.67.141</v>
      </c>
      <c r="AF500" s="59">
        <f>IFERROR(VLOOKUP(Tabelle32[[#This Row],[Device ID]],BOM!$B$3:$BQ$35,36,FALSE),"")</f>
        <v>0</v>
      </c>
      <c r="AG500" s="59">
        <f>IFERROR(VLOOKUP(Tabelle32[[#This Row],[Device ID]],BOM!$B$3:$BQ$35,37,FALSE),"")</f>
        <v>0</v>
      </c>
      <c r="AH500" s="59"/>
      <c r="AI500" s="59"/>
      <c r="AJ500" s="59"/>
      <c r="AK500" s="59"/>
      <c r="AL500" s="59" t="str">
        <f>IFERROR(VLOOKUP(Tabelle32[[#This Row],[Device ID]],BOM!$B$3:$BQ$35,42,FALSE),"")</f>
        <v>Imagine Communications SNP</v>
      </c>
      <c r="AM500" s="59" t="str">
        <f>IFERROR(VLOOKUP(Tabelle32[[#This Row],[Device ID]],BOM!$B$3:$BQ$35,43,FALSE),"")</f>
        <v>no</v>
      </c>
      <c r="AN500" s="59" t="str">
        <f>IFERROR(VLOOKUP(Tabelle32[[#This Row],[Device ID]],BOM!$B$3:$BQ$35,44,FALSE),"")</f>
        <v>yes</v>
      </c>
      <c r="AO500" s="59" t="str">
        <f>IFERROR(VLOOKUP(Tabelle32[[#This Row],[Device ID]],BOM!$B$3:$BQ$35,45,FALSE),"")</f>
        <v>no</v>
      </c>
      <c r="AP500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500" s="59"/>
      <c r="AR500" s="90"/>
      <c r="AS500" s="90"/>
      <c r="AT500" s="90"/>
      <c r="AU500" s="90"/>
      <c r="AV500" s="90"/>
      <c r="AW500" s="90"/>
      <c r="AX500" s="90"/>
      <c r="AY500" s="90"/>
      <c r="AZ500" s="90"/>
      <c r="BA500" s="90"/>
      <c r="BB500" s="90"/>
      <c r="BC500" s="90"/>
      <c r="BD500" s="90"/>
      <c r="BE500" s="90"/>
      <c r="BF500" s="90"/>
      <c r="BG500" s="90"/>
      <c r="BH500" s="73" t="s">
        <v>199</v>
      </c>
      <c r="BI500" s="30" t="str">
        <f>IF(COUNTA(Tabelle32[[#This Row],[Type:Vid_1080i50]:[Type:Anc_Prot]])&gt;0,"x","")</f>
        <v/>
      </c>
      <c r="BJ50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00" s="59"/>
      <c r="BL500" s="59"/>
      <c r="BM500" s="63"/>
      <c r="BN500" s="63"/>
      <c r="BO500" s="96"/>
      <c r="BP500" s="96"/>
      <c r="BQ500" s="75">
        <f>LEN(Tabelle32[[#This Row],[Label 1
GFX-Unit]])</f>
        <v>0</v>
      </c>
      <c r="BR500" s="63"/>
      <c r="BS500" s="63"/>
      <c r="BT500" s="59"/>
      <c r="BU500" s="59"/>
      <c r="BV500" s="59" t="s">
        <v>251</v>
      </c>
      <c r="BW500" s="59" t="s">
        <v>252</v>
      </c>
      <c r="BX500" s="59" t="s">
        <v>989</v>
      </c>
      <c r="BY500" s="59">
        <v>24</v>
      </c>
    </row>
    <row r="501" spans="1:77" hidden="1" x14ac:dyDescent="0.2">
      <c r="A501" s="58" t="str">
        <f>CONCATENATE(Tabelle32[[#This Row],[Device ID]],".",Tabelle32[[#This Row],[Streamcounter]])</f>
        <v>401.24212</v>
      </c>
      <c r="B50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VGW-103_SDI24_AUDrec_0012</v>
      </c>
      <c r="C501" s="60"/>
      <c r="D501" s="61"/>
      <c r="E501" s="62"/>
      <c r="F501" s="59" t="str">
        <f>IFERROR(VLOOKUP(Tabelle32[[#This Row],[Device ID]],BOM!$B$3:$BQ$35,16,FALSE),"")</f>
        <v>EditPC-10 IN</v>
      </c>
      <c r="G501" s="63">
        <f>VLOOKUP(Tabelle32[[#This Row],[SDI Interface]],BOM!$A$4:$B$35,2,FALSE)</f>
        <v>401</v>
      </c>
      <c r="H501" s="59" t="str">
        <f>BOM!$C$4</f>
        <v>VGW-103</v>
      </c>
      <c r="I501" s="59" t="str">
        <f>IFERROR(VLOOKUP(Tabelle32[[#This Row],[Device ID]],BOM!$B$3:$BQ$35,12,FALSE),"")</f>
        <v>Edit Suite</v>
      </c>
      <c r="J501" s="59" t="str">
        <f>IFERROR(VLOOKUP(Tabelle32[[#This Row],[Device ID]],BOM!$B$3:$BQ$35,13,FALSE),"")</f>
        <v>TC.U1.223 | MDC</v>
      </c>
      <c r="K501" s="59" t="str">
        <f>IFERROR(VLOOKUP(Tabelle32[[#This Row],[Device ID]],BOM!$B$3:$BQ$35,14,FALSE),"")</f>
        <v>Imagine Comunications</v>
      </c>
      <c r="L501" s="59" t="str">
        <f>IFERROR(VLOOKUP(Tabelle32[[#This Row],[Device ID]],BOM!$B$3:$BQ$35,16,FALSE),"")</f>
        <v>EditPC-10 IN</v>
      </c>
      <c r="M501" s="63" t="str">
        <f>IFERROR(VLOOKUP(Tabelle32[[#This Row],[Device ID]],BOM!$B$3:$BQ$35,17,FALSE),"")</f>
        <v>EDIT SUITE 10</v>
      </c>
      <c r="N501" s="59" t="str">
        <f>IFERROR(VLOOKUP(Tabelle32[[#This Row],[Device ID]],BOM!$B$3:$BQ$35,18,FALSE),"")</f>
        <v>TC.03.017 | Edit 10</v>
      </c>
      <c r="O501" s="64"/>
      <c r="P501" s="64">
        <f>IFERROR(VLOOKUP(Tabelle32[[#This Row],[Device ID]],BOM!$B$3:$BO$50,20,FALSE),"")</f>
        <v>0</v>
      </c>
      <c r="Q501" s="64">
        <f>IFERROR(VLOOKUP(Tabelle32[[#This Row],[Device ID]],BOM!$B$3:$BO$50,21,FALSE),"")</f>
        <v>1</v>
      </c>
      <c r="R501" s="64">
        <f>IFERROR(VLOOKUP(Tabelle32[[#This Row],[Device ID]],BOM!$B$3:$BO$50,22,FALSE),"")</f>
        <v>0</v>
      </c>
      <c r="S501" s="64"/>
      <c r="T501" s="64"/>
      <c r="U501" s="59" t="str">
        <f>IFERROR(VLOOKUP(Tabelle32[[#This Row],[Device ID]],BOM!$B$3:$BQ$35,25,FALSE),"")</f>
        <v>Luis/Ivo</v>
      </c>
      <c r="V501" s="59" t="str">
        <f>IFERROR(VLOOKUP(Tabelle32[[#This Row],[Device ID]],BOM!$B$3:$BQ$35,26,FALSE),"")</f>
        <v>tpco-megw-vgw103.rta.st-net.media.int</v>
      </c>
      <c r="W501" s="59" t="str">
        <f>IFERROR(VLOOKUP(Tabelle32[[#This Row],[Device ID]],BOM!$B$3:$BQ$35,27,FALSE),"")</f>
        <v>10.120.236.50</v>
      </c>
      <c r="X501" s="59" t="str">
        <f>IFERROR(VLOOKUP(Tabelle32[[#This Row],[Device ID]],BOM!$B$3:$BQ$35,28,FALSE),"")</f>
        <v>AVCoreA</v>
      </c>
      <c r="Y501" s="59" t="str">
        <f>IFERROR(VLOOKUP(Tabelle32[[#This Row],[Device ID]],BOM!$B$3:$BQ$35,29,FALSE),"")</f>
        <v>5_36_1</v>
      </c>
      <c r="Z501" s="59" t="str">
        <f>IFERROR(VLOOKUP(Tabelle32[[#This Row],[Device ID]],BOM!$B$3:$BQ$35,30,FALSE),"")</f>
        <v>tpco-megw-vgw103.rtb.st-net.media.int</v>
      </c>
      <c r="AA501" s="59" t="str">
        <f>IFERROR(VLOOKUP(Tabelle32[[#This Row],[Device ID]],BOM!$B$3:$BQ$35,31,FALSE),"")</f>
        <v>10.120.236.54</v>
      </c>
      <c r="AB501" s="59" t="str">
        <f>IFERROR(VLOOKUP(Tabelle32[[#This Row],[Device ID]],BOM!$B$3:$BQ$35,32,FALSE),"")</f>
        <v>AVCoreB</v>
      </c>
      <c r="AC501" s="59" t="str">
        <f>IFERROR(VLOOKUP(Tabelle32[[#This Row],[Device ID]],BOM!$B$3:$BQ$35,33,FALSE),"")</f>
        <v>5_36_1</v>
      </c>
      <c r="AD501" s="59" t="str">
        <f>IFERROR(VLOOKUP(Tabelle32[[#This Row],[Device ID]],BOM!$B$3:$BQ$35,34,FALSE),"")</f>
        <v>tpco-megw-vgw103.st-net.media.int</v>
      </c>
      <c r="AE501" s="59" t="str">
        <f>IFERROR(VLOOKUP(Tabelle32[[#This Row],[Device ID]],BOM!$B$3:$BQ$35,35,FALSE),"")</f>
        <v>10.120.67.141</v>
      </c>
      <c r="AF501" s="59">
        <f>IFERROR(VLOOKUP(Tabelle32[[#This Row],[Device ID]],BOM!$B$3:$BQ$35,36,FALSE),"")</f>
        <v>0</v>
      </c>
      <c r="AG501" s="59">
        <f>IFERROR(VLOOKUP(Tabelle32[[#This Row],[Device ID]],BOM!$B$3:$BQ$35,37,FALSE),"")</f>
        <v>0</v>
      </c>
      <c r="AH501" s="59"/>
      <c r="AI501" s="59"/>
      <c r="AJ501" s="59"/>
      <c r="AK501" s="59"/>
      <c r="AL501" s="59" t="str">
        <f>IFERROR(VLOOKUP(Tabelle32[[#This Row],[Device ID]],BOM!$B$3:$BQ$35,42,FALSE),"")</f>
        <v>Imagine Communications SNP</v>
      </c>
      <c r="AM501" s="59" t="str">
        <f>IFERROR(VLOOKUP(Tabelle32[[#This Row],[Device ID]],BOM!$B$3:$BQ$35,43,FALSE),"")</f>
        <v>no</v>
      </c>
      <c r="AN501" s="59" t="str">
        <f>IFERROR(VLOOKUP(Tabelle32[[#This Row],[Device ID]],BOM!$B$3:$BQ$35,44,FALSE),"")</f>
        <v>yes</v>
      </c>
      <c r="AO501" s="59" t="str">
        <f>IFERROR(VLOOKUP(Tabelle32[[#This Row],[Device ID]],BOM!$B$3:$BQ$35,45,FALSE),"")</f>
        <v>no</v>
      </c>
      <c r="AP501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501" s="59"/>
      <c r="AR501" s="90"/>
      <c r="AS501" s="90"/>
      <c r="AT501" s="90"/>
      <c r="AU501" s="90"/>
      <c r="AV501" s="90"/>
      <c r="AW501" s="90"/>
      <c r="AX501" s="90"/>
      <c r="AY501" s="90"/>
      <c r="AZ501" s="90"/>
      <c r="BA501" s="90"/>
      <c r="BB501" s="90"/>
      <c r="BC501" s="90"/>
      <c r="BD501" s="90"/>
      <c r="BE501" s="90"/>
      <c r="BF501" s="90"/>
      <c r="BG501" s="90"/>
      <c r="BH501" s="73" t="s">
        <v>199</v>
      </c>
      <c r="BI501" s="30" t="str">
        <f>IF(COUNTA(Tabelle32[[#This Row],[Type:Vid_1080i50]:[Type:Anc_Prot]])&gt;0,"x","")</f>
        <v/>
      </c>
      <c r="BJ50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01" s="59"/>
      <c r="BL501" s="59"/>
      <c r="BM501" s="63"/>
      <c r="BN501" s="63"/>
      <c r="BO501" s="96"/>
      <c r="BP501" s="96"/>
      <c r="BQ501" s="75">
        <f>LEN(Tabelle32[[#This Row],[Label 1
GFX-Unit]])</f>
        <v>0</v>
      </c>
      <c r="BR501" s="63"/>
      <c r="BS501" s="63"/>
      <c r="BT501" s="59"/>
      <c r="BU501" s="59"/>
      <c r="BV501" s="59" t="s">
        <v>254</v>
      </c>
      <c r="BW501" s="59" t="s">
        <v>255</v>
      </c>
      <c r="BX501" s="59" t="s">
        <v>990</v>
      </c>
      <c r="BY501" s="59">
        <v>24</v>
      </c>
    </row>
    <row r="502" spans="1:77" hidden="1" x14ac:dyDescent="0.2">
      <c r="A502" s="58" t="str">
        <f>CONCATENATE(Tabelle32[[#This Row],[Device ID]],".",Tabelle32[[#This Row],[Streamcounter]])</f>
        <v>401.24213</v>
      </c>
      <c r="B50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VGW-103_SDI24_AUDrec_0013</v>
      </c>
      <c r="C502" s="60"/>
      <c r="D502" s="61"/>
      <c r="E502" s="62"/>
      <c r="F502" s="59" t="str">
        <f>IFERROR(VLOOKUP(Tabelle32[[#This Row],[Device ID]],BOM!$B$3:$BQ$35,16,FALSE),"")</f>
        <v>EditPC-10 IN</v>
      </c>
      <c r="G502" s="63">
        <f>VLOOKUP(Tabelle32[[#This Row],[SDI Interface]],BOM!$A$4:$B$35,2,FALSE)</f>
        <v>401</v>
      </c>
      <c r="H502" s="59" t="str">
        <f>BOM!$C$4</f>
        <v>VGW-103</v>
      </c>
      <c r="I502" s="59" t="str">
        <f>IFERROR(VLOOKUP(Tabelle32[[#This Row],[Device ID]],BOM!$B$3:$BQ$35,12,FALSE),"")</f>
        <v>Edit Suite</v>
      </c>
      <c r="J502" s="59" t="str">
        <f>IFERROR(VLOOKUP(Tabelle32[[#This Row],[Device ID]],BOM!$B$3:$BQ$35,13,FALSE),"")</f>
        <v>TC.U1.223 | MDC</v>
      </c>
      <c r="K502" s="59" t="str">
        <f>IFERROR(VLOOKUP(Tabelle32[[#This Row],[Device ID]],BOM!$B$3:$BQ$35,14,FALSE),"")</f>
        <v>Imagine Comunications</v>
      </c>
      <c r="L502" s="59" t="str">
        <f>IFERROR(VLOOKUP(Tabelle32[[#This Row],[Device ID]],BOM!$B$3:$BQ$35,16,FALSE),"")</f>
        <v>EditPC-10 IN</v>
      </c>
      <c r="M502" s="63" t="str">
        <f>IFERROR(VLOOKUP(Tabelle32[[#This Row],[Device ID]],BOM!$B$3:$BQ$35,17,FALSE),"")</f>
        <v>EDIT SUITE 10</v>
      </c>
      <c r="N502" s="59" t="str">
        <f>IFERROR(VLOOKUP(Tabelle32[[#This Row],[Device ID]],BOM!$B$3:$BQ$35,18,FALSE),"")</f>
        <v>TC.03.017 | Edit 10</v>
      </c>
      <c r="O502" s="64"/>
      <c r="P502" s="64">
        <f>IFERROR(VLOOKUP(Tabelle32[[#This Row],[Device ID]],BOM!$B$3:$BO$50,20,FALSE),"")</f>
        <v>0</v>
      </c>
      <c r="Q502" s="64">
        <f>IFERROR(VLOOKUP(Tabelle32[[#This Row],[Device ID]],BOM!$B$3:$BO$50,21,FALSE),"")</f>
        <v>1</v>
      </c>
      <c r="R502" s="64">
        <f>IFERROR(VLOOKUP(Tabelle32[[#This Row],[Device ID]],BOM!$B$3:$BO$50,22,FALSE),"")</f>
        <v>0</v>
      </c>
      <c r="S502" s="64"/>
      <c r="T502" s="64"/>
      <c r="U502" s="59" t="str">
        <f>IFERROR(VLOOKUP(Tabelle32[[#This Row],[Device ID]],BOM!$B$3:$BQ$35,25,FALSE),"")</f>
        <v>Luis/Ivo</v>
      </c>
      <c r="V502" s="59" t="str">
        <f>IFERROR(VLOOKUP(Tabelle32[[#This Row],[Device ID]],BOM!$B$3:$BQ$35,26,FALSE),"")</f>
        <v>tpco-megw-vgw103.rta.st-net.media.int</v>
      </c>
      <c r="W502" s="59" t="str">
        <f>IFERROR(VLOOKUP(Tabelle32[[#This Row],[Device ID]],BOM!$B$3:$BQ$35,27,FALSE),"")</f>
        <v>10.120.236.50</v>
      </c>
      <c r="X502" s="59" t="str">
        <f>IFERROR(VLOOKUP(Tabelle32[[#This Row],[Device ID]],BOM!$B$3:$BQ$35,28,FALSE),"")</f>
        <v>AVCoreA</v>
      </c>
      <c r="Y502" s="59" t="str">
        <f>IFERROR(VLOOKUP(Tabelle32[[#This Row],[Device ID]],BOM!$B$3:$BQ$35,29,FALSE),"")</f>
        <v>5_36_1</v>
      </c>
      <c r="Z502" s="59" t="str">
        <f>IFERROR(VLOOKUP(Tabelle32[[#This Row],[Device ID]],BOM!$B$3:$BQ$35,30,FALSE),"")</f>
        <v>tpco-megw-vgw103.rtb.st-net.media.int</v>
      </c>
      <c r="AA502" s="59" t="str">
        <f>IFERROR(VLOOKUP(Tabelle32[[#This Row],[Device ID]],BOM!$B$3:$BQ$35,31,FALSE),"")</f>
        <v>10.120.236.54</v>
      </c>
      <c r="AB502" s="59" t="str">
        <f>IFERROR(VLOOKUP(Tabelle32[[#This Row],[Device ID]],BOM!$B$3:$BQ$35,32,FALSE),"")</f>
        <v>AVCoreB</v>
      </c>
      <c r="AC502" s="59" t="str">
        <f>IFERROR(VLOOKUP(Tabelle32[[#This Row],[Device ID]],BOM!$B$3:$BQ$35,33,FALSE),"")</f>
        <v>5_36_1</v>
      </c>
      <c r="AD502" s="59" t="str">
        <f>IFERROR(VLOOKUP(Tabelle32[[#This Row],[Device ID]],BOM!$B$3:$BQ$35,34,FALSE),"")</f>
        <v>tpco-megw-vgw103.st-net.media.int</v>
      </c>
      <c r="AE502" s="59" t="str">
        <f>IFERROR(VLOOKUP(Tabelle32[[#This Row],[Device ID]],BOM!$B$3:$BQ$35,35,FALSE),"")</f>
        <v>10.120.67.141</v>
      </c>
      <c r="AF502" s="59">
        <f>IFERROR(VLOOKUP(Tabelle32[[#This Row],[Device ID]],BOM!$B$3:$BQ$35,36,FALSE),"")</f>
        <v>0</v>
      </c>
      <c r="AG502" s="59">
        <f>IFERROR(VLOOKUP(Tabelle32[[#This Row],[Device ID]],BOM!$B$3:$BQ$35,37,FALSE),"")</f>
        <v>0</v>
      </c>
      <c r="AH502" s="59"/>
      <c r="AI502" s="59"/>
      <c r="AJ502" s="59"/>
      <c r="AK502" s="59"/>
      <c r="AL502" s="59" t="str">
        <f>IFERROR(VLOOKUP(Tabelle32[[#This Row],[Device ID]],BOM!$B$3:$BQ$35,42,FALSE),"")</f>
        <v>Imagine Communications SNP</v>
      </c>
      <c r="AM502" s="59" t="str">
        <f>IFERROR(VLOOKUP(Tabelle32[[#This Row],[Device ID]],BOM!$B$3:$BQ$35,43,FALSE),"")</f>
        <v>no</v>
      </c>
      <c r="AN502" s="59" t="str">
        <f>IFERROR(VLOOKUP(Tabelle32[[#This Row],[Device ID]],BOM!$B$3:$BQ$35,44,FALSE),"")</f>
        <v>yes</v>
      </c>
      <c r="AO502" s="59" t="str">
        <f>IFERROR(VLOOKUP(Tabelle32[[#This Row],[Device ID]],BOM!$B$3:$BQ$35,45,FALSE),"")</f>
        <v>no</v>
      </c>
      <c r="AP502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502" s="59"/>
      <c r="AR502" s="90"/>
      <c r="AS502" s="90"/>
      <c r="AT502" s="90"/>
      <c r="AU502" s="90"/>
      <c r="AV502" s="90"/>
      <c r="AW502" s="90"/>
      <c r="AX502" s="90"/>
      <c r="AY502" s="90"/>
      <c r="AZ502" s="90"/>
      <c r="BA502" s="90"/>
      <c r="BB502" s="90"/>
      <c r="BC502" s="90"/>
      <c r="BD502" s="90"/>
      <c r="BE502" s="90"/>
      <c r="BF502" s="90"/>
      <c r="BG502" s="90"/>
      <c r="BH502" s="73" t="s">
        <v>199</v>
      </c>
      <c r="BI502" s="30" t="str">
        <f>IF(COUNTA(Tabelle32[[#This Row],[Type:Vid_1080i50]:[Type:Anc_Prot]])&gt;0,"x","")</f>
        <v/>
      </c>
      <c r="BJ50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02" s="59"/>
      <c r="BL502" s="59"/>
      <c r="BM502" s="63"/>
      <c r="BN502" s="63"/>
      <c r="BO502" s="96"/>
      <c r="BP502" s="96"/>
      <c r="BQ502" s="75">
        <f>LEN(Tabelle32[[#This Row],[Label 1
GFX-Unit]])</f>
        <v>0</v>
      </c>
      <c r="BR502" s="63"/>
      <c r="BS502" s="63"/>
      <c r="BT502" s="59"/>
      <c r="BU502" s="59"/>
      <c r="BV502" s="59" t="s">
        <v>257</v>
      </c>
      <c r="BW502" s="59" t="s">
        <v>258</v>
      </c>
      <c r="BX502" s="59" t="s">
        <v>991</v>
      </c>
      <c r="BY502" s="59">
        <v>24</v>
      </c>
    </row>
    <row r="503" spans="1:77" hidden="1" x14ac:dyDescent="0.2">
      <c r="A503" s="58" t="str">
        <f>CONCATENATE(Tabelle32[[#This Row],[Device ID]],".",Tabelle32[[#This Row],[Streamcounter]])</f>
        <v>401.24214</v>
      </c>
      <c r="B50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VGW-103_SDI24_AUDrec_0014</v>
      </c>
      <c r="C503" s="60"/>
      <c r="D503" s="61"/>
      <c r="E503" s="62"/>
      <c r="F503" s="59" t="str">
        <f>IFERROR(VLOOKUP(Tabelle32[[#This Row],[Device ID]],BOM!$B$3:$BQ$35,16,FALSE),"")</f>
        <v>EditPC-10 IN</v>
      </c>
      <c r="G503" s="63">
        <f>VLOOKUP(Tabelle32[[#This Row],[SDI Interface]],BOM!$A$4:$B$35,2,FALSE)</f>
        <v>401</v>
      </c>
      <c r="H503" s="59" t="str">
        <f>BOM!$C$4</f>
        <v>VGW-103</v>
      </c>
      <c r="I503" s="59" t="str">
        <f>IFERROR(VLOOKUP(Tabelle32[[#This Row],[Device ID]],BOM!$B$3:$BQ$35,12,FALSE),"")</f>
        <v>Edit Suite</v>
      </c>
      <c r="J503" s="59" t="str">
        <f>IFERROR(VLOOKUP(Tabelle32[[#This Row],[Device ID]],BOM!$B$3:$BQ$35,13,FALSE),"")</f>
        <v>TC.U1.223 | MDC</v>
      </c>
      <c r="K503" s="59" t="str">
        <f>IFERROR(VLOOKUP(Tabelle32[[#This Row],[Device ID]],BOM!$B$3:$BQ$35,14,FALSE),"")</f>
        <v>Imagine Comunications</v>
      </c>
      <c r="L503" s="59" t="str">
        <f>IFERROR(VLOOKUP(Tabelle32[[#This Row],[Device ID]],BOM!$B$3:$BQ$35,16,FALSE),"")</f>
        <v>EditPC-10 IN</v>
      </c>
      <c r="M503" s="63" t="str">
        <f>IFERROR(VLOOKUP(Tabelle32[[#This Row],[Device ID]],BOM!$B$3:$BQ$35,17,FALSE),"")</f>
        <v>EDIT SUITE 10</v>
      </c>
      <c r="N503" s="59" t="str">
        <f>IFERROR(VLOOKUP(Tabelle32[[#This Row],[Device ID]],BOM!$B$3:$BQ$35,18,FALSE),"")</f>
        <v>TC.03.017 | Edit 10</v>
      </c>
      <c r="O503" s="64"/>
      <c r="P503" s="64">
        <f>IFERROR(VLOOKUP(Tabelle32[[#This Row],[Device ID]],BOM!$B$3:$BO$50,20,FALSE),"")</f>
        <v>0</v>
      </c>
      <c r="Q503" s="64">
        <f>IFERROR(VLOOKUP(Tabelle32[[#This Row],[Device ID]],BOM!$B$3:$BO$50,21,FALSE),"")</f>
        <v>1</v>
      </c>
      <c r="R503" s="64">
        <f>IFERROR(VLOOKUP(Tabelle32[[#This Row],[Device ID]],BOM!$B$3:$BO$50,22,FALSE),"")</f>
        <v>0</v>
      </c>
      <c r="S503" s="64"/>
      <c r="T503" s="64"/>
      <c r="U503" s="59" t="str">
        <f>IFERROR(VLOOKUP(Tabelle32[[#This Row],[Device ID]],BOM!$B$3:$BQ$35,25,FALSE),"")</f>
        <v>Luis/Ivo</v>
      </c>
      <c r="V503" s="59" t="str">
        <f>IFERROR(VLOOKUP(Tabelle32[[#This Row],[Device ID]],BOM!$B$3:$BQ$35,26,FALSE),"")</f>
        <v>tpco-megw-vgw103.rta.st-net.media.int</v>
      </c>
      <c r="W503" s="59" t="str">
        <f>IFERROR(VLOOKUP(Tabelle32[[#This Row],[Device ID]],BOM!$B$3:$BQ$35,27,FALSE),"")</f>
        <v>10.120.236.50</v>
      </c>
      <c r="X503" s="59" t="str">
        <f>IFERROR(VLOOKUP(Tabelle32[[#This Row],[Device ID]],BOM!$B$3:$BQ$35,28,FALSE),"")</f>
        <v>AVCoreA</v>
      </c>
      <c r="Y503" s="59" t="str">
        <f>IFERROR(VLOOKUP(Tabelle32[[#This Row],[Device ID]],BOM!$B$3:$BQ$35,29,FALSE),"")</f>
        <v>5_36_1</v>
      </c>
      <c r="Z503" s="59" t="str">
        <f>IFERROR(VLOOKUP(Tabelle32[[#This Row],[Device ID]],BOM!$B$3:$BQ$35,30,FALSE),"")</f>
        <v>tpco-megw-vgw103.rtb.st-net.media.int</v>
      </c>
      <c r="AA503" s="59" t="str">
        <f>IFERROR(VLOOKUP(Tabelle32[[#This Row],[Device ID]],BOM!$B$3:$BQ$35,31,FALSE),"")</f>
        <v>10.120.236.54</v>
      </c>
      <c r="AB503" s="59" t="str">
        <f>IFERROR(VLOOKUP(Tabelle32[[#This Row],[Device ID]],BOM!$B$3:$BQ$35,32,FALSE),"")</f>
        <v>AVCoreB</v>
      </c>
      <c r="AC503" s="59" t="str">
        <f>IFERROR(VLOOKUP(Tabelle32[[#This Row],[Device ID]],BOM!$B$3:$BQ$35,33,FALSE),"")</f>
        <v>5_36_1</v>
      </c>
      <c r="AD503" s="59" t="str">
        <f>IFERROR(VLOOKUP(Tabelle32[[#This Row],[Device ID]],BOM!$B$3:$BQ$35,34,FALSE),"")</f>
        <v>tpco-megw-vgw103.st-net.media.int</v>
      </c>
      <c r="AE503" s="59" t="str">
        <f>IFERROR(VLOOKUP(Tabelle32[[#This Row],[Device ID]],BOM!$B$3:$BQ$35,35,FALSE),"")</f>
        <v>10.120.67.141</v>
      </c>
      <c r="AF503" s="59">
        <f>IFERROR(VLOOKUP(Tabelle32[[#This Row],[Device ID]],BOM!$B$3:$BQ$35,36,FALSE),"")</f>
        <v>0</v>
      </c>
      <c r="AG503" s="59">
        <f>IFERROR(VLOOKUP(Tabelle32[[#This Row],[Device ID]],BOM!$B$3:$BQ$35,37,FALSE),"")</f>
        <v>0</v>
      </c>
      <c r="AH503" s="59"/>
      <c r="AI503" s="59"/>
      <c r="AJ503" s="59"/>
      <c r="AK503" s="59"/>
      <c r="AL503" s="59" t="str">
        <f>IFERROR(VLOOKUP(Tabelle32[[#This Row],[Device ID]],BOM!$B$3:$BQ$35,42,FALSE),"")</f>
        <v>Imagine Communications SNP</v>
      </c>
      <c r="AM503" s="59" t="str">
        <f>IFERROR(VLOOKUP(Tabelle32[[#This Row],[Device ID]],BOM!$B$3:$BQ$35,43,FALSE),"")</f>
        <v>no</v>
      </c>
      <c r="AN503" s="59" t="str">
        <f>IFERROR(VLOOKUP(Tabelle32[[#This Row],[Device ID]],BOM!$B$3:$BQ$35,44,FALSE),"")</f>
        <v>yes</v>
      </c>
      <c r="AO503" s="59" t="str">
        <f>IFERROR(VLOOKUP(Tabelle32[[#This Row],[Device ID]],BOM!$B$3:$BQ$35,45,FALSE),"")</f>
        <v>no</v>
      </c>
      <c r="AP503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503" s="59"/>
      <c r="AR503" s="101"/>
      <c r="AS503" s="101"/>
      <c r="AT503" s="101"/>
      <c r="AU503" s="101"/>
      <c r="AV503" s="101"/>
      <c r="AW503" s="101"/>
      <c r="AX503" s="101"/>
      <c r="AY503" s="101"/>
      <c r="AZ503" s="101"/>
      <c r="BA503" s="101"/>
      <c r="BB503" s="101"/>
      <c r="BC503" s="101"/>
      <c r="BD503" s="101"/>
      <c r="BE503" s="101"/>
      <c r="BF503" s="101"/>
      <c r="BG503" s="101"/>
      <c r="BH503" s="73" t="s">
        <v>199</v>
      </c>
      <c r="BI503" s="30" t="str">
        <f>IF(COUNTA(Tabelle32[[#This Row],[Type:Vid_1080i50]:[Type:Anc_Prot]])&gt;0,"x","")</f>
        <v/>
      </c>
      <c r="BJ50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03" s="59"/>
      <c r="BL503" s="59"/>
      <c r="BM503" s="63"/>
      <c r="BN503" s="63"/>
      <c r="BO503" s="96"/>
      <c r="BP503" s="96"/>
      <c r="BQ503" s="75">
        <f>LEN(Tabelle32[[#This Row],[Label 1
GFX-Unit]])</f>
        <v>0</v>
      </c>
      <c r="BR503" s="63"/>
      <c r="BS503" s="63"/>
      <c r="BT503" s="59"/>
      <c r="BU503" s="59"/>
      <c r="BV503" s="59" t="s">
        <v>260</v>
      </c>
      <c r="BW503" s="59" t="s">
        <v>261</v>
      </c>
      <c r="BX503" s="59" t="s">
        <v>992</v>
      </c>
      <c r="BY503" s="59">
        <v>24</v>
      </c>
    </row>
    <row r="504" spans="1:77" hidden="1" x14ac:dyDescent="0.2">
      <c r="A504" s="58" t="str">
        <f>CONCATENATE(Tabelle32[[#This Row],[Device ID]],".",Tabelle32[[#This Row],[Streamcounter]])</f>
        <v>401.24215</v>
      </c>
      <c r="B50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VGW-103_SDI24_AUDrec_0015</v>
      </c>
      <c r="C504" s="60"/>
      <c r="D504" s="61"/>
      <c r="E504" s="62"/>
      <c r="F504" s="59" t="str">
        <f>IFERROR(VLOOKUP(Tabelle32[[#This Row],[Device ID]],BOM!$B$3:$BQ$35,16,FALSE),"")</f>
        <v>EditPC-10 IN</v>
      </c>
      <c r="G504" s="63">
        <f>VLOOKUP(Tabelle32[[#This Row],[SDI Interface]],BOM!$A$4:$B$35,2,FALSE)</f>
        <v>401</v>
      </c>
      <c r="H504" s="59" t="str">
        <f>BOM!$C$4</f>
        <v>VGW-103</v>
      </c>
      <c r="I504" s="59" t="str">
        <f>IFERROR(VLOOKUP(Tabelle32[[#This Row],[Device ID]],BOM!$B$3:$BQ$35,12,FALSE),"")</f>
        <v>Edit Suite</v>
      </c>
      <c r="J504" s="59" t="str">
        <f>IFERROR(VLOOKUP(Tabelle32[[#This Row],[Device ID]],BOM!$B$3:$BQ$35,13,FALSE),"")</f>
        <v>TC.U1.223 | MDC</v>
      </c>
      <c r="K504" s="59" t="str">
        <f>IFERROR(VLOOKUP(Tabelle32[[#This Row],[Device ID]],BOM!$B$3:$BQ$35,14,FALSE),"")</f>
        <v>Imagine Comunications</v>
      </c>
      <c r="L504" s="59" t="str">
        <f>IFERROR(VLOOKUP(Tabelle32[[#This Row],[Device ID]],BOM!$B$3:$BQ$35,16,FALSE),"")</f>
        <v>EditPC-10 IN</v>
      </c>
      <c r="M504" s="63" t="str">
        <f>IFERROR(VLOOKUP(Tabelle32[[#This Row],[Device ID]],BOM!$B$3:$BQ$35,17,FALSE),"")</f>
        <v>EDIT SUITE 10</v>
      </c>
      <c r="N504" s="59" t="str">
        <f>IFERROR(VLOOKUP(Tabelle32[[#This Row],[Device ID]],BOM!$B$3:$BQ$35,18,FALSE),"")</f>
        <v>TC.03.017 | Edit 10</v>
      </c>
      <c r="O504" s="64"/>
      <c r="P504" s="64">
        <f>IFERROR(VLOOKUP(Tabelle32[[#This Row],[Device ID]],BOM!$B$3:$BO$50,20,FALSE),"")</f>
        <v>0</v>
      </c>
      <c r="Q504" s="64">
        <f>IFERROR(VLOOKUP(Tabelle32[[#This Row],[Device ID]],BOM!$B$3:$BO$50,21,FALSE),"")</f>
        <v>1</v>
      </c>
      <c r="R504" s="64">
        <f>IFERROR(VLOOKUP(Tabelle32[[#This Row],[Device ID]],BOM!$B$3:$BO$50,22,FALSE),"")</f>
        <v>0</v>
      </c>
      <c r="S504" s="64"/>
      <c r="T504" s="64"/>
      <c r="U504" s="59" t="str">
        <f>IFERROR(VLOOKUP(Tabelle32[[#This Row],[Device ID]],BOM!$B$3:$BQ$35,25,FALSE),"")</f>
        <v>Luis/Ivo</v>
      </c>
      <c r="V504" s="59" t="str">
        <f>IFERROR(VLOOKUP(Tabelle32[[#This Row],[Device ID]],BOM!$B$3:$BQ$35,26,FALSE),"")</f>
        <v>tpco-megw-vgw103.rta.st-net.media.int</v>
      </c>
      <c r="W504" s="59" t="str">
        <f>IFERROR(VLOOKUP(Tabelle32[[#This Row],[Device ID]],BOM!$B$3:$BQ$35,27,FALSE),"")</f>
        <v>10.120.236.50</v>
      </c>
      <c r="X504" s="59" t="str">
        <f>IFERROR(VLOOKUP(Tabelle32[[#This Row],[Device ID]],BOM!$B$3:$BQ$35,28,FALSE),"")</f>
        <v>AVCoreA</v>
      </c>
      <c r="Y504" s="59" t="str">
        <f>IFERROR(VLOOKUP(Tabelle32[[#This Row],[Device ID]],BOM!$B$3:$BQ$35,29,FALSE),"")</f>
        <v>5_36_1</v>
      </c>
      <c r="Z504" s="59" t="str">
        <f>IFERROR(VLOOKUP(Tabelle32[[#This Row],[Device ID]],BOM!$B$3:$BQ$35,30,FALSE),"")</f>
        <v>tpco-megw-vgw103.rtb.st-net.media.int</v>
      </c>
      <c r="AA504" s="59" t="str">
        <f>IFERROR(VLOOKUP(Tabelle32[[#This Row],[Device ID]],BOM!$B$3:$BQ$35,31,FALSE),"")</f>
        <v>10.120.236.54</v>
      </c>
      <c r="AB504" s="59" t="str">
        <f>IFERROR(VLOOKUP(Tabelle32[[#This Row],[Device ID]],BOM!$B$3:$BQ$35,32,FALSE),"")</f>
        <v>AVCoreB</v>
      </c>
      <c r="AC504" s="59" t="str">
        <f>IFERROR(VLOOKUP(Tabelle32[[#This Row],[Device ID]],BOM!$B$3:$BQ$35,33,FALSE),"")</f>
        <v>5_36_1</v>
      </c>
      <c r="AD504" s="59" t="str">
        <f>IFERROR(VLOOKUP(Tabelle32[[#This Row],[Device ID]],BOM!$B$3:$BQ$35,34,FALSE),"")</f>
        <v>tpco-megw-vgw103.st-net.media.int</v>
      </c>
      <c r="AE504" s="59" t="str">
        <f>IFERROR(VLOOKUP(Tabelle32[[#This Row],[Device ID]],BOM!$B$3:$BQ$35,35,FALSE),"")</f>
        <v>10.120.67.141</v>
      </c>
      <c r="AF504" s="59">
        <f>IFERROR(VLOOKUP(Tabelle32[[#This Row],[Device ID]],BOM!$B$3:$BQ$35,36,FALSE),"")</f>
        <v>0</v>
      </c>
      <c r="AG504" s="59">
        <f>IFERROR(VLOOKUP(Tabelle32[[#This Row],[Device ID]],BOM!$B$3:$BQ$35,37,FALSE),"")</f>
        <v>0</v>
      </c>
      <c r="AH504" s="59"/>
      <c r="AI504" s="59"/>
      <c r="AJ504" s="59"/>
      <c r="AK504" s="59"/>
      <c r="AL504" s="59" t="str">
        <f>IFERROR(VLOOKUP(Tabelle32[[#This Row],[Device ID]],BOM!$B$3:$BQ$35,42,FALSE),"")</f>
        <v>Imagine Communications SNP</v>
      </c>
      <c r="AM504" s="59" t="str">
        <f>IFERROR(VLOOKUP(Tabelle32[[#This Row],[Device ID]],BOM!$B$3:$BQ$35,43,FALSE),"")</f>
        <v>no</v>
      </c>
      <c r="AN504" s="59" t="str">
        <f>IFERROR(VLOOKUP(Tabelle32[[#This Row],[Device ID]],BOM!$B$3:$BQ$35,44,FALSE),"")</f>
        <v>yes</v>
      </c>
      <c r="AO504" s="59" t="str">
        <f>IFERROR(VLOOKUP(Tabelle32[[#This Row],[Device ID]],BOM!$B$3:$BQ$35,45,FALSE),"")</f>
        <v>no</v>
      </c>
      <c r="AP504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504" s="59"/>
      <c r="AR504" s="90"/>
      <c r="AS504" s="90"/>
      <c r="AT504" s="90"/>
      <c r="AU504" s="90"/>
      <c r="AV504" s="90"/>
      <c r="AW504" s="90"/>
      <c r="AX504" s="90"/>
      <c r="AY504" s="90"/>
      <c r="AZ504" s="90"/>
      <c r="BA504" s="90"/>
      <c r="BB504" s="90"/>
      <c r="BC504" s="90"/>
      <c r="BD504" s="90"/>
      <c r="BE504" s="90"/>
      <c r="BF504" s="90"/>
      <c r="BG504" s="90"/>
      <c r="BH504" s="73" t="s">
        <v>199</v>
      </c>
      <c r="BI504" s="30" t="str">
        <f>IF(COUNTA(Tabelle32[[#This Row],[Type:Vid_1080i50]:[Type:Anc_Prot]])&gt;0,"x","")</f>
        <v/>
      </c>
      <c r="BJ50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04" s="59"/>
      <c r="BL504" s="59"/>
      <c r="BM504" s="63"/>
      <c r="BN504" s="63"/>
      <c r="BO504" s="96"/>
      <c r="BP504" s="96"/>
      <c r="BQ504" s="75">
        <f>LEN(Tabelle32[[#This Row],[Label 1
GFX-Unit]])</f>
        <v>0</v>
      </c>
      <c r="BR504" s="63"/>
      <c r="BS504" s="63"/>
      <c r="BT504" s="59"/>
      <c r="BU504" s="59"/>
      <c r="BV504" s="59" t="s">
        <v>264</v>
      </c>
      <c r="BW504" s="59" t="s">
        <v>265</v>
      </c>
      <c r="BX504" s="59" t="s">
        <v>993</v>
      </c>
      <c r="BY504" s="59">
        <v>24</v>
      </c>
    </row>
    <row r="505" spans="1:77" hidden="1" x14ac:dyDescent="0.2">
      <c r="A505" s="58" t="str">
        <f>CONCATENATE(Tabelle32[[#This Row],[Device ID]],".",Tabelle32[[#This Row],[Streamcounter]])</f>
        <v>401.24216</v>
      </c>
      <c r="B50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VGW-103_SDI24_AUDrec_0016</v>
      </c>
      <c r="C505" s="60"/>
      <c r="D505" s="61"/>
      <c r="E505" s="62"/>
      <c r="F505" s="59" t="str">
        <f>IFERROR(VLOOKUP(Tabelle32[[#This Row],[Device ID]],BOM!$B$3:$BQ$35,16,FALSE),"")</f>
        <v>EditPC-10 IN</v>
      </c>
      <c r="G505" s="63">
        <f>VLOOKUP(Tabelle32[[#This Row],[SDI Interface]],BOM!$A$4:$B$35,2,FALSE)</f>
        <v>401</v>
      </c>
      <c r="H505" s="59" t="str">
        <f>BOM!$C$4</f>
        <v>VGW-103</v>
      </c>
      <c r="I505" s="59" t="str">
        <f>IFERROR(VLOOKUP(Tabelle32[[#This Row],[Device ID]],BOM!$B$3:$BQ$35,12,FALSE),"")</f>
        <v>Edit Suite</v>
      </c>
      <c r="J505" s="59" t="str">
        <f>IFERROR(VLOOKUP(Tabelle32[[#This Row],[Device ID]],BOM!$B$3:$BQ$35,13,FALSE),"")</f>
        <v>TC.U1.223 | MDC</v>
      </c>
      <c r="K505" s="59" t="str">
        <f>IFERROR(VLOOKUP(Tabelle32[[#This Row],[Device ID]],BOM!$B$3:$BQ$35,14,FALSE),"")</f>
        <v>Imagine Comunications</v>
      </c>
      <c r="L505" s="59" t="str">
        <f>IFERROR(VLOOKUP(Tabelle32[[#This Row],[Device ID]],BOM!$B$3:$BQ$35,16,FALSE),"")</f>
        <v>EditPC-10 IN</v>
      </c>
      <c r="M505" s="63" t="str">
        <f>IFERROR(VLOOKUP(Tabelle32[[#This Row],[Device ID]],BOM!$B$3:$BQ$35,17,FALSE),"")</f>
        <v>EDIT SUITE 10</v>
      </c>
      <c r="N505" s="59" t="str">
        <f>IFERROR(VLOOKUP(Tabelle32[[#This Row],[Device ID]],BOM!$B$3:$BQ$35,18,FALSE),"")</f>
        <v>TC.03.017 | Edit 10</v>
      </c>
      <c r="O505" s="64"/>
      <c r="P505" s="64">
        <f>IFERROR(VLOOKUP(Tabelle32[[#This Row],[Device ID]],BOM!$B$3:$BO$50,20,FALSE),"")</f>
        <v>0</v>
      </c>
      <c r="Q505" s="64">
        <f>IFERROR(VLOOKUP(Tabelle32[[#This Row],[Device ID]],BOM!$B$3:$BO$50,21,FALSE),"")</f>
        <v>1</v>
      </c>
      <c r="R505" s="64">
        <f>IFERROR(VLOOKUP(Tabelle32[[#This Row],[Device ID]],BOM!$B$3:$BO$50,22,FALSE),"")</f>
        <v>0</v>
      </c>
      <c r="S505" s="64"/>
      <c r="T505" s="64"/>
      <c r="U505" s="59" t="str">
        <f>IFERROR(VLOOKUP(Tabelle32[[#This Row],[Device ID]],BOM!$B$3:$BQ$35,25,FALSE),"")</f>
        <v>Luis/Ivo</v>
      </c>
      <c r="V505" s="59" t="str">
        <f>IFERROR(VLOOKUP(Tabelle32[[#This Row],[Device ID]],BOM!$B$3:$BQ$35,26,FALSE),"")</f>
        <v>tpco-megw-vgw103.rta.st-net.media.int</v>
      </c>
      <c r="W505" s="59" t="str">
        <f>IFERROR(VLOOKUP(Tabelle32[[#This Row],[Device ID]],BOM!$B$3:$BQ$35,27,FALSE),"")</f>
        <v>10.120.236.50</v>
      </c>
      <c r="X505" s="59" t="str">
        <f>IFERROR(VLOOKUP(Tabelle32[[#This Row],[Device ID]],BOM!$B$3:$BQ$35,28,FALSE),"")</f>
        <v>AVCoreA</v>
      </c>
      <c r="Y505" s="59" t="str">
        <f>IFERROR(VLOOKUP(Tabelle32[[#This Row],[Device ID]],BOM!$B$3:$BQ$35,29,FALSE),"")</f>
        <v>5_36_1</v>
      </c>
      <c r="Z505" s="59" t="str">
        <f>IFERROR(VLOOKUP(Tabelle32[[#This Row],[Device ID]],BOM!$B$3:$BQ$35,30,FALSE),"")</f>
        <v>tpco-megw-vgw103.rtb.st-net.media.int</v>
      </c>
      <c r="AA505" s="59" t="str">
        <f>IFERROR(VLOOKUP(Tabelle32[[#This Row],[Device ID]],BOM!$B$3:$BQ$35,31,FALSE),"")</f>
        <v>10.120.236.54</v>
      </c>
      <c r="AB505" s="59" t="str">
        <f>IFERROR(VLOOKUP(Tabelle32[[#This Row],[Device ID]],BOM!$B$3:$BQ$35,32,FALSE),"")</f>
        <v>AVCoreB</v>
      </c>
      <c r="AC505" s="59" t="str">
        <f>IFERROR(VLOOKUP(Tabelle32[[#This Row],[Device ID]],BOM!$B$3:$BQ$35,33,FALSE),"")</f>
        <v>5_36_1</v>
      </c>
      <c r="AD505" s="59" t="str">
        <f>IFERROR(VLOOKUP(Tabelle32[[#This Row],[Device ID]],BOM!$B$3:$BQ$35,34,FALSE),"")</f>
        <v>tpco-megw-vgw103.st-net.media.int</v>
      </c>
      <c r="AE505" s="59" t="str">
        <f>IFERROR(VLOOKUP(Tabelle32[[#This Row],[Device ID]],BOM!$B$3:$BQ$35,35,FALSE),"")</f>
        <v>10.120.67.141</v>
      </c>
      <c r="AF505" s="59">
        <f>IFERROR(VLOOKUP(Tabelle32[[#This Row],[Device ID]],BOM!$B$3:$BQ$35,36,FALSE),"")</f>
        <v>0</v>
      </c>
      <c r="AG505" s="59">
        <f>IFERROR(VLOOKUP(Tabelle32[[#This Row],[Device ID]],BOM!$B$3:$BQ$35,37,FALSE),"")</f>
        <v>0</v>
      </c>
      <c r="AH505" s="59"/>
      <c r="AI505" s="59"/>
      <c r="AJ505" s="59"/>
      <c r="AK505" s="59"/>
      <c r="AL505" s="59" t="str">
        <f>IFERROR(VLOOKUP(Tabelle32[[#This Row],[Device ID]],BOM!$B$3:$BQ$35,42,FALSE),"")</f>
        <v>Imagine Communications SNP</v>
      </c>
      <c r="AM505" s="59" t="str">
        <f>IFERROR(VLOOKUP(Tabelle32[[#This Row],[Device ID]],BOM!$B$3:$BQ$35,43,FALSE),"")</f>
        <v>no</v>
      </c>
      <c r="AN505" s="59" t="str">
        <f>IFERROR(VLOOKUP(Tabelle32[[#This Row],[Device ID]],BOM!$B$3:$BQ$35,44,FALSE),"")</f>
        <v>yes</v>
      </c>
      <c r="AO505" s="59" t="str">
        <f>IFERROR(VLOOKUP(Tabelle32[[#This Row],[Device ID]],BOM!$B$3:$BQ$35,45,FALSE),"")</f>
        <v>no</v>
      </c>
      <c r="AP505" s="59" t="str">
        <f>IFERROR(CONCATENATE(Tabelle32[[#This Row],[Family
GFX-Unit]]," | ",Tabelle32[[#This Row],[Label 1
GFX-Unit]]," | ",Tabelle32[[#This Row],[Attached Device if Gateway]]),"")</f>
        <v xml:space="preserve"> |  | EditPC-10 IN</v>
      </c>
      <c r="AQ505" s="59"/>
      <c r="AR505" s="90"/>
      <c r="AS505" s="90"/>
      <c r="AT505" s="90"/>
      <c r="AU505" s="90"/>
      <c r="AV505" s="90"/>
      <c r="AW505" s="90"/>
      <c r="AX505" s="90"/>
      <c r="AY505" s="90"/>
      <c r="AZ505" s="90"/>
      <c r="BA505" s="90"/>
      <c r="BB505" s="90"/>
      <c r="BC505" s="90"/>
      <c r="BD505" s="90"/>
      <c r="BE505" s="90"/>
      <c r="BF505" s="90"/>
      <c r="BG505" s="90"/>
      <c r="BH505" s="73" t="s">
        <v>199</v>
      </c>
      <c r="BI505" s="30" t="str">
        <f>IF(COUNTA(Tabelle32[[#This Row],[Type:Vid_1080i50]:[Type:Anc_Prot]])&gt;0,"x","")</f>
        <v/>
      </c>
      <c r="BJ50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05" s="59"/>
      <c r="BL505" s="59"/>
      <c r="BM505" s="63"/>
      <c r="BN505" s="63"/>
      <c r="BO505" s="96"/>
      <c r="BP505" s="96"/>
      <c r="BQ505" s="75">
        <f>LEN(Tabelle32[[#This Row],[Label 1
GFX-Unit]])</f>
        <v>0</v>
      </c>
      <c r="BR505" s="63"/>
      <c r="BS505" s="63"/>
      <c r="BT505" s="59"/>
      <c r="BU505" s="59"/>
      <c r="BV505" s="59" t="s">
        <v>268</v>
      </c>
      <c r="BW505" s="59" t="s">
        <v>269</v>
      </c>
      <c r="BX505" s="59" t="s">
        <v>994</v>
      </c>
      <c r="BY505" s="59">
        <v>24</v>
      </c>
    </row>
    <row r="506" spans="1:77" x14ac:dyDescent="0.2">
      <c r="A506" s="58" t="str">
        <f>CONCATENATE(Tabelle32[[#This Row],[Device ID]],".",Tabelle32[[#This Row],[Streamcounter]])</f>
        <v>401.24101</v>
      </c>
      <c r="B50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VGW-103_SDI24_VIDrec_0001</v>
      </c>
      <c r="C506" s="60"/>
      <c r="D506" s="61"/>
      <c r="E506" s="62"/>
      <c r="F506" s="59" t="str">
        <f>IFERROR(VLOOKUP(Tabelle32[[#This Row],[Device ID]],BOM!$B$3:$BQ$35,16,FALSE),"")</f>
        <v>EditPC-10 IN</v>
      </c>
      <c r="G506" s="63">
        <f>VLOOKUP(Tabelle32[[#This Row],[SDI Interface]],BOM!$A$4:$B$35,2,FALSE)</f>
        <v>401</v>
      </c>
      <c r="H506" s="59" t="str">
        <f>BOM!$C$4</f>
        <v>VGW-103</v>
      </c>
      <c r="I506" s="59" t="str">
        <f>IFERROR(VLOOKUP(Tabelle32[[#This Row],[Device ID]],BOM!$B$3:$BQ$35,12,FALSE),"")</f>
        <v>Edit Suite</v>
      </c>
      <c r="J506" s="59" t="str">
        <f>IFERROR(VLOOKUP(Tabelle32[[#This Row],[Device ID]],BOM!$B$3:$BQ$35,13,FALSE),"")</f>
        <v>TC.U1.223 | MDC</v>
      </c>
      <c r="K506" s="59" t="str">
        <f>IFERROR(VLOOKUP(Tabelle32[[#This Row],[Device ID]],BOM!$B$3:$BQ$35,14,FALSE),"")</f>
        <v>Imagine Comunications</v>
      </c>
      <c r="L506" s="59" t="str">
        <f>IFERROR(VLOOKUP(Tabelle32[[#This Row],[Device ID]],BOM!$B$3:$BQ$35,16,FALSE),"")</f>
        <v>EditPC-10 IN</v>
      </c>
      <c r="M506" s="63" t="str">
        <f>IFERROR(VLOOKUP(Tabelle32[[#This Row],[Device ID]],BOM!$B$3:$BQ$35,17,FALSE),"")</f>
        <v>EDIT SUITE 10</v>
      </c>
      <c r="N506" s="59" t="str">
        <f>IFERROR(VLOOKUP(Tabelle32[[#This Row],[Device ID]],BOM!$B$3:$BQ$35,18,FALSE),"")</f>
        <v>TC.03.017 | Edit 10</v>
      </c>
      <c r="O506" s="64"/>
      <c r="P506" s="64">
        <f>IFERROR(VLOOKUP(Tabelle32[[#This Row],[Device ID]],BOM!$B$3:$BO$50,20,FALSE),"")</f>
        <v>0</v>
      </c>
      <c r="Q506" s="64">
        <f>IFERROR(VLOOKUP(Tabelle32[[#This Row],[Device ID]],BOM!$B$3:$BO$50,21,FALSE),"")</f>
        <v>1</v>
      </c>
      <c r="R506" s="64">
        <f>IFERROR(VLOOKUP(Tabelle32[[#This Row],[Device ID]],BOM!$B$3:$BO$50,22,FALSE),"")</f>
        <v>0</v>
      </c>
      <c r="S506" s="64"/>
      <c r="T506" s="64"/>
      <c r="U506" s="59" t="str">
        <f>IFERROR(VLOOKUP(Tabelle32[[#This Row],[Device ID]],BOM!$B$3:$BQ$35,25,FALSE),"")</f>
        <v>Luis/Ivo</v>
      </c>
      <c r="V506" s="59" t="str">
        <f>IFERROR(VLOOKUP(Tabelle32[[#This Row],[Device ID]],BOM!$B$3:$BQ$35,26,FALSE),"")</f>
        <v>tpco-megw-vgw103.rta.st-net.media.int</v>
      </c>
      <c r="W506" s="59" t="str">
        <f>IFERROR(VLOOKUP(Tabelle32[[#This Row],[Device ID]],BOM!$B$3:$BQ$35,27,FALSE),"")</f>
        <v>10.120.236.50</v>
      </c>
      <c r="X506" s="59" t="str">
        <f>IFERROR(VLOOKUP(Tabelle32[[#This Row],[Device ID]],BOM!$B$3:$BQ$35,28,FALSE),"")</f>
        <v>AVCoreA</v>
      </c>
      <c r="Y506" s="59" t="str">
        <f>IFERROR(VLOOKUP(Tabelle32[[#This Row],[Device ID]],BOM!$B$3:$BQ$35,29,FALSE),"")</f>
        <v>5_36_1</v>
      </c>
      <c r="Z506" s="59" t="str">
        <f>IFERROR(VLOOKUP(Tabelle32[[#This Row],[Device ID]],BOM!$B$3:$BQ$35,30,FALSE),"")</f>
        <v>tpco-megw-vgw103.rtb.st-net.media.int</v>
      </c>
      <c r="AA506" s="59" t="str">
        <f>IFERROR(VLOOKUP(Tabelle32[[#This Row],[Device ID]],BOM!$B$3:$BQ$35,31,FALSE),"")</f>
        <v>10.120.236.54</v>
      </c>
      <c r="AB506" s="59" t="str">
        <f>IFERROR(VLOOKUP(Tabelle32[[#This Row],[Device ID]],BOM!$B$3:$BQ$35,32,FALSE),"")</f>
        <v>AVCoreB</v>
      </c>
      <c r="AC506" s="59" t="str">
        <f>IFERROR(VLOOKUP(Tabelle32[[#This Row],[Device ID]],BOM!$B$3:$BQ$35,33,FALSE),"")</f>
        <v>5_36_1</v>
      </c>
      <c r="AD506" s="59" t="str">
        <f>IFERROR(VLOOKUP(Tabelle32[[#This Row],[Device ID]],BOM!$B$3:$BQ$35,34,FALSE),"")</f>
        <v>tpco-megw-vgw103.st-net.media.int</v>
      </c>
      <c r="AE506" s="59" t="str">
        <f>IFERROR(VLOOKUP(Tabelle32[[#This Row],[Device ID]],BOM!$B$3:$BQ$35,35,FALSE),"")</f>
        <v>10.120.67.141</v>
      </c>
      <c r="AF506" s="59">
        <f>IFERROR(VLOOKUP(Tabelle32[[#This Row],[Device ID]],BOM!$B$3:$BQ$35,36,FALSE),"")</f>
        <v>0</v>
      </c>
      <c r="AG506" s="59">
        <f>IFERROR(VLOOKUP(Tabelle32[[#This Row],[Device ID]],BOM!$B$3:$BQ$35,37,FALSE),"")</f>
        <v>0</v>
      </c>
      <c r="AH506" s="59"/>
      <c r="AI506" s="59"/>
      <c r="AJ506" s="59"/>
      <c r="AK506" s="59"/>
      <c r="AL506" s="59" t="str">
        <f>IFERROR(VLOOKUP(Tabelle32[[#This Row],[Device ID]],BOM!$B$3:$BQ$35,42,FALSE),"")</f>
        <v>Imagine Communications SNP</v>
      </c>
      <c r="AM506" s="59" t="str">
        <f>IFERROR(VLOOKUP(Tabelle32[[#This Row],[Device ID]],BOM!$B$3:$BQ$35,43,FALSE),"")</f>
        <v>no</v>
      </c>
      <c r="AN506" s="59" t="str">
        <f>IFERROR(VLOOKUP(Tabelle32[[#This Row],[Device ID]],BOM!$B$3:$BQ$35,44,FALSE),"")</f>
        <v>yes</v>
      </c>
      <c r="AO506" s="59" t="str">
        <f>IFERROR(VLOOKUP(Tabelle32[[#This Row],[Device ID]],BOM!$B$3:$BQ$35,45,FALSE),"")</f>
        <v>no</v>
      </c>
      <c r="AP506" s="59" t="str">
        <f>IFERROR(CONCATENATE(Tabelle32[[#This Row],[Family
GFX-Unit]]," | ",Tabelle32[[#This Row],[Label 1
GFX-Unit]]," | ",Tabelle32[[#This Row],[Attached Device if Gateway]]),"")</f>
        <v>MEDEM Edit10 | In Edit10 | EditPC-10 IN</v>
      </c>
      <c r="AQ506" s="59"/>
      <c r="AR506" s="96" t="s">
        <v>97</v>
      </c>
      <c r="AS506" s="96" t="s">
        <v>97</v>
      </c>
      <c r="AT506" s="96" t="s">
        <v>97</v>
      </c>
      <c r="AU506" s="96"/>
      <c r="AV506" s="96" t="s">
        <v>97</v>
      </c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73" t="s">
        <v>199</v>
      </c>
      <c r="BI506" s="30" t="str">
        <f>IF(COUNTA(Tabelle32[[#This Row],[Type:Vid_1080i50]:[Type:Anc_Prot]])&gt;0,"x","")</f>
        <v>x</v>
      </c>
      <c r="BJ506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506" s="59"/>
      <c r="BL506" s="59"/>
      <c r="BM506" s="63"/>
      <c r="BN506" s="63"/>
      <c r="BO506" s="97" t="s">
        <v>964</v>
      </c>
      <c r="BP506" s="97" t="s">
        <v>995</v>
      </c>
      <c r="BQ506" s="75">
        <f>LEN(Tabelle32[[#This Row],[Label 1
GFX-Unit]])</f>
        <v>9</v>
      </c>
      <c r="BR506" s="63"/>
      <c r="BS506" s="63"/>
      <c r="BT506" s="59"/>
      <c r="BU506" s="59"/>
      <c r="BV506" s="59" t="s">
        <v>272</v>
      </c>
      <c r="BW506" s="59" t="s">
        <v>273</v>
      </c>
      <c r="BX506" s="59" t="s">
        <v>996</v>
      </c>
      <c r="BY506" s="59">
        <v>24</v>
      </c>
    </row>
    <row r="507" spans="1:77" x14ac:dyDescent="0.2">
      <c r="A507" s="58" t="str">
        <f>CONCATENATE(Tabelle32[[#This Row],[Device ID]],".",Tabelle32[[#This Row],[Streamcounter]])</f>
        <v>402.25301</v>
      </c>
      <c r="B50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VGW-103_SDI25_ANCrec_0001</v>
      </c>
      <c r="C507" s="60"/>
      <c r="D507" s="61"/>
      <c r="E507" s="62"/>
      <c r="F507" s="59" t="str">
        <f>IFERROR(VLOOKUP(Tabelle32[[#This Row],[Device ID]],BOM!$B$3:$BQ$35,16,FALSE),"")</f>
        <v>IngSRV-10</v>
      </c>
      <c r="G507" s="63">
        <f>VLOOKUP(Tabelle32[[#This Row],[SDI Interface]],BOM!$A$4:$B$35,2,FALSE)</f>
        <v>402</v>
      </c>
      <c r="H507" s="59" t="str">
        <f>BOM!$C$4</f>
        <v>VGW-103</v>
      </c>
      <c r="I507" s="59" t="str">
        <f>IFERROR(VLOOKUP(Tabelle32[[#This Row],[Device ID]],BOM!$B$3:$BQ$35,12,FALSE),"")</f>
        <v>Videoserver</v>
      </c>
      <c r="J507" s="59" t="str">
        <f>IFERROR(VLOOKUP(Tabelle32[[#This Row],[Device ID]],BOM!$B$3:$BQ$35,13,FALSE),"")</f>
        <v>TC.U1.223 | MDC</v>
      </c>
      <c r="K507" s="59" t="str">
        <f>IFERROR(VLOOKUP(Tabelle32[[#This Row],[Device ID]],BOM!$B$3:$BQ$35,14,FALSE),"")</f>
        <v>Imagine Comunications</v>
      </c>
      <c r="L507" s="59" t="str">
        <f>IFERROR(VLOOKUP(Tabelle32[[#This Row],[Device ID]],BOM!$B$3:$BQ$35,16,FALSE),"")</f>
        <v>IngSRV-10</v>
      </c>
      <c r="M507" s="63" t="str">
        <f>IFERROR(VLOOKUP(Tabelle32[[#This Row],[Device ID]],BOM!$B$3:$BQ$35,17,FALSE),"")</f>
        <v>M3H</v>
      </c>
      <c r="N507" s="59" t="str">
        <f>IFERROR(VLOOKUP(Tabelle32[[#This Row],[Device ID]],BOM!$B$3:$BQ$35,18,FALSE),"")</f>
        <v>TC.03.225 | M3H</v>
      </c>
      <c r="O507" s="64"/>
      <c r="P507" s="64">
        <f>IFERROR(VLOOKUP(Tabelle32[[#This Row],[Device ID]],BOM!$B$3:$BO$50,20,FALSE),"")</f>
        <v>0</v>
      </c>
      <c r="Q507" s="64">
        <f>IFERROR(VLOOKUP(Tabelle32[[#This Row],[Device ID]],BOM!$B$3:$BO$50,21,FALSE),"")</f>
        <v>1</v>
      </c>
      <c r="R507" s="64">
        <f>IFERROR(VLOOKUP(Tabelle32[[#This Row],[Device ID]],BOM!$B$3:$BO$50,22,FALSE),"")</f>
        <v>0</v>
      </c>
      <c r="S507" s="64"/>
      <c r="T507" s="64"/>
      <c r="U507" s="59" t="str">
        <f>IFERROR(VLOOKUP(Tabelle32[[#This Row],[Device ID]],BOM!$B$3:$BQ$35,25,FALSE),"")</f>
        <v>Luis/Ivo</v>
      </c>
      <c r="V507" s="59" t="str">
        <f>IFERROR(VLOOKUP(Tabelle32[[#This Row],[Device ID]],BOM!$B$3:$BQ$35,26,FALSE),"")</f>
        <v>tpco-megw-vgw103.rta.st-net.media.int</v>
      </c>
      <c r="W507" s="59" t="str">
        <f>IFERROR(VLOOKUP(Tabelle32[[#This Row],[Device ID]],BOM!$B$3:$BQ$35,27,FALSE),"")</f>
        <v>10.120.236.50</v>
      </c>
      <c r="X507" s="59" t="str">
        <f>IFERROR(VLOOKUP(Tabelle32[[#This Row],[Device ID]],BOM!$B$3:$BQ$35,28,FALSE),"")</f>
        <v>AVCoreA</v>
      </c>
      <c r="Y507" s="59" t="str">
        <f>IFERROR(VLOOKUP(Tabelle32[[#This Row],[Device ID]],BOM!$B$3:$BQ$35,29,FALSE),"")</f>
        <v>5_36_1</v>
      </c>
      <c r="Z507" s="59" t="str">
        <f>IFERROR(VLOOKUP(Tabelle32[[#This Row],[Device ID]],BOM!$B$3:$BQ$35,30,FALSE),"")</f>
        <v>tpco-megw-vgw103.rtb.st-net.media.int</v>
      </c>
      <c r="AA507" s="59" t="str">
        <f>IFERROR(VLOOKUP(Tabelle32[[#This Row],[Device ID]],BOM!$B$3:$BQ$35,31,FALSE),"")</f>
        <v>10.120.236.54</v>
      </c>
      <c r="AB507" s="59" t="str">
        <f>IFERROR(VLOOKUP(Tabelle32[[#This Row],[Device ID]],BOM!$B$3:$BQ$35,32,FALSE),"")</f>
        <v>AVCoreB</v>
      </c>
      <c r="AC507" s="59" t="str">
        <f>IFERROR(VLOOKUP(Tabelle32[[#This Row],[Device ID]],BOM!$B$3:$BQ$35,33,FALSE),"")</f>
        <v>5_36_1</v>
      </c>
      <c r="AD507" s="59" t="str">
        <f>IFERROR(VLOOKUP(Tabelle32[[#This Row],[Device ID]],BOM!$B$3:$BQ$35,34,FALSE),"")</f>
        <v>tpco-megw-vgw103.st-net.media.int</v>
      </c>
      <c r="AE507" s="59" t="str">
        <f>IFERROR(VLOOKUP(Tabelle32[[#This Row],[Device ID]],BOM!$B$3:$BQ$35,35,FALSE),"")</f>
        <v>10.120.67.141</v>
      </c>
      <c r="AF507" s="59">
        <f>IFERROR(VLOOKUP(Tabelle32[[#This Row],[Device ID]],BOM!$B$3:$BQ$35,36,FALSE),"")</f>
        <v>0</v>
      </c>
      <c r="AG507" s="59">
        <f>IFERROR(VLOOKUP(Tabelle32[[#This Row],[Device ID]],BOM!$B$3:$BQ$35,37,FALSE),"")</f>
        <v>0</v>
      </c>
      <c r="AH507" s="59"/>
      <c r="AI507" s="59"/>
      <c r="AJ507" s="59"/>
      <c r="AK507" s="59"/>
      <c r="AL507" s="59" t="str">
        <f>IFERROR(VLOOKUP(Tabelle32[[#This Row],[Device ID]],BOM!$B$3:$BQ$35,42,FALSE),"")</f>
        <v>Imagine Communications SNP</v>
      </c>
      <c r="AM507" s="59" t="str">
        <f>IFERROR(VLOOKUP(Tabelle32[[#This Row],[Device ID]],BOM!$B$3:$BQ$35,43,FALSE),"")</f>
        <v>no</v>
      </c>
      <c r="AN507" s="59" t="str">
        <f>IFERROR(VLOOKUP(Tabelle32[[#This Row],[Device ID]],BOM!$B$3:$BQ$35,44,FALSE),"")</f>
        <v>yes</v>
      </c>
      <c r="AO507" s="59" t="str">
        <f>IFERROR(VLOOKUP(Tabelle32[[#This Row],[Device ID]],BOM!$B$3:$BQ$35,45,FALSE),"")</f>
        <v>no</v>
      </c>
      <c r="AP507" s="59" t="str">
        <f>IFERROR(CONCATENATE(Tabelle32[[#This Row],[Family
GFX-Unit]]," | ",Tabelle32[[#This Row],[Label 1
GFX-Unit]]," | ",Tabelle32[[#This Row],[Attached Device if Gateway]]),"")</f>
        <v>M3H InCh PGM | Ingest Ch37-ANC1 | IngSRV-10</v>
      </c>
      <c r="AQ507" s="59"/>
      <c r="AR507" s="92"/>
      <c r="AS507" s="92"/>
      <c r="AT507" s="92"/>
      <c r="AU507" s="92"/>
      <c r="AV507" s="92"/>
      <c r="AW507" s="92"/>
      <c r="AX507" s="92"/>
      <c r="AY507" s="92"/>
      <c r="AZ507" s="92"/>
      <c r="BA507" s="92"/>
      <c r="BB507" s="92"/>
      <c r="BC507" s="92"/>
      <c r="BD507" s="92"/>
      <c r="BE507" s="92"/>
      <c r="BF507" s="92"/>
      <c r="BG507" s="92" t="s">
        <v>97</v>
      </c>
      <c r="BH507" s="73" t="s">
        <v>199</v>
      </c>
      <c r="BI507" s="30" t="str">
        <f>IF(COUNTA(Tabelle32[[#This Row],[Type:Vid_1080i50]:[Type:Anc_Prot]])&gt;0,"x","")</f>
        <v>x</v>
      </c>
      <c r="BJ507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507" s="59"/>
      <c r="BL507" s="59"/>
      <c r="BM507" s="63"/>
      <c r="BN507" s="63"/>
      <c r="BO507" s="93" t="s">
        <v>2684</v>
      </c>
      <c r="BP507" s="93" t="s">
        <v>2696</v>
      </c>
      <c r="BQ507" s="75">
        <f>LEN(Tabelle32[[#This Row],[Label 1
GFX-Unit]])</f>
        <v>16</v>
      </c>
      <c r="BR507" s="63"/>
      <c r="BS507" s="63"/>
      <c r="BT507" s="59"/>
      <c r="BU507" s="59"/>
      <c r="BV507" s="59" t="s">
        <v>202</v>
      </c>
      <c r="BW507" s="59" t="s">
        <v>203</v>
      </c>
      <c r="BX507" s="59" t="s">
        <v>997</v>
      </c>
      <c r="BY507" s="59">
        <v>25</v>
      </c>
    </row>
    <row r="508" spans="1:77" hidden="1" x14ac:dyDescent="0.2">
      <c r="A508" s="58" t="str">
        <f>CONCATENATE(Tabelle32[[#This Row],[Device ID]],".",Tabelle32[[#This Row],[Streamcounter]])</f>
        <v>402.25302</v>
      </c>
      <c r="B50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VGW-103_SDI25_ANCrec_0002</v>
      </c>
      <c r="C508" s="60"/>
      <c r="D508" s="61"/>
      <c r="E508" s="62"/>
      <c r="F508" s="59" t="str">
        <f>IFERROR(VLOOKUP(Tabelle32[[#This Row],[Device ID]],BOM!$B$3:$BQ$35,16,FALSE),"")</f>
        <v>IngSRV-10</v>
      </c>
      <c r="G508" s="63">
        <f>VLOOKUP(Tabelle32[[#This Row],[SDI Interface]],BOM!$A$4:$B$35,2,FALSE)</f>
        <v>402</v>
      </c>
      <c r="H508" s="59" t="str">
        <f>BOM!$C$4</f>
        <v>VGW-103</v>
      </c>
      <c r="I508" s="59" t="str">
        <f>IFERROR(VLOOKUP(Tabelle32[[#This Row],[Device ID]],BOM!$B$3:$BQ$35,12,FALSE),"")</f>
        <v>Videoserver</v>
      </c>
      <c r="J508" s="59" t="str">
        <f>IFERROR(VLOOKUP(Tabelle32[[#This Row],[Device ID]],BOM!$B$3:$BQ$35,13,FALSE),"")</f>
        <v>TC.U1.223 | MDC</v>
      </c>
      <c r="K508" s="59" t="str">
        <f>IFERROR(VLOOKUP(Tabelle32[[#This Row],[Device ID]],BOM!$B$3:$BQ$35,14,FALSE),"")</f>
        <v>Imagine Comunications</v>
      </c>
      <c r="L508" s="59" t="str">
        <f>IFERROR(VLOOKUP(Tabelle32[[#This Row],[Device ID]],BOM!$B$3:$BQ$35,16,FALSE),"")</f>
        <v>IngSRV-10</v>
      </c>
      <c r="M508" s="63" t="str">
        <f>IFERROR(VLOOKUP(Tabelle32[[#This Row],[Device ID]],BOM!$B$3:$BQ$35,17,FALSE),"")</f>
        <v>M3H</v>
      </c>
      <c r="N508" s="59" t="str">
        <f>IFERROR(VLOOKUP(Tabelle32[[#This Row],[Device ID]],BOM!$B$3:$BQ$35,18,FALSE),"")</f>
        <v>TC.03.225 | M3H</v>
      </c>
      <c r="O508" s="64"/>
      <c r="P508" s="64">
        <f>IFERROR(VLOOKUP(Tabelle32[[#This Row],[Device ID]],BOM!$B$3:$BO$50,20,FALSE),"")</f>
        <v>0</v>
      </c>
      <c r="Q508" s="64">
        <f>IFERROR(VLOOKUP(Tabelle32[[#This Row],[Device ID]],BOM!$B$3:$BO$50,21,FALSE),"")</f>
        <v>1</v>
      </c>
      <c r="R508" s="64">
        <f>IFERROR(VLOOKUP(Tabelle32[[#This Row],[Device ID]],BOM!$B$3:$BO$50,22,FALSE),"")</f>
        <v>0</v>
      </c>
      <c r="S508" s="64"/>
      <c r="T508" s="64"/>
      <c r="U508" s="59" t="str">
        <f>IFERROR(VLOOKUP(Tabelle32[[#This Row],[Device ID]],BOM!$B$3:$BQ$35,25,FALSE),"")</f>
        <v>Luis/Ivo</v>
      </c>
      <c r="V508" s="59" t="str">
        <f>IFERROR(VLOOKUP(Tabelle32[[#This Row],[Device ID]],BOM!$B$3:$BQ$35,26,FALSE),"")</f>
        <v>tpco-megw-vgw103.rta.st-net.media.int</v>
      </c>
      <c r="W508" s="59" t="str">
        <f>IFERROR(VLOOKUP(Tabelle32[[#This Row],[Device ID]],BOM!$B$3:$BQ$35,27,FALSE),"")</f>
        <v>10.120.236.50</v>
      </c>
      <c r="X508" s="59" t="str">
        <f>IFERROR(VLOOKUP(Tabelle32[[#This Row],[Device ID]],BOM!$B$3:$BQ$35,28,FALSE),"")</f>
        <v>AVCoreA</v>
      </c>
      <c r="Y508" s="59" t="str">
        <f>IFERROR(VLOOKUP(Tabelle32[[#This Row],[Device ID]],BOM!$B$3:$BQ$35,29,FALSE),"")</f>
        <v>5_36_1</v>
      </c>
      <c r="Z508" s="59" t="str">
        <f>IFERROR(VLOOKUP(Tabelle32[[#This Row],[Device ID]],BOM!$B$3:$BQ$35,30,FALSE),"")</f>
        <v>tpco-megw-vgw103.rtb.st-net.media.int</v>
      </c>
      <c r="AA508" s="59" t="str">
        <f>IFERROR(VLOOKUP(Tabelle32[[#This Row],[Device ID]],BOM!$B$3:$BQ$35,31,FALSE),"")</f>
        <v>10.120.236.54</v>
      </c>
      <c r="AB508" s="59" t="str">
        <f>IFERROR(VLOOKUP(Tabelle32[[#This Row],[Device ID]],BOM!$B$3:$BQ$35,32,FALSE),"")</f>
        <v>AVCoreB</v>
      </c>
      <c r="AC508" s="59" t="str">
        <f>IFERROR(VLOOKUP(Tabelle32[[#This Row],[Device ID]],BOM!$B$3:$BQ$35,33,FALSE),"")</f>
        <v>5_36_1</v>
      </c>
      <c r="AD508" s="59" t="str">
        <f>IFERROR(VLOOKUP(Tabelle32[[#This Row],[Device ID]],BOM!$B$3:$BQ$35,34,FALSE),"")</f>
        <v>tpco-megw-vgw103.st-net.media.int</v>
      </c>
      <c r="AE508" s="59" t="str">
        <f>IFERROR(VLOOKUP(Tabelle32[[#This Row],[Device ID]],BOM!$B$3:$BQ$35,35,FALSE),"")</f>
        <v>10.120.67.141</v>
      </c>
      <c r="AF508" s="59">
        <f>IFERROR(VLOOKUP(Tabelle32[[#This Row],[Device ID]],BOM!$B$3:$BQ$35,36,FALSE),"")</f>
        <v>0</v>
      </c>
      <c r="AG508" s="59">
        <f>IFERROR(VLOOKUP(Tabelle32[[#This Row],[Device ID]],BOM!$B$3:$BQ$35,37,FALSE),"")</f>
        <v>0</v>
      </c>
      <c r="AH508" s="59"/>
      <c r="AI508" s="59"/>
      <c r="AJ508" s="59"/>
      <c r="AK508" s="59"/>
      <c r="AL508" s="59" t="str">
        <f>IFERROR(VLOOKUP(Tabelle32[[#This Row],[Device ID]],BOM!$B$3:$BQ$35,42,FALSE),"")</f>
        <v>Imagine Communications SNP</v>
      </c>
      <c r="AM508" s="59" t="str">
        <f>IFERROR(VLOOKUP(Tabelle32[[#This Row],[Device ID]],BOM!$B$3:$BQ$35,43,FALSE),"")</f>
        <v>no</v>
      </c>
      <c r="AN508" s="59" t="str">
        <f>IFERROR(VLOOKUP(Tabelle32[[#This Row],[Device ID]],BOM!$B$3:$BQ$35,44,FALSE),"")</f>
        <v>yes</v>
      </c>
      <c r="AO508" s="59" t="str">
        <f>IFERROR(VLOOKUP(Tabelle32[[#This Row],[Device ID]],BOM!$B$3:$BQ$35,45,FALSE),"")</f>
        <v>no</v>
      </c>
      <c r="AP508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08" s="59"/>
      <c r="AR508" s="90"/>
      <c r="AS508" s="90"/>
      <c r="AT508" s="90"/>
      <c r="AU508" s="90"/>
      <c r="AV508" s="90"/>
      <c r="AW508" s="90"/>
      <c r="AX508" s="90"/>
      <c r="AY508" s="90"/>
      <c r="AZ508" s="90"/>
      <c r="BA508" s="90"/>
      <c r="BB508" s="90"/>
      <c r="BC508" s="90"/>
      <c r="BD508" s="90"/>
      <c r="BE508" s="90"/>
      <c r="BF508" s="90"/>
      <c r="BG508" s="90"/>
      <c r="BH508" s="73" t="s">
        <v>199</v>
      </c>
      <c r="BI508" s="30" t="str">
        <f>IF(COUNTA(Tabelle32[[#This Row],[Type:Vid_1080i50]:[Type:Anc_Prot]])&gt;0,"x","")</f>
        <v/>
      </c>
      <c r="BJ508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08" s="59"/>
      <c r="BL508" s="59"/>
      <c r="BM508" s="63"/>
      <c r="BN508" s="63"/>
      <c r="BO508" s="96"/>
      <c r="BP508" s="96"/>
      <c r="BQ508" s="75">
        <f>LEN(Tabelle32[[#This Row],[Label 1
GFX-Unit]])</f>
        <v>0</v>
      </c>
      <c r="BR508" s="63"/>
      <c r="BS508" s="63"/>
      <c r="BT508" s="59"/>
      <c r="BU508" s="59"/>
      <c r="BV508" s="59" t="s">
        <v>205</v>
      </c>
      <c r="BW508" s="59" t="s">
        <v>206</v>
      </c>
      <c r="BX508" s="59" t="s">
        <v>998</v>
      </c>
      <c r="BY508" s="59">
        <v>25</v>
      </c>
    </row>
    <row r="509" spans="1:77" hidden="1" x14ac:dyDescent="0.2">
      <c r="A509" s="58" t="str">
        <f>CONCATENATE(Tabelle32[[#This Row],[Device ID]],".",Tabelle32[[#This Row],[Streamcounter]])</f>
        <v>402.25303</v>
      </c>
      <c r="B50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VGW-103_SDI25_ANCrec_0003</v>
      </c>
      <c r="C509" s="60"/>
      <c r="D509" s="61"/>
      <c r="E509" s="62"/>
      <c r="F509" s="59" t="str">
        <f>IFERROR(VLOOKUP(Tabelle32[[#This Row],[Device ID]],BOM!$B$3:$BQ$35,16,FALSE),"")</f>
        <v>IngSRV-10</v>
      </c>
      <c r="G509" s="63">
        <f>VLOOKUP(Tabelle32[[#This Row],[SDI Interface]],BOM!$A$4:$B$35,2,FALSE)</f>
        <v>402</v>
      </c>
      <c r="H509" s="59" t="str">
        <f>BOM!$C$4</f>
        <v>VGW-103</v>
      </c>
      <c r="I509" s="59" t="str">
        <f>IFERROR(VLOOKUP(Tabelle32[[#This Row],[Device ID]],BOM!$B$3:$BQ$35,12,FALSE),"")</f>
        <v>Videoserver</v>
      </c>
      <c r="J509" s="59" t="str">
        <f>IFERROR(VLOOKUP(Tabelle32[[#This Row],[Device ID]],BOM!$B$3:$BQ$35,13,FALSE),"")</f>
        <v>TC.U1.223 | MDC</v>
      </c>
      <c r="K509" s="59" t="str">
        <f>IFERROR(VLOOKUP(Tabelle32[[#This Row],[Device ID]],BOM!$B$3:$BQ$35,14,FALSE),"")</f>
        <v>Imagine Comunications</v>
      </c>
      <c r="L509" s="59" t="str">
        <f>IFERROR(VLOOKUP(Tabelle32[[#This Row],[Device ID]],BOM!$B$3:$BQ$35,16,FALSE),"")</f>
        <v>IngSRV-10</v>
      </c>
      <c r="M509" s="63" t="str">
        <f>IFERROR(VLOOKUP(Tabelle32[[#This Row],[Device ID]],BOM!$B$3:$BQ$35,17,FALSE),"")</f>
        <v>M3H</v>
      </c>
      <c r="N509" s="59" t="str">
        <f>IFERROR(VLOOKUP(Tabelle32[[#This Row],[Device ID]],BOM!$B$3:$BQ$35,18,FALSE),"")</f>
        <v>TC.03.225 | M3H</v>
      </c>
      <c r="O509" s="64"/>
      <c r="P509" s="64">
        <f>IFERROR(VLOOKUP(Tabelle32[[#This Row],[Device ID]],BOM!$B$3:$BO$50,20,FALSE),"")</f>
        <v>0</v>
      </c>
      <c r="Q509" s="64">
        <f>IFERROR(VLOOKUP(Tabelle32[[#This Row],[Device ID]],BOM!$B$3:$BO$50,21,FALSE),"")</f>
        <v>1</v>
      </c>
      <c r="R509" s="64">
        <f>IFERROR(VLOOKUP(Tabelle32[[#This Row],[Device ID]],BOM!$B$3:$BO$50,22,FALSE),"")</f>
        <v>0</v>
      </c>
      <c r="S509" s="64"/>
      <c r="T509" s="64"/>
      <c r="U509" s="59" t="str">
        <f>IFERROR(VLOOKUP(Tabelle32[[#This Row],[Device ID]],BOM!$B$3:$BQ$35,25,FALSE),"")</f>
        <v>Luis/Ivo</v>
      </c>
      <c r="V509" s="59" t="str">
        <f>IFERROR(VLOOKUP(Tabelle32[[#This Row],[Device ID]],BOM!$B$3:$BQ$35,26,FALSE),"")</f>
        <v>tpco-megw-vgw103.rta.st-net.media.int</v>
      </c>
      <c r="W509" s="59" t="str">
        <f>IFERROR(VLOOKUP(Tabelle32[[#This Row],[Device ID]],BOM!$B$3:$BQ$35,27,FALSE),"")</f>
        <v>10.120.236.50</v>
      </c>
      <c r="X509" s="59" t="str">
        <f>IFERROR(VLOOKUP(Tabelle32[[#This Row],[Device ID]],BOM!$B$3:$BQ$35,28,FALSE),"")</f>
        <v>AVCoreA</v>
      </c>
      <c r="Y509" s="59" t="str">
        <f>IFERROR(VLOOKUP(Tabelle32[[#This Row],[Device ID]],BOM!$B$3:$BQ$35,29,FALSE),"")</f>
        <v>5_36_1</v>
      </c>
      <c r="Z509" s="59" t="str">
        <f>IFERROR(VLOOKUP(Tabelle32[[#This Row],[Device ID]],BOM!$B$3:$BQ$35,30,FALSE),"")</f>
        <v>tpco-megw-vgw103.rtb.st-net.media.int</v>
      </c>
      <c r="AA509" s="59" t="str">
        <f>IFERROR(VLOOKUP(Tabelle32[[#This Row],[Device ID]],BOM!$B$3:$BQ$35,31,FALSE),"")</f>
        <v>10.120.236.54</v>
      </c>
      <c r="AB509" s="59" t="str">
        <f>IFERROR(VLOOKUP(Tabelle32[[#This Row],[Device ID]],BOM!$B$3:$BQ$35,32,FALSE),"")</f>
        <v>AVCoreB</v>
      </c>
      <c r="AC509" s="59" t="str">
        <f>IFERROR(VLOOKUP(Tabelle32[[#This Row],[Device ID]],BOM!$B$3:$BQ$35,33,FALSE),"")</f>
        <v>5_36_1</v>
      </c>
      <c r="AD509" s="59" t="str">
        <f>IFERROR(VLOOKUP(Tabelle32[[#This Row],[Device ID]],BOM!$B$3:$BQ$35,34,FALSE),"")</f>
        <v>tpco-megw-vgw103.st-net.media.int</v>
      </c>
      <c r="AE509" s="59" t="str">
        <f>IFERROR(VLOOKUP(Tabelle32[[#This Row],[Device ID]],BOM!$B$3:$BQ$35,35,FALSE),"")</f>
        <v>10.120.67.141</v>
      </c>
      <c r="AF509" s="59">
        <f>IFERROR(VLOOKUP(Tabelle32[[#This Row],[Device ID]],BOM!$B$3:$BQ$35,36,FALSE),"")</f>
        <v>0</v>
      </c>
      <c r="AG509" s="59">
        <f>IFERROR(VLOOKUP(Tabelle32[[#This Row],[Device ID]],BOM!$B$3:$BQ$35,37,FALSE),"")</f>
        <v>0</v>
      </c>
      <c r="AH509" s="59"/>
      <c r="AI509" s="59"/>
      <c r="AJ509" s="59"/>
      <c r="AK509" s="59"/>
      <c r="AL509" s="59" t="str">
        <f>IFERROR(VLOOKUP(Tabelle32[[#This Row],[Device ID]],BOM!$B$3:$BQ$35,42,FALSE),"")</f>
        <v>Imagine Communications SNP</v>
      </c>
      <c r="AM509" s="59" t="str">
        <f>IFERROR(VLOOKUP(Tabelle32[[#This Row],[Device ID]],BOM!$B$3:$BQ$35,43,FALSE),"")</f>
        <v>no</v>
      </c>
      <c r="AN509" s="59" t="str">
        <f>IFERROR(VLOOKUP(Tabelle32[[#This Row],[Device ID]],BOM!$B$3:$BQ$35,44,FALSE),"")</f>
        <v>yes</v>
      </c>
      <c r="AO509" s="59" t="str">
        <f>IFERROR(VLOOKUP(Tabelle32[[#This Row],[Device ID]],BOM!$B$3:$BQ$35,45,FALSE),"")</f>
        <v>no</v>
      </c>
      <c r="AP509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09" s="59"/>
      <c r="AR509" s="90"/>
      <c r="AS509" s="90"/>
      <c r="AT509" s="90"/>
      <c r="AU509" s="90"/>
      <c r="AV509" s="90"/>
      <c r="AW509" s="90"/>
      <c r="AX509" s="90"/>
      <c r="AY509" s="90"/>
      <c r="AZ509" s="90"/>
      <c r="BA509" s="90"/>
      <c r="BB509" s="90"/>
      <c r="BC509" s="90"/>
      <c r="BD509" s="90"/>
      <c r="BE509" s="90"/>
      <c r="BF509" s="90"/>
      <c r="BG509" s="90"/>
      <c r="BH509" s="73" t="s">
        <v>199</v>
      </c>
      <c r="BI509" s="30" t="str">
        <f>IF(COUNTA(Tabelle32[[#This Row],[Type:Vid_1080i50]:[Type:Anc_Prot]])&gt;0,"x","")</f>
        <v/>
      </c>
      <c r="BJ509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09" s="59"/>
      <c r="BL509" s="59"/>
      <c r="BM509" s="63"/>
      <c r="BN509" s="63"/>
      <c r="BO509" s="96"/>
      <c r="BP509" s="96"/>
      <c r="BQ509" s="75">
        <f>LEN(Tabelle32[[#This Row],[Label 1
GFX-Unit]])</f>
        <v>0</v>
      </c>
      <c r="BR509" s="63"/>
      <c r="BS509" s="63"/>
      <c r="BT509" s="59"/>
      <c r="BU509" s="59"/>
      <c r="BV509" s="59" t="s">
        <v>208</v>
      </c>
      <c r="BW509" s="59" t="s">
        <v>209</v>
      </c>
      <c r="BX509" s="59" t="s">
        <v>999</v>
      </c>
      <c r="BY509" s="59">
        <v>25</v>
      </c>
    </row>
    <row r="510" spans="1:77" hidden="1" x14ac:dyDescent="0.2">
      <c r="A510" s="58" t="str">
        <f>CONCATENATE(Tabelle32[[#This Row],[Device ID]],".",Tabelle32[[#This Row],[Streamcounter]])</f>
        <v>402.25304</v>
      </c>
      <c r="B51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VGW-103_SDI25_ANCrec_0004</v>
      </c>
      <c r="C510" s="60"/>
      <c r="D510" s="61"/>
      <c r="E510" s="62"/>
      <c r="F510" s="59" t="str">
        <f>IFERROR(VLOOKUP(Tabelle32[[#This Row],[Device ID]],BOM!$B$3:$BQ$35,16,FALSE),"")</f>
        <v>IngSRV-10</v>
      </c>
      <c r="G510" s="63">
        <f>VLOOKUP(Tabelle32[[#This Row],[SDI Interface]],BOM!$A$4:$B$35,2,FALSE)</f>
        <v>402</v>
      </c>
      <c r="H510" s="59" t="str">
        <f>BOM!$C$4</f>
        <v>VGW-103</v>
      </c>
      <c r="I510" s="59" t="str">
        <f>IFERROR(VLOOKUP(Tabelle32[[#This Row],[Device ID]],BOM!$B$3:$BQ$35,12,FALSE),"")</f>
        <v>Videoserver</v>
      </c>
      <c r="J510" s="59" t="str">
        <f>IFERROR(VLOOKUP(Tabelle32[[#This Row],[Device ID]],BOM!$B$3:$BQ$35,13,FALSE),"")</f>
        <v>TC.U1.223 | MDC</v>
      </c>
      <c r="K510" s="59" t="str">
        <f>IFERROR(VLOOKUP(Tabelle32[[#This Row],[Device ID]],BOM!$B$3:$BQ$35,14,FALSE),"")</f>
        <v>Imagine Comunications</v>
      </c>
      <c r="L510" s="59" t="str">
        <f>IFERROR(VLOOKUP(Tabelle32[[#This Row],[Device ID]],BOM!$B$3:$BQ$35,16,FALSE),"")</f>
        <v>IngSRV-10</v>
      </c>
      <c r="M510" s="63" t="str">
        <f>IFERROR(VLOOKUP(Tabelle32[[#This Row],[Device ID]],BOM!$B$3:$BQ$35,17,FALSE),"")</f>
        <v>M3H</v>
      </c>
      <c r="N510" s="59" t="str">
        <f>IFERROR(VLOOKUP(Tabelle32[[#This Row],[Device ID]],BOM!$B$3:$BQ$35,18,FALSE),"")</f>
        <v>TC.03.225 | M3H</v>
      </c>
      <c r="O510" s="64"/>
      <c r="P510" s="64">
        <f>IFERROR(VLOOKUP(Tabelle32[[#This Row],[Device ID]],BOM!$B$3:$BO$50,20,FALSE),"")</f>
        <v>0</v>
      </c>
      <c r="Q510" s="64">
        <f>IFERROR(VLOOKUP(Tabelle32[[#This Row],[Device ID]],BOM!$B$3:$BO$50,21,FALSE),"")</f>
        <v>1</v>
      </c>
      <c r="R510" s="64">
        <f>IFERROR(VLOOKUP(Tabelle32[[#This Row],[Device ID]],BOM!$B$3:$BO$50,22,FALSE),"")</f>
        <v>0</v>
      </c>
      <c r="S510" s="64"/>
      <c r="T510" s="64"/>
      <c r="U510" s="59" t="str">
        <f>IFERROR(VLOOKUP(Tabelle32[[#This Row],[Device ID]],BOM!$B$3:$BQ$35,25,FALSE),"")</f>
        <v>Luis/Ivo</v>
      </c>
      <c r="V510" s="59" t="str">
        <f>IFERROR(VLOOKUP(Tabelle32[[#This Row],[Device ID]],BOM!$B$3:$BQ$35,26,FALSE),"")</f>
        <v>tpco-megw-vgw103.rta.st-net.media.int</v>
      </c>
      <c r="W510" s="59" t="str">
        <f>IFERROR(VLOOKUP(Tabelle32[[#This Row],[Device ID]],BOM!$B$3:$BQ$35,27,FALSE),"")</f>
        <v>10.120.236.50</v>
      </c>
      <c r="X510" s="59" t="str">
        <f>IFERROR(VLOOKUP(Tabelle32[[#This Row],[Device ID]],BOM!$B$3:$BQ$35,28,FALSE),"")</f>
        <v>AVCoreA</v>
      </c>
      <c r="Y510" s="59" t="str">
        <f>IFERROR(VLOOKUP(Tabelle32[[#This Row],[Device ID]],BOM!$B$3:$BQ$35,29,FALSE),"")</f>
        <v>5_36_1</v>
      </c>
      <c r="Z510" s="59" t="str">
        <f>IFERROR(VLOOKUP(Tabelle32[[#This Row],[Device ID]],BOM!$B$3:$BQ$35,30,FALSE),"")</f>
        <v>tpco-megw-vgw103.rtb.st-net.media.int</v>
      </c>
      <c r="AA510" s="59" t="str">
        <f>IFERROR(VLOOKUP(Tabelle32[[#This Row],[Device ID]],BOM!$B$3:$BQ$35,31,FALSE),"")</f>
        <v>10.120.236.54</v>
      </c>
      <c r="AB510" s="59" t="str">
        <f>IFERROR(VLOOKUP(Tabelle32[[#This Row],[Device ID]],BOM!$B$3:$BQ$35,32,FALSE),"")</f>
        <v>AVCoreB</v>
      </c>
      <c r="AC510" s="59" t="str">
        <f>IFERROR(VLOOKUP(Tabelle32[[#This Row],[Device ID]],BOM!$B$3:$BQ$35,33,FALSE),"")</f>
        <v>5_36_1</v>
      </c>
      <c r="AD510" s="59" t="str">
        <f>IFERROR(VLOOKUP(Tabelle32[[#This Row],[Device ID]],BOM!$B$3:$BQ$35,34,FALSE),"")</f>
        <v>tpco-megw-vgw103.st-net.media.int</v>
      </c>
      <c r="AE510" s="59" t="str">
        <f>IFERROR(VLOOKUP(Tabelle32[[#This Row],[Device ID]],BOM!$B$3:$BQ$35,35,FALSE),"")</f>
        <v>10.120.67.141</v>
      </c>
      <c r="AF510" s="59">
        <f>IFERROR(VLOOKUP(Tabelle32[[#This Row],[Device ID]],BOM!$B$3:$BQ$35,36,FALSE),"")</f>
        <v>0</v>
      </c>
      <c r="AG510" s="59">
        <f>IFERROR(VLOOKUP(Tabelle32[[#This Row],[Device ID]],BOM!$B$3:$BQ$35,37,FALSE),"")</f>
        <v>0</v>
      </c>
      <c r="AH510" s="59"/>
      <c r="AI510" s="59"/>
      <c r="AJ510" s="59"/>
      <c r="AK510" s="59"/>
      <c r="AL510" s="59" t="str">
        <f>IFERROR(VLOOKUP(Tabelle32[[#This Row],[Device ID]],BOM!$B$3:$BQ$35,42,FALSE),"")</f>
        <v>Imagine Communications SNP</v>
      </c>
      <c r="AM510" s="59" t="str">
        <f>IFERROR(VLOOKUP(Tabelle32[[#This Row],[Device ID]],BOM!$B$3:$BQ$35,43,FALSE),"")</f>
        <v>no</v>
      </c>
      <c r="AN510" s="59" t="str">
        <f>IFERROR(VLOOKUP(Tabelle32[[#This Row],[Device ID]],BOM!$B$3:$BQ$35,44,FALSE),"")</f>
        <v>yes</v>
      </c>
      <c r="AO510" s="59" t="str">
        <f>IFERROR(VLOOKUP(Tabelle32[[#This Row],[Device ID]],BOM!$B$3:$BQ$35,45,FALSE),"")</f>
        <v>no</v>
      </c>
      <c r="AP510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10" s="59"/>
      <c r="AR510" s="90"/>
      <c r="AS510" s="90"/>
      <c r="AT510" s="90"/>
      <c r="AU510" s="90"/>
      <c r="AV510" s="90"/>
      <c r="AW510" s="90"/>
      <c r="AX510" s="90"/>
      <c r="AY510" s="90"/>
      <c r="AZ510" s="90"/>
      <c r="BA510" s="90"/>
      <c r="BB510" s="90"/>
      <c r="BC510" s="90"/>
      <c r="BD510" s="90"/>
      <c r="BE510" s="90"/>
      <c r="BF510" s="90"/>
      <c r="BG510" s="90"/>
      <c r="BH510" s="73" t="s">
        <v>199</v>
      </c>
      <c r="BI510" s="30" t="str">
        <f>IF(COUNTA(Tabelle32[[#This Row],[Type:Vid_1080i50]:[Type:Anc_Prot]])&gt;0,"x","")</f>
        <v/>
      </c>
      <c r="BJ510" s="74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10" s="59"/>
      <c r="BL510" s="59"/>
      <c r="BM510" s="63"/>
      <c r="BN510" s="63"/>
      <c r="BO510" s="96"/>
      <c r="BP510" s="96"/>
      <c r="BQ510" s="75">
        <f>LEN(Tabelle32[[#This Row],[Label 1
GFX-Unit]])</f>
        <v>0</v>
      </c>
      <c r="BR510" s="63"/>
      <c r="BS510" s="63"/>
      <c r="BT510" s="59"/>
      <c r="BU510" s="59"/>
      <c r="BV510" s="59" t="s">
        <v>211</v>
      </c>
      <c r="BW510" s="59" t="s">
        <v>212</v>
      </c>
      <c r="BX510" s="59" t="s">
        <v>1000</v>
      </c>
      <c r="BY510" s="59">
        <v>25</v>
      </c>
    </row>
    <row r="511" spans="1:77" x14ac:dyDescent="0.2">
      <c r="A511" s="58" t="str">
        <f>CONCATENATE(Tabelle32[[#This Row],[Device ID]],".",Tabelle32[[#This Row],[Streamcounter]])</f>
        <v>402.25201</v>
      </c>
      <c r="B51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VGW-103_SDI25_AUDrec_0001</v>
      </c>
      <c r="C511" s="60"/>
      <c r="D511" s="61"/>
      <c r="E511" s="62"/>
      <c r="F511" s="59" t="str">
        <f>IFERROR(VLOOKUP(Tabelle32[[#This Row],[Device ID]],BOM!$B$3:$BQ$35,16,FALSE),"")</f>
        <v>IngSRV-10</v>
      </c>
      <c r="G511" s="63">
        <f>VLOOKUP(Tabelle32[[#This Row],[SDI Interface]],BOM!$A$4:$B$35,2,FALSE)</f>
        <v>402</v>
      </c>
      <c r="H511" s="59" t="str">
        <f>BOM!$C$4</f>
        <v>VGW-103</v>
      </c>
      <c r="I511" s="59" t="str">
        <f>IFERROR(VLOOKUP(Tabelle32[[#This Row],[Device ID]],BOM!$B$3:$BQ$35,12,FALSE),"")</f>
        <v>Videoserver</v>
      </c>
      <c r="J511" s="59" t="str">
        <f>IFERROR(VLOOKUP(Tabelle32[[#This Row],[Device ID]],BOM!$B$3:$BQ$35,13,FALSE),"")</f>
        <v>TC.U1.223 | MDC</v>
      </c>
      <c r="K511" s="59" t="str">
        <f>IFERROR(VLOOKUP(Tabelle32[[#This Row],[Device ID]],BOM!$B$3:$BQ$35,14,FALSE),"")</f>
        <v>Imagine Comunications</v>
      </c>
      <c r="L511" s="59" t="str">
        <f>IFERROR(VLOOKUP(Tabelle32[[#This Row],[Device ID]],BOM!$B$3:$BQ$35,16,FALSE),"")</f>
        <v>IngSRV-10</v>
      </c>
      <c r="M511" s="63" t="str">
        <f>IFERROR(VLOOKUP(Tabelle32[[#This Row],[Device ID]],BOM!$B$3:$BQ$35,17,FALSE),"")</f>
        <v>M3H</v>
      </c>
      <c r="N511" s="59" t="str">
        <f>IFERROR(VLOOKUP(Tabelle32[[#This Row],[Device ID]],BOM!$B$3:$BQ$35,18,FALSE),"")</f>
        <v>TC.03.225 | M3H</v>
      </c>
      <c r="O511" s="64"/>
      <c r="P511" s="64">
        <f>IFERROR(VLOOKUP(Tabelle32[[#This Row],[Device ID]],BOM!$B$3:$BO$50,20,FALSE),"")</f>
        <v>0</v>
      </c>
      <c r="Q511" s="64">
        <f>IFERROR(VLOOKUP(Tabelle32[[#This Row],[Device ID]],BOM!$B$3:$BO$50,21,FALSE),"")</f>
        <v>1</v>
      </c>
      <c r="R511" s="64">
        <f>IFERROR(VLOOKUP(Tabelle32[[#This Row],[Device ID]],BOM!$B$3:$BO$50,22,FALSE),"")</f>
        <v>0</v>
      </c>
      <c r="S511" s="64"/>
      <c r="T511" s="64"/>
      <c r="U511" s="59" t="str">
        <f>IFERROR(VLOOKUP(Tabelle32[[#This Row],[Device ID]],BOM!$B$3:$BQ$35,25,FALSE),"")</f>
        <v>Luis/Ivo</v>
      </c>
      <c r="V511" s="59" t="str">
        <f>IFERROR(VLOOKUP(Tabelle32[[#This Row],[Device ID]],BOM!$B$3:$BQ$35,26,FALSE),"")</f>
        <v>tpco-megw-vgw103.rta.st-net.media.int</v>
      </c>
      <c r="W511" s="59" t="str">
        <f>IFERROR(VLOOKUP(Tabelle32[[#This Row],[Device ID]],BOM!$B$3:$BQ$35,27,FALSE),"")</f>
        <v>10.120.236.50</v>
      </c>
      <c r="X511" s="59" t="str">
        <f>IFERROR(VLOOKUP(Tabelle32[[#This Row],[Device ID]],BOM!$B$3:$BQ$35,28,FALSE),"")</f>
        <v>AVCoreA</v>
      </c>
      <c r="Y511" s="59" t="str">
        <f>IFERROR(VLOOKUP(Tabelle32[[#This Row],[Device ID]],BOM!$B$3:$BQ$35,29,FALSE),"")</f>
        <v>5_36_1</v>
      </c>
      <c r="Z511" s="59" t="str">
        <f>IFERROR(VLOOKUP(Tabelle32[[#This Row],[Device ID]],BOM!$B$3:$BQ$35,30,FALSE),"")</f>
        <v>tpco-megw-vgw103.rtb.st-net.media.int</v>
      </c>
      <c r="AA511" s="59" t="str">
        <f>IFERROR(VLOOKUP(Tabelle32[[#This Row],[Device ID]],BOM!$B$3:$BQ$35,31,FALSE),"")</f>
        <v>10.120.236.54</v>
      </c>
      <c r="AB511" s="59" t="str">
        <f>IFERROR(VLOOKUP(Tabelle32[[#This Row],[Device ID]],BOM!$B$3:$BQ$35,32,FALSE),"")</f>
        <v>AVCoreB</v>
      </c>
      <c r="AC511" s="59" t="str">
        <f>IFERROR(VLOOKUP(Tabelle32[[#This Row],[Device ID]],BOM!$B$3:$BQ$35,33,FALSE),"")</f>
        <v>5_36_1</v>
      </c>
      <c r="AD511" s="59" t="str">
        <f>IFERROR(VLOOKUP(Tabelle32[[#This Row],[Device ID]],BOM!$B$3:$BQ$35,34,FALSE),"")</f>
        <v>tpco-megw-vgw103.st-net.media.int</v>
      </c>
      <c r="AE511" s="59" t="str">
        <f>IFERROR(VLOOKUP(Tabelle32[[#This Row],[Device ID]],BOM!$B$3:$BQ$35,35,FALSE),"")</f>
        <v>10.120.67.141</v>
      </c>
      <c r="AF511" s="59">
        <f>IFERROR(VLOOKUP(Tabelle32[[#This Row],[Device ID]],BOM!$B$3:$BQ$35,36,FALSE),"")</f>
        <v>0</v>
      </c>
      <c r="AG511" s="59">
        <f>IFERROR(VLOOKUP(Tabelle32[[#This Row],[Device ID]],BOM!$B$3:$BQ$35,37,FALSE),"")</f>
        <v>0</v>
      </c>
      <c r="AH511" s="59"/>
      <c r="AI511" s="59"/>
      <c r="AJ511" s="59"/>
      <c r="AK511" s="59"/>
      <c r="AL511" s="59" t="str">
        <f>IFERROR(VLOOKUP(Tabelle32[[#This Row],[Device ID]],BOM!$B$3:$BQ$35,42,FALSE),"")</f>
        <v>Imagine Communications SNP</v>
      </c>
      <c r="AM511" s="59" t="str">
        <f>IFERROR(VLOOKUP(Tabelle32[[#This Row],[Device ID]],BOM!$B$3:$BQ$35,43,FALSE),"")</f>
        <v>no</v>
      </c>
      <c r="AN511" s="59" t="str">
        <f>IFERROR(VLOOKUP(Tabelle32[[#This Row],[Device ID]],BOM!$B$3:$BQ$35,44,FALSE),"")</f>
        <v>yes</v>
      </c>
      <c r="AO511" s="59" t="str">
        <f>IFERROR(VLOOKUP(Tabelle32[[#This Row],[Device ID]],BOM!$B$3:$BQ$35,45,FALSE),"")</f>
        <v>no</v>
      </c>
      <c r="AP511" s="59" t="str">
        <f>IFERROR(CONCATENATE(Tabelle32[[#This Row],[Family
GFX-Unit]]," | ",Tabelle32[[#This Row],[Label 1
GFX-Unit]]," | ",Tabelle32[[#This Row],[Attached Device if Gateway]]),"")</f>
        <v>M3H InCh PGM | Ingest Ch37-01 | IngSRV-10</v>
      </c>
      <c r="AQ511" s="59"/>
      <c r="AR511" s="92"/>
      <c r="AS511" s="92"/>
      <c r="AT511" s="92"/>
      <c r="AU511" s="92"/>
      <c r="AV511" s="92"/>
      <c r="AW511" s="92" t="s">
        <v>97</v>
      </c>
      <c r="AX511" s="92"/>
      <c r="AY511" s="92"/>
      <c r="AZ511" s="92" t="s">
        <v>97</v>
      </c>
      <c r="BA511" s="92"/>
      <c r="BB511" s="92" t="s">
        <v>97</v>
      </c>
      <c r="BC511" s="92" t="s">
        <v>97</v>
      </c>
      <c r="BD511" s="92"/>
      <c r="BE511" s="92"/>
      <c r="BF511" s="92"/>
      <c r="BG511" s="92"/>
      <c r="BH511" s="73" t="s">
        <v>199</v>
      </c>
      <c r="BI511" s="30" t="str">
        <f>IF(COUNTA(Tabelle32[[#This Row],[Type:Vid_1080i50]:[Type:Anc_Prot]])&gt;0,"x","")</f>
        <v>x</v>
      </c>
      <c r="BJ51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1" s="59"/>
      <c r="BL511" s="59"/>
      <c r="BM511" s="63"/>
      <c r="BN511" s="63"/>
      <c r="BO511" s="97" t="s">
        <v>2684</v>
      </c>
      <c r="BP511" s="97" t="s">
        <v>2685</v>
      </c>
      <c r="BQ511" s="75">
        <f>LEN(Tabelle32[[#This Row],[Label 1
GFX-Unit]])</f>
        <v>14</v>
      </c>
      <c r="BR511" s="63"/>
      <c r="BS511" s="63"/>
      <c r="BT511" s="59"/>
      <c r="BU511" s="59"/>
      <c r="BV511" s="59" t="s">
        <v>214</v>
      </c>
      <c r="BW511" s="59" t="s">
        <v>215</v>
      </c>
      <c r="BX511" s="59" t="s">
        <v>1001</v>
      </c>
      <c r="BY511" s="59">
        <v>25</v>
      </c>
    </row>
    <row r="512" spans="1:77" x14ac:dyDescent="0.2">
      <c r="A512" s="58" t="str">
        <f>CONCATENATE(Tabelle32[[#This Row],[Device ID]],".",Tabelle32[[#This Row],[Streamcounter]])</f>
        <v>402.25202</v>
      </c>
      <c r="B51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VGW-103_SDI25_AUDrec_0002</v>
      </c>
      <c r="C512" s="67"/>
      <c r="D512" s="61"/>
      <c r="E512" s="67"/>
      <c r="F512" s="59" t="str">
        <f>IFERROR(VLOOKUP(Tabelle32[[#This Row],[Device ID]],BOM!$B$3:$BQ$35,16,FALSE),"")</f>
        <v>IngSRV-10</v>
      </c>
      <c r="G512" s="63">
        <f>VLOOKUP(Tabelle32[[#This Row],[SDI Interface]],BOM!$A$4:$B$35,2,FALSE)</f>
        <v>402</v>
      </c>
      <c r="H512" s="59" t="str">
        <f>BOM!$C$4</f>
        <v>VGW-103</v>
      </c>
      <c r="I512" s="59" t="str">
        <f>IFERROR(VLOOKUP(Tabelle32[[#This Row],[Device ID]],BOM!$B$3:$BQ$35,12,FALSE),"")</f>
        <v>Videoserver</v>
      </c>
      <c r="J512" s="59" t="str">
        <f>IFERROR(VLOOKUP(Tabelle32[[#This Row],[Device ID]],BOM!$B$3:$BQ$35,13,FALSE),"")</f>
        <v>TC.U1.223 | MDC</v>
      </c>
      <c r="K512" s="59" t="str">
        <f>IFERROR(VLOOKUP(Tabelle32[[#This Row],[Device ID]],BOM!$B$3:$BQ$35,14,FALSE),"")</f>
        <v>Imagine Comunications</v>
      </c>
      <c r="L512" s="59" t="str">
        <f>IFERROR(VLOOKUP(Tabelle32[[#This Row],[Device ID]],BOM!$B$3:$BQ$35,16,FALSE),"")</f>
        <v>IngSRV-10</v>
      </c>
      <c r="M512" s="63" t="str">
        <f>IFERROR(VLOOKUP(Tabelle32[[#This Row],[Device ID]],BOM!$B$3:$BQ$35,17,FALSE),"")</f>
        <v>M3H</v>
      </c>
      <c r="N512" s="59" t="str">
        <f>IFERROR(VLOOKUP(Tabelle32[[#This Row],[Device ID]],BOM!$B$3:$BQ$35,18,FALSE),"")</f>
        <v>TC.03.225 | M3H</v>
      </c>
      <c r="O512" s="64"/>
      <c r="P512" s="64">
        <f>IFERROR(VLOOKUP(Tabelle32[[#This Row],[Device ID]],BOM!$B$3:$BO$50,20,FALSE),"")</f>
        <v>0</v>
      </c>
      <c r="Q512" s="64">
        <f>IFERROR(VLOOKUP(Tabelle32[[#This Row],[Device ID]],BOM!$B$3:$BO$50,21,FALSE),"")</f>
        <v>1</v>
      </c>
      <c r="R512" s="64">
        <f>IFERROR(VLOOKUP(Tabelle32[[#This Row],[Device ID]],BOM!$B$3:$BO$50,22,FALSE),"")</f>
        <v>0</v>
      </c>
      <c r="S512" s="64"/>
      <c r="T512" s="64"/>
      <c r="U512" s="59" t="str">
        <f>IFERROR(VLOOKUP(Tabelle32[[#This Row],[Device ID]],BOM!$B$3:$BQ$35,25,FALSE),"")</f>
        <v>Luis/Ivo</v>
      </c>
      <c r="V512" s="59" t="str">
        <f>IFERROR(VLOOKUP(Tabelle32[[#This Row],[Device ID]],BOM!$B$3:$BQ$35,26,FALSE),"")</f>
        <v>tpco-megw-vgw103.rta.st-net.media.int</v>
      </c>
      <c r="W512" s="59" t="str">
        <f>IFERROR(VLOOKUP(Tabelle32[[#This Row],[Device ID]],BOM!$B$3:$BQ$35,27,FALSE),"")</f>
        <v>10.120.236.50</v>
      </c>
      <c r="X512" s="59" t="str">
        <f>IFERROR(VLOOKUP(Tabelle32[[#This Row],[Device ID]],BOM!$B$3:$BQ$35,28,FALSE),"")</f>
        <v>AVCoreA</v>
      </c>
      <c r="Y512" s="59" t="str">
        <f>IFERROR(VLOOKUP(Tabelle32[[#This Row],[Device ID]],BOM!$B$3:$BQ$35,29,FALSE),"")</f>
        <v>5_36_1</v>
      </c>
      <c r="Z512" s="59" t="str">
        <f>IFERROR(VLOOKUP(Tabelle32[[#This Row],[Device ID]],BOM!$B$3:$BQ$35,30,FALSE),"")</f>
        <v>tpco-megw-vgw103.rtb.st-net.media.int</v>
      </c>
      <c r="AA512" s="59" t="str">
        <f>IFERROR(VLOOKUP(Tabelle32[[#This Row],[Device ID]],BOM!$B$3:$BQ$35,31,FALSE),"")</f>
        <v>10.120.236.54</v>
      </c>
      <c r="AB512" s="59" t="str">
        <f>IFERROR(VLOOKUP(Tabelle32[[#This Row],[Device ID]],BOM!$B$3:$BQ$35,32,FALSE),"")</f>
        <v>AVCoreB</v>
      </c>
      <c r="AC512" s="59" t="str">
        <f>IFERROR(VLOOKUP(Tabelle32[[#This Row],[Device ID]],BOM!$B$3:$BQ$35,33,FALSE),"")</f>
        <v>5_36_1</v>
      </c>
      <c r="AD512" s="59" t="str">
        <f>IFERROR(VLOOKUP(Tabelle32[[#This Row],[Device ID]],BOM!$B$3:$BQ$35,34,FALSE),"")</f>
        <v>tpco-megw-vgw103.st-net.media.int</v>
      </c>
      <c r="AE512" s="59" t="str">
        <f>IFERROR(VLOOKUP(Tabelle32[[#This Row],[Device ID]],BOM!$B$3:$BQ$35,35,FALSE),"")</f>
        <v>10.120.67.141</v>
      </c>
      <c r="AF512" s="59">
        <f>IFERROR(VLOOKUP(Tabelle32[[#This Row],[Device ID]],BOM!$B$3:$BQ$35,36,FALSE),"")</f>
        <v>0</v>
      </c>
      <c r="AG512" s="59">
        <f>IFERROR(VLOOKUP(Tabelle32[[#This Row],[Device ID]],BOM!$B$3:$BQ$35,37,FALSE),"")</f>
        <v>0</v>
      </c>
      <c r="AH512" s="59"/>
      <c r="AI512" s="59"/>
      <c r="AJ512" s="59"/>
      <c r="AK512" s="59"/>
      <c r="AL512" s="59" t="str">
        <f>IFERROR(VLOOKUP(Tabelle32[[#This Row],[Device ID]],BOM!$B$3:$BQ$35,42,FALSE),"")</f>
        <v>Imagine Communications SNP</v>
      </c>
      <c r="AM512" s="59" t="str">
        <f>IFERROR(VLOOKUP(Tabelle32[[#This Row],[Device ID]],BOM!$B$3:$BQ$35,43,FALSE),"")</f>
        <v>no</v>
      </c>
      <c r="AN512" s="59" t="str">
        <f>IFERROR(VLOOKUP(Tabelle32[[#This Row],[Device ID]],BOM!$B$3:$BQ$35,44,FALSE),"")</f>
        <v>yes</v>
      </c>
      <c r="AO512" s="59" t="str">
        <f>IFERROR(VLOOKUP(Tabelle32[[#This Row],[Device ID]],BOM!$B$3:$BQ$35,45,FALSE),"")</f>
        <v>no</v>
      </c>
      <c r="AP512" s="59" t="str">
        <f>IFERROR(CONCATENATE(Tabelle32[[#This Row],[Family
GFX-Unit]]," | ",Tabelle32[[#This Row],[Label 1
GFX-Unit]]," | ",Tabelle32[[#This Row],[Attached Device if Gateway]]),"")</f>
        <v>M3H InCh PGM | Ingest Ch37-02 | IngSRV-10</v>
      </c>
      <c r="AQ512" s="59"/>
      <c r="AR512" s="92"/>
      <c r="AS512" s="92"/>
      <c r="AT512" s="92"/>
      <c r="AU512" s="92"/>
      <c r="AV512" s="92"/>
      <c r="AW512" s="92" t="s">
        <v>97</v>
      </c>
      <c r="AX512" s="92"/>
      <c r="AY512" s="92"/>
      <c r="AZ512" s="92" t="s">
        <v>97</v>
      </c>
      <c r="BA512" s="92"/>
      <c r="BB512" s="92" t="s">
        <v>97</v>
      </c>
      <c r="BC512" s="92" t="s">
        <v>97</v>
      </c>
      <c r="BD512" s="92"/>
      <c r="BE512" s="92"/>
      <c r="BF512" s="92"/>
      <c r="BG512" s="92"/>
      <c r="BH512" s="73" t="s">
        <v>199</v>
      </c>
      <c r="BI512" s="30" t="str">
        <f>IF(COUNTA(Tabelle32[[#This Row],[Type:Vid_1080i50]:[Type:Anc_Prot]])&gt;0,"x","")</f>
        <v>x</v>
      </c>
      <c r="BJ51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2" s="59"/>
      <c r="BL512" s="59"/>
      <c r="BM512" s="63"/>
      <c r="BN512" s="63"/>
      <c r="BO512" s="93" t="s">
        <v>2684</v>
      </c>
      <c r="BP512" s="97" t="s">
        <v>2686</v>
      </c>
      <c r="BQ512" s="75">
        <f>LEN(Tabelle32[[#This Row],[Label 1
GFX-Unit]])</f>
        <v>14</v>
      </c>
      <c r="BR512" s="63"/>
      <c r="BS512" s="63"/>
      <c r="BT512" s="59"/>
      <c r="BU512" s="59"/>
      <c r="BV512" s="59" t="s">
        <v>218</v>
      </c>
      <c r="BW512" s="59" t="s">
        <v>219</v>
      </c>
      <c r="BX512" s="59" t="s">
        <v>1002</v>
      </c>
      <c r="BY512" s="59">
        <v>25</v>
      </c>
    </row>
    <row r="513" spans="1:77" x14ac:dyDescent="0.2">
      <c r="A513" s="58" t="str">
        <f>CONCATENATE(Tabelle32[[#This Row],[Device ID]],".",Tabelle32[[#This Row],[Streamcounter]])</f>
        <v>402.25203</v>
      </c>
      <c r="B51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VGW-103_SDI25_AUDrec_0003</v>
      </c>
      <c r="C513" s="67"/>
      <c r="D513" s="61"/>
      <c r="E513" s="67"/>
      <c r="F513" s="59" t="str">
        <f>IFERROR(VLOOKUP(Tabelle32[[#This Row],[Device ID]],BOM!$B$3:$BQ$35,16,FALSE),"")</f>
        <v>IngSRV-10</v>
      </c>
      <c r="G513" s="63">
        <f>VLOOKUP(Tabelle32[[#This Row],[SDI Interface]],BOM!$A$4:$B$35,2,FALSE)</f>
        <v>402</v>
      </c>
      <c r="H513" s="59" t="str">
        <f>BOM!$C$4</f>
        <v>VGW-103</v>
      </c>
      <c r="I513" s="59" t="str">
        <f>IFERROR(VLOOKUP(Tabelle32[[#This Row],[Device ID]],BOM!$B$3:$BQ$35,12,FALSE),"")</f>
        <v>Videoserver</v>
      </c>
      <c r="J513" s="59" t="str">
        <f>IFERROR(VLOOKUP(Tabelle32[[#This Row],[Device ID]],BOM!$B$3:$BQ$35,13,FALSE),"")</f>
        <v>TC.U1.223 | MDC</v>
      </c>
      <c r="K513" s="59" t="str">
        <f>IFERROR(VLOOKUP(Tabelle32[[#This Row],[Device ID]],BOM!$B$3:$BQ$35,14,FALSE),"")</f>
        <v>Imagine Comunications</v>
      </c>
      <c r="L513" s="59" t="str">
        <f>IFERROR(VLOOKUP(Tabelle32[[#This Row],[Device ID]],BOM!$B$3:$BQ$35,16,FALSE),"")</f>
        <v>IngSRV-10</v>
      </c>
      <c r="M513" s="63" t="str">
        <f>IFERROR(VLOOKUP(Tabelle32[[#This Row],[Device ID]],BOM!$B$3:$BQ$35,17,FALSE),"")</f>
        <v>M3H</v>
      </c>
      <c r="N513" s="59" t="str">
        <f>IFERROR(VLOOKUP(Tabelle32[[#This Row],[Device ID]],BOM!$B$3:$BQ$35,18,FALSE),"")</f>
        <v>TC.03.225 | M3H</v>
      </c>
      <c r="O513" s="64"/>
      <c r="P513" s="64">
        <f>IFERROR(VLOOKUP(Tabelle32[[#This Row],[Device ID]],BOM!$B$3:$BO$50,20,FALSE),"")</f>
        <v>0</v>
      </c>
      <c r="Q513" s="64">
        <f>IFERROR(VLOOKUP(Tabelle32[[#This Row],[Device ID]],BOM!$B$3:$BO$50,21,FALSE),"")</f>
        <v>1</v>
      </c>
      <c r="R513" s="64">
        <f>IFERROR(VLOOKUP(Tabelle32[[#This Row],[Device ID]],BOM!$B$3:$BO$50,22,FALSE),"")</f>
        <v>0</v>
      </c>
      <c r="S513" s="64"/>
      <c r="T513" s="64"/>
      <c r="U513" s="59" t="str">
        <f>IFERROR(VLOOKUP(Tabelle32[[#This Row],[Device ID]],BOM!$B$3:$BQ$35,25,FALSE),"")</f>
        <v>Luis/Ivo</v>
      </c>
      <c r="V513" s="59" t="str">
        <f>IFERROR(VLOOKUP(Tabelle32[[#This Row],[Device ID]],BOM!$B$3:$BQ$35,26,FALSE),"")</f>
        <v>tpco-megw-vgw103.rta.st-net.media.int</v>
      </c>
      <c r="W513" s="59" t="str">
        <f>IFERROR(VLOOKUP(Tabelle32[[#This Row],[Device ID]],BOM!$B$3:$BQ$35,27,FALSE),"")</f>
        <v>10.120.236.50</v>
      </c>
      <c r="X513" s="59" t="str">
        <f>IFERROR(VLOOKUP(Tabelle32[[#This Row],[Device ID]],BOM!$B$3:$BQ$35,28,FALSE),"")</f>
        <v>AVCoreA</v>
      </c>
      <c r="Y513" s="59" t="str">
        <f>IFERROR(VLOOKUP(Tabelle32[[#This Row],[Device ID]],BOM!$B$3:$BQ$35,29,FALSE),"")</f>
        <v>5_36_1</v>
      </c>
      <c r="Z513" s="59" t="str">
        <f>IFERROR(VLOOKUP(Tabelle32[[#This Row],[Device ID]],BOM!$B$3:$BQ$35,30,FALSE),"")</f>
        <v>tpco-megw-vgw103.rtb.st-net.media.int</v>
      </c>
      <c r="AA513" s="59" t="str">
        <f>IFERROR(VLOOKUP(Tabelle32[[#This Row],[Device ID]],BOM!$B$3:$BQ$35,31,FALSE),"")</f>
        <v>10.120.236.54</v>
      </c>
      <c r="AB513" s="59" t="str">
        <f>IFERROR(VLOOKUP(Tabelle32[[#This Row],[Device ID]],BOM!$B$3:$BQ$35,32,FALSE),"")</f>
        <v>AVCoreB</v>
      </c>
      <c r="AC513" s="59" t="str">
        <f>IFERROR(VLOOKUP(Tabelle32[[#This Row],[Device ID]],BOM!$B$3:$BQ$35,33,FALSE),"")</f>
        <v>5_36_1</v>
      </c>
      <c r="AD513" s="59" t="str">
        <f>IFERROR(VLOOKUP(Tabelle32[[#This Row],[Device ID]],BOM!$B$3:$BQ$35,34,FALSE),"")</f>
        <v>tpco-megw-vgw103.st-net.media.int</v>
      </c>
      <c r="AE513" s="59" t="str">
        <f>IFERROR(VLOOKUP(Tabelle32[[#This Row],[Device ID]],BOM!$B$3:$BQ$35,35,FALSE),"")</f>
        <v>10.120.67.141</v>
      </c>
      <c r="AF513" s="59">
        <f>IFERROR(VLOOKUP(Tabelle32[[#This Row],[Device ID]],BOM!$B$3:$BQ$35,36,FALSE),"")</f>
        <v>0</v>
      </c>
      <c r="AG513" s="59">
        <f>IFERROR(VLOOKUP(Tabelle32[[#This Row],[Device ID]],BOM!$B$3:$BQ$35,37,FALSE),"")</f>
        <v>0</v>
      </c>
      <c r="AH513" s="59"/>
      <c r="AI513" s="59"/>
      <c r="AJ513" s="59"/>
      <c r="AK513" s="59"/>
      <c r="AL513" s="59" t="str">
        <f>IFERROR(VLOOKUP(Tabelle32[[#This Row],[Device ID]],BOM!$B$3:$BQ$35,42,FALSE),"")</f>
        <v>Imagine Communications SNP</v>
      </c>
      <c r="AM513" s="59" t="str">
        <f>IFERROR(VLOOKUP(Tabelle32[[#This Row],[Device ID]],BOM!$B$3:$BQ$35,43,FALSE),"")</f>
        <v>no</v>
      </c>
      <c r="AN513" s="59" t="str">
        <f>IFERROR(VLOOKUP(Tabelle32[[#This Row],[Device ID]],BOM!$B$3:$BQ$35,44,FALSE),"")</f>
        <v>yes</v>
      </c>
      <c r="AO513" s="59" t="str">
        <f>IFERROR(VLOOKUP(Tabelle32[[#This Row],[Device ID]],BOM!$B$3:$BQ$35,45,FALSE),"")</f>
        <v>no</v>
      </c>
      <c r="AP513" s="59" t="str">
        <f>IFERROR(CONCATENATE(Tabelle32[[#This Row],[Family
GFX-Unit]]," | ",Tabelle32[[#This Row],[Label 1
GFX-Unit]]," | ",Tabelle32[[#This Row],[Attached Device if Gateway]]),"")</f>
        <v>M3H InCh PGM | Ingest Ch37-03 | IngSRV-10</v>
      </c>
      <c r="AQ513" s="59"/>
      <c r="AR513" s="92"/>
      <c r="AS513" s="92"/>
      <c r="AT513" s="92"/>
      <c r="AU513" s="92"/>
      <c r="AV513" s="92"/>
      <c r="AW513" s="92" t="s">
        <v>97</v>
      </c>
      <c r="AX513" s="92"/>
      <c r="AY513" s="92"/>
      <c r="AZ513" s="92" t="s">
        <v>97</v>
      </c>
      <c r="BA513" s="92"/>
      <c r="BB513" s="92" t="s">
        <v>97</v>
      </c>
      <c r="BC513" s="92" t="s">
        <v>97</v>
      </c>
      <c r="BD513" s="92"/>
      <c r="BE513" s="92"/>
      <c r="BF513" s="92"/>
      <c r="BG513" s="92"/>
      <c r="BH513" s="73" t="s">
        <v>199</v>
      </c>
      <c r="BI513" s="30" t="str">
        <f>IF(COUNTA(Tabelle32[[#This Row],[Type:Vid_1080i50]:[Type:Anc_Prot]])&gt;0,"x","")</f>
        <v>x</v>
      </c>
      <c r="BJ51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3" s="59"/>
      <c r="BL513" s="59"/>
      <c r="BM513" s="63"/>
      <c r="BN513" s="63"/>
      <c r="BO513" s="93" t="s">
        <v>2684</v>
      </c>
      <c r="BP513" s="97" t="s">
        <v>2687</v>
      </c>
      <c r="BQ513" s="75">
        <f>LEN(Tabelle32[[#This Row],[Label 1
GFX-Unit]])</f>
        <v>14</v>
      </c>
      <c r="BR513" s="63"/>
      <c r="BS513" s="63"/>
      <c r="BT513" s="59"/>
      <c r="BU513" s="59"/>
      <c r="BV513" s="59" t="s">
        <v>222</v>
      </c>
      <c r="BW513" s="59" t="s">
        <v>223</v>
      </c>
      <c r="BX513" s="59" t="s">
        <v>1003</v>
      </c>
      <c r="BY513" s="59">
        <v>25</v>
      </c>
    </row>
    <row r="514" spans="1:77" x14ac:dyDescent="0.2">
      <c r="A514" s="58" t="str">
        <f>CONCATENATE(Tabelle32[[#This Row],[Device ID]],".",Tabelle32[[#This Row],[Streamcounter]])</f>
        <v>402.25204</v>
      </c>
      <c r="B51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VGW-103_SDI25_AUDrec_0004</v>
      </c>
      <c r="C514" s="60"/>
      <c r="D514" s="61"/>
      <c r="E514" s="62"/>
      <c r="F514" s="59" t="str">
        <f>IFERROR(VLOOKUP(Tabelle32[[#This Row],[Device ID]],BOM!$B$3:$BQ$35,16,FALSE),"")</f>
        <v>IngSRV-10</v>
      </c>
      <c r="G514" s="63">
        <f>VLOOKUP(Tabelle32[[#This Row],[SDI Interface]],BOM!$A$4:$B$35,2,FALSE)</f>
        <v>402</v>
      </c>
      <c r="H514" s="59" t="str">
        <f>BOM!$C$4</f>
        <v>VGW-103</v>
      </c>
      <c r="I514" s="59" t="str">
        <f>IFERROR(VLOOKUP(Tabelle32[[#This Row],[Device ID]],BOM!$B$3:$BQ$35,12,FALSE),"")</f>
        <v>Videoserver</v>
      </c>
      <c r="J514" s="59" t="str">
        <f>IFERROR(VLOOKUP(Tabelle32[[#This Row],[Device ID]],BOM!$B$3:$BQ$35,13,FALSE),"")</f>
        <v>TC.U1.223 | MDC</v>
      </c>
      <c r="K514" s="59" t="str">
        <f>IFERROR(VLOOKUP(Tabelle32[[#This Row],[Device ID]],BOM!$B$3:$BQ$35,14,FALSE),"")</f>
        <v>Imagine Comunications</v>
      </c>
      <c r="L514" s="59" t="str">
        <f>IFERROR(VLOOKUP(Tabelle32[[#This Row],[Device ID]],BOM!$B$3:$BQ$35,16,FALSE),"")</f>
        <v>IngSRV-10</v>
      </c>
      <c r="M514" s="63" t="str">
        <f>IFERROR(VLOOKUP(Tabelle32[[#This Row],[Device ID]],BOM!$B$3:$BQ$35,17,FALSE),"")</f>
        <v>M3H</v>
      </c>
      <c r="N514" s="59" t="str">
        <f>IFERROR(VLOOKUP(Tabelle32[[#This Row],[Device ID]],BOM!$B$3:$BQ$35,18,FALSE),"")</f>
        <v>TC.03.225 | M3H</v>
      </c>
      <c r="O514" s="64"/>
      <c r="P514" s="64">
        <f>IFERROR(VLOOKUP(Tabelle32[[#This Row],[Device ID]],BOM!$B$3:$BO$50,20,FALSE),"")</f>
        <v>0</v>
      </c>
      <c r="Q514" s="64">
        <f>IFERROR(VLOOKUP(Tabelle32[[#This Row],[Device ID]],BOM!$B$3:$BO$50,21,FALSE),"")</f>
        <v>1</v>
      </c>
      <c r="R514" s="64">
        <f>IFERROR(VLOOKUP(Tabelle32[[#This Row],[Device ID]],BOM!$B$3:$BO$50,22,FALSE),"")</f>
        <v>0</v>
      </c>
      <c r="S514" s="64"/>
      <c r="T514" s="64"/>
      <c r="U514" s="59" t="str">
        <f>IFERROR(VLOOKUP(Tabelle32[[#This Row],[Device ID]],BOM!$B$3:$BQ$35,25,FALSE),"")</f>
        <v>Luis/Ivo</v>
      </c>
      <c r="V514" s="59" t="str">
        <f>IFERROR(VLOOKUP(Tabelle32[[#This Row],[Device ID]],BOM!$B$3:$BQ$35,26,FALSE),"")</f>
        <v>tpco-megw-vgw103.rta.st-net.media.int</v>
      </c>
      <c r="W514" s="59" t="str">
        <f>IFERROR(VLOOKUP(Tabelle32[[#This Row],[Device ID]],BOM!$B$3:$BQ$35,27,FALSE),"")</f>
        <v>10.120.236.50</v>
      </c>
      <c r="X514" s="59" t="str">
        <f>IFERROR(VLOOKUP(Tabelle32[[#This Row],[Device ID]],BOM!$B$3:$BQ$35,28,FALSE),"")</f>
        <v>AVCoreA</v>
      </c>
      <c r="Y514" s="59" t="str">
        <f>IFERROR(VLOOKUP(Tabelle32[[#This Row],[Device ID]],BOM!$B$3:$BQ$35,29,FALSE),"")</f>
        <v>5_36_1</v>
      </c>
      <c r="Z514" s="59" t="str">
        <f>IFERROR(VLOOKUP(Tabelle32[[#This Row],[Device ID]],BOM!$B$3:$BQ$35,30,FALSE),"")</f>
        <v>tpco-megw-vgw103.rtb.st-net.media.int</v>
      </c>
      <c r="AA514" s="59" t="str">
        <f>IFERROR(VLOOKUP(Tabelle32[[#This Row],[Device ID]],BOM!$B$3:$BQ$35,31,FALSE),"")</f>
        <v>10.120.236.54</v>
      </c>
      <c r="AB514" s="59" t="str">
        <f>IFERROR(VLOOKUP(Tabelle32[[#This Row],[Device ID]],BOM!$B$3:$BQ$35,32,FALSE),"")</f>
        <v>AVCoreB</v>
      </c>
      <c r="AC514" s="59" t="str">
        <f>IFERROR(VLOOKUP(Tabelle32[[#This Row],[Device ID]],BOM!$B$3:$BQ$35,33,FALSE),"")</f>
        <v>5_36_1</v>
      </c>
      <c r="AD514" s="59" t="str">
        <f>IFERROR(VLOOKUP(Tabelle32[[#This Row],[Device ID]],BOM!$B$3:$BQ$35,34,FALSE),"")</f>
        <v>tpco-megw-vgw103.st-net.media.int</v>
      </c>
      <c r="AE514" s="59" t="str">
        <f>IFERROR(VLOOKUP(Tabelle32[[#This Row],[Device ID]],BOM!$B$3:$BQ$35,35,FALSE),"")</f>
        <v>10.120.67.141</v>
      </c>
      <c r="AF514" s="59">
        <f>IFERROR(VLOOKUP(Tabelle32[[#This Row],[Device ID]],BOM!$B$3:$BQ$35,36,FALSE),"")</f>
        <v>0</v>
      </c>
      <c r="AG514" s="59">
        <f>IFERROR(VLOOKUP(Tabelle32[[#This Row],[Device ID]],BOM!$B$3:$BQ$35,37,FALSE),"")</f>
        <v>0</v>
      </c>
      <c r="AH514" s="59"/>
      <c r="AI514" s="59"/>
      <c r="AJ514" s="59"/>
      <c r="AK514" s="59"/>
      <c r="AL514" s="59" t="str">
        <f>IFERROR(VLOOKUP(Tabelle32[[#This Row],[Device ID]],BOM!$B$3:$BQ$35,42,FALSE),"")</f>
        <v>Imagine Communications SNP</v>
      </c>
      <c r="AM514" s="59" t="str">
        <f>IFERROR(VLOOKUP(Tabelle32[[#This Row],[Device ID]],BOM!$B$3:$BQ$35,43,FALSE),"")</f>
        <v>no</v>
      </c>
      <c r="AN514" s="59" t="str">
        <f>IFERROR(VLOOKUP(Tabelle32[[#This Row],[Device ID]],BOM!$B$3:$BQ$35,44,FALSE),"")</f>
        <v>yes</v>
      </c>
      <c r="AO514" s="59" t="str">
        <f>IFERROR(VLOOKUP(Tabelle32[[#This Row],[Device ID]],BOM!$B$3:$BQ$35,45,FALSE),"")</f>
        <v>no</v>
      </c>
      <c r="AP514" s="59" t="str">
        <f>IFERROR(CONCATENATE(Tabelle32[[#This Row],[Family
GFX-Unit]]," | ",Tabelle32[[#This Row],[Label 1
GFX-Unit]]," | ",Tabelle32[[#This Row],[Attached Device if Gateway]]),"")</f>
        <v>M3H InCh PGM | Ingest Ch37-04 | IngSRV-10</v>
      </c>
      <c r="AQ514" s="59"/>
      <c r="AR514" s="92"/>
      <c r="AS514" s="92"/>
      <c r="AT514" s="92"/>
      <c r="AU514" s="92"/>
      <c r="AV514" s="92"/>
      <c r="AW514" s="92" t="s">
        <v>97</v>
      </c>
      <c r="AX514" s="92"/>
      <c r="AY514" s="92"/>
      <c r="AZ514" s="92" t="s">
        <v>97</v>
      </c>
      <c r="BA514" s="92"/>
      <c r="BB514" s="92" t="s">
        <v>97</v>
      </c>
      <c r="BC514" s="92" t="s">
        <v>97</v>
      </c>
      <c r="BD514" s="92"/>
      <c r="BE514" s="92"/>
      <c r="BF514" s="92"/>
      <c r="BG514" s="92"/>
      <c r="BH514" s="73" t="s">
        <v>199</v>
      </c>
      <c r="BI514" s="30" t="str">
        <f>IF(COUNTA(Tabelle32[[#This Row],[Type:Vid_1080i50]:[Type:Anc_Prot]])&gt;0,"x","")</f>
        <v>x</v>
      </c>
      <c r="BJ51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4" s="59"/>
      <c r="BL514" s="59"/>
      <c r="BM514" s="63"/>
      <c r="BN514" s="63"/>
      <c r="BO514" s="93" t="s">
        <v>2684</v>
      </c>
      <c r="BP514" s="97" t="s">
        <v>2688</v>
      </c>
      <c r="BQ514" s="75">
        <f>LEN(Tabelle32[[#This Row],[Label 1
GFX-Unit]])</f>
        <v>14</v>
      </c>
      <c r="BR514" s="63"/>
      <c r="BS514" s="63"/>
      <c r="BT514" s="59"/>
      <c r="BU514" s="59"/>
      <c r="BV514" s="59" t="s">
        <v>226</v>
      </c>
      <c r="BW514" s="59" t="s">
        <v>227</v>
      </c>
      <c r="BX514" s="59" t="s">
        <v>1004</v>
      </c>
      <c r="BY514" s="59">
        <v>25</v>
      </c>
    </row>
    <row r="515" spans="1:77" x14ac:dyDescent="0.2">
      <c r="A515" s="58" t="str">
        <f>CONCATENATE(Tabelle32[[#This Row],[Device ID]],".",Tabelle32[[#This Row],[Streamcounter]])</f>
        <v>402.25205</v>
      </c>
      <c r="B51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VGW-103_SDI25_AUDrec_0005</v>
      </c>
      <c r="C515" s="60"/>
      <c r="D515" s="61"/>
      <c r="E515" s="62"/>
      <c r="F515" s="59" t="str">
        <f>IFERROR(VLOOKUP(Tabelle32[[#This Row],[Device ID]],BOM!$B$3:$BQ$35,16,FALSE),"")</f>
        <v>IngSRV-10</v>
      </c>
      <c r="G515" s="63">
        <f>VLOOKUP(Tabelle32[[#This Row],[SDI Interface]],BOM!$A$4:$B$35,2,FALSE)</f>
        <v>402</v>
      </c>
      <c r="H515" s="59" t="str">
        <f>BOM!$C$4</f>
        <v>VGW-103</v>
      </c>
      <c r="I515" s="59" t="str">
        <f>IFERROR(VLOOKUP(Tabelle32[[#This Row],[Device ID]],BOM!$B$3:$BQ$35,12,FALSE),"")</f>
        <v>Videoserver</v>
      </c>
      <c r="J515" s="59" t="str">
        <f>IFERROR(VLOOKUP(Tabelle32[[#This Row],[Device ID]],BOM!$B$3:$BQ$35,13,FALSE),"")</f>
        <v>TC.U1.223 | MDC</v>
      </c>
      <c r="K515" s="59" t="str">
        <f>IFERROR(VLOOKUP(Tabelle32[[#This Row],[Device ID]],BOM!$B$3:$BQ$35,14,FALSE),"")</f>
        <v>Imagine Comunications</v>
      </c>
      <c r="L515" s="59" t="str">
        <f>IFERROR(VLOOKUP(Tabelle32[[#This Row],[Device ID]],BOM!$B$3:$BQ$35,16,FALSE),"")</f>
        <v>IngSRV-10</v>
      </c>
      <c r="M515" s="63" t="str">
        <f>IFERROR(VLOOKUP(Tabelle32[[#This Row],[Device ID]],BOM!$B$3:$BQ$35,17,FALSE),"")</f>
        <v>M3H</v>
      </c>
      <c r="N515" s="59" t="str">
        <f>IFERROR(VLOOKUP(Tabelle32[[#This Row],[Device ID]],BOM!$B$3:$BQ$35,18,FALSE),"")</f>
        <v>TC.03.225 | M3H</v>
      </c>
      <c r="O515" s="64"/>
      <c r="P515" s="64">
        <f>IFERROR(VLOOKUP(Tabelle32[[#This Row],[Device ID]],BOM!$B$3:$BO$50,20,FALSE),"")</f>
        <v>0</v>
      </c>
      <c r="Q515" s="64">
        <f>IFERROR(VLOOKUP(Tabelle32[[#This Row],[Device ID]],BOM!$B$3:$BO$50,21,FALSE),"")</f>
        <v>1</v>
      </c>
      <c r="R515" s="64">
        <f>IFERROR(VLOOKUP(Tabelle32[[#This Row],[Device ID]],BOM!$B$3:$BO$50,22,FALSE),"")</f>
        <v>0</v>
      </c>
      <c r="S515" s="64"/>
      <c r="T515" s="64"/>
      <c r="U515" s="59" t="str">
        <f>IFERROR(VLOOKUP(Tabelle32[[#This Row],[Device ID]],BOM!$B$3:$BQ$35,25,FALSE),"")</f>
        <v>Luis/Ivo</v>
      </c>
      <c r="V515" s="59" t="str">
        <f>IFERROR(VLOOKUP(Tabelle32[[#This Row],[Device ID]],BOM!$B$3:$BQ$35,26,FALSE),"")</f>
        <v>tpco-megw-vgw103.rta.st-net.media.int</v>
      </c>
      <c r="W515" s="59" t="str">
        <f>IFERROR(VLOOKUP(Tabelle32[[#This Row],[Device ID]],BOM!$B$3:$BQ$35,27,FALSE),"")</f>
        <v>10.120.236.50</v>
      </c>
      <c r="X515" s="59" t="str">
        <f>IFERROR(VLOOKUP(Tabelle32[[#This Row],[Device ID]],BOM!$B$3:$BQ$35,28,FALSE),"")</f>
        <v>AVCoreA</v>
      </c>
      <c r="Y515" s="59" t="str">
        <f>IFERROR(VLOOKUP(Tabelle32[[#This Row],[Device ID]],BOM!$B$3:$BQ$35,29,FALSE),"")</f>
        <v>5_36_1</v>
      </c>
      <c r="Z515" s="59" t="str">
        <f>IFERROR(VLOOKUP(Tabelle32[[#This Row],[Device ID]],BOM!$B$3:$BQ$35,30,FALSE),"")</f>
        <v>tpco-megw-vgw103.rtb.st-net.media.int</v>
      </c>
      <c r="AA515" s="59" t="str">
        <f>IFERROR(VLOOKUP(Tabelle32[[#This Row],[Device ID]],BOM!$B$3:$BQ$35,31,FALSE),"")</f>
        <v>10.120.236.54</v>
      </c>
      <c r="AB515" s="59" t="str">
        <f>IFERROR(VLOOKUP(Tabelle32[[#This Row],[Device ID]],BOM!$B$3:$BQ$35,32,FALSE),"")</f>
        <v>AVCoreB</v>
      </c>
      <c r="AC515" s="59" t="str">
        <f>IFERROR(VLOOKUP(Tabelle32[[#This Row],[Device ID]],BOM!$B$3:$BQ$35,33,FALSE),"")</f>
        <v>5_36_1</v>
      </c>
      <c r="AD515" s="59" t="str">
        <f>IFERROR(VLOOKUP(Tabelle32[[#This Row],[Device ID]],BOM!$B$3:$BQ$35,34,FALSE),"")</f>
        <v>tpco-megw-vgw103.st-net.media.int</v>
      </c>
      <c r="AE515" s="59" t="str">
        <f>IFERROR(VLOOKUP(Tabelle32[[#This Row],[Device ID]],BOM!$B$3:$BQ$35,35,FALSE),"")</f>
        <v>10.120.67.141</v>
      </c>
      <c r="AF515" s="59">
        <f>IFERROR(VLOOKUP(Tabelle32[[#This Row],[Device ID]],BOM!$B$3:$BQ$35,36,FALSE),"")</f>
        <v>0</v>
      </c>
      <c r="AG515" s="59">
        <f>IFERROR(VLOOKUP(Tabelle32[[#This Row],[Device ID]],BOM!$B$3:$BQ$35,37,FALSE),"")</f>
        <v>0</v>
      </c>
      <c r="AH515" s="59"/>
      <c r="AI515" s="59"/>
      <c r="AJ515" s="59"/>
      <c r="AK515" s="59"/>
      <c r="AL515" s="59" t="str">
        <f>IFERROR(VLOOKUP(Tabelle32[[#This Row],[Device ID]],BOM!$B$3:$BQ$35,42,FALSE),"")</f>
        <v>Imagine Communications SNP</v>
      </c>
      <c r="AM515" s="59" t="str">
        <f>IFERROR(VLOOKUP(Tabelle32[[#This Row],[Device ID]],BOM!$B$3:$BQ$35,43,FALSE),"")</f>
        <v>no</v>
      </c>
      <c r="AN515" s="59" t="str">
        <f>IFERROR(VLOOKUP(Tabelle32[[#This Row],[Device ID]],BOM!$B$3:$BQ$35,44,FALSE),"")</f>
        <v>yes</v>
      </c>
      <c r="AO515" s="59" t="str">
        <f>IFERROR(VLOOKUP(Tabelle32[[#This Row],[Device ID]],BOM!$B$3:$BQ$35,45,FALSE),"")</f>
        <v>no</v>
      </c>
      <c r="AP515" s="59" t="str">
        <f>IFERROR(CONCATENATE(Tabelle32[[#This Row],[Family
GFX-Unit]]," | ",Tabelle32[[#This Row],[Label 1
GFX-Unit]]," | ",Tabelle32[[#This Row],[Attached Device if Gateway]]),"")</f>
        <v>M3H InCh PGM | Ingest Ch37-05 | IngSRV-10</v>
      </c>
      <c r="AQ515" s="59"/>
      <c r="AR515" s="92"/>
      <c r="AS515" s="92"/>
      <c r="AT515" s="92"/>
      <c r="AU515" s="92"/>
      <c r="AV515" s="92"/>
      <c r="AW515" s="92" t="s">
        <v>97</v>
      </c>
      <c r="AX515" s="92"/>
      <c r="AY515" s="92"/>
      <c r="AZ515" s="92" t="s">
        <v>97</v>
      </c>
      <c r="BA515" s="92"/>
      <c r="BB515" s="92" t="s">
        <v>97</v>
      </c>
      <c r="BC515" s="92" t="s">
        <v>97</v>
      </c>
      <c r="BD515" s="92"/>
      <c r="BE515" s="92"/>
      <c r="BF515" s="92"/>
      <c r="BG515" s="92"/>
      <c r="BH515" s="73" t="s">
        <v>199</v>
      </c>
      <c r="BI515" s="30" t="str">
        <f>IF(COUNTA(Tabelle32[[#This Row],[Type:Vid_1080i50]:[Type:Anc_Prot]])&gt;0,"x","")</f>
        <v>x</v>
      </c>
      <c r="BJ51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5" s="59"/>
      <c r="BL515" s="59"/>
      <c r="BM515" s="63"/>
      <c r="BN515" s="63"/>
      <c r="BO515" s="93" t="s">
        <v>2684</v>
      </c>
      <c r="BP515" s="97" t="s">
        <v>2689</v>
      </c>
      <c r="BQ515" s="75">
        <f>LEN(Tabelle32[[#This Row],[Label 1
GFX-Unit]])</f>
        <v>14</v>
      </c>
      <c r="BR515" s="63"/>
      <c r="BS515" s="63"/>
      <c r="BT515" s="59"/>
      <c r="BU515" s="59"/>
      <c r="BV515" s="59" t="s">
        <v>230</v>
      </c>
      <c r="BW515" s="59" t="s">
        <v>231</v>
      </c>
      <c r="BX515" s="59" t="s">
        <v>1005</v>
      </c>
      <c r="BY515" s="59">
        <v>25</v>
      </c>
    </row>
    <row r="516" spans="1:77" x14ac:dyDescent="0.2">
      <c r="A516" s="58" t="str">
        <f>CONCATENATE(Tabelle32[[#This Row],[Device ID]],".",Tabelle32[[#This Row],[Streamcounter]])</f>
        <v>402.25206</v>
      </c>
      <c r="B51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VGW-103_SDI25_AUDrec_0006</v>
      </c>
      <c r="C516" s="60"/>
      <c r="D516" s="61"/>
      <c r="E516" s="62"/>
      <c r="F516" s="59" t="str">
        <f>IFERROR(VLOOKUP(Tabelle32[[#This Row],[Device ID]],BOM!$B$3:$BQ$35,16,FALSE),"")</f>
        <v>IngSRV-10</v>
      </c>
      <c r="G516" s="63">
        <f>VLOOKUP(Tabelle32[[#This Row],[SDI Interface]],BOM!$A$4:$B$35,2,FALSE)</f>
        <v>402</v>
      </c>
      <c r="H516" s="59" t="str">
        <f>BOM!$C$4</f>
        <v>VGW-103</v>
      </c>
      <c r="I516" s="59" t="str">
        <f>IFERROR(VLOOKUP(Tabelle32[[#This Row],[Device ID]],BOM!$B$3:$BQ$35,12,FALSE),"")</f>
        <v>Videoserver</v>
      </c>
      <c r="J516" s="59" t="str">
        <f>IFERROR(VLOOKUP(Tabelle32[[#This Row],[Device ID]],BOM!$B$3:$BQ$35,13,FALSE),"")</f>
        <v>TC.U1.223 | MDC</v>
      </c>
      <c r="K516" s="59" t="str">
        <f>IFERROR(VLOOKUP(Tabelle32[[#This Row],[Device ID]],BOM!$B$3:$BQ$35,14,FALSE),"")</f>
        <v>Imagine Comunications</v>
      </c>
      <c r="L516" s="59" t="str">
        <f>IFERROR(VLOOKUP(Tabelle32[[#This Row],[Device ID]],BOM!$B$3:$BQ$35,16,FALSE),"")</f>
        <v>IngSRV-10</v>
      </c>
      <c r="M516" s="63" t="str">
        <f>IFERROR(VLOOKUP(Tabelle32[[#This Row],[Device ID]],BOM!$B$3:$BQ$35,17,FALSE),"")</f>
        <v>M3H</v>
      </c>
      <c r="N516" s="59" t="str">
        <f>IFERROR(VLOOKUP(Tabelle32[[#This Row],[Device ID]],BOM!$B$3:$BQ$35,18,FALSE),"")</f>
        <v>TC.03.225 | M3H</v>
      </c>
      <c r="O516" s="64"/>
      <c r="P516" s="64">
        <f>IFERROR(VLOOKUP(Tabelle32[[#This Row],[Device ID]],BOM!$B$3:$BO$50,20,FALSE),"")</f>
        <v>0</v>
      </c>
      <c r="Q516" s="64">
        <f>IFERROR(VLOOKUP(Tabelle32[[#This Row],[Device ID]],BOM!$B$3:$BO$50,21,FALSE),"")</f>
        <v>1</v>
      </c>
      <c r="R516" s="64">
        <f>IFERROR(VLOOKUP(Tabelle32[[#This Row],[Device ID]],BOM!$B$3:$BO$50,22,FALSE),"")</f>
        <v>0</v>
      </c>
      <c r="S516" s="64"/>
      <c r="T516" s="64"/>
      <c r="U516" s="59" t="str">
        <f>IFERROR(VLOOKUP(Tabelle32[[#This Row],[Device ID]],BOM!$B$3:$BQ$35,25,FALSE),"")</f>
        <v>Luis/Ivo</v>
      </c>
      <c r="V516" s="59" t="str">
        <f>IFERROR(VLOOKUP(Tabelle32[[#This Row],[Device ID]],BOM!$B$3:$BQ$35,26,FALSE),"")</f>
        <v>tpco-megw-vgw103.rta.st-net.media.int</v>
      </c>
      <c r="W516" s="59" t="str">
        <f>IFERROR(VLOOKUP(Tabelle32[[#This Row],[Device ID]],BOM!$B$3:$BQ$35,27,FALSE),"")</f>
        <v>10.120.236.50</v>
      </c>
      <c r="X516" s="59" t="str">
        <f>IFERROR(VLOOKUP(Tabelle32[[#This Row],[Device ID]],BOM!$B$3:$BQ$35,28,FALSE),"")</f>
        <v>AVCoreA</v>
      </c>
      <c r="Y516" s="59" t="str">
        <f>IFERROR(VLOOKUP(Tabelle32[[#This Row],[Device ID]],BOM!$B$3:$BQ$35,29,FALSE),"")</f>
        <v>5_36_1</v>
      </c>
      <c r="Z516" s="59" t="str">
        <f>IFERROR(VLOOKUP(Tabelle32[[#This Row],[Device ID]],BOM!$B$3:$BQ$35,30,FALSE),"")</f>
        <v>tpco-megw-vgw103.rtb.st-net.media.int</v>
      </c>
      <c r="AA516" s="59" t="str">
        <f>IFERROR(VLOOKUP(Tabelle32[[#This Row],[Device ID]],BOM!$B$3:$BQ$35,31,FALSE),"")</f>
        <v>10.120.236.54</v>
      </c>
      <c r="AB516" s="59" t="str">
        <f>IFERROR(VLOOKUP(Tabelle32[[#This Row],[Device ID]],BOM!$B$3:$BQ$35,32,FALSE),"")</f>
        <v>AVCoreB</v>
      </c>
      <c r="AC516" s="59" t="str">
        <f>IFERROR(VLOOKUP(Tabelle32[[#This Row],[Device ID]],BOM!$B$3:$BQ$35,33,FALSE),"")</f>
        <v>5_36_1</v>
      </c>
      <c r="AD516" s="59" t="str">
        <f>IFERROR(VLOOKUP(Tabelle32[[#This Row],[Device ID]],BOM!$B$3:$BQ$35,34,FALSE),"")</f>
        <v>tpco-megw-vgw103.st-net.media.int</v>
      </c>
      <c r="AE516" s="59" t="str">
        <f>IFERROR(VLOOKUP(Tabelle32[[#This Row],[Device ID]],BOM!$B$3:$BQ$35,35,FALSE),"")</f>
        <v>10.120.67.141</v>
      </c>
      <c r="AF516" s="59">
        <f>IFERROR(VLOOKUP(Tabelle32[[#This Row],[Device ID]],BOM!$B$3:$BQ$35,36,FALSE),"")</f>
        <v>0</v>
      </c>
      <c r="AG516" s="59">
        <f>IFERROR(VLOOKUP(Tabelle32[[#This Row],[Device ID]],BOM!$B$3:$BQ$35,37,FALSE),"")</f>
        <v>0</v>
      </c>
      <c r="AH516" s="59"/>
      <c r="AI516" s="59"/>
      <c r="AJ516" s="59"/>
      <c r="AK516" s="59"/>
      <c r="AL516" s="59" t="str">
        <f>IFERROR(VLOOKUP(Tabelle32[[#This Row],[Device ID]],BOM!$B$3:$BQ$35,42,FALSE),"")</f>
        <v>Imagine Communications SNP</v>
      </c>
      <c r="AM516" s="59" t="str">
        <f>IFERROR(VLOOKUP(Tabelle32[[#This Row],[Device ID]],BOM!$B$3:$BQ$35,43,FALSE),"")</f>
        <v>no</v>
      </c>
      <c r="AN516" s="59" t="str">
        <f>IFERROR(VLOOKUP(Tabelle32[[#This Row],[Device ID]],BOM!$B$3:$BQ$35,44,FALSE),"")</f>
        <v>yes</v>
      </c>
      <c r="AO516" s="59" t="str">
        <f>IFERROR(VLOOKUP(Tabelle32[[#This Row],[Device ID]],BOM!$B$3:$BQ$35,45,FALSE),"")</f>
        <v>no</v>
      </c>
      <c r="AP516" s="59" t="str">
        <f>IFERROR(CONCATENATE(Tabelle32[[#This Row],[Family
GFX-Unit]]," | ",Tabelle32[[#This Row],[Label 1
GFX-Unit]]," | ",Tabelle32[[#This Row],[Attached Device if Gateway]]),"")</f>
        <v>M3H InCh PGM | Ingest Ch37-06 | IngSRV-10</v>
      </c>
      <c r="AQ516" s="59"/>
      <c r="AR516" s="92"/>
      <c r="AS516" s="92"/>
      <c r="AT516" s="92"/>
      <c r="AU516" s="92"/>
      <c r="AV516" s="92"/>
      <c r="AW516" s="92" t="s">
        <v>97</v>
      </c>
      <c r="AX516" s="92"/>
      <c r="AY516" s="92"/>
      <c r="AZ516" s="92" t="s">
        <v>97</v>
      </c>
      <c r="BA516" s="92"/>
      <c r="BB516" s="92" t="s">
        <v>97</v>
      </c>
      <c r="BC516" s="92" t="s">
        <v>97</v>
      </c>
      <c r="BD516" s="92"/>
      <c r="BE516" s="92"/>
      <c r="BF516" s="92"/>
      <c r="BG516" s="92"/>
      <c r="BH516" s="73" t="s">
        <v>199</v>
      </c>
      <c r="BI516" s="30" t="str">
        <f>IF(COUNTA(Tabelle32[[#This Row],[Type:Vid_1080i50]:[Type:Anc_Prot]])&gt;0,"x","")</f>
        <v>x</v>
      </c>
      <c r="BJ51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6" s="59"/>
      <c r="BL516" s="59"/>
      <c r="BM516" s="63"/>
      <c r="BN516" s="63"/>
      <c r="BO516" s="93" t="s">
        <v>2684</v>
      </c>
      <c r="BP516" s="97" t="s">
        <v>2690</v>
      </c>
      <c r="BQ516" s="75">
        <f>LEN(Tabelle32[[#This Row],[Label 1
GFX-Unit]])</f>
        <v>14</v>
      </c>
      <c r="BR516" s="63"/>
      <c r="BS516" s="63"/>
      <c r="BT516" s="59"/>
      <c r="BU516" s="59"/>
      <c r="BV516" s="59" t="s">
        <v>234</v>
      </c>
      <c r="BW516" s="59" t="s">
        <v>235</v>
      </c>
      <c r="BX516" s="59" t="s">
        <v>1006</v>
      </c>
      <c r="BY516" s="59">
        <v>25</v>
      </c>
    </row>
    <row r="517" spans="1:77" x14ac:dyDescent="0.2">
      <c r="A517" s="58" t="str">
        <f>CONCATENATE(Tabelle32[[#This Row],[Device ID]],".",Tabelle32[[#This Row],[Streamcounter]])</f>
        <v>402.25207</v>
      </c>
      <c r="B51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VGW-103_SDI25_AUDrec_0007</v>
      </c>
      <c r="C517" s="60"/>
      <c r="D517" s="61"/>
      <c r="E517" s="62"/>
      <c r="F517" s="59" t="str">
        <f>IFERROR(VLOOKUP(Tabelle32[[#This Row],[Device ID]],BOM!$B$3:$BQ$35,16,FALSE),"")</f>
        <v>IngSRV-10</v>
      </c>
      <c r="G517" s="63">
        <f>VLOOKUP(Tabelle32[[#This Row],[SDI Interface]],BOM!$A$4:$B$35,2,FALSE)</f>
        <v>402</v>
      </c>
      <c r="H517" s="59" t="str">
        <f>BOM!$C$4</f>
        <v>VGW-103</v>
      </c>
      <c r="I517" s="59" t="str">
        <f>IFERROR(VLOOKUP(Tabelle32[[#This Row],[Device ID]],BOM!$B$3:$BQ$35,12,FALSE),"")</f>
        <v>Videoserver</v>
      </c>
      <c r="J517" s="59" t="str">
        <f>IFERROR(VLOOKUP(Tabelle32[[#This Row],[Device ID]],BOM!$B$3:$BQ$35,13,FALSE),"")</f>
        <v>TC.U1.223 | MDC</v>
      </c>
      <c r="K517" s="59" t="str">
        <f>IFERROR(VLOOKUP(Tabelle32[[#This Row],[Device ID]],BOM!$B$3:$BQ$35,14,FALSE),"")</f>
        <v>Imagine Comunications</v>
      </c>
      <c r="L517" s="59" t="str">
        <f>IFERROR(VLOOKUP(Tabelle32[[#This Row],[Device ID]],BOM!$B$3:$BQ$35,16,FALSE),"")</f>
        <v>IngSRV-10</v>
      </c>
      <c r="M517" s="63" t="str">
        <f>IFERROR(VLOOKUP(Tabelle32[[#This Row],[Device ID]],BOM!$B$3:$BQ$35,17,FALSE),"")</f>
        <v>M3H</v>
      </c>
      <c r="N517" s="59" t="str">
        <f>IFERROR(VLOOKUP(Tabelle32[[#This Row],[Device ID]],BOM!$B$3:$BQ$35,18,FALSE),"")</f>
        <v>TC.03.225 | M3H</v>
      </c>
      <c r="O517" s="64"/>
      <c r="P517" s="64">
        <f>IFERROR(VLOOKUP(Tabelle32[[#This Row],[Device ID]],BOM!$B$3:$BO$50,20,FALSE),"")</f>
        <v>0</v>
      </c>
      <c r="Q517" s="64">
        <f>IFERROR(VLOOKUP(Tabelle32[[#This Row],[Device ID]],BOM!$B$3:$BO$50,21,FALSE),"")</f>
        <v>1</v>
      </c>
      <c r="R517" s="64">
        <f>IFERROR(VLOOKUP(Tabelle32[[#This Row],[Device ID]],BOM!$B$3:$BO$50,22,FALSE),"")</f>
        <v>0</v>
      </c>
      <c r="S517" s="64"/>
      <c r="T517" s="64"/>
      <c r="U517" s="59" t="str">
        <f>IFERROR(VLOOKUP(Tabelle32[[#This Row],[Device ID]],BOM!$B$3:$BQ$35,25,FALSE),"")</f>
        <v>Luis/Ivo</v>
      </c>
      <c r="V517" s="59" t="str">
        <f>IFERROR(VLOOKUP(Tabelle32[[#This Row],[Device ID]],BOM!$B$3:$BQ$35,26,FALSE),"")</f>
        <v>tpco-megw-vgw103.rta.st-net.media.int</v>
      </c>
      <c r="W517" s="59" t="str">
        <f>IFERROR(VLOOKUP(Tabelle32[[#This Row],[Device ID]],BOM!$B$3:$BQ$35,27,FALSE),"")</f>
        <v>10.120.236.50</v>
      </c>
      <c r="X517" s="59" t="str">
        <f>IFERROR(VLOOKUP(Tabelle32[[#This Row],[Device ID]],BOM!$B$3:$BQ$35,28,FALSE),"")</f>
        <v>AVCoreA</v>
      </c>
      <c r="Y517" s="59" t="str">
        <f>IFERROR(VLOOKUP(Tabelle32[[#This Row],[Device ID]],BOM!$B$3:$BQ$35,29,FALSE),"")</f>
        <v>5_36_1</v>
      </c>
      <c r="Z517" s="59" t="str">
        <f>IFERROR(VLOOKUP(Tabelle32[[#This Row],[Device ID]],BOM!$B$3:$BQ$35,30,FALSE),"")</f>
        <v>tpco-megw-vgw103.rtb.st-net.media.int</v>
      </c>
      <c r="AA517" s="59" t="str">
        <f>IFERROR(VLOOKUP(Tabelle32[[#This Row],[Device ID]],BOM!$B$3:$BQ$35,31,FALSE),"")</f>
        <v>10.120.236.54</v>
      </c>
      <c r="AB517" s="59" t="str">
        <f>IFERROR(VLOOKUP(Tabelle32[[#This Row],[Device ID]],BOM!$B$3:$BQ$35,32,FALSE),"")</f>
        <v>AVCoreB</v>
      </c>
      <c r="AC517" s="59" t="str">
        <f>IFERROR(VLOOKUP(Tabelle32[[#This Row],[Device ID]],BOM!$B$3:$BQ$35,33,FALSE),"")</f>
        <v>5_36_1</v>
      </c>
      <c r="AD517" s="59" t="str">
        <f>IFERROR(VLOOKUP(Tabelle32[[#This Row],[Device ID]],BOM!$B$3:$BQ$35,34,FALSE),"")</f>
        <v>tpco-megw-vgw103.st-net.media.int</v>
      </c>
      <c r="AE517" s="59" t="str">
        <f>IFERROR(VLOOKUP(Tabelle32[[#This Row],[Device ID]],BOM!$B$3:$BQ$35,35,FALSE),"")</f>
        <v>10.120.67.141</v>
      </c>
      <c r="AF517" s="59">
        <f>IFERROR(VLOOKUP(Tabelle32[[#This Row],[Device ID]],BOM!$B$3:$BQ$35,36,FALSE),"")</f>
        <v>0</v>
      </c>
      <c r="AG517" s="59">
        <f>IFERROR(VLOOKUP(Tabelle32[[#This Row],[Device ID]],BOM!$B$3:$BQ$35,37,FALSE),"")</f>
        <v>0</v>
      </c>
      <c r="AH517" s="59"/>
      <c r="AI517" s="59"/>
      <c r="AJ517" s="59"/>
      <c r="AK517" s="59"/>
      <c r="AL517" s="59" t="str">
        <f>IFERROR(VLOOKUP(Tabelle32[[#This Row],[Device ID]],BOM!$B$3:$BQ$35,42,FALSE),"")</f>
        <v>Imagine Communications SNP</v>
      </c>
      <c r="AM517" s="59" t="str">
        <f>IFERROR(VLOOKUP(Tabelle32[[#This Row],[Device ID]],BOM!$B$3:$BQ$35,43,FALSE),"")</f>
        <v>no</v>
      </c>
      <c r="AN517" s="59" t="str">
        <f>IFERROR(VLOOKUP(Tabelle32[[#This Row],[Device ID]],BOM!$B$3:$BQ$35,44,FALSE),"")</f>
        <v>yes</v>
      </c>
      <c r="AO517" s="59" t="str">
        <f>IFERROR(VLOOKUP(Tabelle32[[#This Row],[Device ID]],BOM!$B$3:$BQ$35,45,FALSE),"")</f>
        <v>no</v>
      </c>
      <c r="AP517" s="59" t="str">
        <f>IFERROR(CONCATENATE(Tabelle32[[#This Row],[Family
GFX-Unit]]," | ",Tabelle32[[#This Row],[Label 1
GFX-Unit]]," | ",Tabelle32[[#This Row],[Attached Device if Gateway]]),"")</f>
        <v>M3H InCh PGM | Ingest Ch37-07 | IngSRV-10</v>
      </c>
      <c r="AQ517" s="59"/>
      <c r="AR517" s="92"/>
      <c r="AS517" s="92"/>
      <c r="AT517" s="92"/>
      <c r="AU517" s="92"/>
      <c r="AV517" s="92"/>
      <c r="AW517" s="92" t="s">
        <v>97</v>
      </c>
      <c r="AX517" s="92"/>
      <c r="AY517" s="92"/>
      <c r="AZ517" s="92" t="s">
        <v>97</v>
      </c>
      <c r="BA517" s="92"/>
      <c r="BB517" s="92" t="s">
        <v>97</v>
      </c>
      <c r="BC517" s="92" t="s">
        <v>97</v>
      </c>
      <c r="BD517" s="92"/>
      <c r="BE517" s="92"/>
      <c r="BF517" s="92"/>
      <c r="BG517" s="92"/>
      <c r="BH517" s="73" t="s">
        <v>199</v>
      </c>
      <c r="BI517" s="30" t="str">
        <f>IF(COUNTA(Tabelle32[[#This Row],[Type:Vid_1080i50]:[Type:Anc_Prot]])&gt;0,"x","")</f>
        <v>x</v>
      </c>
      <c r="BJ51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7" s="59"/>
      <c r="BL517" s="59"/>
      <c r="BM517" s="63"/>
      <c r="BN517" s="63"/>
      <c r="BO517" s="93" t="s">
        <v>2684</v>
      </c>
      <c r="BP517" s="97" t="s">
        <v>2691</v>
      </c>
      <c r="BQ517" s="75">
        <f>LEN(Tabelle32[[#This Row],[Label 1
GFX-Unit]])</f>
        <v>14</v>
      </c>
      <c r="BR517" s="63"/>
      <c r="BS517" s="63"/>
      <c r="BT517" s="59"/>
      <c r="BU517" s="59"/>
      <c r="BV517" s="59" t="s">
        <v>238</v>
      </c>
      <c r="BW517" s="59" t="s">
        <v>239</v>
      </c>
      <c r="BX517" s="59" t="s">
        <v>1007</v>
      </c>
      <c r="BY517" s="59">
        <v>25</v>
      </c>
    </row>
    <row r="518" spans="1:77" x14ac:dyDescent="0.2">
      <c r="A518" s="58" t="str">
        <f>CONCATENATE(Tabelle32[[#This Row],[Device ID]],".",Tabelle32[[#This Row],[Streamcounter]])</f>
        <v>402.25208</v>
      </c>
      <c r="B51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VGW-103_SDI25_AUDrec_0008</v>
      </c>
      <c r="C518" s="60"/>
      <c r="D518" s="61"/>
      <c r="E518" s="62"/>
      <c r="F518" s="59" t="str">
        <f>IFERROR(VLOOKUP(Tabelle32[[#This Row],[Device ID]],BOM!$B$3:$BQ$35,16,FALSE),"")</f>
        <v>IngSRV-10</v>
      </c>
      <c r="G518" s="63">
        <f>VLOOKUP(Tabelle32[[#This Row],[SDI Interface]],BOM!$A$4:$B$35,2,FALSE)</f>
        <v>402</v>
      </c>
      <c r="H518" s="59" t="str">
        <f>BOM!$C$4</f>
        <v>VGW-103</v>
      </c>
      <c r="I518" s="59" t="str">
        <f>IFERROR(VLOOKUP(Tabelle32[[#This Row],[Device ID]],BOM!$B$3:$BQ$35,12,FALSE),"")</f>
        <v>Videoserver</v>
      </c>
      <c r="J518" s="59" t="str">
        <f>IFERROR(VLOOKUP(Tabelle32[[#This Row],[Device ID]],BOM!$B$3:$BQ$35,13,FALSE),"")</f>
        <v>TC.U1.223 | MDC</v>
      </c>
      <c r="K518" s="59" t="str">
        <f>IFERROR(VLOOKUP(Tabelle32[[#This Row],[Device ID]],BOM!$B$3:$BQ$35,14,FALSE),"")</f>
        <v>Imagine Comunications</v>
      </c>
      <c r="L518" s="59" t="str">
        <f>IFERROR(VLOOKUP(Tabelle32[[#This Row],[Device ID]],BOM!$B$3:$BQ$35,16,FALSE),"")</f>
        <v>IngSRV-10</v>
      </c>
      <c r="M518" s="63" t="str">
        <f>IFERROR(VLOOKUP(Tabelle32[[#This Row],[Device ID]],BOM!$B$3:$BQ$35,17,FALSE),"")</f>
        <v>M3H</v>
      </c>
      <c r="N518" s="59" t="str">
        <f>IFERROR(VLOOKUP(Tabelle32[[#This Row],[Device ID]],BOM!$B$3:$BQ$35,18,FALSE),"")</f>
        <v>TC.03.225 | M3H</v>
      </c>
      <c r="O518" s="64"/>
      <c r="P518" s="64">
        <f>IFERROR(VLOOKUP(Tabelle32[[#This Row],[Device ID]],BOM!$B$3:$BO$50,20,FALSE),"")</f>
        <v>0</v>
      </c>
      <c r="Q518" s="64">
        <f>IFERROR(VLOOKUP(Tabelle32[[#This Row],[Device ID]],BOM!$B$3:$BO$50,21,FALSE),"")</f>
        <v>1</v>
      </c>
      <c r="R518" s="64">
        <f>IFERROR(VLOOKUP(Tabelle32[[#This Row],[Device ID]],BOM!$B$3:$BO$50,22,FALSE),"")</f>
        <v>0</v>
      </c>
      <c r="S518" s="64"/>
      <c r="T518" s="64"/>
      <c r="U518" s="59" t="str">
        <f>IFERROR(VLOOKUP(Tabelle32[[#This Row],[Device ID]],BOM!$B$3:$BQ$35,25,FALSE),"")</f>
        <v>Luis/Ivo</v>
      </c>
      <c r="V518" s="59" t="str">
        <f>IFERROR(VLOOKUP(Tabelle32[[#This Row],[Device ID]],BOM!$B$3:$BQ$35,26,FALSE),"")</f>
        <v>tpco-megw-vgw103.rta.st-net.media.int</v>
      </c>
      <c r="W518" s="59" t="str">
        <f>IFERROR(VLOOKUP(Tabelle32[[#This Row],[Device ID]],BOM!$B$3:$BQ$35,27,FALSE),"")</f>
        <v>10.120.236.50</v>
      </c>
      <c r="X518" s="59" t="str">
        <f>IFERROR(VLOOKUP(Tabelle32[[#This Row],[Device ID]],BOM!$B$3:$BQ$35,28,FALSE),"")</f>
        <v>AVCoreA</v>
      </c>
      <c r="Y518" s="59" t="str">
        <f>IFERROR(VLOOKUP(Tabelle32[[#This Row],[Device ID]],BOM!$B$3:$BQ$35,29,FALSE),"")</f>
        <v>5_36_1</v>
      </c>
      <c r="Z518" s="59" t="str">
        <f>IFERROR(VLOOKUP(Tabelle32[[#This Row],[Device ID]],BOM!$B$3:$BQ$35,30,FALSE),"")</f>
        <v>tpco-megw-vgw103.rtb.st-net.media.int</v>
      </c>
      <c r="AA518" s="59" t="str">
        <f>IFERROR(VLOOKUP(Tabelle32[[#This Row],[Device ID]],BOM!$B$3:$BQ$35,31,FALSE),"")</f>
        <v>10.120.236.54</v>
      </c>
      <c r="AB518" s="59" t="str">
        <f>IFERROR(VLOOKUP(Tabelle32[[#This Row],[Device ID]],BOM!$B$3:$BQ$35,32,FALSE),"")</f>
        <v>AVCoreB</v>
      </c>
      <c r="AC518" s="59" t="str">
        <f>IFERROR(VLOOKUP(Tabelle32[[#This Row],[Device ID]],BOM!$B$3:$BQ$35,33,FALSE),"")</f>
        <v>5_36_1</v>
      </c>
      <c r="AD518" s="59" t="str">
        <f>IFERROR(VLOOKUP(Tabelle32[[#This Row],[Device ID]],BOM!$B$3:$BQ$35,34,FALSE),"")</f>
        <v>tpco-megw-vgw103.st-net.media.int</v>
      </c>
      <c r="AE518" s="59" t="str">
        <f>IFERROR(VLOOKUP(Tabelle32[[#This Row],[Device ID]],BOM!$B$3:$BQ$35,35,FALSE),"")</f>
        <v>10.120.67.141</v>
      </c>
      <c r="AF518" s="59">
        <f>IFERROR(VLOOKUP(Tabelle32[[#This Row],[Device ID]],BOM!$B$3:$BQ$35,36,FALSE),"")</f>
        <v>0</v>
      </c>
      <c r="AG518" s="59">
        <f>IFERROR(VLOOKUP(Tabelle32[[#This Row],[Device ID]],BOM!$B$3:$BQ$35,37,FALSE),"")</f>
        <v>0</v>
      </c>
      <c r="AH518" s="59"/>
      <c r="AI518" s="59"/>
      <c r="AJ518" s="59"/>
      <c r="AK518" s="59"/>
      <c r="AL518" s="59" t="str">
        <f>IFERROR(VLOOKUP(Tabelle32[[#This Row],[Device ID]],BOM!$B$3:$BQ$35,42,FALSE),"")</f>
        <v>Imagine Communications SNP</v>
      </c>
      <c r="AM518" s="59" t="str">
        <f>IFERROR(VLOOKUP(Tabelle32[[#This Row],[Device ID]],BOM!$B$3:$BQ$35,43,FALSE),"")</f>
        <v>no</v>
      </c>
      <c r="AN518" s="59" t="str">
        <f>IFERROR(VLOOKUP(Tabelle32[[#This Row],[Device ID]],BOM!$B$3:$BQ$35,44,FALSE),"")</f>
        <v>yes</v>
      </c>
      <c r="AO518" s="59" t="str">
        <f>IFERROR(VLOOKUP(Tabelle32[[#This Row],[Device ID]],BOM!$B$3:$BQ$35,45,FALSE),"")</f>
        <v>no</v>
      </c>
      <c r="AP518" s="59" t="str">
        <f>IFERROR(CONCATENATE(Tabelle32[[#This Row],[Family
GFX-Unit]]," | ",Tabelle32[[#This Row],[Label 1
GFX-Unit]]," | ",Tabelle32[[#This Row],[Attached Device if Gateway]]),"")</f>
        <v>M3H InCh PGM | Ingest Ch37-08 | IngSRV-10</v>
      </c>
      <c r="AQ518" s="59"/>
      <c r="AR518" s="92"/>
      <c r="AS518" s="92"/>
      <c r="AT518" s="92"/>
      <c r="AU518" s="92"/>
      <c r="AV518" s="92"/>
      <c r="AW518" s="92" t="s">
        <v>97</v>
      </c>
      <c r="AX518" s="92"/>
      <c r="AY518" s="92"/>
      <c r="AZ518" s="92" t="s">
        <v>97</v>
      </c>
      <c r="BA518" s="92"/>
      <c r="BB518" s="92" t="s">
        <v>97</v>
      </c>
      <c r="BC518" s="92" t="s">
        <v>97</v>
      </c>
      <c r="BD518" s="92"/>
      <c r="BE518" s="92"/>
      <c r="BF518" s="92"/>
      <c r="BG518" s="92"/>
      <c r="BH518" s="73" t="s">
        <v>199</v>
      </c>
      <c r="BI518" s="30" t="str">
        <f>IF(COUNTA(Tabelle32[[#This Row],[Type:Vid_1080i50]:[Type:Anc_Prot]])&gt;0,"x","")</f>
        <v>x</v>
      </c>
      <c r="BJ51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8" s="59"/>
      <c r="BL518" s="59"/>
      <c r="BM518" s="63"/>
      <c r="BN518" s="63"/>
      <c r="BO518" s="93" t="s">
        <v>2684</v>
      </c>
      <c r="BP518" s="97" t="s">
        <v>2692</v>
      </c>
      <c r="BQ518" s="75">
        <f>LEN(Tabelle32[[#This Row],[Label 1
GFX-Unit]])</f>
        <v>14</v>
      </c>
      <c r="BR518" s="63"/>
      <c r="BS518" s="63"/>
      <c r="BT518" s="59"/>
      <c r="BU518" s="59"/>
      <c r="BV518" s="59" t="s">
        <v>242</v>
      </c>
      <c r="BW518" s="59" t="s">
        <v>243</v>
      </c>
      <c r="BX518" s="59" t="s">
        <v>1008</v>
      </c>
      <c r="BY518" s="59">
        <v>25</v>
      </c>
    </row>
    <row r="519" spans="1:77" x14ac:dyDescent="0.2">
      <c r="A519" s="58" t="str">
        <f>CONCATENATE(Tabelle32[[#This Row],[Device ID]],".",Tabelle32[[#This Row],[Streamcounter]])</f>
        <v>402.25209</v>
      </c>
      <c r="B51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VGW-103_SDI25_AUDrec_0009</v>
      </c>
      <c r="C519" s="60"/>
      <c r="D519" s="61"/>
      <c r="E519" s="62"/>
      <c r="F519" s="59" t="str">
        <f>IFERROR(VLOOKUP(Tabelle32[[#This Row],[Device ID]],BOM!$B$3:$BQ$35,16,FALSE),"")</f>
        <v>IngSRV-10</v>
      </c>
      <c r="G519" s="63">
        <f>VLOOKUP(Tabelle32[[#This Row],[SDI Interface]],BOM!$A$4:$B$35,2,FALSE)</f>
        <v>402</v>
      </c>
      <c r="H519" s="59" t="str">
        <f>BOM!$C$4</f>
        <v>VGW-103</v>
      </c>
      <c r="I519" s="59" t="str">
        <f>IFERROR(VLOOKUP(Tabelle32[[#This Row],[Device ID]],BOM!$B$3:$BQ$35,12,FALSE),"")</f>
        <v>Videoserver</v>
      </c>
      <c r="J519" s="59" t="str">
        <f>IFERROR(VLOOKUP(Tabelle32[[#This Row],[Device ID]],BOM!$B$3:$BQ$35,13,FALSE),"")</f>
        <v>TC.U1.223 | MDC</v>
      </c>
      <c r="K519" s="59" t="str">
        <f>IFERROR(VLOOKUP(Tabelle32[[#This Row],[Device ID]],BOM!$B$3:$BQ$35,14,FALSE),"")</f>
        <v>Imagine Comunications</v>
      </c>
      <c r="L519" s="59" t="str">
        <f>IFERROR(VLOOKUP(Tabelle32[[#This Row],[Device ID]],BOM!$B$3:$BQ$35,16,FALSE),"")</f>
        <v>IngSRV-10</v>
      </c>
      <c r="M519" s="63" t="str">
        <f>IFERROR(VLOOKUP(Tabelle32[[#This Row],[Device ID]],BOM!$B$3:$BQ$35,17,FALSE),"")</f>
        <v>M3H</v>
      </c>
      <c r="N519" s="59" t="str">
        <f>IFERROR(VLOOKUP(Tabelle32[[#This Row],[Device ID]],BOM!$B$3:$BQ$35,18,FALSE),"")</f>
        <v>TC.03.225 | M3H</v>
      </c>
      <c r="O519" s="64"/>
      <c r="P519" s="64">
        <f>IFERROR(VLOOKUP(Tabelle32[[#This Row],[Device ID]],BOM!$B$3:$BO$50,20,FALSE),"")</f>
        <v>0</v>
      </c>
      <c r="Q519" s="64">
        <f>IFERROR(VLOOKUP(Tabelle32[[#This Row],[Device ID]],BOM!$B$3:$BO$50,21,FALSE),"")</f>
        <v>1</v>
      </c>
      <c r="R519" s="64">
        <f>IFERROR(VLOOKUP(Tabelle32[[#This Row],[Device ID]],BOM!$B$3:$BO$50,22,FALSE),"")</f>
        <v>0</v>
      </c>
      <c r="S519" s="64"/>
      <c r="T519" s="64"/>
      <c r="U519" s="59" t="str">
        <f>IFERROR(VLOOKUP(Tabelle32[[#This Row],[Device ID]],BOM!$B$3:$BQ$35,25,FALSE),"")</f>
        <v>Luis/Ivo</v>
      </c>
      <c r="V519" s="59" t="str">
        <f>IFERROR(VLOOKUP(Tabelle32[[#This Row],[Device ID]],BOM!$B$3:$BQ$35,26,FALSE),"")</f>
        <v>tpco-megw-vgw103.rta.st-net.media.int</v>
      </c>
      <c r="W519" s="59" t="str">
        <f>IFERROR(VLOOKUP(Tabelle32[[#This Row],[Device ID]],BOM!$B$3:$BQ$35,27,FALSE),"")</f>
        <v>10.120.236.50</v>
      </c>
      <c r="X519" s="59" t="str">
        <f>IFERROR(VLOOKUP(Tabelle32[[#This Row],[Device ID]],BOM!$B$3:$BQ$35,28,FALSE),"")</f>
        <v>AVCoreA</v>
      </c>
      <c r="Y519" s="59" t="str">
        <f>IFERROR(VLOOKUP(Tabelle32[[#This Row],[Device ID]],BOM!$B$3:$BQ$35,29,FALSE),"")</f>
        <v>5_36_1</v>
      </c>
      <c r="Z519" s="59" t="str">
        <f>IFERROR(VLOOKUP(Tabelle32[[#This Row],[Device ID]],BOM!$B$3:$BQ$35,30,FALSE),"")</f>
        <v>tpco-megw-vgw103.rtb.st-net.media.int</v>
      </c>
      <c r="AA519" s="59" t="str">
        <f>IFERROR(VLOOKUP(Tabelle32[[#This Row],[Device ID]],BOM!$B$3:$BQ$35,31,FALSE),"")</f>
        <v>10.120.236.54</v>
      </c>
      <c r="AB519" s="59" t="str">
        <f>IFERROR(VLOOKUP(Tabelle32[[#This Row],[Device ID]],BOM!$B$3:$BQ$35,32,FALSE),"")</f>
        <v>AVCoreB</v>
      </c>
      <c r="AC519" s="59" t="str">
        <f>IFERROR(VLOOKUP(Tabelle32[[#This Row],[Device ID]],BOM!$B$3:$BQ$35,33,FALSE),"")</f>
        <v>5_36_1</v>
      </c>
      <c r="AD519" s="59" t="str">
        <f>IFERROR(VLOOKUP(Tabelle32[[#This Row],[Device ID]],BOM!$B$3:$BQ$35,34,FALSE),"")</f>
        <v>tpco-megw-vgw103.st-net.media.int</v>
      </c>
      <c r="AE519" s="59" t="str">
        <f>IFERROR(VLOOKUP(Tabelle32[[#This Row],[Device ID]],BOM!$B$3:$BQ$35,35,FALSE),"")</f>
        <v>10.120.67.141</v>
      </c>
      <c r="AF519" s="59">
        <f>IFERROR(VLOOKUP(Tabelle32[[#This Row],[Device ID]],BOM!$B$3:$BQ$35,36,FALSE),"")</f>
        <v>0</v>
      </c>
      <c r="AG519" s="59">
        <f>IFERROR(VLOOKUP(Tabelle32[[#This Row],[Device ID]],BOM!$B$3:$BQ$35,37,FALSE),"")</f>
        <v>0</v>
      </c>
      <c r="AH519" s="59"/>
      <c r="AI519" s="59"/>
      <c r="AJ519" s="59"/>
      <c r="AK519" s="59"/>
      <c r="AL519" s="59" t="str">
        <f>IFERROR(VLOOKUP(Tabelle32[[#This Row],[Device ID]],BOM!$B$3:$BQ$35,42,FALSE),"")</f>
        <v>Imagine Communications SNP</v>
      </c>
      <c r="AM519" s="59" t="str">
        <f>IFERROR(VLOOKUP(Tabelle32[[#This Row],[Device ID]],BOM!$B$3:$BQ$35,43,FALSE),"")</f>
        <v>no</v>
      </c>
      <c r="AN519" s="59" t="str">
        <f>IFERROR(VLOOKUP(Tabelle32[[#This Row],[Device ID]],BOM!$B$3:$BQ$35,44,FALSE),"")</f>
        <v>yes</v>
      </c>
      <c r="AO519" s="59" t="str">
        <f>IFERROR(VLOOKUP(Tabelle32[[#This Row],[Device ID]],BOM!$B$3:$BQ$35,45,FALSE),"")</f>
        <v>no</v>
      </c>
      <c r="AP519" s="59" t="str">
        <f>IFERROR(CONCATENATE(Tabelle32[[#This Row],[Family
GFX-Unit]]," | ",Tabelle32[[#This Row],[Label 1
GFX-Unit]]," | ",Tabelle32[[#This Row],[Attached Device if Gateway]]),"")</f>
        <v>M3H InCh PGM | Ingest Ch37-09 | IngSRV-10</v>
      </c>
      <c r="AQ519" s="59"/>
      <c r="AR519" s="92"/>
      <c r="AS519" s="92"/>
      <c r="AT519" s="92"/>
      <c r="AU519" s="92"/>
      <c r="AV519" s="92"/>
      <c r="AW519" s="92" t="s">
        <v>97</v>
      </c>
      <c r="AX519" s="92"/>
      <c r="AY519" s="92"/>
      <c r="AZ519" s="92" t="s">
        <v>97</v>
      </c>
      <c r="BA519" s="92"/>
      <c r="BB519" s="92" t="s">
        <v>97</v>
      </c>
      <c r="BC519" s="92" t="s">
        <v>97</v>
      </c>
      <c r="BD519" s="92"/>
      <c r="BE519" s="92"/>
      <c r="BF519" s="92"/>
      <c r="BG519" s="92"/>
      <c r="BH519" s="73" t="s">
        <v>199</v>
      </c>
      <c r="BI519" s="30" t="str">
        <f>IF(COUNTA(Tabelle32[[#This Row],[Type:Vid_1080i50]:[Type:Anc_Prot]])&gt;0,"x","")</f>
        <v>x</v>
      </c>
      <c r="BJ51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19" s="59"/>
      <c r="BL519" s="59"/>
      <c r="BM519" s="63"/>
      <c r="BN519" s="63"/>
      <c r="BO519" s="93" t="s">
        <v>2684</v>
      </c>
      <c r="BP519" s="97" t="s">
        <v>2693</v>
      </c>
      <c r="BQ519" s="75">
        <f>LEN(Tabelle32[[#This Row],[Label 1
GFX-Unit]])</f>
        <v>14</v>
      </c>
      <c r="BR519" s="63"/>
      <c r="BS519" s="63"/>
      <c r="BT519" s="59"/>
      <c r="BU519" s="59"/>
      <c r="BV519" s="59" t="s">
        <v>245</v>
      </c>
      <c r="BW519" s="59" t="s">
        <v>246</v>
      </c>
      <c r="BX519" s="59" t="s">
        <v>1009</v>
      </c>
      <c r="BY519" s="59">
        <v>25</v>
      </c>
    </row>
    <row r="520" spans="1:77" hidden="1" x14ac:dyDescent="0.2">
      <c r="A520" s="58" t="str">
        <f>CONCATENATE(Tabelle32[[#This Row],[Device ID]],".",Tabelle32[[#This Row],[Streamcounter]])</f>
        <v>402.25210</v>
      </c>
      <c r="B52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VGW-103_SDI25_AUDrec_0010</v>
      </c>
      <c r="C520" s="60"/>
      <c r="D520" s="61"/>
      <c r="E520" s="62"/>
      <c r="F520" s="59" t="str">
        <f>IFERROR(VLOOKUP(Tabelle32[[#This Row],[Device ID]],BOM!$B$3:$BQ$35,16,FALSE),"")</f>
        <v>IngSRV-10</v>
      </c>
      <c r="G520" s="63">
        <f>VLOOKUP(Tabelle32[[#This Row],[SDI Interface]],BOM!$A$4:$B$35,2,FALSE)</f>
        <v>402</v>
      </c>
      <c r="H520" s="59" t="str">
        <f>BOM!$C$4</f>
        <v>VGW-103</v>
      </c>
      <c r="I520" s="59" t="str">
        <f>IFERROR(VLOOKUP(Tabelle32[[#This Row],[Device ID]],BOM!$B$3:$BQ$35,12,FALSE),"")</f>
        <v>Videoserver</v>
      </c>
      <c r="J520" s="59" t="str">
        <f>IFERROR(VLOOKUP(Tabelle32[[#This Row],[Device ID]],BOM!$B$3:$BQ$35,13,FALSE),"")</f>
        <v>TC.U1.223 | MDC</v>
      </c>
      <c r="K520" s="59" t="str">
        <f>IFERROR(VLOOKUP(Tabelle32[[#This Row],[Device ID]],BOM!$B$3:$BQ$35,14,FALSE),"")</f>
        <v>Imagine Comunications</v>
      </c>
      <c r="L520" s="59" t="str">
        <f>IFERROR(VLOOKUP(Tabelle32[[#This Row],[Device ID]],BOM!$B$3:$BQ$35,16,FALSE),"")</f>
        <v>IngSRV-10</v>
      </c>
      <c r="M520" s="63" t="str">
        <f>IFERROR(VLOOKUP(Tabelle32[[#This Row],[Device ID]],BOM!$B$3:$BQ$35,17,FALSE),"")</f>
        <v>M3H</v>
      </c>
      <c r="N520" s="59" t="str">
        <f>IFERROR(VLOOKUP(Tabelle32[[#This Row],[Device ID]],BOM!$B$3:$BQ$35,18,FALSE),"")</f>
        <v>TC.03.225 | M3H</v>
      </c>
      <c r="O520" s="64"/>
      <c r="P520" s="64">
        <f>IFERROR(VLOOKUP(Tabelle32[[#This Row],[Device ID]],BOM!$B$3:$BO$50,20,FALSE),"")</f>
        <v>0</v>
      </c>
      <c r="Q520" s="64">
        <f>IFERROR(VLOOKUP(Tabelle32[[#This Row],[Device ID]],BOM!$B$3:$BO$50,21,FALSE),"")</f>
        <v>1</v>
      </c>
      <c r="R520" s="64">
        <f>IFERROR(VLOOKUP(Tabelle32[[#This Row],[Device ID]],BOM!$B$3:$BO$50,22,FALSE),"")</f>
        <v>0</v>
      </c>
      <c r="S520" s="64"/>
      <c r="T520" s="64"/>
      <c r="U520" s="59" t="str">
        <f>IFERROR(VLOOKUP(Tabelle32[[#This Row],[Device ID]],BOM!$B$3:$BQ$35,25,FALSE),"")</f>
        <v>Luis/Ivo</v>
      </c>
      <c r="V520" s="59" t="str">
        <f>IFERROR(VLOOKUP(Tabelle32[[#This Row],[Device ID]],BOM!$B$3:$BQ$35,26,FALSE),"")</f>
        <v>tpco-megw-vgw103.rta.st-net.media.int</v>
      </c>
      <c r="W520" s="59" t="str">
        <f>IFERROR(VLOOKUP(Tabelle32[[#This Row],[Device ID]],BOM!$B$3:$BQ$35,27,FALSE),"")</f>
        <v>10.120.236.50</v>
      </c>
      <c r="X520" s="59" t="str">
        <f>IFERROR(VLOOKUP(Tabelle32[[#This Row],[Device ID]],BOM!$B$3:$BQ$35,28,FALSE),"")</f>
        <v>AVCoreA</v>
      </c>
      <c r="Y520" s="59" t="str">
        <f>IFERROR(VLOOKUP(Tabelle32[[#This Row],[Device ID]],BOM!$B$3:$BQ$35,29,FALSE),"")</f>
        <v>5_36_1</v>
      </c>
      <c r="Z520" s="59" t="str">
        <f>IFERROR(VLOOKUP(Tabelle32[[#This Row],[Device ID]],BOM!$B$3:$BQ$35,30,FALSE),"")</f>
        <v>tpco-megw-vgw103.rtb.st-net.media.int</v>
      </c>
      <c r="AA520" s="59" t="str">
        <f>IFERROR(VLOOKUP(Tabelle32[[#This Row],[Device ID]],BOM!$B$3:$BQ$35,31,FALSE),"")</f>
        <v>10.120.236.54</v>
      </c>
      <c r="AB520" s="59" t="str">
        <f>IFERROR(VLOOKUP(Tabelle32[[#This Row],[Device ID]],BOM!$B$3:$BQ$35,32,FALSE),"")</f>
        <v>AVCoreB</v>
      </c>
      <c r="AC520" s="59" t="str">
        <f>IFERROR(VLOOKUP(Tabelle32[[#This Row],[Device ID]],BOM!$B$3:$BQ$35,33,FALSE),"")</f>
        <v>5_36_1</v>
      </c>
      <c r="AD520" s="59" t="str">
        <f>IFERROR(VLOOKUP(Tabelle32[[#This Row],[Device ID]],BOM!$B$3:$BQ$35,34,FALSE),"")</f>
        <v>tpco-megw-vgw103.st-net.media.int</v>
      </c>
      <c r="AE520" s="59" t="str">
        <f>IFERROR(VLOOKUP(Tabelle32[[#This Row],[Device ID]],BOM!$B$3:$BQ$35,35,FALSE),"")</f>
        <v>10.120.67.141</v>
      </c>
      <c r="AF520" s="59">
        <f>IFERROR(VLOOKUP(Tabelle32[[#This Row],[Device ID]],BOM!$B$3:$BQ$35,36,FALSE),"")</f>
        <v>0</v>
      </c>
      <c r="AG520" s="59">
        <f>IFERROR(VLOOKUP(Tabelle32[[#This Row],[Device ID]],BOM!$B$3:$BQ$35,37,FALSE),"")</f>
        <v>0</v>
      </c>
      <c r="AH520" s="59"/>
      <c r="AI520" s="59"/>
      <c r="AJ520" s="59"/>
      <c r="AK520" s="59"/>
      <c r="AL520" s="59" t="str">
        <f>IFERROR(VLOOKUP(Tabelle32[[#This Row],[Device ID]],BOM!$B$3:$BQ$35,42,FALSE),"")</f>
        <v>Imagine Communications SNP</v>
      </c>
      <c r="AM520" s="59" t="str">
        <f>IFERROR(VLOOKUP(Tabelle32[[#This Row],[Device ID]],BOM!$B$3:$BQ$35,43,FALSE),"")</f>
        <v>no</v>
      </c>
      <c r="AN520" s="59" t="str">
        <f>IFERROR(VLOOKUP(Tabelle32[[#This Row],[Device ID]],BOM!$B$3:$BQ$35,44,FALSE),"")</f>
        <v>yes</v>
      </c>
      <c r="AO520" s="59" t="str">
        <f>IFERROR(VLOOKUP(Tabelle32[[#This Row],[Device ID]],BOM!$B$3:$BQ$35,45,FALSE),"")</f>
        <v>no</v>
      </c>
      <c r="AP520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20" s="59"/>
      <c r="AR520" s="92"/>
      <c r="AS520" s="92"/>
      <c r="AT520" s="92"/>
      <c r="AU520" s="92"/>
      <c r="AV520" s="92"/>
      <c r="AW520" s="92"/>
      <c r="AX520" s="92"/>
      <c r="AY520" s="92"/>
      <c r="AZ520" s="92"/>
      <c r="BA520" s="92"/>
      <c r="BB520" s="92"/>
      <c r="BC520" s="92"/>
      <c r="BD520" s="92"/>
      <c r="BE520" s="92"/>
      <c r="BF520" s="92"/>
      <c r="BG520" s="92"/>
      <c r="BH520" s="73" t="s">
        <v>199</v>
      </c>
      <c r="BI520" s="30" t="str">
        <f>IF(COUNTA(Tabelle32[[#This Row],[Type:Vid_1080i50]:[Type:Anc_Prot]])&gt;0,"x","")</f>
        <v/>
      </c>
      <c r="BJ52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20" s="59"/>
      <c r="BL520" s="59"/>
      <c r="BM520" s="63"/>
      <c r="BN520" s="63"/>
      <c r="BO520" s="96"/>
      <c r="BP520" s="96"/>
      <c r="BQ520" s="75">
        <f>LEN(Tabelle32[[#This Row],[Label 1
GFX-Unit]])</f>
        <v>0</v>
      </c>
      <c r="BR520" s="63"/>
      <c r="BS520" s="63"/>
      <c r="BT520" s="59"/>
      <c r="BU520" s="59"/>
      <c r="BV520" s="59" t="s">
        <v>248</v>
      </c>
      <c r="BW520" s="59" t="s">
        <v>249</v>
      </c>
      <c r="BX520" s="59" t="s">
        <v>1010</v>
      </c>
      <c r="BY520" s="59">
        <v>25</v>
      </c>
    </row>
    <row r="521" spans="1:77" hidden="1" x14ac:dyDescent="0.2">
      <c r="A521" s="58" t="str">
        <f>CONCATENATE(Tabelle32[[#This Row],[Device ID]],".",Tabelle32[[#This Row],[Streamcounter]])</f>
        <v>402.25211</v>
      </c>
      <c r="B52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VGW-103_SDI25_AUDrec_0011</v>
      </c>
      <c r="C521" s="60"/>
      <c r="D521" s="61"/>
      <c r="E521" s="62"/>
      <c r="F521" s="59" t="str">
        <f>IFERROR(VLOOKUP(Tabelle32[[#This Row],[Device ID]],BOM!$B$3:$BQ$35,16,FALSE),"")</f>
        <v>IngSRV-10</v>
      </c>
      <c r="G521" s="63">
        <f>VLOOKUP(Tabelle32[[#This Row],[SDI Interface]],BOM!$A$4:$B$35,2,FALSE)</f>
        <v>402</v>
      </c>
      <c r="H521" s="59" t="str">
        <f>BOM!$C$4</f>
        <v>VGW-103</v>
      </c>
      <c r="I521" s="59" t="str">
        <f>IFERROR(VLOOKUP(Tabelle32[[#This Row],[Device ID]],BOM!$B$3:$BQ$35,12,FALSE),"")</f>
        <v>Videoserver</v>
      </c>
      <c r="J521" s="59" t="str">
        <f>IFERROR(VLOOKUP(Tabelle32[[#This Row],[Device ID]],BOM!$B$3:$BQ$35,13,FALSE),"")</f>
        <v>TC.U1.223 | MDC</v>
      </c>
      <c r="K521" s="59" t="str">
        <f>IFERROR(VLOOKUP(Tabelle32[[#This Row],[Device ID]],BOM!$B$3:$BQ$35,14,FALSE),"")</f>
        <v>Imagine Comunications</v>
      </c>
      <c r="L521" s="59" t="str">
        <f>IFERROR(VLOOKUP(Tabelle32[[#This Row],[Device ID]],BOM!$B$3:$BQ$35,16,FALSE),"")</f>
        <v>IngSRV-10</v>
      </c>
      <c r="M521" s="63" t="str">
        <f>IFERROR(VLOOKUP(Tabelle32[[#This Row],[Device ID]],BOM!$B$3:$BQ$35,17,FALSE),"")</f>
        <v>M3H</v>
      </c>
      <c r="N521" s="59" t="str">
        <f>IFERROR(VLOOKUP(Tabelle32[[#This Row],[Device ID]],BOM!$B$3:$BQ$35,18,FALSE),"")</f>
        <v>TC.03.225 | M3H</v>
      </c>
      <c r="O521" s="64"/>
      <c r="P521" s="64">
        <f>IFERROR(VLOOKUP(Tabelle32[[#This Row],[Device ID]],BOM!$B$3:$BO$50,20,FALSE),"")</f>
        <v>0</v>
      </c>
      <c r="Q521" s="64">
        <f>IFERROR(VLOOKUP(Tabelle32[[#This Row],[Device ID]],BOM!$B$3:$BO$50,21,FALSE),"")</f>
        <v>1</v>
      </c>
      <c r="R521" s="64">
        <f>IFERROR(VLOOKUP(Tabelle32[[#This Row],[Device ID]],BOM!$B$3:$BO$50,22,FALSE),"")</f>
        <v>0</v>
      </c>
      <c r="S521" s="64"/>
      <c r="T521" s="64"/>
      <c r="U521" s="59" t="str">
        <f>IFERROR(VLOOKUP(Tabelle32[[#This Row],[Device ID]],BOM!$B$3:$BQ$35,25,FALSE),"")</f>
        <v>Luis/Ivo</v>
      </c>
      <c r="V521" s="59" t="str">
        <f>IFERROR(VLOOKUP(Tabelle32[[#This Row],[Device ID]],BOM!$B$3:$BQ$35,26,FALSE),"")</f>
        <v>tpco-megw-vgw103.rta.st-net.media.int</v>
      </c>
      <c r="W521" s="59" t="str">
        <f>IFERROR(VLOOKUP(Tabelle32[[#This Row],[Device ID]],BOM!$B$3:$BQ$35,27,FALSE),"")</f>
        <v>10.120.236.50</v>
      </c>
      <c r="X521" s="59" t="str">
        <f>IFERROR(VLOOKUP(Tabelle32[[#This Row],[Device ID]],BOM!$B$3:$BQ$35,28,FALSE),"")</f>
        <v>AVCoreA</v>
      </c>
      <c r="Y521" s="59" t="str">
        <f>IFERROR(VLOOKUP(Tabelle32[[#This Row],[Device ID]],BOM!$B$3:$BQ$35,29,FALSE),"")</f>
        <v>5_36_1</v>
      </c>
      <c r="Z521" s="59" t="str">
        <f>IFERROR(VLOOKUP(Tabelle32[[#This Row],[Device ID]],BOM!$B$3:$BQ$35,30,FALSE),"")</f>
        <v>tpco-megw-vgw103.rtb.st-net.media.int</v>
      </c>
      <c r="AA521" s="59" t="str">
        <f>IFERROR(VLOOKUP(Tabelle32[[#This Row],[Device ID]],BOM!$B$3:$BQ$35,31,FALSE),"")</f>
        <v>10.120.236.54</v>
      </c>
      <c r="AB521" s="59" t="str">
        <f>IFERROR(VLOOKUP(Tabelle32[[#This Row],[Device ID]],BOM!$B$3:$BQ$35,32,FALSE),"")</f>
        <v>AVCoreB</v>
      </c>
      <c r="AC521" s="59" t="str">
        <f>IFERROR(VLOOKUP(Tabelle32[[#This Row],[Device ID]],BOM!$B$3:$BQ$35,33,FALSE),"")</f>
        <v>5_36_1</v>
      </c>
      <c r="AD521" s="59" t="str">
        <f>IFERROR(VLOOKUP(Tabelle32[[#This Row],[Device ID]],BOM!$B$3:$BQ$35,34,FALSE),"")</f>
        <v>tpco-megw-vgw103.st-net.media.int</v>
      </c>
      <c r="AE521" s="59" t="str">
        <f>IFERROR(VLOOKUP(Tabelle32[[#This Row],[Device ID]],BOM!$B$3:$BQ$35,35,FALSE),"")</f>
        <v>10.120.67.141</v>
      </c>
      <c r="AF521" s="59">
        <f>IFERROR(VLOOKUP(Tabelle32[[#This Row],[Device ID]],BOM!$B$3:$BQ$35,36,FALSE),"")</f>
        <v>0</v>
      </c>
      <c r="AG521" s="59">
        <f>IFERROR(VLOOKUP(Tabelle32[[#This Row],[Device ID]],BOM!$B$3:$BQ$35,37,FALSE),"")</f>
        <v>0</v>
      </c>
      <c r="AH521" s="59"/>
      <c r="AI521" s="59"/>
      <c r="AJ521" s="59"/>
      <c r="AK521" s="59"/>
      <c r="AL521" s="59" t="str">
        <f>IFERROR(VLOOKUP(Tabelle32[[#This Row],[Device ID]],BOM!$B$3:$BQ$35,42,FALSE),"")</f>
        <v>Imagine Communications SNP</v>
      </c>
      <c r="AM521" s="59" t="str">
        <f>IFERROR(VLOOKUP(Tabelle32[[#This Row],[Device ID]],BOM!$B$3:$BQ$35,43,FALSE),"")</f>
        <v>no</v>
      </c>
      <c r="AN521" s="59" t="str">
        <f>IFERROR(VLOOKUP(Tabelle32[[#This Row],[Device ID]],BOM!$B$3:$BQ$35,44,FALSE),"")</f>
        <v>yes</v>
      </c>
      <c r="AO521" s="59" t="str">
        <f>IFERROR(VLOOKUP(Tabelle32[[#This Row],[Device ID]],BOM!$B$3:$BQ$35,45,FALSE),"")</f>
        <v>no</v>
      </c>
      <c r="AP521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21" s="59"/>
      <c r="AR521" s="92"/>
      <c r="AS521" s="92"/>
      <c r="AT521" s="92"/>
      <c r="AU521" s="92"/>
      <c r="AV521" s="92"/>
      <c r="AW521" s="92"/>
      <c r="AX521" s="92"/>
      <c r="AY521" s="92"/>
      <c r="AZ521" s="92"/>
      <c r="BA521" s="92"/>
      <c r="BB521" s="92"/>
      <c r="BC521" s="92"/>
      <c r="BD521" s="92"/>
      <c r="BE521" s="92"/>
      <c r="BF521" s="92"/>
      <c r="BG521" s="92"/>
      <c r="BH521" s="73" t="s">
        <v>199</v>
      </c>
      <c r="BI521" s="30" t="str">
        <f>IF(COUNTA(Tabelle32[[#This Row],[Type:Vid_1080i50]:[Type:Anc_Prot]])&gt;0,"x","")</f>
        <v/>
      </c>
      <c r="BJ52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21" s="59"/>
      <c r="BL521" s="59"/>
      <c r="BM521" s="63"/>
      <c r="BN521" s="63"/>
      <c r="BO521" s="96"/>
      <c r="BP521" s="96"/>
      <c r="BQ521" s="75">
        <f>LEN(Tabelle32[[#This Row],[Label 1
GFX-Unit]])</f>
        <v>0</v>
      </c>
      <c r="BR521" s="63"/>
      <c r="BS521" s="63"/>
      <c r="BT521" s="59"/>
      <c r="BU521" s="59"/>
      <c r="BV521" s="59" t="s">
        <v>251</v>
      </c>
      <c r="BW521" s="59" t="s">
        <v>252</v>
      </c>
      <c r="BX521" s="59" t="s">
        <v>1011</v>
      </c>
      <c r="BY521" s="59">
        <v>25</v>
      </c>
    </row>
    <row r="522" spans="1:77" hidden="1" x14ac:dyDescent="0.2">
      <c r="A522" s="58" t="str">
        <f>CONCATENATE(Tabelle32[[#This Row],[Device ID]],".",Tabelle32[[#This Row],[Streamcounter]])</f>
        <v>402.25212</v>
      </c>
      <c r="B52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VGW-103_SDI25_AUDrec_0012</v>
      </c>
      <c r="C522" s="60"/>
      <c r="D522" s="61"/>
      <c r="E522" s="62"/>
      <c r="F522" s="59" t="str">
        <f>IFERROR(VLOOKUP(Tabelle32[[#This Row],[Device ID]],BOM!$B$3:$BQ$35,16,FALSE),"")</f>
        <v>IngSRV-10</v>
      </c>
      <c r="G522" s="63">
        <f>VLOOKUP(Tabelle32[[#This Row],[SDI Interface]],BOM!$A$4:$B$35,2,FALSE)</f>
        <v>402</v>
      </c>
      <c r="H522" s="59" t="str">
        <f>BOM!$C$4</f>
        <v>VGW-103</v>
      </c>
      <c r="I522" s="59" t="str">
        <f>IFERROR(VLOOKUP(Tabelle32[[#This Row],[Device ID]],BOM!$B$3:$BQ$35,12,FALSE),"")</f>
        <v>Videoserver</v>
      </c>
      <c r="J522" s="59" t="str">
        <f>IFERROR(VLOOKUP(Tabelle32[[#This Row],[Device ID]],BOM!$B$3:$BQ$35,13,FALSE),"")</f>
        <v>TC.U1.223 | MDC</v>
      </c>
      <c r="K522" s="59" t="str">
        <f>IFERROR(VLOOKUP(Tabelle32[[#This Row],[Device ID]],BOM!$B$3:$BQ$35,14,FALSE),"")</f>
        <v>Imagine Comunications</v>
      </c>
      <c r="L522" s="59" t="str">
        <f>IFERROR(VLOOKUP(Tabelle32[[#This Row],[Device ID]],BOM!$B$3:$BQ$35,16,FALSE),"")</f>
        <v>IngSRV-10</v>
      </c>
      <c r="M522" s="63" t="str">
        <f>IFERROR(VLOOKUP(Tabelle32[[#This Row],[Device ID]],BOM!$B$3:$BQ$35,17,FALSE),"")</f>
        <v>M3H</v>
      </c>
      <c r="N522" s="59" t="str">
        <f>IFERROR(VLOOKUP(Tabelle32[[#This Row],[Device ID]],BOM!$B$3:$BQ$35,18,FALSE),"")</f>
        <v>TC.03.225 | M3H</v>
      </c>
      <c r="O522" s="64"/>
      <c r="P522" s="64">
        <f>IFERROR(VLOOKUP(Tabelle32[[#This Row],[Device ID]],BOM!$B$3:$BO$50,20,FALSE),"")</f>
        <v>0</v>
      </c>
      <c r="Q522" s="64">
        <f>IFERROR(VLOOKUP(Tabelle32[[#This Row],[Device ID]],BOM!$B$3:$BO$50,21,FALSE),"")</f>
        <v>1</v>
      </c>
      <c r="R522" s="64">
        <f>IFERROR(VLOOKUP(Tabelle32[[#This Row],[Device ID]],BOM!$B$3:$BO$50,22,FALSE),"")</f>
        <v>0</v>
      </c>
      <c r="S522" s="64"/>
      <c r="T522" s="64"/>
      <c r="U522" s="59" t="str">
        <f>IFERROR(VLOOKUP(Tabelle32[[#This Row],[Device ID]],BOM!$B$3:$BQ$35,25,FALSE),"")</f>
        <v>Luis/Ivo</v>
      </c>
      <c r="V522" s="59" t="str">
        <f>IFERROR(VLOOKUP(Tabelle32[[#This Row],[Device ID]],BOM!$B$3:$BQ$35,26,FALSE),"")</f>
        <v>tpco-megw-vgw103.rta.st-net.media.int</v>
      </c>
      <c r="W522" s="59" t="str">
        <f>IFERROR(VLOOKUP(Tabelle32[[#This Row],[Device ID]],BOM!$B$3:$BQ$35,27,FALSE),"")</f>
        <v>10.120.236.50</v>
      </c>
      <c r="X522" s="59" t="str">
        <f>IFERROR(VLOOKUP(Tabelle32[[#This Row],[Device ID]],BOM!$B$3:$BQ$35,28,FALSE),"")</f>
        <v>AVCoreA</v>
      </c>
      <c r="Y522" s="59" t="str">
        <f>IFERROR(VLOOKUP(Tabelle32[[#This Row],[Device ID]],BOM!$B$3:$BQ$35,29,FALSE),"")</f>
        <v>5_36_1</v>
      </c>
      <c r="Z522" s="59" t="str">
        <f>IFERROR(VLOOKUP(Tabelle32[[#This Row],[Device ID]],BOM!$B$3:$BQ$35,30,FALSE),"")</f>
        <v>tpco-megw-vgw103.rtb.st-net.media.int</v>
      </c>
      <c r="AA522" s="59" t="str">
        <f>IFERROR(VLOOKUP(Tabelle32[[#This Row],[Device ID]],BOM!$B$3:$BQ$35,31,FALSE),"")</f>
        <v>10.120.236.54</v>
      </c>
      <c r="AB522" s="59" t="str">
        <f>IFERROR(VLOOKUP(Tabelle32[[#This Row],[Device ID]],BOM!$B$3:$BQ$35,32,FALSE),"")</f>
        <v>AVCoreB</v>
      </c>
      <c r="AC522" s="59" t="str">
        <f>IFERROR(VLOOKUP(Tabelle32[[#This Row],[Device ID]],BOM!$B$3:$BQ$35,33,FALSE),"")</f>
        <v>5_36_1</v>
      </c>
      <c r="AD522" s="59" t="str">
        <f>IFERROR(VLOOKUP(Tabelle32[[#This Row],[Device ID]],BOM!$B$3:$BQ$35,34,FALSE),"")</f>
        <v>tpco-megw-vgw103.st-net.media.int</v>
      </c>
      <c r="AE522" s="59" t="str">
        <f>IFERROR(VLOOKUP(Tabelle32[[#This Row],[Device ID]],BOM!$B$3:$BQ$35,35,FALSE),"")</f>
        <v>10.120.67.141</v>
      </c>
      <c r="AF522" s="59">
        <f>IFERROR(VLOOKUP(Tabelle32[[#This Row],[Device ID]],BOM!$B$3:$BQ$35,36,FALSE),"")</f>
        <v>0</v>
      </c>
      <c r="AG522" s="59">
        <f>IFERROR(VLOOKUP(Tabelle32[[#This Row],[Device ID]],BOM!$B$3:$BQ$35,37,FALSE),"")</f>
        <v>0</v>
      </c>
      <c r="AH522" s="59"/>
      <c r="AI522" s="59"/>
      <c r="AJ522" s="59"/>
      <c r="AK522" s="59"/>
      <c r="AL522" s="59" t="str">
        <f>IFERROR(VLOOKUP(Tabelle32[[#This Row],[Device ID]],BOM!$B$3:$BQ$35,42,FALSE),"")</f>
        <v>Imagine Communications SNP</v>
      </c>
      <c r="AM522" s="59" t="str">
        <f>IFERROR(VLOOKUP(Tabelle32[[#This Row],[Device ID]],BOM!$B$3:$BQ$35,43,FALSE),"")</f>
        <v>no</v>
      </c>
      <c r="AN522" s="59" t="str">
        <f>IFERROR(VLOOKUP(Tabelle32[[#This Row],[Device ID]],BOM!$B$3:$BQ$35,44,FALSE),"")</f>
        <v>yes</v>
      </c>
      <c r="AO522" s="59" t="str">
        <f>IFERROR(VLOOKUP(Tabelle32[[#This Row],[Device ID]],BOM!$B$3:$BQ$35,45,FALSE),"")</f>
        <v>no</v>
      </c>
      <c r="AP522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22" s="59"/>
      <c r="AR522" s="92"/>
      <c r="AS522" s="92"/>
      <c r="AT522" s="92"/>
      <c r="AU522" s="92"/>
      <c r="AV522" s="92"/>
      <c r="AW522" s="92"/>
      <c r="AX522" s="92"/>
      <c r="AY522" s="92"/>
      <c r="AZ522" s="92"/>
      <c r="BA522" s="92"/>
      <c r="BB522" s="92"/>
      <c r="BC522" s="92"/>
      <c r="BD522" s="92"/>
      <c r="BE522" s="92"/>
      <c r="BF522" s="92"/>
      <c r="BG522" s="92"/>
      <c r="BH522" s="73" t="s">
        <v>199</v>
      </c>
      <c r="BI522" s="30" t="str">
        <f>IF(COUNTA(Tabelle32[[#This Row],[Type:Vid_1080i50]:[Type:Anc_Prot]])&gt;0,"x","")</f>
        <v/>
      </c>
      <c r="BJ52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22" s="59"/>
      <c r="BL522" s="59"/>
      <c r="BM522" s="63"/>
      <c r="BN522" s="63"/>
      <c r="BO522" s="96"/>
      <c r="BP522" s="96"/>
      <c r="BQ522" s="75">
        <f>LEN(Tabelle32[[#This Row],[Label 1
GFX-Unit]])</f>
        <v>0</v>
      </c>
      <c r="BR522" s="63"/>
      <c r="BS522" s="63"/>
      <c r="BT522" s="59"/>
      <c r="BU522" s="59"/>
      <c r="BV522" s="59" t="s">
        <v>254</v>
      </c>
      <c r="BW522" s="59" t="s">
        <v>255</v>
      </c>
      <c r="BX522" s="59" t="s">
        <v>1012</v>
      </c>
      <c r="BY522" s="59">
        <v>25</v>
      </c>
    </row>
    <row r="523" spans="1:77" hidden="1" x14ac:dyDescent="0.2">
      <c r="A523" s="58" t="str">
        <f>CONCATENATE(Tabelle32[[#This Row],[Device ID]],".",Tabelle32[[#This Row],[Streamcounter]])</f>
        <v>402.25213</v>
      </c>
      <c r="B52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VGW-103_SDI25_AUDrec_0013</v>
      </c>
      <c r="C523" s="60"/>
      <c r="D523" s="61"/>
      <c r="E523" s="62"/>
      <c r="F523" s="59" t="str">
        <f>IFERROR(VLOOKUP(Tabelle32[[#This Row],[Device ID]],BOM!$B$3:$BQ$35,16,FALSE),"")</f>
        <v>IngSRV-10</v>
      </c>
      <c r="G523" s="63">
        <f>VLOOKUP(Tabelle32[[#This Row],[SDI Interface]],BOM!$A$4:$B$35,2,FALSE)</f>
        <v>402</v>
      </c>
      <c r="H523" s="59" t="str">
        <f>BOM!$C$4</f>
        <v>VGW-103</v>
      </c>
      <c r="I523" s="59" t="str">
        <f>IFERROR(VLOOKUP(Tabelle32[[#This Row],[Device ID]],BOM!$B$3:$BQ$35,12,FALSE),"")</f>
        <v>Videoserver</v>
      </c>
      <c r="J523" s="59" t="str">
        <f>IFERROR(VLOOKUP(Tabelle32[[#This Row],[Device ID]],BOM!$B$3:$BQ$35,13,FALSE),"")</f>
        <v>TC.U1.223 | MDC</v>
      </c>
      <c r="K523" s="59" t="str">
        <f>IFERROR(VLOOKUP(Tabelle32[[#This Row],[Device ID]],BOM!$B$3:$BQ$35,14,FALSE),"")</f>
        <v>Imagine Comunications</v>
      </c>
      <c r="L523" s="59" t="str">
        <f>IFERROR(VLOOKUP(Tabelle32[[#This Row],[Device ID]],BOM!$B$3:$BQ$35,16,FALSE),"")</f>
        <v>IngSRV-10</v>
      </c>
      <c r="M523" s="63" t="str">
        <f>IFERROR(VLOOKUP(Tabelle32[[#This Row],[Device ID]],BOM!$B$3:$BQ$35,17,FALSE),"")</f>
        <v>M3H</v>
      </c>
      <c r="N523" s="59" t="str">
        <f>IFERROR(VLOOKUP(Tabelle32[[#This Row],[Device ID]],BOM!$B$3:$BQ$35,18,FALSE),"")</f>
        <v>TC.03.225 | M3H</v>
      </c>
      <c r="O523" s="64"/>
      <c r="P523" s="64">
        <f>IFERROR(VLOOKUP(Tabelle32[[#This Row],[Device ID]],BOM!$B$3:$BO$50,20,FALSE),"")</f>
        <v>0</v>
      </c>
      <c r="Q523" s="64">
        <f>IFERROR(VLOOKUP(Tabelle32[[#This Row],[Device ID]],BOM!$B$3:$BO$50,21,FALSE),"")</f>
        <v>1</v>
      </c>
      <c r="R523" s="64">
        <f>IFERROR(VLOOKUP(Tabelle32[[#This Row],[Device ID]],BOM!$B$3:$BO$50,22,FALSE),"")</f>
        <v>0</v>
      </c>
      <c r="S523" s="64"/>
      <c r="T523" s="64"/>
      <c r="U523" s="59" t="str">
        <f>IFERROR(VLOOKUP(Tabelle32[[#This Row],[Device ID]],BOM!$B$3:$BQ$35,25,FALSE),"")</f>
        <v>Luis/Ivo</v>
      </c>
      <c r="V523" s="59" t="str">
        <f>IFERROR(VLOOKUP(Tabelle32[[#This Row],[Device ID]],BOM!$B$3:$BQ$35,26,FALSE),"")</f>
        <v>tpco-megw-vgw103.rta.st-net.media.int</v>
      </c>
      <c r="W523" s="59" t="str">
        <f>IFERROR(VLOOKUP(Tabelle32[[#This Row],[Device ID]],BOM!$B$3:$BQ$35,27,FALSE),"")</f>
        <v>10.120.236.50</v>
      </c>
      <c r="X523" s="59" t="str">
        <f>IFERROR(VLOOKUP(Tabelle32[[#This Row],[Device ID]],BOM!$B$3:$BQ$35,28,FALSE),"")</f>
        <v>AVCoreA</v>
      </c>
      <c r="Y523" s="59" t="str">
        <f>IFERROR(VLOOKUP(Tabelle32[[#This Row],[Device ID]],BOM!$B$3:$BQ$35,29,FALSE),"")</f>
        <v>5_36_1</v>
      </c>
      <c r="Z523" s="59" t="str">
        <f>IFERROR(VLOOKUP(Tabelle32[[#This Row],[Device ID]],BOM!$B$3:$BQ$35,30,FALSE),"")</f>
        <v>tpco-megw-vgw103.rtb.st-net.media.int</v>
      </c>
      <c r="AA523" s="59" t="str">
        <f>IFERROR(VLOOKUP(Tabelle32[[#This Row],[Device ID]],BOM!$B$3:$BQ$35,31,FALSE),"")</f>
        <v>10.120.236.54</v>
      </c>
      <c r="AB523" s="59" t="str">
        <f>IFERROR(VLOOKUP(Tabelle32[[#This Row],[Device ID]],BOM!$B$3:$BQ$35,32,FALSE),"")</f>
        <v>AVCoreB</v>
      </c>
      <c r="AC523" s="59" t="str">
        <f>IFERROR(VLOOKUP(Tabelle32[[#This Row],[Device ID]],BOM!$B$3:$BQ$35,33,FALSE),"")</f>
        <v>5_36_1</v>
      </c>
      <c r="AD523" s="59" t="str">
        <f>IFERROR(VLOOKUP(Tabelle32[[#This Row],[Device ID]],BOM!$B$3:$BQ$35,34,FALSE),"")</f>
        <v>tpco-megw-vgw103.st-net.media.int</v>
      </c>
      <c r="AE523" s="59" t="str">
        <f>IFERROR(VLOOKUP(Tabelle32[[#This Row],[Device ID]],BOM!$B$3:$BQ$35,35,FALSE),"")</f>
        <v>10.120.67.141</v>
      </c>
      <c r="AF523" s="59">
        <f>IFERROR(VLOOKUP(Tabelle32[[#This Row],[Device ID]],BOM!$B$3:$BQ$35,36,FALSE),"")</f>
        <v>0</v>
      </c>
      <c r="AG523" s="59">
        <f>IFERROR(VLOOKUP(Tabelle32[[#This Row],[Device ID]],BOM!$B$3:$BQ$35,37,FALSE),"")</f>
        <v>0</v>
      </c>
      <c r="AH523" s="59"/>
      <c r="AI523" s="59"/>
      <c r="AJ523" s="59"/>
      <c r="AK523" s="59"/>
      <c r="AL523" s="59" t="str">
        <f>IFERROR(VLOOKUP(Tabelle32[[#This Row],[Device ID]],BOM!$B$3:$BQ$35,42,FALSE),"")</f>
        <v>Imagine Communications SNP</v>
      </c>
      <c r="AM523" s="59" t="str">
        <f>IFERROR(VLOOKUP(Tabelle32[[#This Row],[Device ID]],BOM!$B$3:$BQ$35,43,FALSE),"")</f>
        <v>no</v>
      </c>
      <c r="AN523" s="59" t="str">
        <f>IFERROR(VLOOKUP(Tabelle32[[#This Row],[Device ID]],BOM!$B$3:$BQ$35,44,FALSE),"")</f>
        <v>yes</v>
      </c>
      <c r="AO523" s="59" t="str">
        <f>IFERROR(VLOOKUP(Tabelle32[[#This Row],[Device ID]],BOM!$B$3:$BQ$35,45,FALSE),"")</f>
        <v>no</v>
      </c>
      <c r="AP523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23" s="59"/>
      <c r="AR523" s="92"/>
      <c r="AS523" s="92"/>
      <c r="AT523" s="92"/>
      <c r="AU523" s="92"/>
      <c r="AV523" s="92"/>
      <c r="AW523" s="92"/>
      <c r="AX523" s="92"/>
      <c r="AY523" s="92"/>
      <c r="AZ523" s="92"/>
      <c r="BA523" s="92"/>
      <c r="BB523" s="92"/>
      <c r="BC523" s="92"/>
      <c r="BD523" s="92"/>
      <c r="BE523" s="92"/>
      <c r="BF523" s="92"/>
      <c r="BG523" s="92"/>
      <c r="BH523" s="73" t="s">
        <v>199</v>
      </c>
      <c r="BI523" s="30" t="str">
        <f>IF(COUNTA(Tabelle32[[#This Row],[Type:Vid_1080i50]:[Type:Anc_Prot]])&gt;0,"x","")</f>
        <v/>
      </c>
      <c r="BJ52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23" s="59"/>
      <c r="BL523" s="59"/>
      <c r="BM523" s="63"/>
      <c r="BN523" s="63"/>
      <c r="BO523" s="96"/>
      <c r="BP523" s="96"/>
      <c r="BQ523" s="75">
        <f>LEN(Tabelle32[[#This Row],[Label 1
GFX-Unit]])</f>
        <v>0</v>
      </c>
      <c r="BR523" s="63"/>
      <c r="BS523" s="63"/>
      <c r="BT523" s="59"/>
      <c r="BU523" s="59"/>
      <c r="BV523" s="59" t="s">
        <v>257</v>
      </c>
      <c r="BW523" s="59" t="s">
        <v>258</v>
      </c>
      <c r="BX523" s="59" t="s">
        <v>1013</v>
      </c>
      <c r="BY523" s="59">
        <v>25</v>
      </c>
    </row>
    <row r="524" spans="1:77" hidden="1" x14ac:dyDescent="0.2">
      <c r="A524" s="58" t="str">
        <f>CONCATENATE(Tabelle32[[#This Row],[Device ID]],".",Tabelle32[[#This Row],[Streamcounter]])</f>
        <v>402.25214</v>
      </c>
      <c r="B52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VGW-103_SDI25_AUDrec_0014</v>
      </c>
      <c r="C524" s="60"/>
      <c r="D524" s="61"/>
      <c r="E524" s="62"/>
      <c r="F524" s="59" t="str">
        <f>IFERROR(VLOOKUP(Tabelle32[[#This Row],[Device ID]],BOM!$B$3:$BQ$35,16,FALSE),"")</f>
        <v>IngSRV-10</v>
      </c>
      <c r="G524" s="63">
        <f>VLOOKUP(Tabelle32[[#This Row],[SDI Interface]],BOM!$A$4:$B$35,2,FALSE)</f>
        <v>402</v>
      </c>
      <c r="H524" s="59" t="str">
        <f>BOM!$C$4</f>
        <v>VGW-103</v>
      </c>
      <c r="I524" s="59" t="str">
        <f>IFERROR(VLOOKUP(Tabelle32[[#This Row],[Device ID]],BOM!$B$3:$BQ$35,12,FALSE),"")</f>
        <v>Videoserver</v>
      </c>
      <c r="J524" s="59" t="str">
        <f>IFERROR(VLOOKUP(Tabelle32[[#This Row],[Device ID]],BOM!$B$3:$BQ$35,13,FALSE),"")</f>
        <v>TC.U1.223 | MDC</v>
      </c>
      <c r="K524" s="59" t="str">
        <f>IFERROR(VLOOKUP(Tabelle32[[#This Row],[Device ID]],BOM!$B$3:$BQ$35,14,FALSE),"")</f>
        <v>Imagine Comunications</v>
      </c>
      <c r="L524" s="59" t="str">
        <f>IFERROR(VLOOKUP(Tabelle32[[#This Row],[Device ID]],BOM!$B$3:$BQ$35,16,FALSE),"")</f>
        <v>IngSRV-10</v>
      </c>
      <c r="M524" s="63" t="str">
        <f>IFERROR(VLOOKUP(Tabelle32[[#This Row],[Device ID]],BOM!$B$3:$BQ$35,17,FALSE),"")</f>
        <v>M3H</v>
      </c>
      <c r="N524" s="59" t="str">
        <f>IFERROR(VLOOKUP(Tabelle32[[#This Row],[Device ID]],BOM!$B$3:$BQ$35,18,FALSE),"")</f>
        <v>TC.03.225 | M3H</v>
      </c>
      <c r="O524" s="64"/>
      <c r="P524" s="64">
        <f>IFERROR(VLOOKUP(Tabelle32[[#This Row],[Device ID]],BOM!$B$3:$BO$50,20,FALSE),"")</f>
        <v>0</v>
      </c>
      <c r="Q524" s="64">
        <f>IFERROR(VLOOKUP(Tabelle32[[#This Row],[Device ID]],BOM!$B$3:$BO$50,21,FALSE),"")</f>
        <v>1</v>
      </c>
      <c r="R524" s="64">
        <f>IFERROR(VLOOKUP(Tabelle32[[#This Row],[Device ID]],BOM!$B$3:$BO$50,22,FALSE),"")</f>
        <v>0</v>
      </c>
      <c r="S524" s="64"/>
      <c r="T524" s="64"/>
      <c r="U524" s="59" t="str">
        <f>IFERROR(VLOOKUP(Tabelle32[[#This Row],[Device ID]],BOM!$B$3:$BQ$35,25,FALSE),"")</f>
        <v>Luis/Ivo</v>
      </c>
      <c r="V524" s="59" t="str">
        <f>IFERROR(VLOOKUP(Tabelle32[[#This Row],[Device ID]],BOM!$B$3:$BQ$35,26,FALSE),"")</f>
        <v>tpco-megw-vgw103.rta.st-net.media.int</v>
      </c>
      <c r="W524" s="59" t="str">
        <f>IFERROR(VLOOKUP(Tabelle32[[#This Row],[Device ID]],BOM!$B$3:$BQ$35,27,FALSE),"")</f>
        <v>10.120.236.50</v>
      </c>
      <c r="X524" s="59" t="str">
        <f>IFERROR(VLOOKUP(Tabelle32[[#This Row],[Device ID]],BOM!$B$3:$BQ$35,28,FALSE),"")</f>
        <v>AVCoreA</v>
      </c>
      <c r="Y524" s="59" t="str">
        <f>IFERROR(VLOOKUP(Tabelle32[[#This Row],[Device ID]],BOM!$B$3:$BQ$35,29,FALSE),"")</f>
        <v>5_36_1</v>
      </c>
      <c r="Z524" s="59" t="str">
        <f>IFERROR(VLOOKUP(Tabelle32[[#This Row],[Device ID]],BOM!$B$3:$BQ$35,30,FALSE),"")</f>
        <v>tpco-megw-vgw103.rtb.st-net.media.int</v>
      </c>
      <c r="AA524" s="59" t="str">
        <f>IFERROR(VLOOKUP(Tabelle32[[#This Row],[Device ID]],BOM!$B$3:$BQ$35,31,FALSE),"")</f>
        <v>10.120.236.54</v>
      </c>
      <c r="AB524" s="59" t="str">
        <f>IFERROR(VLOOKUP(Tabelle32[[#This Row],[Device ID]],BOM!$B$3:$BQ$35,32,FALSE),"")</f>
        <v>AVCoreB</v>
      </c>
      <c r="AC524" s="59" t="str">
        <f>IFERROR(VLOOKUP(Tabelle32[[#This Row],[Device ID]],BOM!$B$3:$BQ$35,33,FALSE),"")</f>
        <v>5_36_1</v>
      </c>
      <c r="AD524" s="59" t="str">
        <f>IFERROR(VLOOKUP(Tabelle32[[#This Row],[Device ID]],BOM!$B$3:$BQ$35,34,FALSE),"")</f>
        <v>tpco-megw-vgw103.st-net.media.int</v>
      </c>
      <c r="AE524" s="59" t="str">
        <f>IFERROR(VLOOKUP(Tabelle32[[#This Row],[Device ID]],BOM!$B$3:$BQ$35,35,FALSE),"")</f>
        <v>10.120.67.141</v>
      </c>
      <c r="AF524" s="59">
        <f>IFERROR(VLOOKUP(Tabelle32[[#This Row],[Device ID]],BOM!$B$3:$BQ$35,36,FALSE),"")</f>
        <v>0</v>
      </c>
      <c r="AG524" s="59">
        <f>IFERROR(VLOOKUP(Tabelle32[[#This Row],[Device ID]],BOM!$B$3:$BQ$35,37,FALSE),"")</f>
        <v>0</v>
      </c>
      <c r="AH524" s="59"/>
      <c r="AI524" s="59"/>
      <c r="AJ524" s="59"/>
      <c r="AK524" s="59"/>
      <c r="AL524" s="59" t="str">
        <f>IFERROR(VLOOKUP(Tabelle32[[#This Row],[Device ID]],BOM!$B$3:$BQ$35,42,FALSE),"")</f>
        <v>Imagine Communications SNP</v>
      </c>
      <c r="AM524" s="59" t="str">
        <f>IFERROR(VLOOKUP(Tabelle32[[#This Row],[Device ID]],BOM!$B$3:$BQ$35,43,FALSE),"")</f>
        <v>no</v>
      </c>
      <c r="AN524" s="59" t="str">
        <f>IFERROR(VLOOKUP(Tabelle32[[#This Row],[Device ID]],BOM!$B$3:$BQ$35,44,FALSE),"")</f>
        <v>yes</v>
      </c>
      <c r="AO524" s="59" t="str">
        <f>IFERROR(VLOOKUP(Tabelle32[[#This Row],[Device ID]],BOM!$B$3:$BQ$35,45,FALSE),"")</f>
        <v>no</v>
      </c>
      <c r="AP524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24" s="59"/>
      <c r="AR524" s="92"/>
      <c r="AS524" s="92"/>
      <c r="AT524" s="92"/>
      <c r="AU524" s="92"/>
      <c r="AV524" s="92"/>
      <c r="AW524" s="92"/>
      <c r="AX524" s="92"/>
      <c r="AY524" s="92"/>
      <c r="AZ524" s="92"/>
      <c r="BA524" s="92"/>
      <c r="BB524" s="92"/>
      <c r="BC524" s="92"/>
      <c r="BD524" s="92"/>
      <c r="BE524" s="92"/>
      <c r="BF524" s="92"/>
      <c r="BG524" s="92"/>
      <c r="BH524" s="73" t="s">
        <v>199</v>
      </c>
      <c r="BI524" s="30" t="str">
        <f>IF(COUNTA(Tabelle32[[#This Row],[Type:Vid_1080i50]:[Type:Anc_Prot]])&gt;0,"x","")</f>
        <v/>
      </c>
      <c r="BJ52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24" s="59"/>
      <c r="BL524" s="59"/>
      <c r="BM524" s="63"/>
      <c r="BN524" s="63"/>
      <c r="BO524" s="96"/>
      <c r="BP524" s="96"/>
      <c r="BQ524" s="75">
        <f>LEN(Tabelle32[[#This Row],[Label 1
GFX-Unit]])</f>
        <v>0</v>
      </c>
      <c r="BR524" s="63"/>
      <c r="BS524" s="63"/>
      <c r="BT524" s="59"/>
      <c r="BU524" s="59"/>
      <c r="BV524" s="59" t="s">
        <v>260</v>
      </c>
      <c r="BW524" s="59" t="s">
        <v>261</v>
      </c>
      <c r="BX524" s="59" t="s">
        <v>1014</v>
      </c>
      <c r="BY524" s="59">
        <v>25</v>
      </c>
    </row>
    <row r="525" spans="1:77" x14ac:dyDescent="0.2">
      <c r="A525" s="58" t="str">
        <f>CONCATENATE(Tabelle32[[#This Row],[Device ID]],".",Tabelle32[[#This Row],[Streamcounter]])</f>
        <v>402.25215</v>
      </c>
      <c r="B52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VGW-103_SDI25_AUDrec_0015</v>
      </c>
      <c r="C525" s="60"/>
      <c r="D525" s="61"/>
      <c r="E525" s="62"/>
      <c r="F525" s="59" t="str">
        <f>IFERROR(VLOOKUP(Tabelle32[[#This Row],[Device ID]],BOM!$B$3:$BQ$35,16,FALSE),"")</f>
        <v>IngSRV-10</v>
      </c>
      <c r="G525" s="63">
        <f>VLOOKUP(Tabelle32[[#This Row],[SDI Interface]],BOM!$A$4:$B$35,2,FALSE)</f>
        <v>402</v>
      </c>
      <c r="H525" s="59" t="str">
        <f>BOM!$C$4</f>
        <v>VGW-103</v>
      </c>
      <c r="I525" s="59" t="str">
        <f>IFERROR(VLOOKUP(Tabelle32[[#This Row],[Device ID]],BOM!$B$3:$BQ$35,12,FALSE),"")</f>
        <v>Videoserver</v>
      </c>
      <c r="J525" s="59" t="str">
        <f>IFERROR(VLOOKUP(Tabelle32[[#This Row],[Device ID]],BOM!$B$3:$BQ$35,13,FALSE),"")</f>
        <v>TC.U1.223 | MDC</v>
      </c>
      <c r="K525" s="59" t="str">
        <f>IFERROR(VLOOKUP(Tabelle32[[#This Row],[Device ID]],BOM!$B$3:$BQ$35,14,FALSE),"")</f>
        <v>Imagine Comunications</v>
      </c>
      <c r="L525" s="59" t="str">
        <f>IFERROR(VLOOKUP(Tabelle32[[#This Row],[Device ID]],BOM!$B$3:$BQ$35,16,FALSE),"")</f>
        <v>IngSRV-10</v>
      </c>
      <c r="M525" s="63" t="str">
        <f>IFERROR(VLOOKUP(Tabelle32[[#This Row],[Device ID]],BOM!$B$3:$BQ$35,17,FALSE),"")</f>
        <v>M3H</v>
      </c>
      <c r="N525" s="59" t="str">
        <f>IFERROR(VLOOKUP(Tabelle32[[#This Row],[Device ID]],BOM!$B$3:$BQ$35,18,FALSE),"")</f>
        <v>TC.03.225 | M3H</v>
      </c>
      <c r="O525" s="64"/>
      <c r="P525" s="64">
        <f>IFERROR(VLOOKUP(Tabelle32[[#This Row],[Device ID]],BOM!$B$3:$BO$50,20,FALSE),"")</f>
        <v>0</v>
      </c>
      <c r="Q525" s="64">
        <f>IFERROR(VLOOKUP(Tabelle32[[#This Row],[Device ID]],BOM!$B$3:$BO$50,21,FALSE),"")</f>
        <v>1</v>
      </c>
      <c r="R525" s="64">
        <f>IFERROR(VLOOKUP(Tabelle32[[#This Row],[Device ID]],BOM!$B$3:$BO$50,22,FALSE),"")</f>
        <v>0</v>
      </c>
      <c r="S525" s="64"/>
      <c r="T525" s="64"/>
      <c r="U525" s="59" t="str">
        <f>IFERROR(VLOOKUP(Tabelle32[[#This Row],[Device ID]],BOM!$B$3:$BQ$35,25,FALSE),"")</f>
        <v>Luis/Ivo</v>
      </c>
      <c r="V525" s="59" t="str">
        <f>IFERROR(VLOOKUP(Tabelle32[[#This Row],[Device ID]],BOM!$B$3:$BQ$35,26,FALSE),"")</f>
        <v>tpco-megw-vgw103.rta.st-net.media.int</v>
      </c>
      <c r="W525" s="59" t="str">
        <f>IFERROR(VLOOKUP(Tabelle32[[#This Row],[Device ID]],BOM!$B$3:$BQ$35,27,FALSE),"")</f>
        <v>10.120.236.50</v>
      </c>
      <c r="X525" s="59" t="str">
        <f>IFERROR(VLOOKUP(Tabelle32[[#This Row],[Device ID]],BOM!$B$3:$BQ$35,28,FALSE),"")</f>
        <v>AVCoreA</v>
      </c>
      <c r="Y525" s="59" t="str">
        <f>IFERROR(VLOOKUP(Tabelle32[[#This Row],[Device ID]],BOM!$B$3:$BQ$35,29,FALSE),"")</f>
        <v>5_36_1</v>
      </c>
      <c r="Z525" s="59" t="str">
        <f>IFERROR(VLOOKUP(Tabelle32[[#This Row],[Device ID]],BOM!$B$3:$BQ$35,30,FALSE),"")</f>
        <v>tpco-megw-vgw103.rtb.st-net.media.int</v>
      </c>
      <c r="AA525" s="59" t="str">
        <f>IFERROR(VLOOKUP(Tabelle32[[#This Row],[Device ID]],BOM!$B$3:$BQ$35,31,FALSE),"")</f>
        <v>10.120.236.54</v>
      </c>
      <c r="AB525" s="59" t="str">
        <f>IFERROR(VLOOKUP(Tabelle32[[#This Row],[Device ID]],BOM!$B$3:$BQ$35,32,FALSE),"")</f>
        <v>AVCoreB</v>
      </c>
      <c r="AC525" s="59" t="str">
        <f>IFERROR(VLOOKUP(Tabelle32[[#This Row],[Device ID]],BOM!$B$3:$BQ$35,33,FALSE),"")</f>
        <v>5_36_1</v>
      </c>
      <c r="AD525" s="59" t="str">
        <f>IFERROR(VLOOKUP(Tabelle32[[#This Row],[Device ID]],BOM!$B$3:$BQ$35,34,FALSE),"")</f>
        <v>tpco-megw-vgw103.st-net.media.int</v>
      </c>
      <c r="AE525" s="59" t="str">
        <f>IFERROR(VLOOKUP(Tabelle32[[#This Row],[Device ID]],BOM!$B$3:$BQ$35,35,FALSE),"")</f>
        <v>10.120.67.141</v>
      </c>
      <c r="AF525" s="59">
        <f>IFERROR(VLOOKUP(Tabelle32[[#This Row],[Device ID]],BOM!$B$3:$BQ$35,36,FALSE),"")</f>
        <v>0</v>
      </c>
      <c r="AG525" s="59">
        <f>IFERROR(VLOOKUP(Tabelle32[[#This Row],[Device ID]],BOM!$B$3:$BQ$35,37,FALSE),"")</f>
        <v>0</v>
      </c>
      <c r="AH525" s="59"/>
      <c r="AI525" s="59"/>
      <c r="AJ525" s="59"/>
      <c r="AK525" s="59"/>
      <c r="AL525" s="59" t="str">
        <f>IFERROR(VLOOKUP(Tabelle32[[#This Row],[Device ID]],BOM!$B$3:$BQ$35,42,FALSE),"")</f>
        <v>Imagine Communications SNP</v>
      </c>
      <c r="AM525" s="59" t="str">
        <f>IFERROR(VLOOKUP(Tabelle32[[#This Row],[Device ID]],BOM!$B$3:$BQ$35,43,FALSE),"")</f>
        <v>no</v>
      </c>
      <c r="AN525" s="59" t="str">
        <f>IFERROR(VLOOKUP(Tabelle32[[#This Row],[Device ID]],BOM!$B$3:$BQ$35,44,FALSE),"")</f>
        <v>yes</v>
      </c>
      <c r="AO525" s="59" t="str">
        <f>IFERROR(VLOOKUP(Tabelle32[[#This Row],[Device ID]],BOM!$B$3:$BQ$35,45,FALSE),"")</f>
        <v>no</v>
      </c>
      <c r="AP525" s="59" t="str">
        <f>IFERROR(CONCATENATE(Tabelle32[[#This Row],[Family
GFX-Unit]]," | ",Tabelle32[[#This Row],[Label 1
GFX-Unit]]," | ",Tabelle32[[#This Row],[Attached Device if Gateway]]),"")</f>
        <v>M3H InCh PGM | Ingest Ch37-15 | IngSRV-10</v>
      </c>
      <c r="AQ525" s="59"/>
      <c r="AR525" s="92"/>
      <c r="AS525" s="92"/>
      <c r="AT525" s="92"/>
      <c r="AU525" s="92"/>
      <c r="AV525" s="92"/>
      <c r="AW525" s="92" t="s">
        <v>97</v>
      </c>
      <c r="AX525" s="92"/>
      <c r="AY525" s="92"/>
      <c r="AZ525" s="92" t="s">
        <v>97</v>
      </c>
      <c r="BA525" s="92"/>
      <c r="BB525" s="92" t="s">
        <v>97</v>
      </c>
      <c r="BC525" s="92" t="s">
        <v>97</v>
      </c>
      <c r="BD525" s="92" t="s">
        <v>97</v>
      </c>
      <c r="BE525" s="92"/>
      <c r="BF525" s="92"/>
      <c r="BG525" s="92"/>
      <c r="BH525" s="73" t="s">
        <v>199</v>
      </c>
      <c r="BI525" s="30" t="str">
        <f>IF(COUNTA(Tabelle32[[#This Row],[Type:Vid_1080i50]:[Type:Anc_Prot]])&gt;0,"x","")</f>
        <v>x</v>
      </c>
      <c r="BJ52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525" s="59"/>
      <c r="BL525" s="59"/>
      <c r="BM525" s="63"/>
      <c r="BN525" s="63"/>
      <c r="BO525" s="97" t="s">
        <v>2684</v>
      </c>
      <c r="BP525" s="97" t="s">
        <v>2694</v>
      </c>
      <c r="BQ525" s="75">
        <f>LEN(Tabelle32[[#This Row],[Label 1
GFX-Unit]])</f>
        <v>14</v>
      </c>
      <c r="BR525" s="63"/>
      <c r="BS525" s="63"/>
      <c r="BT525" s="59"/>
      <c r="BU525" s="59"/>
      <c r="BV525" s="59" t="s">
        <v>264</v>
      </c>
      <c r="BW525" s="59" t="s">
        <v>265</v>
      </c>
      <c r="BX525" s="59" t="s">
        <v>1015</v>
      </c>
      <c r="BY525" s="59">
        <v>25</v>
      </c>
    </row>
    <row r="526" spans="1:77" x14ac:dyDescent="0.2">
      <c r="A526" s="58" t="str">
        <f>CONCATENATE(Tabelle32[[#This Row],[Device ID]],".",Tabelle32[[#This Row],[Streamcounter]])</f>
        <v>402.25216</v>
      </c>
      <c r="B52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VGW-103_SDI25_AUDrec_0016</v>
      </c>
      <c r="C526" s="60"/>
      <c r="D526" s="61"/>
      <c r="E526" s="62"/>
      <c r="F526" s="59" t="str">
        <f>IFERROR(VLOOKUP(Tabelle32[[#This Row],[Device ID]],BOM!$B$3:$BQ$35,16,FALSE),"")</f>
        <v>IngSRV-10</v>
      </c>
      <c r="G526" s="63">
        <f>VLOOKUP(Tabelle32[[#This Row],[SDI Interface]],BOM!$A$4:$B$35,2,FALSE)</f>
        <v>402</v>
      </c>
      <c r="H526" s="59" t="str">
        <f>BOM!$C$4</f>
        <v>VGW-103</v>
      </c>
      <c r="I526" s="59" t="str">
        <f>IFERROR(VLOOKUP(Tabelle32[[#This Row],[Device ID]],BOM!$B$3:$BQ$35,12,FALSE),"")</f>
        <v>Videoserver</v>
      </c>
      <c r="J526" s="59" t="str">
        <f>IFERROR(VLOOKUP(Tabelle32[[#This Row],[Device ID]],BOM!$B$3:$BQ$35,13,FALSE),"")</f>
        <v>TC.U1.223 | MDC</v>
      </c>
      <c r="K526" s="59" t="str">
        <f>IFERROR(VLOOKUP(Tabelle32[[#This Row],[Device ID]],BOM!$B$3:$BQ$35,14,FALSE),"")</f>
        <v>Imagine Comunications</v>
      </c>
      <c r="L526" s="59" t="str">
        <f>IFERROR(VLOOKUP(Tabelle32[[#This Row],[Device ID]],BOM!$B$3:$BQ$35,16,FALSE),"")</f>
        <v>IngSRV-10</v>
      </c>
      <c r="M526" s="63" t="str">
        <f>IFERROR(VLOOKUP(Tabelle32[[#This Row],[Device ID]],BOM!$B$3:$BQ$35,17,FALSE),"")</f>
        <v>M3H</v>
      </c>
      <c r="N526" s="59" t="str">
        <f>IFERROR(VLOOKUP(Tabelle32[[#This Row],[Device ID]],BOM!$B$3:$BQ$35,18,FALSE),"")</f>
        <v>TC.03.225 | M3H</v>
      </c>
      <c r="O526" s="64"/>
      <c r="P526" s="64">
        <f>IFERROR(VLOOKUP(Tabelle32[[#This Row],[Device ID]],BOM!$B$3:$BO$50,20,FALSE),"")</f>
        <v>0</v>
      </c>
      <c r="Q526" s="64">
        <f>IFERROR(VLOOKUP(Tabelle32[[#This Row],[Device ID]],BOM!$B$3:$BO$50,21,FALSE),"")</f>
        <v>1</v>
      </c>
      <c r="R526" s="64">
        <f>IFERROR(VLOOKUP(Tabelle32[[#This Row],[Device ID]],BOM!$B$3:$BO$50,22,FALSE),"")</f>
        <v>0</v>
      </c>
      <c r="S526" s="64"/>
      <c r="T526" s="64"/>
      <c r="U526" s="59" t="str">
        <f>IFERROR(VLOOKUP(Tabelle32[[#This Row],[Device ID]],BOM!$B$3:$BQ$35,25,FALSE),"")</f>
        <v>Luis/Ivo</v>
      </c>
      <c r="V526" s="59" t="str">
        <f>IFERROR(VLOOKUP(Tabelle32[[#This Row],[Device ID]],BOM!$B$3:$BQ$35,26,FALSE),"")</f>
        <v>tpco-megw-vgw103.rta.st-net.media.int</v>
      </c>
      <c r="W526" s="59" t="str">
        <f>IFERROR(VLOOKUP(Tabelle32[[#This Row],[Device ID]],BOM!$B$3:$BQ$35,27,FALSE),"")</f>
        <v>10.120.236.50</v>
      </c>
      <c r="X526" s="59" t="str">
        <f>IFERROR(VLOOKUP(Tabelle32[[#This Row],[Device ID]],BOM!$B$3:$BQ$35,28,FALSE),"")</f>
        <v>AVCoreA</v>
      </c>
      <c r="Y526" s="59" t="str">
        <f>IFERROR(VLOOKUP(Tabelle32[[#This Row],[Device ID]],BOM!$B$3:$BQ$35,29,FALSE),"")</f>
        <v>5_36_1</v>
      </c>
      <c r="Z526" s="59" t="str">
        <f>IFERROR(VLOOKUP(Tabelle32[[#This Row],[Device ID]],BOM!$B$3:$BQ$35,30,FALSE),"")</f>
        <v>tpco-megw-vgw103.rtb.st-net.media.int</v>
      </c>
      <c r="AA526" s="59" t="str">
        <f>IFERROR(VLOOKUP(Tabelle32[[#This Row],[Device ID]],BOM!$B$3:$BQ$35,31,FALSE),"")</f>
        <v>10.120.236.54</v>
      </c>
      <c r="AB526" s="59" t="str">
        <f>IFERROR(VLOOKUP(Tabelle32[[#This Row],[Device ID]],BOM!$B$3:$BQ$35,32,FALSE),"")</f>
        <v>AVCoreB</v>
      </c>
      <c r="AC526" s="59" t="str">
        <f>IFERROR(VLOOKUP(Tabelle32[[#This Row],[Device ID]],BOM!$B$3:$BQ$35,33,FALSE),"")</f>
        <v>5_36_1</v>
      </c>
      <c r="AD526" s="59" t="str">
        <f>IFERROR(VLOOKUP(Tabelle32[[#This Row],[Device ID]],BOM!$B$3:$BQ$35,34,FALSE),"")</f>
        <v>tpco-megw-vgw103.st-net.media.int</v>
      </c>
      <c r="AE526" s="59" t="str">
        <f>IFERROR(VLOOKUP(Tabelle32[[#This Row],[Device ID]],BOM!$B$3:$BQ$35,35,FALSE),"")</f>
        <v>10.120.67.141</v>
      </c>
      <c r="AF526" s="59">
        <f>IFERROR(VLOOKUP(Tabelle32[[#This Row],[Device ID]],BOM!$B$3:$BQ$35,36,FALSE),"")</f>
        <v>0</v>
      </c>
      <c r="AG526" s="59">
        <f>IFERROR(VLOOKUP(Tabelle32[[#This Row],[Device ID]],BOM!$B$3:$BQ$35,37,FALSE),"")</f>
        <v>0</v>
      </c>
      <c r="AH526" s="59"/>
      <c r="AI526" s="59"/>
      <c r="AJ526" s="59"/>
      <c r="AK526" s="59"/>
      <c r="AL526" s="59" t="str">
        <f>IFERROR(VLOOKUP(Tabelle32[[#This Row],[Device ID]],BOM!$B$3:$BQ$35,42,FALSE),"")</f>
        <v>Imagine Communications SNP</v>
      </c>
      <c r="AM526" s="59" t="str">
        <f>IFERROR(VLOOKUP(Tabelle32[[#This Row],[Device ID]],BOM!$B$3:$BQ$35,43,FALSE),"")</f>
        <v>no</v>
      </c>
      <c r="AN526" s="59" t="str">
        <f>IFERROR(VLOOKUP(Tabelle32[[#This Row],[Device ID]],BOM!$B$3:$BQ$35,44,FALSE),"")</f>
        <v>yes</v>
      </c>
      <c r="AO526" s="59" t="str">
        <f>IFERROR(VLOOKUP(Tabelle32[[#This Row],[Device ID]],BOM!$B$3:$BQ$35,45,FALSE),"")</f>
        <v>no</v>
      </c>
      <c r="AP526" s="59" t="str">
        <f>IFERROR(CONCATENATE(Tabelle32[[#This Row],[Family
GFX-Unit]]," | ",Tabelle32[[#This Row],[Label 1
GFX-Unit]]," | ",Tabelle32[[#This Row],[Attached Device if Gateway]]),"")</f>
        <v>M3H InCh PGM | Ingest Ch37-16 | IngSRV-10</v>
      </c>
      <c r="AQ526" s="59"/>
      <c r="AR526" s="92"/>
      <c r="AS526" s="92"/>
      <c r="AT526" s="92"/>
      <c r="AU526" s="92"/>
      <c r="AV526" s="92"/>
      <c r="AW526" s="92" t="s">
        <v>97</v>
      </c>
      <c r="AX526" s="92"/>
      <c r="AY526" s="92"/>
      <c r="AZ526" s="92" t="s">
        <v>97</v>
      </c>
      <c r="BA526" s="92"/>
      <c r="BB526" s="92" t="s">
        <v>97</v>
      </c>
      <c r="BC526" s="92" t="s">
        <v>97</v>
      </c>
      <c r="BD526" s="92" t="s">
        <v>97</v>
      </c>
      <c r="BE526" s="92"/>
      <c r="BF526" s="92"/>
      <c r="BG526" s="92"/>
      <c r="BH526" s="73" t="s">
        <v>199</v>
      </c>
      <c r="BI526" s="30" t="str">
        <f>IF(COUNTA(Tabelle32[[#This Row],[Type:Vid_1080i50]:[Type:Anc_Prot]])&gt;0,"x","")</f>
        <v>x</v>
      </c>
      <c r="BJ52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526" s="59"/>
      <c r="BL526" s="59"/>
      <c r="BM526" s="63"/>
      <c r="BN526" s="63"/>
      <c r="BO526" s="97" t="s">
        <v>2684</v>
      </c>
      <c r="BP526" s="97" t="s">
        <v>2695</v>
      </c>
      <c r="BQ526" s="75">
        <f>LEN(Tabelle32[[#This Row],[Label 1
GFX-Unit]])</f>
        <v>14</v>
      </c>
      <c r="BR526" s="63"/>
      <c r="BS526" s="63"/>
      <c r="BT526" s="59"/>
      <c r="BU526" s="59"/>
      <c r="BV526" s="59" t="s">
        <v>268</v>
      </c>
      <c r="BW526" s="59" t="s">
        <v>269</v>
      </c>
      <c r="BX526" s="59" t="s">
        <v>1016</v>
      </c>
      <c r="BY526" s="59">
        <v>25</v>
      </c>
    </row>
    <row r="527" spans="1:77" x14ac:dyDescent="0.2">
      <c r="A527" s="58" t="str">
        <f>CONCATENATE(Tabelle32[[#This Row],[Device ID]],".",Tabelle32[[#This Row],[Streamcounter]])</f>
        <v>402.25101</v>
      </c>
      <c r="B52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VGW-103_SDI25_VIDrec_0001</v>
      </c>
      <c r="C527" s="60"/>
      <c r="D527" s="61"/>
      <c r="E527" s="62"/>
      <c r="F527" s="59" t="str">
        <f>IFERROR(VLOOKUP(Tabelle32[[#This Row],[Device ID]],BOM!$B$3:$BQ$35,16,FALSE),"")</f>
        <v>IngSRV-10</v>
      </c>
      <c r="G527" s="63">
        <f>VLOOKUP(Tabelle32[[#This Row],[SDI Interface]],BOM!$A$4:$B$35,2,FALSE)</f>
        <v>402</v>
      </c>
      <c r="H527" s="59" t="str">
        <f>BOM!$C$4</f>
        <v>VGW-103</v>
      </c>
      <c r="I527" s="59" t="str">
        <f>IFERROR(VLOOKUP(Tabelle32[[#This Row],[Device ID]],BOM!$B$3:$BQ$35,12,FALSE),"")</f>
        <v>Videoserver</v>
      </c>
      <c r="J527" s="59" t="str">
        <f>IFERROR(VLOOKUP(Tabelle32[[#This Row],[Device ID]],BOM!$B$3:$BQ$35,13,FALSE),"")</f>
        <v>TC.U1.223 | MDC</v>
      </c>
      <c r="K527" s="59" t="str">
        <f>IFERROR(VLOOKUP(Tabelle32[[#This Row],[Device ID]],BOM!$B$3:$BQ$35,14,FALSE),"")</f>
        <v>Imagine Comunications</v>
      </c>
      <c r="L527" s="59" t="str">
        <f>IFERROR(VLOOKUP(Tabelle32[[#This Row],[Device ID]],BOM!$B$3:$BQ$35,16,FALSE),"")</f>
        <v>IngSRV-10</v>
      </c>
      <c r="M527" s="63" t="str">
        <f>IFERROR(VLOOKUP(Tabelle32[[#This Row],[Device ID]],BOM!$B$3:$BQ$35,17,FALSE),"")</f>
        <v>M3H</v>
      </c>
      <c r="N527" s="59" t="str">
        <f>IFERROR(VLOOKUP(Tabelle32[[#This Row],[Device ID]],BOM!$B$3:$BQ$35,18,FALSE),"")</f>
        <v>TC.03.225 | M3H</v>
      </c>
      <c r="O527" s="64"/>
      <c r="P527" s="64">
        <f>IFERROR(VLOOKUP(Tabelle32[[#This Row],[Device ID]],BOM!$B$3:$BO$50,20,FALSE),"")</f>
        <v>0</v>
      </c>
      <c r="Q527" s="64">
        <f>IFERROR(VLOOKUP(Tabelle32[[#This Row],[Device ID]],BOM!$B$3:$BO$50,21,FALSE),"")</f>
        <v>1</v>
      </c>
      <c r="R527" s="64">
        <f>IFERROR(VLOOKUP(Tabelle32[[#This Row],[Device ID]],BOM!$B$3:$BO$50,22,FALSE),"")</f>
        <v>0</v>
      </c>
      <c r="S527" s="64"/>
      <c r="T527" s="64"/>
      <c r="U527" s="59" t="str">
        <f>IFERROR(VLOOKUP(Tabelle32[[#This Row],[Device ID]],BOM!$B$3:$BQ$35,25,FALSE),"")</f>
        <v>Luis/Ivo</v>
      </c>
      <c r="V527" s="59" t="str">
        <f>IFERROR(VLOOKUP(Tabelle32[[#This Row],[Device ID]],BOM!$B$3:$BQ$35,26,FALSE),"")</f>
        <v>tpco-megw-vgw103.rta.st-net.media.int</v>
      </c>
      <c r="W527" s="59" t="str">
        <f>IFERROR(VLOOKUP(Tabelle32[[#This Row],[Device ID]],BOM!$B$3:$BQ$35,27,FALSE),"")</f>
        <v>10.120.236.50</v>
      </c>
      <c r="X527" s="59" t="str">
        <f>IFERROR(VLOOKUP(Tabelle32[[#This Row],[Device ID]],BOM!$B$3:$BQ$35,28,FALSE),"")</f>
        <v>AVCoreA</v>
      </c>
      <c r="Y527" s="59" t="str">
        <f>IFERROR(VLOOKUP(Tabelle32[[#This Row],[Device ID]],BOM!$B$3:$BQ$35,29,FALSE),"")</f>
        <v>5_36_1</v>
      </c>
      <c r="Z527" s="59" t="str">
        <f>IFERROR(VLOOKUP(Tabelle32[[#This Row],[Device ID]],BOM!$B$3:$BQ$35,30,FALSE),"")</f>
        <v>tpco-megw-vgw103.rtb.st-net.media.int</v>
      </c>
      <c r="AA527" s="59" t="str">
        <f>IFERROR(VLOOKUP(Tabelle32[[#This Row],[Device ID]],BOM!$B$3:$BQ$35,31,FALSE),"")</f>
        <v>10.120.236.54</v>
      </c>
      <c r="AB527" s="59" t="str">
        <f>IFERROR(VLOOKUP(Tabelle32[[#This Row],[Device ID]],BOM!$B$3:$BQ$35,32,FALSE),"")</f>
        <v>AVCoreB</v>
      </c>
      <c r="AC527" s="59" t="str">
        <f>IFERROR(VLOOKUP(Tabelle32[[#This Row],[Device ID]],BOM!$B$3:$BQ$35,33,FALSE),"")</f>
        <v>5_36_1</v>
      </c>
      <c r="AD527" s="59" t="str">
        <f>IFERROR(VLOOKUP(Tabelle32[[#This Row],[Device ID]],BOM!$B$3:$BQ$35,34,FALSE),"")</f>
        <v>tpco-megw-vgw103.st-net.media.int</v>
      </c>
      <c r="AE527" s="59" t="str">
        <f>IFERROR(VLOOKUP(Tabelle32[[#This Row],[Device ID]],BOM!$B$3:$BQ$35,35,FALSE),"")</f>
        <v>10.120.67.141</v>
      </c>
      <c r="AF527" s="59">
        <f>IFERROR(VLOOKUP(Tabelle32[[#This Row],[Device ID]],BOM!$B$3:$BQ$35,36,FALSE),"")</f>
        <v>0</v>
      </c>
      <c r="AG527" s="59">
        <f>IFERROR(VLOOKUP(Tabelle32[[#This Row],[Device ID]],BOM!$B$3:$BQ$35,37,FALSE),"")</f>
        <v>0</v>
      </c>
      <c r="AH527" s="59"/>
      <c r="AI527" s="59"/>
      <c r="AJ527" s="59"/>
      <c r="AK527" s="59"/>
      <c r="AL527" s="59" t="str">
        <f>IFERROR(VLOOKUP(Tabelle32[[#This Row],[Device ID]],BOM!$B$3:$BQ$35,42,FALSE),"")</f>
        <v>Imagine Communications SNP</v>
      </c>
      <c r="AM527" s="59" t="str">
        <f>IFERROR(VLOOKUP(Tabelle32[[#This Row],[Device ID]],BOM!$B$3:$BQ$35,43,FALSE),"")</f>
        <v>no</v>
      </c>
      <c r="AN527" s="59" t="str">
        <f>IFERROR(VLOOKUP(Tabelle32[[#This Row],[Device ID]],BOM!$B$3:$BQ$35,44,FALSE),"")</f>
        <v>yes</v>
      </c>
      <c r="AO527" s="59" t="str">
        <f>IFERROR(VLOOKUP(Tabelle32[[#This Row],[Device ID]],BOM!$B$3:$BQ$35,45,FALSE),"")</f>
        <v>no</v>
      </c>
      <c r="AP527" s="59" t="str">
        <f>IFERROR(CONCATENATE(Tabelle32[[#This Row],[Family
GFX-Unit]]," | ",Tabelle32[[#This Row],[Label 1
GFX-Unit]]," | ",Tabelle32[[#This Row],[Attached Device if Gateway]]),"")</f>
        <v>M3H InCh PGM | Ingest Ch37 | IngSRV-10</v>
      </c>
      <c r="AQ527" s="59"/>
      <c r="AR527" s="92" t="s">
        <v>97</v>
      </c>
      <c r="AS527" s="92" t="s">
        <v>97</v>
      </c>
      <c r="AT527" s="92" t="s">
        <v>97</v>
      </c>
      <c r="AU527" s="92"/>
      <c r="AV527" s="92" t="s">
        <v>97</v>
      </c>
      <c r="AW527" s="92"/>
      <c r="AX527" s="92"/>
      <c r="AY527" s="92"/>
      <c r="AZ527" s="92"/>
      <c r="BA527" s="92"/>
      <c r="BB527" s="92"/>
      <c r="BC527" s="92"/>
      <c r="BD527" s="92"/>
      <c r="BE527" s="92"/>
      <c r="BF527" s="92"/>
      <c r="BG527" s="92"/>
      <c r="BH527" s="73" t="s">
        <v>199</v>
      </c>
      <c r="BI527" s="30" t="str">
        <f>IF(COUNTA(Tabelle32[[#This Row],[Type:Vid_1080i50]:[Type:Anc_Prot]])&gt;0,"x","")</f>
        <v>x</v>
      </c>
      <c r="BJ52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527" s="59"/>
      <c r="BL527" s="59"/>
      <c r="BM527" s="63"/>
      <c r="BN527" s="63"/>
      <c r="BO527" s="93" t="s">
        <v>2684</v>
      </c>
      <c r="BP527" s="93" t="s">
        <v>2697</v>
      </c>
      <c r="BQ527" s="75">
        <f>LEN(Tabelle32[[#This Row],[Label 1
GFX-Unit]])</f>
        <v>11</v>
      </c>
      <c r="BR527" s="63"/>
      <c r="BS527" s="63"/>
      <c r="BT527" s="59"/>
      <c r="BU527" s="59"/>
      <c r="BV527" s="59" t="s">
        <v>272</v>
      </c>
      <c r="BW527" s="59" t="s">
        <v>273</v>
      </c>
      <c r="BX527" s="59" t="s">
        <v>1017</v>
      </c>
      <c r="BY527" s="59">
        <v>25</v>
      </c>
    </row>
    <row r="528" spans="1:77" x14ac:dyDescent="0.2">
      <c r="A528" s="58" t="str">
        <f>CONCATENATE(Tabelle32[[#This Row],[Device ID]],".",Tabelle32[[#This Row],[Streamcounter]])</f>
        <v>403.26301</v>
      </c>
      <c r="B52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VGW-103_SDI26_ANCrec_0001</v>
      </c>
      <c r="C528" s="60"/>
      <c r="D528" s="61"/>
      <c r="E528" s="62"/>
      <c r="F528" s="59" t="str">
        <f>IFERROR(VLOOKUP(Tabelle32[[#This Row],[Device ID]],BOM!$B$3:$BQ$35,16,FALSE),"")</f>
        <v>IngSRV-10</v>
      </c>
      <c r="G528" s="63">
        <f>VLOOKUP(Tabelle32[[#This Row],[SDI Interface]],BOM!$A$4:$B$35,2,FALSE)</f>
        <v>403</v>
      </c>
      <c r="H528" s="59" t="str">
        <f>BOM!$C$4</f>
        <v>VGW-103</v>
      </c>
      <c r="I528" s="59" t="str">
        <f>IFERROR(VLOOKUP(Tabelle32[[#This Row],[Device ID]],BOM!$B$3:$BQ$35,12,FALSE),"")</f>
        <v>Videoserver</v>
      </c>
      <c r="J528" s="59" t="str">
        <f>IFERROR(VLOOKUP(Tabelle32[[#This Row],[Device ID]],BOM!$B$3:$BQ$35,13,FALSE),"")</f>
        <v>TC.U1.223 | MDC</v>
      </c>
      <c r="K528" s="59" t="str">
        <f>IFERROR(VLOOKUP(Tabelle32[[#This Row],[Device ID]],BOM!$B$3:$BQ$35,14,FALSE),"")</f>
        <v>Imagine Comunications</v>
      </c>
      <c r="L528" s="59" t="str">
        <f>IFERROR(VLOOKUP(Tabelle32[[#This Row],[Device ID]],BOM!$B$3:$BQ$35,16,FALSE),"")</f>
        <v>IngSRV-10</v>
      </c>
      <c r="M528" s="63" t="str">
        <f>IFERROR(VLOOKUP(Tabelle32[[#This Row],[Device ID]],BOM!$B$3:$BQ$35,17,FALSE),"")</f>
        <v>M3H</v>
      </c>
      <c r="N528" s="59" t="str">
        <f>IFERROR(VLOOKUP(Tabelle32[[#This Row],[Device ID]],BOM!$B$3:$BQ$35,18,FALSE),"")</f>
        <v>TC.03.225 | M3H</v>
      </c>
      <c r="O528" s="64"/>
      <c r="P528" s="64">
        <f>IFERROR(VLOOKUP(Tabelle32[[#This Row],[Device ID]],BOM!$B$3:$BO$50,20,FALSE),"")</f>
        <v>0</v>
      </c>
      <c r="Q528" s="64">
        <f>IFERROR(VLOOKUP(Tabelle32[[#This Row],[Device ID]],BOM!$B$3:$BO$50,21,FALSE),"")</f>
        <v>1</v>
      </c>
      <c r="R528" s="64">
        <f>IFERROR(VLOOKUP(Tabelle32[[#This Row],[Device ID]],BOM!$B$3:$BO$50,22,FALSE),"")</f>
        <v>0</v>
      </c>
      <c r="S528" s="64"/>
      <c r="T528" s="64"/>
      <c r="U528" s="59" t="str">
        <f>IFERROR(VLOOKUP(Tabelle32[[#This Row],[Device ID]],BOM!$B$3:$BQ$35,25,FALSE),"")</f>
        <v>Luis/Ivo</v>
      </c>
      <c r="V528" s="59" t="str">
        <f>IFERROR(VLOOKUP(Tabelle32[[#This Row],[Device ID]],BOM!$B$3:$BQ$35,26,FALSE),"")</f>
        <v>tpco-megw-vgw103.rta.st-net.media.int</v>
      </c>
      <c r="W528" s="59" t="str">
        <f>IFERROR(VLOOKUP(Tabelle32[[#This Row],[Device ID]],BOM!$B$3:$BQ$35,27,FALSE),"")</f>
        <v>10.120.236.50</v>
      </c>
      <c r="X528" s="59" t="str">
        <f>IFERROR(VLOOKUP(Tabelle32[[#This Row],[Device ID]],BOM!$B$3:$BQ$35,28,FALSE),"")</f>
        <v>AVCoreA</v>
      </c>
      <c r="Y528" s="59" t="str">
        <f>IFERROR(VLOOKUP(Tabelle32[[#This Row],[Device ID]],BOM!$B$3:$BQ$35,29,FALSE),"")</f>
        <v>5_36_1</v>
      </c>
      <c r="Z528" s="59" t="str">
        <f>IFERROR(VLOOKUP(Tabelle32[[#This Row],[Device ID]],BOM!$B$3:$BQ$35,30,FALSE),"")</f>
        <v>tpco-megw-vgw103.rtb.st-net.media.int</v>
      </c>
      <c r="AA528" s="59" t="str">
        <f>IFERROR(VLOOKUP(Tabelle32[[#This Row],[Device ID]],BOM!$B$3:$BQ$35,31,FALSE),"")</f>
        <v>10.120.236.54</v>
      </c>
      <c r="AB528" s="59" t="str">
        <f>IFERROR(VLOOKUP(Tabelle32[[#This Row],[Device ID]],BOM!$B$3:$BQ$35,32,FALSE),"")</f>
        <v>AVCoreB</v>
      </c>
      <c r="AC528" s="59" t="str">
        <f>IFERROR(VLOOKUP(Tabelle32[[#This Row],[Device ID]],BOM!$B$3:$BQ$35,33,FALSE),"")</f>
        <v>5_36_1</v>
      </c>
      <c r="AD528" s="59" t="str">
        <f>IFERROR(VLOOKUP(Tabelle32[[#This Row],[Device ID]],BOM!$B$3:$BQ$35,34,FALSE),"")</f>
        <v>tpco-megw-vgw103.st-net.media.int</v>
      </c>
      <c r="AE528" s="59" t="str">
        <f>IFERROR(VLOOKUP(Tabelle32[[#This Row],[Device ID]],BOM!$B$3:$BQ$35,35,FALSE),"")</f>
        <v>10.120.67.141</v>
      </c>
      <c r="AF528" s="59">
        <f>IFERROR(VLOOKUP(Tabelle32[[#This Row],[Device ID]],BOM!$B$3:$BQ$35,36,FALSE),"")</f>
        <v>0</v>
      </c>
      <c r="AG528" s="59">
        <f>IFERROR(VLOOKUP(Tabelle32[[#This Row],[Device ID]],BOM!$B$3:$BQ$35,37,FALSE),"")</f>
        <v>0</v>
      </c>
      <c r="AH528" s="59"/>
      <c r="AI528" s="59"/>
      <c r="AJ528" s="59"/>
      <c r="AK528" s="59"/>
      <c r="AL528" s="59" t="str">
        <f>IFERROR(VLOOKUP(Tabelle32[[#This Row],[Device ID]],BOM!$B$3:$BQ$35,42,FALSE),"")</f>
        <v>Imagine Communications SNP</v>
      </c>
      <c r="AM528" s="59" t="str">
        <f>IFERROR(VLOOKUP(Tabelle32[[#This Row],[Device ID]],BOM!$B$3:$BQ$35,43,FALSE),"")</f>
        <v>no</v>
      </c>
      <c r="AN528" s="59" t="str">
        <f>IFERROR(VLOOKUP(Tabelle32[[#This Row],[Device ID]],BOM!$B$3:$BQ$35,44,FALSE),"")</f>
        <v>yes</v>
      </c>
      <c r="AO528" s="59" t="str">
        <f>IFERROR(VLOOKUP(Tabelle32[[#This Row],[Device ID]],BOM!$B$3:$BQ$35,45,FALSE),"")</f>
        <v>no</v>
      </c>
      <c r="AP528" s="59" t="str">
        <f>IFERROR(CONCATENATE(Tabelle32[[#This Row],[Family
GFX-Unit]]," | ",Tabelle32[[#This Row],[Label 1
GFX-Unit]]," | ",Tabelle32[[#This Row],[Attached Device if Gateway]]),"")</f>
        <v>M3H InCh PGM | Ingest Ch38-ANC1 | IngSRV-10</v>
      </c>
      <c r="AQ528" s="59"/>
      <c r="AR528" s="92"/>
      <c r="AS528" s="92"/>
      <c r="AT528" s="92"/>
      <c r="AU528" s="92"/>
      <c r="AV528" s="92"/>
      <c r="AW528" s="92"/>
      <c r="AX528" s="92"/>
      <c r="AY528" s="92"/>
      <c r="AZ528" s="92"/>
      <c r="BA528" s="92"/>
      <c r="BB528" s="92"/>
      <c r="BC528" s="92"/>
      <c r="BD528" s="92"/>
      <c r="BE528" s="92"/>
      <c r="BF528" s="92"/>
      <c r="BG528" s="92" t="s">
        <v>97</v>
      </c>
      <c r="BH528" s="73" t="s">
        <v>199</v>
      </c>
      <c r="BI528" s="30" t="str">
        <f>IF(COUNTA(Tabelle32[[#This Row],[Type:Vid_1080i50]:[Type:Anc_Prot]])&gt;0,"x","")</f>
        <v>x</v>
      </c>
      <c r="BJ52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528" s="59"/>
      <c r="BL528" s="59"/>
      <c r="BM528" s="63"/>
      <c r="BN528" s="63"/>
      <c r="BO528" s="93" t="s">
        <v>2684</v>
      </c>
      <c r="BP528" s="93" t="s">
        <v>2698</v>
      </c>
      <c r="BQ528" s="75">
        <f>LEN(Tabelle32[[#This Row],[Label 1
GFX-Unit]])</f>
        <v>16</v>
      </c>
      <c r="BR528" s="63"/>
      <c r="BS528" s="63"/>
      <c r="BT528" s="59"/>
      <c r="BU528" s="59"/>
      <c r="BV528" s="59" t="s">
        <v>202</v>
      </c>
      <c r="BW528" s="59" t="s">
        <v>203</v>
      </c>
      <c r="BX528" s="59" t="s">
        <v>1018</v>
      </c>
      <c r="BY528" s="59">
        <v>26</v>
      </c>
    </row>
    <row r="529" spans="1:77" hidden="1" x14ac:dyDescent="0.2">
      <c r="A529" s="58" t="str">
        <f>CONCATENATE(Tabelle32[[#This Row],[Device ID]],".",Tabelle32[[#This Row],[Streamcounter]])</f>
        <v>403.26302</v>
      </c>
      <c r="B52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VGW-103_SDI26_ANCrec_0002</v>
      </c>
      <c r="C529" s="60"/>
      <c r="D529" s="61"/>
      <c r="E529" s="62"/>
      <c r="F529" s="59" t="str">
        <f>IFERROR(VLOOKUP(Tabelle32[[#This Row],[Device ID]],BOM!$B$3:$BQ$35,16,FALSE),"")</f>
        <v>IngSRV-10</v>
      </c>
      <c r="G529" s="63">
        <f>VLOOKUP(Tabelle32[[#This Row],[SDI Interface]],BOM!$A$4:$B$35,2,FALSE)</f>
        <v>403</v>
      </c>
      <c r="H529" s="59" t="str">
        <f>BOM!$C$4</f>
        <v>VGW-103</v>
      </c>
      <c r="I529" s="59" t="str">
        <f>IFERROR(VLOOKUP(Tabelle32[[#This Row],[Device ID]],BOM!$B$3:$BQ$35,12,FALSE),"")</f>
        <v>Videoserver</v>
      </c>
      <c r="J529" s="59" t="str">
        <f>IFERROR(VLOOKUP(Tabelle32[[#This Row],[Device ID]],BOM!$B$3:$BQ$35,13,FALSE),"")</f>
        <v>TC.U1.223 | MDC</v>
      </c>
      <c r="K529" s="59" t="str">
        <f>IFERROR(VLOOKUP(Tabelle32[[#This Row],[Device ID]],BOM!$B$3:$BQ$35,14,FALSE),"")</f>
        <v>Imagine Comunications</v>
      </c>
      <c r="L529" s="59" t="str">
        <f>IFERROR(VLOOKUP(Tabelle32[[#This Row],[Device ID]],BOM!$B$3:$BQ$35,16,FALSE),"")</f>
        <v>IngSRV-10</v>
      </c>
      <c r="M529" s="63" t="str">
        <f>IFERROR(VLOOKUP(Tabelle32[[#This Row],[Device ID]],BOM!$B$3:$BQ$35,17,FALSE),"")</f>
        <v>M3H</v>
      </c>
      <c r="N529" s="59" t="str">
        <f>IFERROR(VLOOKUP(Tabelle32[[#This Row],[Device ID]],BOM!$B$3:$BQ$35,18,FALSE),"")</f>
        <v>TC.03.225 | M3H</v>
      </c>
      <c r="O529" s="64"/>
      <c r="P529" s="64">
        <f>IFERROR(VLOOKUP(Tabelle32[[#This Row],[Device ID]],BOM!$B$3:$BO$50,20,FALSE),"")</f>
        <v>0</v>
      </c>
      <c r="Q529" s="64">
        <f>IFERROR(VLOOKUP(Tabelle32[[#This Row],[Device ID]],BOM!$B$3:$BO$50,21,FALSE),"")</f>
        <v>1</v>
      </c>
      <c r="R529" s="64">
        <f>IFERROR(VLOOKUP(Tabelle32[[#This Row],[Device ID]],BOM!$B$3:$BO$50,22,FALSE),"")</f>
        <v>0</v>
      </c>
      <c r="S529" s="64"/>
      <c r="T529" s="64"/>
      <c r="U529" s="59" t="str">
        <f>IFERROR(VLOOKUP(Tabelle32[[#This Row],[Device ID]],BOM!$B$3:$BQ$35,25,FALSE),"")</f>
        <v>Luis/Ivo</v>
      </c>
      <c r="V529" s="59" t="str">
        <f>IFERROR(VLOOKUP(Tabelle32[[#This Row],[Device ID]],BOM!$B$3:$BQ$35,26,FALSE),"")</f>
        <v>tpco-megw-vgw103.rta.st-net.media.int</v>
      </c>
      <c r="W529" s="59" t="str">
        <f>IFERROR(VLOOKUP(Tabelle32[[#This Row],[Device ID]],BOM!$B$3:$BQ$35,27,FALSE),"")</f>
        <v>10.120.236.50</v>
      </c>
      <c r="X529" s="59" t="str">
        <f>IFERROR(VLOOKUP(Tabelle32[[#This Row],[Device ID]],BOM!$B$3:$BQ$35,28,FALSE),"")</f>
        <v>AVCoreA</v>
      </c>
      <c r="Y529" s="59" t="str">
        <f>IFERROR(VLOOKUP(Tabelle32[[#This Row],[Device ID]],BOM!$B$3:$BQ$35,29,FALSE),"")</f>
        <v>5_36_1</v>
      </c>
      <c r="Z529" s="59" t="str">
        <f>IFERROR(VLOOKUP(Tabelle32[[#This Row],[Device ID]],BOM!$B$3:$BQ$35,30,FALSE),"")</f>
        <v>tpco-megw-vgw103.rtb.st-net.media.int</v>
      </c>
      <c r="AA529" s="59" t="str">
        <f>IFERROR(VLOOKUP(Tabelle32[[#This Row],[Device ID]],BOM!$B$3:$BQ$35,31,FALSE),"")</f>
        <v>10.120.236.54</v>
      </c>
      <c r="AB529" s="59" t="str">
        <f>IFERROR(VLOOKUP(Tabelle32[[#This Row],[Device ID]],BOM!$B$3:$BQ$35,32,FALSE),"")</f>
        <v>AVCoreB</v>
      </c>
      <c r="AC529" s="59" t="str">
        <f>IFERROR(VLOOKUP(Tabelle32[[#This Row],[Device ID]],BOM!$B$3:$BQ$35,33,FALSE),"")</f>
        <v>5_36_1</v>
      </c>
      <c r="AD529" s="59" t="str">
        <f>IFERROR(VLOOKUP(Tabelle32[[#This Row],[Device ID]],BOM!$B$3:$BQ$35,34,FALSE),"")</f>
        <v>tpco-megw-vgw103.st-net.media.int</v>
      </c>
      <c r="AE529" s="59" t="str">
        <f>IFERROR(VLOOKUP(Tabelle32[[#This Row],[Device ID]],BOM!$B$3:$BQ$35,35,FALSE),"")</f>
        <v>10.120.67.141</v>
      </c>
      <c r="AF529" s="59">
        <f>IFERROR(VLOOKUP(Tabelle32[[#This Row],[Device ID]],BOM!$B$3:$BQ$35,36,FALSE),"")</f>
        <v>0</v>
      </c>
      <c r="AG529" s="59">
        <f>IFERROR(VLOOKUP(Tabelle32[[#This Row],[Device ID]],BOM!$B$3:$BQ$35,37,FALSE),"")</f>
        <v>0</v>
      </c>
      <c r="AH529" s="59"/>
      <c r="AI529" s="59"/>
      <c r="AJ529" s="59"/>
      <c r="AK529" s="59"/>
      <c r="AL529" s="59" t="str">
        <f>IFERROR(VLOOKUP(Tabelle32[[#This Row],[Device ID]],BOM!$B$3:$BQ$35,42,FALSE),"")</f>
        <v>Imagine Communications SNP</v>
      </c>
      <c r="AM529" s="59" t="str">
        <f>IFERROR(VLOOKUP(Tabelle32[[#This Row],[Device ID]],BOM!$B$3:$BQ$35,43,FALSE),"")</f>
        <v>no</v>
      </c>
      <c r="AN529" s="59" t="str">
        <f>IFERROR(VLOOKUP(Tabelle32[[#This Row],[Device ID]],BOM!$B$3:$BQ$35,44,FALSE),"")</f>
        <v>yes</v>
      </c>
      <c r="AO529" s="59" t="str">
        <f>IFERROR(VLOOKUP(Tabelle32[[#This Row],[Device ID]],BOM!$B$3:$BQ$35,45,FALSE),"")</f>
        <v>no</v>
      </c>
      <c r="AP529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29" s="59"/>
      <c r="AR529" s="90"/>
      <c r="AS529" s="90"/>
      <c r="AT529" s="90"/>
      <c r="AU529" s="90"/>
      <c r="AV529" s="90"/>
      <c r="AW529" s="90"/>
      <c r="AX529" s="90"/>
      <c r="AY529" s="90"/>
      <c r="AZ529" s="90"/>
      <c r="BA529" s="90"/>
      <c r="BB529" s="90"/>
      <c r="BC529" s="90"/>
      <c r="BD529" s="90"/>
      <c r="BE529" s="90"/>
      <c r="BF529" s="90"/>
      <c r="BG529" s="90"/>
      <c r="BH529" s="73" t="s">
        <v>199</v>
      </c>
      <c r="BI529" s="30" t="str">
        <f>IF(COUNTA(Tabelle32[[#This Row],[Type:Vid_1080i50]:[Type:Anc_Prot]])&gt;0,"x","")</f>
        <v/>
      </c>
      <c r="BJ52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29" s="59"/>
      <c r="BL529" s="59"/>
      <c r="BM529" s="63"/>
      <c r="BN529" s="63"/>
      <c r="BO529" s="96"/>
      <c r="BP529" s="96"/>
      <c r="BQ529" s="75">
        <f>LEN(Tabelle32[[#This Row],[Label 1
GFX-Unit]])</f>
        <v>0</v>
      </c>
      <c r="BR529" s="63"/>
      <c r="BS529" s="63"/>
      <c r="BT529" s="59"/>
      <c r="BU529" s="59"/>
      <c r="BV529" s="59" t="s">
        <v>205</v>
      </c>
      <c r="BW529" s="59" t="s">
        <v>206</v>
      </c>
      <c r="BX529" s="59" t="s">
        <v>1019</v>
      </c>
      <c r="BY529" s="59">
        <v>26</v>
      </c>
    </row>
    <row r="530" spans="1:77" hidden="1" x14ac:dyDescent="0.2">
      <c r="A530" s="58" t="str">
        <f>CONCATENATE(Tabelle32[[#This Row],[Device ID]],".",Tabelle32[[#This Row],[Streamcounter]])</f>
        <v>403.26303</v>
      </c>
      <c r="B53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VGW-103_SDI26_ANCrec_0003</v>
      </c>
      <c r="C530" s="60"/>
      <c r="D530" s="61"/>
      <c r="E530" s="62"/>
      <c r="F530" s="59" t="str">
        <f>IFERROR(VLOOKUP(Tabelle32[[#This Row],[Device ID]],BOM!$B$3:$BQ$35,16,FALSE),"")</f>
        <v>IngSRV-10</v>
      </c>
      <c r="G530" s="63">
        <f>VLOOKUP(Tabelle32[[#This Row],[SDI Interface]],BOM!$A$4:$B$35,2,FALSE)</f>
        <v>403</v>
      </c>
      <c r="H530" s="59" t="str">
        <f>BOM!$C$4</f>
        <v>VGW-103</v>
      </c>
      <c r="I530" s="59" t="str">
        <f>IFERROR(VLOOKUP(Tabelle32[[#This Row],[Device ID]],BOM!$B$3:$BQ$35,12,FALSE),"")</f>
        <v>Videoserver</v>
      </c>
      <c r="J530" s="59" t="str">
        <f>IFERROR(VLOOKUP(Tabelle32[[#This Row],[Device ID]],BOM!$B$3:$BQ$35,13,FALSE),"")</f>
        <v>TC.U1.223 | MDC</v>
      </c>
      <c r="K530" s="59" t="str">
        <f>IFERROR(VLOOKUP(Tabelle32[[#This Row],[Device ID]],BOM!$B$3:$BQ$35,14,FALSE),"")</f>
        <v>Imagine Comunications</v>
      </c>
      <c r="L530" s="59" t="str">
        <f>IFERROR(VLOOKUP(Tabelle32[[#This Row],[Device ID]],BOM!$B$3:$BQ$35,16,FALSE),"")</f>
        <v>IngSRV-10</v>
      </c>
      <c r="M530" s="63" t="str">
        <f>IFERROR(VLOOKUP(Tabelle32[[#This Row],[Device ID]],BOM!$B$3:$BQ$35,17,FALSE),"")</f>
        <v>M3H</v>
      </c>
      <c r="N530" s="59" t="str">
        <f>IFERROR(VLOOKUP(Tabelle32[[#This Row],[Device ID]],BOM!$B$3:$BQ$35,18,FALSE),"")</f>
        <v>TC.03.225 | M3H</v>
      </c>
      <c r="O530" s="64"/>
      <c r="P530" s="64">
        <f>IFERROR(VLOOKUP(Tabelle32[[#This Row],[Device ID]],BOM!$B$3:$BO$50,20,FALSE),"")</f>
        <v>0</v>
      </c>
      <c r="Q530" s="64">
        <f>IFERROR(VLOOKUP(Tabelle32[[#This Row],[Device ID]],BOM!$B$3:$BO$50,21,FALSE),"")</f>
        <v>1</v>
      </c>
      <c r="R530" s="64">
        <f>IFERROR(VLOOKUP(Tabelle32[[#This Row],[Device ID]],BOM!$B$3:$BO$50,22,FALSE),"")</f>
        <v>0</v>
      </c>
      <c r="S530" s="64"/>
      <c r="T530" s="64"/>
      <c r="U530" s="59" t="str">
        <f>IFERROR(VLOOKUP(Tabelle32[[#This Row],[Device ID]],BOM!$B$3:$BQ$35,25,FALSE),"")</f>
        <v>Luis/Ivo</v>
      </c>
      <c r="V530" s="59" t="str">
        <f>IFERROR(VLOOKUP(Tabelle32[[#This Row],[Device ID]],BOM!$B$3:$BQ$35,26,FALSE),"")</f>
        <v>tpco-megw-vgw103.rta.st-net.media.int</v>
      </c>
      <c r="W530" s="59" t="str">
        <f>IFERROR(VLOOKUP(Tabelle32[[#This Row],[Device ID]],BOM!$B$3:$BQ$35,27,FALSE),"")</f>
        <v>10.120.236.50</v>
      </c>
      <c r="X530" s="59" t="str">
        <f>IFERROR(VLOOKUP(Tabelle32[[#This Row],[Device ID]],BOM!$B$3:$BQ$35,28,FALSE),"")</f>
        <v>AVCoreA</v>
      </c>
      <c r="Y530" s="59" t="str">
        <f>IFERROR(VLOOKUP(Tabelle32[[#This Row],[Device ID]],BOM!$B$3:$BQ$35,29,FALSE),"")</f>
        <v>5_36_1</v>
      </c>
      <c r="Z530" s="59" t="str">
        <f>IFERROR(VLOOKUP(Tabelle32[[#This Row],[Device ID]],BOM!$B$3:$BQ$35,30,FALSE),"")</f>
        <v>tpco-megw-vgw103.rtb.st-net.media.int</v>
      </c>
      <c r="AA530" s="59" t="str">
        <f>IFERROR(VLOOKUP(Tabelle32[[#This Row],[Device ID]],BOM!$B$3:$BQ$35,31,FALSE),"")</f>
        <v>10.120.236.54</v>
      </c>
      <c r="AB530" s="59" t="str">
        <f>IFERROR(VLOOKUP(Tabelle32[[#This Row],[Device ID]],BOM!$B$3:$BQ$35,32,FALSE),"")</f>
        <v>AVCoreB</v>
      </c>
      <c r="AC530" s="59" t="str">
        <f>IFERROR(VLOOKUP(Tabelle32[[#This Row],[Device ID]],BOM!$B$3:$BQ$35,33,FALSE),"")</f>
        <v>5_36_1</v>
      </c>
      <c r="AD530" s="59" t="str">
        <f>IFERROR(VLOOKUP(Tabelle32[[#This Row],[Device ID]],BOM!$B$3:$BQ$35,34,FALSE),"")</f>
        <v>tpco-megw-vgw103.st-net.media.int</v>
      </c>
      <c r="AE530" s="59" t="str">
        <f>IFERROR(VLOOKUP(Tabelle32[[#This Row],[Device ID]],BOM!$B$3:$BQ$35,35,FALSE),"")</f>
        <v>10.120.67.141</v>
      </c>
      <c r="AF530" s="59">
        <f>IFERROR(VLOOKUP(Tabelle32[[#This Row],[Device ID]],BOM!$B$3:$BQ$35,36,FALSE),"")</f>
        <v>0</v>
      </c>
      <c r="AG530" s="59">
        <f>IFERROR(VLOOKUP(Tabelle32[[#This Row],[Device ID]],BOM!$B$3:$BQ$35,37,FALSE),"")</f>
        <v>0</v>
      </c>
      <c r="AH530" s="59"/>
      <c r="AI530" s="59"/>
      <c r="AJ530" s="59"/>
      <c r="AK530" s="59"/>
      <c r="AL530" s="59" t="str">
        <f>IFERROR(VLOOKUP(Tabelle32[[#This Row],[Device ID]],BOM!$B$3:$BQ$35,42,FALSE),"")</f>
        <v>Imagine Communications SNP</v>
      </c>
      <c r="AM530" s="59" t="str">
        <f>IFERROR(VLOOKUP(Tabelle32[[#This Row],[Device ID]],BOM!$B$3:$BQ$35,43,FALSE),"")</f>
        <v>no</v>
      </c>
      <c r="AN530" s="59" t="str">
        <f>IFERROR(VLOOKUP(Tabelle32[[#This Row],[Device ID]],BOM!$B$3:$BQ$35,44,FALSE),"")</f>
        <v>yes</v>
      </c>
      <c r="AO530" s="59" t="str">
        <f>IFERROR(VLOOKUP(Tabelle32[[#This Row],[Device ID]],BOM!$B$3:$BQ$35,45,FALSE),"")</f>
        <v>no</v>
      </c>
      <c r="AP530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30" s="59"/>
      <c r="AR530" s="90"/>
      <c r="AS530" s="90"/>
      <c r="AT530" s="90"/>
      <c r="AU530" s="90"/>
      <c r="AV530" s="90"/>
      <c r="AW530" s="90"/>
      <c r="AX530" s="90"/>
      <c r="AY530" s="90"/>
      <c r="AZ530" s="90"/>
      <c r="BA530" s="90"/>
      <c r="BB530" s="90"/>
      <c r="BC530" s="90"/>
      <c r="BD530" s="90"/>
      <c r="BE530" s="90"/>
      <c r="BF530" s="90"/>
      <c r="BG530" s="90"/>
      <c r="BH530" s="73" t="s">
        <v>199</v>
      </c>
      <c r="BI530" s="30" t="str">
        <f>IF(COUNTA(Tabelle32[[#This Row],[Type:Vid_1080i50]:[Type:Anc_Prot]])&gt;0,"x","")</f>
        <v/>
      </c>
      <c r="BJ53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30" s="59"/>
      <c r="BL530" s="59"/>
      <c r="BM530" s="63"/>
      <c r="BN530" s="63"/>
      <c r="BO530" s="96"/>
      <c r="BP530" s="96"/>
      <c r="BQ530" s="75">
        <f>LEN(Tabelle32[[#This Row],[Label 1
GFX-Unit]])</f>
        <v>0</v>
      </c>
      <c r="BR530" s="63"/>
      <c r="BS530" s="63"/>
      <c r="BT530" s="59"/>
      <c r="BU530" s="59"/>
      <c r="BV530" s="59" t="s">
        <v>208</v>
      </c>
      <c r="BW530" s="59" t="s">
        <v>209</v>
      </c>
      <c r="BX530" s="59" t="s">
        <v>1020</v>
      </c>
      <c r="BY530" s="59">
        <v>26</v>
      </c>
    </row>
    <row r="531" spans="1:77" hidden="1" x14ac:dyDescent="0.2">
      <c r="A531" s="58" t="str">
        <f>CONCATENATE(Tabelle32[[#This Row],[Device ID]],".",Tabelle32[[#This Row],[Streamcounter]])</f>
        <v>403.26304</v>
      </c>
      <c r="B53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VGW-103_SDI26_ANCrec_0004</v>
      </c>
      <c r="C531" s="60"/>
      <c r="D531" s="61"/>
      <c r="E531" s="62"/>
      <c r="F531" s="59" t="str">
        <f>IFERROR(VLOOKUP(Tabelle32[[#This Row],[Device ID]],BOM!$B$3:$BQ$35,16,FALSE),"")</f>
        <v>IngSRV-10</v>
      </c>
      <c r="G531" s="63">
        <f>VLOOKUP(Tabelle32[[#This Row],[SDI Interface]],BOM!$A$4:$B$35,2,FALSE)</f>
        <v>403</v>
      </c>
      <c r="H531" s="59" t="str">
        <f>BOM!$C$4</f>
        <v>VGW-103</v>
      </c>
      <c r="I531" s="59" t="str">
        <f>IFERROR(VLOOKUP(Tabelle32[[#This Row],[Device ID]],BOM!$B$3:$BQ$35,12,FALSE),"")</f>
        <v>Videoserver</v>
      </c>
      <c r="J531" s="59" t="str">
        <f>IFERROR(VLOOKUP(Tabelle32[[#This Row],[Device ID]],BOM!$B$3:$BQ$35,13,FALSE),"")</f>
        <v>TC.U1.223 | MDC</v>
      </c>
      <c r="K531" s="59" t="str">
        <f>IFERROR(VLOOKUP(Tabelle32[[#This Row],[Device ID]],BOM!$B$3:$BQ$35,14,FALSE),"")</f>
        <v>Imagine Comunications</v>
      </c>
      <c r="L531" s="59" t="str">
        <f>IFERROR(VLOOKUP(Tabelle32[[#This Row],[Device ID]],BOM!$B$3:$BQ$35,16,FALSE),"")</f>
        <v>IngSRV-10</v>
      </c>
      <c r="M531" s="63" t="str">
        <f>IFERROR(VLOOKUP(Tabelle32[[#This Row],[Device ID]],BOM!$B$3:$BQ$35,17,FALSE),"")</f>
        <v>M3H</v>
      </c>
      <c r="N531" s="59" t="str">
        <f>IFERROR(VLOOKUP(Tabelle32[[#This Row],[Device ID]],BOM!$B$3:$BQ$35,18,FALSE),"")</f>
        <v>TC.03.225 | M3H</v>
      </c>
      <c r="O531" s="64"/>
      <c r="P531" s="64">
        <f>IFERROR(VLOOKUP(Tabelle32[[#This Row],[Device ID]],BOM!$B$3:$BO$50,20,FALSE),"")</f>
        <v>0</v>
      </c>
      <c r="Q531" s="64">
        <f>IFERROR(VLOOKUP(Tabelle32[[#This Row],[Device ID]],BOM!$B$3:$BO$50,21,FALSE),"")</f>
        <v>1</v>
      </c>
      <c r="R531" s="64">
        <f>IFERROR(VLOOKUP(Tabelle32[[#This Row],[Device ID]],BOM!$B$3:$BO$50,22,FALSE),"")</f>
        <v>0</v>
      </c>
      <c r="S531" s="64"/>
      <c r="T531" s="64"/>
      <c r="U531" s="59" t="str">
        <f>IFERROR(VLOOKUP(Tabelle32[[#This Row],[Device ID]],BOM!$B$3:$BQ$35,25,FALSE),"")</f>
        <v>Luis/Ivo</v>
      </c>
      <c r="V531" s="59" t="str">
        <f>IFERROR(VLOOKUP(Tabelle32[[#This Row],[Device ID]],BOM!$B$3:$BQ$35,26,FALSE),"")</f>
        <v>tpco-megw-vgw103.rta.st-net.media.int</v>
      </c>
      <c r="W531" s="59" t="str">
        <f>IFERROR(VLOOKUP(Tabelle32[[#This Row],[Device ID]],BOM!$B$3:$BQ$35,27,FALSE),"")</f>
        <v>10.120.236.50</v>
      </c>
      <c r="X531" s="59" t="str">
        <f>IFERROR(VLOOKUP(Tabelle32[[#This Row],[Device ID]],BOM!$B$3:$BQ$35,28,FALSE),"")</f>
        <v>AVCoreA</v>
      </c>
      <c r="Y531" s="59" t="str">
        <f>IFERROR(VLOOKUP(Tabelle32[[#This Row],[Device ID]],BOM!$B$3:$BQ$35,29,FALSE),"")</f>
        <v>5_36_1</v>
      </c>
      <c r="Z531" s="59" t="str">
        <f>IFERROR(VLOOKUP(Tabelle32[[#This Row],[Device ID]],BOM!$B$3:$BQ$35,30,FALSE),"")</f>
        <v>tpco-megw-vgw103.rtb.st-net.media.int</v>
      </c>
      <c r="AA531" s="59" t="str">
        <f>IFERROR(VLOOKUP(Tabelle32[[#This Row],[Device ID]],BOM!$B$3:$BQ$35,31,FALSE),"")</f>
        <v>10.120.236.54</v>
      </c>
      <c r="AB531" s="59" t="str">
        <f>IFERROR(VLOOKUP(Tabelle32[[#This Row],[Device ID]],BOM!$B$3:$BQ$35,32,FALSE),"")</f>
        <v>AVCoreB</v>
      </c>
      <c r="AC531" s="59" t="str">
        <f>IFERROR(VLOOKUP(Tabelle32[[#This Row],[Device ID]],BOM!$B$3:$BQ$35,33,FALSE),"")</f>
        <v>5_36_1</v>
      </c>
      <c r="AD531" s="59" t="str">
        <f>IFERROR(VLOOKUP(Tabelle32[[#This Row],[Device ID]],BOM!$B$3:$BQ$35,34,FALSE),"")</f>
        <v>tpco-megw-vgw103.st-net.media.int</v>
      </c>
      <c r="AE531" s="59" t="str">
        <f>IFERROR(VLOOKUP(Tabelle32[[#This Row],[Device ID]],BOM!$B$3:$BQ$35,35,FALSE),"")</f>
        <v>10.120.67.141</v>
      </c>
      <c r="AF531" s="59">
        <f>IFERROR(VLOOKUP(Tabelle32[[#This Row],[Device ID]],BOM!$B$3:$BQ$35,36,FALSE),"")</f>
        <v>0</v>
      </c>
      <c r="AG531" s="59">
        <f>IFERROR(VLOOKUP(Tabelle32[[#This Row],[Device ID]],BOM!$B$3:$BQ$35,37,FALSE),"")</f>
        <v>0</v>
      </c>
      <c r="AH531" s="59"/>
      <c r="AI531" s="59"/>
      <c r="AJ531" s="59"/>
      <c r="AK531" s="59"/>
      <c r="AL531" s="59" t="str">
        <f>IFERROR(VLOOKUP(Tabelle32[[#This Row],[Device ID]],BOM!$B$3:$BQ$35,42,FALSE),"")</f>
        <v>Imagine Communications SNP</v>
      </c>
      <c r="AM531" s="59" t="str">
        <f>IFERROR(VLOOKUP(Tabelle32[[#This Row],[Device ID]],BOM!$B$3:$BQ$35,43,FALSE),"")</f>
        <v>no</v>
      </c>
      <c r="AN531" s="59" t="str">
        <f>IFERROR(VLOOKUP(Tabelle32[[#This Row],[Device ID]],BOM!$B$3:$BQ$35,44,FALSE),"")</f>
        <v>yes</v>
      </c>
      <c r="AO531" s="59" t="str">
        <f>IFERROR(VLOOKUP(Tabelle32[[#This Row],[Device ID]],BOM!$B$3:$BQ$35,45,FALSE),"")</f>
        <v>no</v>
      </c>
      <c r="AP531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31" s="59"/>
      <c r="AR531" s="90"/>
      <c r="AS531" s="90"/>
      <c r="AT531" s="90"/>
      <c r="AU531" s="90"/>
      <c r="AV531" s="90"/>
      <c r="AW531" s="90"/>
      <c r="AX531" s="90"/>
      <c r="AY531" s="90"/>
      <c r="AZ531" s="90"/>
      <c r="BA531" s="90"/>
      <c r="BB531" s="90"/>
      <c r="BC531" s="90"/>
      <c r="BD531" s="90"/>
      <c r="BE531" s="90"/>
      <c r="BF531" s="90"/>
      <c r="BG531" s="90"/>
      <c r="BH531" s="73" t="s">
        <v>199</v>
      </c>
      <c r="BI531" s="30" t="str">
        <f>IF(COUNTA(Tabelle32[[#This Row],[Type:Vid_1080i50]:[Type:Anc_Prot]])&gt;0,"x","")</f>
        <v/>
      </c>
      <c r="BJ53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31" s="59"/>
      <c r="BL531" s="59"/>
      <c r="BM531" s="63"/>
      <c r="BN531" s="63"/>
      <c r="BO531" s="96"/>
      <c r="BP531" s="96"/>
      <c r="BQ531" s="75">
        <f>LEN(Tabelle32[[#This Row],[Label 1
GFX-Unit]])</f>
        <v>0</v>
      </c>
      <c r="BR531" s="63"/>
      <c r="BS531" s="63"/>
      <c r="BT531" s="59"/>
      <c r="BU531" s="59"/>
      <c r="BV531" s="59" t="s">
        <v>211</v>
      </c>
      <c r="BW531" s="59" t="s">
        <v>212</v>
      </c>
      <c r="BX531" s="59" t="s">
        <v>1021</v>
      </c>
      <c r="BY531" s="59">
        <v>26</v>
      </c>
    </row>
    <row r="532" spans="1:77" x14ac:dyDescent="0.2">
      <c r="A532" s="58" t="str">
        <f>CONCATENATE(Tabelle32[[#This Row],[Device ID]],".",Tabelle32[[#This Row],[Streamcounter]])</f>
        <v>403.26201</v>
      </c>
      <c r="B53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VGW-103_SDI26_AUDrec_0001</v>
      </c>
      <c r="C532" s="60"/>
      <c r="D532" s="61"/>
      <c r="E532" s="62"/>
      <c r="F532" s="59" t="str">
        <f>IFERROR(VLOOKUP(Tabelle32[[#This Row],[Device ID]],BOM!$B$3:$BQ$35,16,FALSE),"")</f>
        <v>IngSRV-10</v>
      </c>
      <c r="G532" s="63">
        <f>VLOOKUP(Tabelle32[[#This Row],[SDI Interface]],BOM!$A$4:$B$35,2,FALSE)</f>
        <v>403</v>
      </c>
      <c r="H532" s="59" t="str">
        <f>BOM!$C$4</f>
        <v>VGW-103</v>
      </c>
      <c r="I532" s="59" t="str">
        <f>IFERROR(VLOOKUP(Tabelle32[[#This Row],[Device ID]],BOM!$B$3:$BQ$35,12,FALSE),"")</f>
        <v>Videoserver</v>
      </c>
      <c r="J532" s="59" t="str">
        <f>IFERROR(VLOOKUP(Tabelle32[[#This Row],[Device ID]],BOM!$B$3:$BQ$35,13,FALSE),"")</f>
        <v>TC.U1.223 | MDC</v>
      </c>
      <c r="K532" s="59" t="str">
        <f>IFERROR(VLOOKUP(Tabelle32[[#This Row],[Device ID]],BOM!$B$3:$BQ$35,14,FALSE),"")</f>
        <v>Imagine Comunications</v>
      </c>
      <c r="L532" s="59" t="str">
        <f>IFERROR(VLOOKUP(Tabelle32[[#This Row],[Device ID]],BOM!$B$3:$BQ$35,16,FALSE),"")</f>
        <v>IngSRV-10</v>
      </c>
      <c r="M532" s="63" t="str">
        <f>IFERROR(VLOOKUP(Tabelle32[[#This Row],[Device ID]],BOM!$B$3:$BQ$35,17,FALSE),"")</f>
        <v>M3H</v>
      </c>
      <c r="N532" s="59" t="str">
        <f>IFERROR(VLOOKUP(Tabelle32[[#This Row],[Device ID]],BOM!$B$3:$BQ$35,18,FALSE),"")</f>
        <v>TC.03.225 | M3H</v>
      </c>
      <c r="O532" s="64"/>
      <c r="P532" s="64">
        <f>IFERROR(VLOOKUP(Tabelle32[[#This Row],[Device ID]],BOM!$B$3:$BO$50,20,FALSE),"")</f>
        <v>0</v>
      </c>
      <c r="Q532" s="64">
        <f>IFERROR(VLOOKUP(Tabelle32[[#This Row],[Device ID]],BOM!$B$3:$BO$50,21,FALSE),"")</f>
        <v>1</v>
      </c>
      <c r="R532" s="64">
        <f>IFERROR(VLOOKUP(Tabelle32[[#This Row],[Device ID]],BOM!$B$3:$BO$50,22,FALSE),"")</f>
        <v>0</v>
      </c>
      <c r="S532" s="64"/>
      <c r="T532" s="64"/>
      <c r="U532" s="59" t="str">
        <f>IFERROR(VLOOKUP(Tabelle32[[#This Row],[Device ID]],BOM!$B$3:$BQ$35,25,FALSE),"")</f>
        <v>Luis/Ivo</v>
      </c>
      <c r="V532" s="59" t="str">
        <f>IFERROR(VLOOKUP(Tabelle32[[#This Row],[Device ID]],BOM!$B$3:$BQ$35,26,FALSE),"")</f>
        <v>tpco-megw-vgw103.rta.st-net.media.int</v>
      </c>
      <c r="W532" s="59" t="str">
        <f>IFERROR(VLOOKUP(Tabelle32[[#This Row],[Device ID]],BOM!$B$3:$BQ$35,27,FALSE),"")</f>
        <v>10.120.236.50</v>
      </c>
      <c r="X532" s="59" t="str">
        <f>IFERROR(VLOOKUP(Tabelle32[[#This Row],[Device ID]],BOM!$B$3:$BQ$35,28,FALSE),"")</f>
        <v>AVCoreA</v>
      </c>
      <c r="Y532" s="59" t="str">
        <f>IFERROR(VLOOKUP(Tabelle32[[#This Row],[Device ID]],BOM!$B$3:$BQ$35,29,FALSE),"")</f>
        <v>5_36_1</v>
      </c>
      <c r="Z532" s="59" t="str">
        <f>IFERROR(VLOOKUP(Tabelle32[[#This Row],[Device ID]],BOM!$B$3:$BQ$35,30,FALSE),"")</f>
        <v>tpco-megw-vgw103.rtb.st-net.media.int</v>
      </c>
      <c r="AA532" s="59" t="str">
        <f>IFERROR(VLOOKUP(Tabelle32[[#This Row],[Device ID]],BOM!$B$3:$BQ$35,31,FALSE),"")</f>
        <v>10.120.236.54</v>
      </c>
      <c r="AB532" s="59" t="str">
        <f>IFERROR(VLOOKUP(Tabelle32[[#This Row],[Device ID]],BOM!$B$3:$BQ$35,32,FALSE),"")</f>
        <v>AVCoreB</v>
      </c>
      <c r="AC532" s="59" t="str">
        <f>IFERROR(VLOOKUP(Tabelle32[[#This Row],[Device ID]],BOM!$B$3:$BQ$35,33,FALSE),"")</f>
        <v>5_36_1</v>
      </c>
      <c r="AD532" s="59" t="str">
        <f>IFERROR(VLOOKUP(Tabelle32[[#This Row],[Device ID]],BOM!$B$3:$BQ$35,34,FALSE),"")</f>
        <v>tpco-megw-vgw103.st-net.media.int</v>
      </c>
      <c r="AE532" s="59" t="str">
        <f>IFERROR(VLOOKUP(Tabelle32[[#This Row],[Device ID]],BOM!$B$3:$BQ$35,35,FALSE),"")</f>
        <v>10.120.67.141</v>
      </c>
      <c r="AF532" s="59">
        <f>IFERROR(VLOOKUP(Tabelle32[[#This Row],[Device ID]],BOM!$B$3:$BQ$35,36,FALSE),"")</f>
        <v>0</v>
      </c>
      <c r="AG532" s="59">
        <f>IFERROR(VLOOKUP(Tabelle32[[#This Row],[Device ID]],BOM!$B$3:$BQ$35,37,FALSE),"")</f>
        <v>0</v>
      </c>
      <c r="AH532" s="59"/>
      <c r="AI532" s="59"/>
      <c r="AJ532" s="59"/>
      <c r="AK532" s="59"/>
      <c r="AL532" s="59" t="str">
        <f>IFERROR(VLOOKUP(Tabelle32[[#This Row],[Device ID]],BOM!$B$3:$BQ$35,42,FALSE),"")</f>
        <v>Imagine Communications SNP</v>
      </c>
      <c r="AM532" s="59" t="str">
        <f>IFERROR(VLOOKUP(Tabelle32[[#This Row],[Device ID]],BOM!$B$3:$BQ$35,43,FALSE),"")</f>
        <v>no</v>
      </c>
      <c r="AN532" s="59" t="str">
        <f>IFERROR(VLOOKUP(Tabelle32[[#This Row],[Device ID]],BOM!$B$3:$BQ$35,44,FALSE),"")</f>
        <v>yes</v>
      </c>
      <c r="AO532" s="59" t="str">
        <f>IFERROR(VLOOKUP(Tabelle32[[#This Row],[Device ID]],BOM!$B$3:$BQ$35,45,FALSE),"")</f>
        <v>no</v>
      </c>
      <c r="AP532" s="59" t="str">
        <f>IFERROR(CONCATENATE(Tabelle32[[#This Row],[Family
GFX-Unit]]," | ",Tabelle32[[#This Row],[Label 1
GFX-Unit]]," | ",Tabelle32[[#This Row],[Attached Device if Gateway]]),"")</f>
        <v>M3H InCh PGM | Ingest Ch38-01 | IngSRV-10</v>
      </c>
      <c r="AQ532" s="59"/>
      <c r="AR532" s="92"/>
      <c r="AS532" s="92"/>
      <c r="AT532" s="92"/>
      <c r="AU532" s="92"/>
      <c r="AV532" s="92"/>
      <c r="AW532" s="92" t="s">
        <v>97</v>
      </c>
      <c r="AX532" s="92"/>
      <c r="AY532" s="92"/>
      <c r="AZ532" s="92" t="s">
        <v>97</v>
      </c>
      <c r="BA532" s="92"/>
      <c r="BB532" s="92" t="s">
        <v>97</v>
      </c>
      <c r="BC532" s="92" t="s">
        <v>97</v>
      </c>
      <c r="BD532" s="92"/>
      <c r="BE532" s="92"/>
      <c r="BF532" s="92"/>
      <c r="BG532" s="92"/>
      <c r="BH532" s="73" t="s">
        <v>199</v>
      </c>
      <c r="BI532" s="30" t="str">
        <f>IF(COUNTA(Tabelle32[[#This Row],[Type:Vid_1080i50]:[Type:Anc_Prot]])&gt;0,"x","")</f>
        <v>x</v>
      </c>
      <c r="BJ53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32" s="59"/>
      <c r="BL532" s="59"/>
      <c r="BM532" s="63"/>
      <c r="BN532" s="63"/>
      <c r="BO532" s="97" t="s">
        <v>2684</v>
      </c>
      <c r="BP532" s="97" t="s">
        <v>2699</v>
      </c>
      <c r="BQ532" s="75">
        <f>LEN(Tabelle32[[#This Row],[Label 1
GFX-Unit]])</f>
        <v>14</v>
      </c>
      <c r="BR532" s="63"/>
      <c r="BS532" s="63"/>
      <c r="BT532" s="59"/>
      <c r="BU532" s="59"/>
      <c r="BV532" s="59" t="s">
        <v>214</v>
      </c>
      <c r="BW532" s="59" t="s">
        <v>215</v>
      </c>
      <c r="BX532" s="59" t="s">
        <v>1022</v>
      </c>
      <c r="BY532" s="59">
        <v>26</v>
      </c>
    </row>
    <row r="533" spans="1:77" x14ac:dyDescent="0.2">
      <c r="A533" s="58" t="str">
        <f>CONCATENATE(Tabelle32[[#This Row],[Device ID]],".",Tabelle32[[#This Row],[Streamcounter]])</f>
        <v>403.26202</v>
      </c>
      <c r="B53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VGW-103_SDI26_AUDrec_0002</v>
      </c>
      <c r="C533" s="67"/>
      <c r="D533" s="61"/>
      <c r="E533" s="67"/>
      <c r="F533" s="59" t="str">
        <f>IFERROR(VLOOKUP(Tabelle32[[#This Row],[Device ID]],BOM!$B$3:$BQ$35,16,FALSE),"")</f>
        <v>IngSRV-10</v>
      </c>
      <c r="G533" s="63">
        <f>VLOOKUP(Tabelle32[[#This Row],[SDI Interface]],BOM!$A$4:$B$35,2,FALSE)</f>
        <v>403</v>
      </c>
      <c r="H533" s="59" t="str">
        <f>BOM!$C$4</f>
        <v>VGW-103</v>
      </c>
      <c r="I533" s="59" t="str">
        <f>IFERROR(VLOOKUP(Tabelle32[[#This Row],[Device ID]],BOM!$B$3:$BQ$35,12,FALSE),"")</f>
        <v>Videoserver</v>
      </c>
      <c r="J533" s="59" t="str">
        <f>IFERROR(VLOOKUP(Tabelle32[[#This Row],[Device ID]],BOM!$B$3:$BQ$35,13,FALSE),"")</f>
        <v>TC.U1.223 | MDC</v>
      </c>
      <c r="K533" s="59" t="str">
        <f>IFERROR(VLOOKUP(Tabelle32[[#This Row],[Device ID]],BOM!$B$3:$BQ$35,14,FALSE),"")</f>
        <v>Imagine Comunications</v>
      </c>
      <c r="L533" s="59" t="str">
        <f>IFERROR(VLOOKUP(Tabelle32[[#This Row],[Device ID]],BOM!$B$3:$BQ$35,16,FALSE),"")</f>
        <v>IngSRV-10</v>
      </c>
      <c r="M533" s="63" t="str">
        <f>IFERROR(VLOOKUP(Tabelle32[[#This Row],[Device ID]],BOM!$B$3:$BQ$35,17,FALSE),"")</f>
        <v>M3H</v>
      </c>
      <c r="N533" s="59" t="str">
        <f>IFERROR(VLOOKUP(Tabelle32[[#This Row],[Device ID]],BOM!$B$3:$BQ$35,18,FALSE),"")</f>
        <v>TC.03.225 | M3H</v>
      </c>
      <c r="O533" s="64"/>
      <c r="P533" s="64">
        <f>IFERROR(VLOOKUP(Tabelle32[[#This Row],[Device ID]],BOM!$B$3:$BO$50,20,FALSE),"")</f>
        <v>0</v>
      </c>
      <c r="Q533" s="64">
        <f>IFERROR(VLOOKUP(Tabelle32[[#This Row],[Device ID]],BOM!$B$3:$BO$50,21,FALSE),"")</f>
        <v>1</v>
      </c>
      <c r="R533" s="64">
        <f>IFERROR(VLOOKUP(Tabelle32[[#This Row],[Device ID]],BOM!$B$3:$BO$50,22,FALSE),"")</f>
        <v>0</v>
      </c>
      <c r="S533" s="64"/>
      <c r="T533" s="64"/>
      <c r="U533" s="59" t="str">
        <f>IFERROR(VLOOKUP(Tabelle32[[#This Row],[Device ID]],BOM!$B$3:$BQ$35,25,FALSE),"")</f>
        <v>Luis/Ivo</v>
      </c>
      <c r="V533" s="59" t="str">
        <f>IFERROR(VLOOKUP(Tabelle32[[#This Row],[Device ID]],BOM!$B$3:$BQ$35,26,FALSE),"")</f>
        <v>tpco-megw-vgw103.rta.st-net.media.int</v>
      </c>
      <c r="W533" s="59" t="str">
        <f>IFERROR(VLOOKUP(Tabelle32[[#This Row],[Device ID]],BOM!$B$3:$BQ$35,27,FALSE),"")</f>
        <v>10.120.236.50</v>
      </c>
      <c r="X533" s="59" t="str">
        <f>IFERROR(VLOOKUP(Tabelle32[[#This Row],[Device ID]],BOM!$B$3:$BQ$35,28,FALSE),"")</f>
        <v>AVCoreA</v>
      </c>
      <c r="Y533" s="59" t="str">
        <f>IFERROR(VLOOKUP(Tabelle32[[#This Row],[Device ID]],BOM!$B$3:$BQ$35,29,FALSE),"")</f>
        <v>5_36_1</v>
      </c>
      <c r="Z533" s="59" t="str">
        <f>IFERROR(VLOOKUP(Tabelle32[[#This Row],[Device ID]],BOM!$B$3:$BQ$35,30,FALSE),"")</f>
        <v>tpco-megw-vgw103.rtb.st-net.media.int</v>
      </c>
      <c r="AA533" s="59" t="str">
        <f>IFERROR(VLOOKUP(Tabelle32[[#This Row],[Device ID]],BOM!$B$3:$BQ$35,31,FALSE),"")</f>
        <v>10.120.236.54</v>
      </c>
      <c r="AB533" s="59" t="str">
        <f>IFERROR(VLOOKUP(Tabelle32[[#This Row],[Device ID]],BOM!$B$3:$BQ$35,32,FALSE),"")</f>
        <v>AVCoreB</v>
      </c>
      <c r="AC533" s="59" t="str">
        <f>IFERROR(VLOOKUP(Tabelle32[[#This Row],[Device ID]],BOM!$B$3:$BQ$35,33,FALSE),"")</f>
        <v>5_36_1</v>
      </c>
      <c r="AD533" s="59" t="str">
        <f>IFERROR(VLOOKUP(Tabelle32[[#This Row],[Device ID]],BOM!$B$3:$BQ$35,34,FALSE),"")</f>
        <v>tpco-megw-vgw103.st-net.media.int</v>
      </c>
      <c r="AE533" s="59" t="str">
        <f>IFERROR(VLOOKUP(Tabelle32[[#This Row],[Device ID]],BOM!$B$3:$BQ$35,35,FALSE),"")</f>
        <v>10.120.67.141</v>
      </c>
      <c r="AF533" s="59">
        <f>IFERROR(VLOOKUP(Tabelle32[[#This Row],[Device ID]],BOM!$B$3:$BQ$35,36,FALSE),"")</f>
        <v>0</v>
      </c>
      <c r="AG533" s="59">
        <f>IFERROR(VLOOKUP(Tabelle32[[#This Row],[Device ID]],BOM!$B$3:$BQ$35,37,FALSE),"")</f>
        <v>0</v>
      </c>
      <c r="AH533" s="59"/>
      <c r="AI533" s="59"/>
      <c r="AJ533" s="59"/>
      <c r="AK533" s="59"/>
      <c r="AL533" s="59" t="str">
        <f>IFERROR(VLOOKUP(Tabelle32[[#This Row],[Device ID]],BOM!$B$3:$BQ$35,42,FALSE),"")</f>
        <v>Imagine Communications SNP</v>
      </c>
      <c r="AM533" s="59" t="str">
        <f>IFERROR(VLOOKUP(Tabelle32[[#This Row],[Device ID]],BOM!$B$3:$BQ$35,43,FALSE),"")</f>
        <v>no</v>
      </c>
      <c r="AN533" s="59" t="str">
        <f>IFERROR(VLOOKUP(Tabelle32[[#This Row],[Device ID]],BOM!$B$3:$BQ$35,44,FALSE),"")</f>
        <v>yes</v>
      </c>
      <c r="AO533" s="59" t="str">
        <f>IFERROR(VLOOKUP(Tabelle32[[#This Row],[Device ID]],BOM!$B$3:$BQ$35,45,FALSE),"")</f>
        <v>no</v>
      </c>
      <c r="AP533" s="59" t="str">
        <f>IFERROR(CONCATENATE(Tabelle32[[#This Row],[Family
GFX-Unit]]," | ",Tabelle32[[#This Row],[Label 1
GFX-Unit]]," | ",Tabelle32[[#This Row],[Attached Device if Gateway]]),"")</f>
        <v>M3H InCh PGM | Ingest Ch38-02 | IngSRV-10</v>
      </c>
      <c r="AQ533" s="59"/>
      <c r="AR533" s="92"/>
      <c r="AS533" s="92"/>
      <c r="AT533" s="92"/>
      <c r="AU533" s="92"/>
      <c r="AV533" s="92"/>
      <c r="AW533" s="92" t="s">
        <v>97</v>
      </c>
      <c r="AX533" s="92"/>
      <c r="AY533" s="92"/>
      <c r="AZ533" s="92" t="s">
        <v>97</v>
      </c>
      <c r="BA533" s="92"/>
      <c r="BB533" s="92" t="s">
        <v>97</v>
      </c>
      <c r="BC533" s="92" t="s">
        <v>97</v>
      </c>
      <c r="BD533" s="92"/>
      <c r="BE533" s="92"/>
      <c r="BF533" s="92"/>
      <c r="BG533" s="92"/>
      <c r="BH533" s="73" t="s">
        <v>199</v>
      </c>
      <c r="BI533" s="30" t="str">
        <f>IF(COUNTA(Tabelle32[[#This Row],[Type:Vid_1080i50]:[Type:Anc_Prot]])&gt;0,"x","")</f>
        <v>x</v>
      </c>
      <c r="BJ53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33" s="59"/>
      <c r="BL533" s="59"/>
      <c r="BM533" s="63"/>
      <c r="BN533" s="63"/>
      <c r="BO533" s="93" t="s">
        <v>2684</v>
      </c>
      <c r="BP533" s="97" t="s">
        <v>2700</v>
      </c>
      <c r="BQ533" s="75">
        <f>LEN(Tabelle32[[#This Row],[Label 1
GFX-Unit]])</f>
        <v>14</v>
      </c>
      <c r="BR533" s="63"/>
      <c r="BS533" s="63"/>
      <c r="BT533" s="59"/>
      <c r="BU533" s="59"/>
      <c r="BV533" s="59" t="s">
        <v>218</v>
      </c>
      <c r="BW533" s="59" t="s">
        <v>219</v>
      </c>
      <c r="BX533" s="59" t="s">
        <v>1023</v>
      </c>
      <c r="BY533" s="59">
        <v>26</v>
      </c>
    </row>
    <row r="534" spans="1:77" x14ac:dyDescent="0.2">
      <c r="A534" s="58" t="str">
        <f>CONCATENATE(Tabelle32[[#This Row],[Device ID]],".",Tabelle32[[#This Row],[Streamcounter]])</f>
        <v>403.26203</v>
      </c>
      <c r="B53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VGW-103_SDI26_AUDrec_0003</v>
      </c>
      <c r="C534" s="67"/>
      <c r="D534" s="61"/>
      <c r="E534" s="67"/>
      <c r="F534" s="59" t="str">
        <f>IFERROR(VLOOKUP(Tabelle32[[#This Row],[Device ID]],BOM!$B$3:$BQ$35,16,FALSE),"")</f>
        <v>IngSRV-10</v>
      </c>
      <c r="G534" s="63">
        <f>VLOOKUP(Tabelle32[[#This Row],[SDI Interface]],BOM!$A$4:$B$35,2,FALSE)</f>
        <v>403</v>
      </c>
      <c r="H534" s="59" t="str">
        <f>BOM!$C$4</f>
        <v>VGW-103</v>
      </c>
      <c r="I534" s="59" t="str">
        <f>IFERROR(VLOOKUP(Tabelle32[[#This Row],[Device ID]],BOM!$B$3:$BQ$35,12,FALSE),"")</f>
        <v>Videoserver</v>
      </c>
      <c r="J534" s="59" t="str">
        <f>IFERROR(VLOOKUP(Tabelle32[[#This Row],[Device ID]],BOM!$B$3:$BQ$35,13,FALSE),"")</f>
        <v>TC.U1.223 | MDC</v>
      </c>
      <c r="K534" s="59" t="str">
        <f>IFERROR(VLOOKUP(Tabelle32[[#This Row],[Device ID]],BOM!$B$3:$BQ$35,14,FALSE),"")</f>
        <v>Imagine Comunications</v>
      </c>
      <c r="L534" s="59" t="str">
        <f>IFERROR(VLOOKUP(Tabelle32[[#This Row],[Device ID]],BOM!$B$3:$BQ$35,16,FALSE),"")</f>
        <v>IngSRV-10</v>
      </c>
      <c r="M534" s="63" t="str">
        <f>IFERROR(VLOOKUP(Tabelle32[[#This Row],[Device ID]],BOM!$B$3:$BQ$35,17,FALSE),"")</f>
        <v>M3H</v>
      </c>
      <c r="N534" s="59" t="str">
        <f>IFERROR(VLOOKUP(Tabelle32[[#This Row],[Device ID]],BOM!$B$3:$BQ$35,18,FALSE),"")</f>
        <v>TC.03.225 | M3H</v>
      </c>
      <c r="O534" s="64"/>
      <c r="P534" s="64">
        <f>IFERROR(VLOOKUP(Tabelle32[[#This Row],[Device ID]],BOM!$B$3:$BO$50,20,FALSE),"")</f>
        <v>0</v>
      </c>
      <c r="Q534" s="64">
        <f>IFERROR(VLOOKUP(Tabelle32[[#This Row],[Device ID]],BOM!$B$3:$BO$50,21,FALSE),"")</f>
        <v>1</v>
      </c>
      <c r="R534" s="64">
        <f>IFERROR(VLOOKUP(Tabelle32[[#This Row],[Device ID]],BOM!$B$3:$BO$50,22,FALSE),"")</f>
        <v>0</v>
      </c>
      <c r="S534" s="64"/>
      <c r="T534" s="64"/>
      <c r="U534" s="59" t="str">
        <f>IFERROR(VLOOKUP(Tabelle32[[#This Row],[Device ID]],BOM!$B$3:$BQ$35,25,FALSE),"")</f>
        <v>Luis/Ivo</v>
      </c>
      <c r="V534" s="59" t="str">
        <f>IFERROR(VLOOKUP(Tabelle32[[#This Row],[Device ID]],BOM!$B$3:$BQ$35,26,FALSE),"")</f>
        <v>tpco-megw-vgw103.rta.st-net.media.int</v>
      </c>
      <c r="W534" s="59" t="str">
        <f>IFERROR(VLOOKUP(Tabelle32[[#This Row],[Device ID]],BOM!$B$3:$BQ$35,27,FALSE),"")</f>
        <v>10.120.236.50</v>
      </c>
      <c r="X534" s="59" t="str">
        <f>IFERROR(VLOOKUP(Tabelle32[[#This Row],[Device ID]],BOM!$B$3:$BQ$35,28,FALSE),"")</f>
        <v>AVCoreA</v>
      </c>
      <c r="Y534" s="59" t="str">
        <f>IFERROR(VLOOKUP(Tabelle32[[#This Row],[Device ID]],BOM!$B$3:$BQ$35,29,FALSE),"")</f>
        <v>5_36_1</v>
      </c>
      <c r="Z534" s="59" t="str">
        <f>IFERROR(VLOOKUP(Tabelle32[[#This Row],[Device ID]],BOM!$B$3:$BQ$35,30,FALSE),"")</f>
        <v>tpco-megw-vgw103.rtb.st-net.media.int</v>
      </c>
      <c r="AA534" s="59" t="str">
        <f>IFERROR(VLOOKUP(Tabelle32[[#This Row],[Device ID]],BOM!$B$3:$BQ$35,31,FALSE),"")</f>
        <v>10.120.236.54</v>
      </c>
      <c r="AB534" s="59" t="str">
        <f>IFERROR(VLOOKUP(Tabelle32[[#This Row],[Device ID]],BOM!$B$3:$BQ$35,32,FALSE),"")</f>
        <v>AVCoreB</v>
      </c>
      <c r="AC534" s="59" t="str">
        <f>IFERROR(VLOOKUP(Tabelle32[[#This Row],[Device ID]],BOM!$B$3:$BQ$35,33,FALSE),"")</f>
        <v>5_36_1</v>
      </c>
      <c r="AD534" s="59" t="str">
        <f>IFERROR(VLOOKUP(Tabelle32[[#This Row],[Device ID]],BOM!$B$3:$BQ$35,34,FALSE),"")</f>
        <v>tpco-megw-vgw103.st-net.media.int</v>
      </c>
      <c r="AE534" s="59" t="str">
        <f>IFERROR(VLOOKUP(Tabelle32[[#This Row],[Device ID]],BOM!$B$3:$BQ$35,35,FALSE),"")</f>
        <v>10.120.67.141</v>
      </c>
      <c r="AF534" s="59">
        <f>IFERROR(VLOOKUP(Tabelle32[[#This Row],[Device ID]],BOM!$B$3:$BQ$35,36,FALSE),"")</f>
        <v>0</v>
      </c>
      <c r="AG534" s="59">
        <f>IFERROR(VLOOKUP(Tabelle32[[#This Row],[Device ID]],BOM!$B$3:$BQ$35,37,FALSE),"")</f>
        <v>0</v>
      </c>
      <c r="AH534" s="59"/>
      <c r="AI534" s="59"/>
      <c r="AJ534" s="59"/>
      <c r="AK534" s="59"/>
      <c r="AL534" s="59" t="str">
        <f>IFERROR(VLOOKUP(Tabelle32[[#This Row],[Device ID]],BOM!$B$3:$BQ$35,42,FALSE),"")</f>
        <v>Imagine Communications SNP</v>
      </c>
      <c r="AM534" s="59" t="str">
        <f>IFERROR(VLOOKUP(Tabelle32[[#This Row],[Device ID]],BOM!$B$3:$BQ$35,43,FALSE),"")</f>
        <v>no</v>
      </c>
      <c r="AN534" s="59" t="str">
        <f>IFERROR(VLOOKUP(Tabelle32[[#This Row],[Device ID]],BOM!$B$3:$BQ$35,44,FALSE),"")</f>
        <v>yes</v>
      </c>
      <c r="AO534" s="59" t="str">
        <f>IFERROR(VLOOKUP(Tabelle32[[#This Row],[Device ID]],BOM!$B$3:$BQ$35,45,FALSE),"")</f>
        <v>no</v>
      </c>
      <c r="AP534" s="59" t="str">
        <f>IFERROR(CONCATENATE(Tabelle32[[#This Row],[Family
GFX-Unit]]," | ",Tabelle32[[#This Row],[Label 1
GFX-Unit]]," | ",Tabelle32[[#This Row],[Attached Device if Gateway]]),"")</f>
        <v>M3H InCh PGM | Ingest Ch38-03 | IngSRV-10</v>
      </c>
      <c r="AQ534" s="59"/>
      <c r="AR534" s="92"/>
      <c r="AS534" s="92"/>
      <c r="AT534" s="92"/>
      <c r="AU534" s="92"/>
      <c r="AV534" s="92"/>
      <c r="AW534" s="92" t="s">
        <v>97</v>
      </c>
      <c r="AX534" s="92"/>
      <c r="AY534" s="92"/>
      <c r="AZ534" s="92" t="s">
        <v>97</v>
      </c>
      <c r="BA534" s="92"/>
      <c r="BB534" s="92" t="s">
        <v>97</v>
      </c>
      <c r="BC534" s="92" t="s">
        <v>97</v>
      </c>
      <c r="BD534" s="92"/>
      <c r="BE534" s="92"/>
      <c r="BF534" s="92"/>
      <c r="BG534" s="92"/>
      <c r="BH534" s="73" t="s">
        <v>199</v>
      </c>
      <c r="BI534" s="30" t="str">
        <f>IF(COUNTA(Tabelle32[[#This Row],[Type:Vid_1080i50]:[Type:Anc_Prot]])&gt;0,"x","")</f>
        <v>x</v>
      </c>
      <c r="BJ53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34" s="59"/>
      <c r="BL534" s="59"/>
      <c r="BM534" s="63"/>
      <c r="BN534" s="63"/>
      <c r="BO534" s="93" t="s">
        <v>2684</v>
      </c>
      <c r="BP534" s="97" t="s">
        <v>2701</v>
      </c>
      <c r="BQ534" s="75">
        <f>LEN(Tabelle32[[#This Row],[Label 1
GFX-Unit]])</f>
        <v>14</v>
      </c>
      <c r="BR534" s="63"/>
      <c r="BS534" s="63"/>
      <c r="BT534" s="59"/>
      <c r="BU534" s="59"/>
      <c r="BV534" s="59" t="s">
        <v>222</v>
      </c>
      <c r="BW534" s="59" t="s">
        <v>223</v>
      </c>
      <c r="BX534" s="59" t="s">
        <v>1024</v>
      </c>
      <c r="BY534" s="59">
        <v>26</v>
      </c>
    </row>
    <row r="535" spans="1:77" x14ac:dyDescent="0.2">
      <c r="A535" s="58" t="str">
        <f>CONCATENATE(Tabelle32[[#This Row],[Device ID]],".",Tabelle32[[#This Row],[Streamcounter]])</f>
        <v>403.26204</v>
      </c>
      <c r="B53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VGW-103_SDI26_AUDrec_0004</v>
      </c>
      <c r="C535" s="60"/>
      <c r="D535" s="61"/>
      <c r="E535" s="62"/>
      <c r="F535" s="59" t="str">
        <f>IFERROR(VLOOKUP(Tabelle32[[#This Row],[Device ID]],BOM!$B$3:$BQ$35,16,FALSE),"")</f>
        <v>IngSRV-10</v>
      </c>
      <c r="G535" s="63">
        <f>VLOOKUP(Tabelle32[[#This Row],[SDI Interface]],BOM!$A$4:$B$35,2,FALSE)</f>
        <v>403</v>
      </c>
      <c r="H535" s="59" t="str">
        <f>BOM!$C$4</f>
        <v>VGW-103</v>
      </c>
      <c r="I535" s="59" t="str">
        <f>IFERROR(VLOOKUP(Tabelle32[[#This Row],[Device ID]],BOM!$B$3:$BQ$35,12,FALSE),"")</f>
        <v>Videoserver</v>
      </c>
      <c r="J535" s="59" t="str">
        <f>IFERROR(VLOOKUP(Tabelle32[[#This Row],[Device ID]],BOM!$B$3:$BQ$35,13,FALSE),"")</f>
        <v>TC.U1.223 | MDC</v>
      </c>
      <c r="K535" s="59" t="str">
        <f>IFERROR(VLOOKUP(Tabelle32[[#This Row],[Device ID]],BOM!$B$3:$BQ$35,14,FALSE),"")</f>
        <v>Imagine Comunications</v>
      </c>
      <c r="L535" s="59" t="str">
        <f>IFERROR(VLOOKUP(Tabelle32[[#This Row],[Device ID]],BOM!$B$3:$BQ$35,16,FALSE),"")</f>
        <v>IngSRV-10</v>
      </c>
      <c r="M535" s="63" t="str">
        <f>IFERROR(VLOOKUP(Tabelle32[[#This Row],[Device ID]],BOM!$B$3:$BQ$35,17,FALSE),"")</f>
        <v>M3H</v>
      </c>
      <c r="N535" s="59" t="str">
        <f>IFERROR(VLOOKUP(Tabelle32[[#This Row],[Device ID]],BOM!$B$3:$BQ$35,18,FALSE),"")</f>
        <v>TC.03.225 | M3H</v>
      </c>
      <c r="O535" s="64"/>
      <c r="P535" s="64">
        <f>IFERROR(VLOOKUP(Tabelle32[[#This Row],[Device ID]],BOM!$B$3:$BO$50,20,FALSE),"")</f>
        <v>0</v>
      </c>
      <c r="Q535" s="64">
        <f>IFERROR(VLOOKUP(Tabelle32[[#This Row],[Device ID]],BOM!$B$3:$BO$50,21,FALSE),"")</f>
        <v>1</v>
      </c>
      <c r="R535" s="64">
        <f>IFERROR(VLOOKUP(Tabelle32[[#This Row],[Device ID]],BOM!$B$3:$BO$50,22,FALSE),"")</f>
        <v>0</v>
      </c>
      <c r="S535" s="64"/>
      <c r="T535" s="64"/>
      <c r="U535" s="59" t="str">
        <f>IFERROR(VLOOKUP(Tabelle32[[#This Row],[Device ID]],BOM!$B$3:$BQ$35,25,FALSE),"")</f>
        <v>Luis/Ivo</v>
      </c>
      <c r="V535" s="59" t="str">
        <f>IFERROR(VLOOKUP(Tabelle32[[#This Row],[Device ID]],BOM!$B$3:$BQ$35,26,FALSE),"")</f>
        <v>tpco-megw-vgw103.rta.st-net.media.int</v>
      </c>
      <c r="W535" s="59" t="str">
        <f>IFERROR(VLOOKUP(Tabelle32[[#This Row],[Device ID]],BOM!$B$3:$BQ$35,27,FALSE),"")</f>
        <v>10.120.236.50</v>
      </c>
      <c r="X535" s="59" t="str">
        <f>IFERROR(VLOOKUP(Tabelle32[[#This Row],[Device ID]],BOM!$B$3:$BQ$35,28,FALSE),"")</f>
        <v>AVCoreA</v>
      </c>
      <c r="Y535" s="59" t="str">
        <f>IFERROR(VLOOKUP(Tabelle32[[#This Row],[Device ID]],BOM!$B$3:$BQ$35,29,FALSE),"")</f>
        <v>5_36_1</v>
      </c>
      <c r="Z535" s="59" t="str">
        <f>IFERROR(VLOOKUP(Tabelle32[[#This Row],[Device ID]],BOM!$B$3:$BQ$35,30,FALSE),"")</f>
        <v>tpco-megw-vgw103.rtb.st-net.media.int</v>
      </c>
      <c r="AA535" s="59" t="str">
        <f>IFERROR(VLOOKUP(Tabelle32[[#This Row],[Device ID]],BOM!$B$3:$BQ$35,31,FALSE),"")</f>
        <v>10.120.236.54</v>
      </c>
      <c r="AB535" s="59" t="str">
        <f>IFERROR(VLOOKUP(Tabelle32[[#This Row],[Device ID]],BOM!$B$3:$BQ$35,32,FALSE),"")</f>
        <v>AVCoreB</v>
      </c>
      <c r="AC535" s="59" t="str">
        <f>IFERROR(VLOOKUP(Tabelle32[[#This Row],[Device ID]],BOM!$B$3:$BQ$35,33,FALSE),"")</f>
        <v>5_36_1</v>
      </c>
      <c r="AD535" s="59" t="str">
        <f>IFERROR(VLOOKUP(Tabelle32[[#This Row],[Device ID]],BOM!$B$3:$BQ$35,34,FALSE),"")</f>
        <v>tpco-megw-vgw103.st-net.media.int</v>
      </c>
      <c r="AE535" s="59" t="str">
        <f>IFERROR(VLOOKUP(Tabelle32[[#This Row],[Device ID]],BOM!$B$3:$BQ$35,35,FALSE),"")</f>
        <v>10.120.67.141</v>
      </c>
      <c r="AF535" s="59">
        <f>IFERROR(VLOOKUP(Tabelle32[[#This Row],[Device ID]],BOM!$B$3:$BQ$35,36,FALSE),"")</f>
        <v>0</v>
      </c>
      <c r="AG535" s="59">
        <f>IFERROR(VLOOKUP(Tabelle32[[#This Row],[Device ID]],BOM!$B$3:$BQ$35,37,FALSE),"")</f>
        <v>0</v>
      </c>
      <c r="AH535" s="59"/>
      <c r="AI535" s="59"/>
      <c r="AJ535" s="59"/>
      <c r="AK535" s="59"/>
      <c r="AL535" s="59" t="str">
        <f>IFERROR(VLOOKUP(Tabelle32[[#This Row],[Device ID]],BOM!$B$3:$BQ$35,42,FALSE),"")</f>
        <v>Imagine Communications SNP</v>
      </c>
      <c r="AM535" s="59" t="str">
        <f>IFERROR(VLOOKUP(Tabelle32[[#This Row],[Device ID]],BOM!$B$3:$BQ$35,43,FALSE),"")</f>
        <v>no</v>
      </c>
      <c r="AN535" s="59" t="str">
        <f>IFERROR(VLOOKUP(Tabelle32[[#This Row],[Device ID]],BOM!$B$3:$BQ$35,44,FALSE),"")</f>
        <v>yes</v>
      </c>
      <c r="AO535" s="59" t="str">
        <f>IFERROR(VLOOKUP(Tabelle32[[#This Row],[Device ID]],BOM!$B$3:$BQ$35,45,FALSE),"")</f>
        <v>no</v>
      </c>
      <c r="AP535" s="59" t="str">
        <f>IFERROR(CONCATENATE(Tabelle32[[#This Row],[Family
GFX-Unit]]," | ",Tabelle32[[#This Row],[Label 1
GFX-Unit]]," | ",Tabelle32[[#This Row],[Attached Device if Gateway]]),"")</f>
        <v>M3H InCh PGM | Ingest Ch38-04 | IngSRV-10</v>
      </c>
      <c r="AQ535" s="59"/>
      <c r="AR535" s="92"/>
      <c r="AS535" s="92"/>
      <c r="AT535" s="92"/>
      <c r="AU535" s="92"/>
      <c r="AV535" s="92"/>
      <c r="AW535" s="92" t="s">
        <v>97</v>
      </c>
      <c r="AX535" s="92"/>
      <c r="AY535" s="92"/>
      <c r="AZ535" s="92" t="s">
        <v>97</v>
      </c>
      <c r="BA535" s="92"/>
      <c r="BB535" s="92" t="s">
        <v>97</v>
      </c>
      <c r="BC535" s="92" t="s">
        <v>97</v>
      </c>
      <c r="BD535" s="92"/>
      <c r="BE535" s="92"/>
      <c r="BF535" s="92"/>
      <c r="BG535" s="92"/>
      <c r="BH535" s="73" t="s">
        <v>199</v>
      </c>
      <c r="BI535" s="30" t="str">
        <f>IF(COUNTA(Tabelle32[[#This Row],[Type:Vid_1080i50]:[Type:Anc_Prot]])&gt;0,"x","")</f>
        <v>x</v>
      </c>
      <c r="BJ53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35" s="59"/>
      <c r="BL535" s="59"/>
      <c r="BM535" s="63"/>
      <c r="BN535" s="63"/>
      <c r="BO535" s="93" t="s">
        <v>2684</v>
      </c>
      <c r="BP535" s="97" t="s">
        <v>2702</v>
      </c>
      <c r="BQ535" s="75">
        <f>LEN(Tabelle32[[#This Row],[Label 1
GFX-Unit]])</f>
        <v>14</v>
      </c>
      <c r="BR535" s="63"/>
      <c r="BS535" s="63"/>
      <c r="BT535" s="59"/>
      <c r="BU535" s="59"/>
      <c r="BV535" s="59" t="s">
        <v>226</v>
      </c>
      <c r="BW535" s="59" t="s">
        <v>227</v>
      </c>
      <c r="BX535" s="59" t="s">
        <v>1025</v>
      </c>
      <c r="BY535" s="59">
        <v>26</v>
      </c>
    </row>
    <row r="536" spans="1:77" x14ac:dyDescent="0.2">
      <c r="A536" s="58" t="str">
        <f>CONCATENATE(Tabelle32[[#This Row],[Device ID]],".",Tabelle32[[#This Row],[Streamcounter]])</f>
        <v>403.26205</v>
      </c>
      <c r="B53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VGW-103_SDI26_AUDrec_0005</v>
      </c>
      <c r="C536" s="60"/>
      <c r="D536" s="61"/>
      <c r="E536" s="62"/>
      <c r="F536" s="59" t="str">
        <f>IFERROR(VLOOKUP(Tabelle32[[#This Row],[Device ID]],BOM!$B$3:$BQ$35,16,FALSE),"")</f>
        <v>IngSRV-10</v>
      </c>
      <c r="G536" s="63">
        <f>VLOOKUP(Tabelle32[[#This Row],[SDI Interface]],BOM!$A$4:$B$35,2,FALSE)</f>
        <v>403</v>
      </c>
      <c r="H536" s="59" t="str">
        <f>BOM!$C$4</f>
        <v>VGW-103</v>
      </c>
      <c r="I536" s="59" t="str">
        <f>IFERROR(VLOOKUP(Tabelle32[[#This Row],[Device ID]],BOM!$B$3:$BQ$35,12,FALSE),"")</f>
        <v>Videoserver</v>
      </c>
      <c r="J536" s="59" t="str">
        <f>IFERROR(VLOOKUP(Tabelle32[[#This Row],[Device ID]],BOM!$B$3:$BQ$35,13,FALSE),"")</f>
        <v>TC.U1.223 | MDC</v>
      </c>
      <c r="K536" s="59" t="str">
        <f>IFERROR(VLOOKUP(Tabelle32[[#This Row],[Device ID]],BOM!$B$3:$BQ$35,14,FALSE),"")</f>
        <v>Imagine Comunications</v>
      </c>
      <c r="L536" s="59" t="str">
        <f>IFERROR(VLOOKUP(Tabelle32[[#This Row],[Device ID]],BOM!$B$3:$BQ$35,16,FALSE),"")</f>
        <v>IngSRV-10</v>
      </c>
      <c r="M536" s="63" t="str">
        <f>IFERROR(VLOOKUP(Tabelle32[[#This Row],[Device ID]],BOM!$B$3:$BQ$35,17,FALSE),"")</f>
        <v>M3H</v>
      </c>
      <c r="N536" s="59" t="str">
        <f>IFERROR(VLOOKUP(Tabelle32[[#This Row],[Device ID]],BOM!$B$3:$BQ$35,18,FALSE),"")</f>
        <v>TC.03.225 | M3H</v>
      </c>
      <c r="O536" s="64"/>
      <c r="P536" s="64">
        <f>IFERROR(VLOOKUP(Tabelle32[[#This Row],[Device ID]],BOM!$B$3:$BO$50,20,FALSE),"")</f>
        <v>0</v>
      </c>
      <c r="Q536" s="64">
        <f>IFERROR(VLOOKUP(Tabelle32[[#This Row],[Device ID]],BOM!$B$3:$BO$50,21,FALSE),"")</f>
        <v>1</v>
      </c>
      <c r="R536" s="64">
        <f>IFERROR(VLOOKUP(Tabelle32[[#This Row],[Device ID]],BOM!$B$3:$BO$50,22,FALSE),"")</f>
        <v>0</v>
      </c>
      <c r="S536" s="64"/>
      <c r="T536" s="64"/>
      <c r="U536" s="59" t="str">
        <f>IFERROR(VLOOKUP(Tabelle32[[#This Row],[Device ID]],BOM!$B$3:$BQ$35,25,FALSE),"")</f>
        <v>Luis/Ivo</v>
      </c>
      <c r="V536" s="59" t="str">
        <f>IFERROR(VLOOKUP(Tabelle32[[#This Row],[Device ID]],BOM!$B$3:$BQ$35,26,FALSE),"")</f>
        <v>tpco-megw-vgw103.rta.st-net.media.int</v>
      </c>
      <c r="W536" s="59" t="str">
        <f>IFERROR(VLOOKUP(Tabelle32[[#This Row],[Device ID]],BOM!$B$3:$BQ$35,27,FALSE),"")</f>
        <v>10.120.236.50</v>
      </c>
      <c r="X536" s="59" t="str">
        <f>IFERROR(VLOOKUP(Tabelle32[[#This Row],[Device ID]],BOM!$B$3:$BQ$35,28,FALSE),"")</f>
        <v>AVCoreA</v>
      </c>
      <c r="Y536" s="59" t="str">
        <f>IFERROR(VLOOKUP(Tabelle32[[#This Row],[Device ID]],BOM!$B$3:$BQ$35,29,FALSE),"")</f>
        <v>5_36_1</v>
      </c>
      <c r="Z536" s="59" t="str">
        <f>IFERROR(VLOOKUP(Tabelle32[[#This Row],[Device ID]],BOM!$B$3:$BQ$35,30,FALSE),"")</f>
        <v>tpco-megw-vgw103.rtb.st-net.media.int</v>
      </c>
      <c r="AA536" s="59" t="str">
        <f>IFERROR(VLOOKUP(Tabelle32[[#This Row],[Device ID]],BOM!$B$3:$BQ$35,31,FALSE),"")</f>
        <v>10.120.236.54</v>
      </c>
      <c r="AB536" s="59" t="str">
        <f>IFERROR(VLOOKUP(Tabelle32[[#This Row],[Device ID]],BOM!$B$3:$BQ$35,32,FALSE),"")</f>
        <v>AVCoreB</v>
      </c>
      <c r="AC536" s="59" t="str">
        <f>IFERROR(VLOOKUP(Tabelle32[[#This Row],[Device ID]],BOM!$B$3:$BQ$35,33,FALSE),"")</f>
        <v>5_36_1</v>
      </c>
      <c r="AD536" s="59" t="str">
        <f>IFERROR(VLOOKUP(Tabelle32[[#This Row],[Device ID]],BOM!$B$3:$BQ$35,34,FALSE),"")</f>
        <v>tpco-megw-vgw103.st-net.media.int</v>
      </c>
      <c r="AE536" s="59" t="str">
        <f>IFERROR(VLOOKUP(Tabelle32[[#This Row],[Device ID]],BOM!$B$3:$BQ$35,35,FALSE),"")</f>
        <v>10.120.67.141</v>
      </c>
      <c r="AF536" s="59">
        <f>IFERROR(VLOOKUP(Tabelle32[[#This Row],[Device ID]],BOM!$B$3:$BQ$35,36,FALSE),"")</f>
        <v>0</v>
      </c>
      <c r="AG536" s="59">
        <f>IFERROR(VLOOKUP(Tabelle32[[#This Row],[Device ID]],BOM!$B$3:$BQ$35,37,FALSE),"")</f>
        <v>0</v>
      </c>
      <c r="AH536" s="59"/>
      <c r="AI536" s="59"/>
      <c r="AJ536" s="59"/>
      <c r="AK536" s="59"/>
      <c r="AL536" s="59" t="str">
        <f>IFERROR(VLOOKUP(Tabelle32[[#This Row],[Device ID]],BOM!$B$3:$BQ$35,42,FALSE),"")</f>
        <v>Imagine Communications SNP</v>
      </c>
      <c r="AM536" s="59" t="str">
        <f>IFERROR(VLOOKUP(Tabelle32[[#This Row],[Device ID]],BOM!$B$3:$BQ$35,43,FALSE),"")</f>
        <v>no</v>
      </c>
      <c r="AN536" s="59" t="str">
        <f>IFERROR(VLOOKUP(Tabelle32[[#This Row],[Device ID]],BOM!$B$3:$BQ$35,44,FALSE),"")</f>
        <v>yes</v>
      </c>
      <c r="AO536" s="59" t="str">
        <f>IFERROR(VLOOKUP(Tabelle32[[#This Row],[Device ID]],BOM!$B$3:$BQ$35,45,FALSE),"")</f>
        <v>no</v>
      </c>
      <c r="AP536" s="59" t="str">
        <f>IFERROR(CONCATENATE(Tabelle32[[#This Row],[Family
GFX-Unit]]," | ",Tabelle32[[#This Row],[Label 1
GFX-Unit]]," | ",Tabelle32[[#This Row],[Attached Device if Gateway]]),"")</f>
        <v>M3H InCh PGM | Ingest Ch38-05 | IngSRV-10</v>
      </c>
      <c r="AQ536" s="59"/>
      <c r="AR536" s="92"/>
      <c r="AS536" s="92"/>
      <c r="AT536" s="92"/>
      <c r="AU536" s="92"/>
      <c r="AV536" s="92"/>
      <c r="AW536" s="92" t="s">
        <v>97</v>
      </c>
      <c r="AX536" s="92"/>
      <c r="AY536" s="92"/>
      <c r="AZ536" s="92" t="s">
        <v>97</v>
      </c>
      <c r="BA536" s="92"/>
      <c r="BB536" s="92" t="s">
        <v>97</v>
      </c>
      <c r="BC536" s="92" t="s">
        <v>97</v>
      </c>
      <c r="BD536" s="92"/>
      <c r="BE536" s="92"/>
      <c r="BF536" s="92"/>
      <c r="BG536" s="92"/>
      <c r="BH536" s="73" t="s">
        <v>199</v>
      </c>
      <c r="BI536" s="30" t="str">
        <f>IF(COUNTA(Tabelle32[[#This Row],[Type:Vid_1080i50]:[Type:Anc_Prot]])&gt;0,"x","")</f>
        <v>x</v>
      </c>
      <c r="BJ53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36" s="59"/>
      <c r="BL536" s="59"/>
      <c r="BM536" s="63"/>
      <c r="BN536" s="63"/>
      <c r="BO536" s="93" t="s">
        <v>2684</v>
      </c>
      <c r="BP536" s="97" t="s">
        <v>2703</v>
      </c>
      <c r="BQ536" s="75">
        <f>LEN(Tabelle32[[#This Row],[Label 1
GFX-Unit]])</f>
        <v>14</v>
      </c>
      <c r="BR536" s="63"/>
      <c r="BS536" s="63"/>
      <c r="BT536" s="59"/>
      <c r="BU536" s="59"/>
      <c r="BV536" s="59" t="s">
        <v>230</v>
      </c>
      <c r="BW536" s="59" t="s">
        <v>231</v>
      </c>
      <c r="BX536" s="59" t="s">
        <v>1026</v>
      </c>
      <c r="BY536" s="59">
        <v>26</v>
      </c>
    </row>
    <row r="537" spans="1:77" x14ac:dyDescent="0.2">
      <c r="A537" s="58" t="str">
        <f>CONCATENATE(Tabelle32[[#This Row],[Device ID]],".",Tabelle32[[#This Row],[Streamcounter]])</f>
        <v>403.26206</v>
      </c>
      <c r="B53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VGW-103_SDI26_AUDrec_0006</v>
      </c>
      <c r="C537" s="60"/>
      <c r="D537" s="61"/>
      <c r="E537" s="62"/>
      <c r="F537" s="59" t="str">
        <f>IFERROR(VLOOKUP(Tabelle32[[#This Row],[Device ID]],BOM!$B$3:$BQ$35,16,FALSE),"")</f>
        <v>IngSRV-10</v>
      </c>
      <c r="G537" s="63">
        <f>VLOOKUP(Tabelle32[[#This Row],[SDI Interface]],BOM!$A$4:$B$35,2,FALSE)</f>
        <v>403</v>
      </c>
      <c r="H537" s="59" t="str">
        <f>BOM!$C$4</f>
        <v>VGW-103</v>
      </c>
      <c r="I537" s="59" t="str">
        <f>IFERROR(VLOOKUP(Tabelle32[[#This Row],[Device ID]],BOM!$B$3:$BQ$35,12,FALSE),"")</f>
        <v>Videoserver</v>
      </c>
      <c r="J537" s="59" t="str">
        <f>IFERROR(VLOOKUP(Tabelle32[[#This Row],[Device ID]],BOM!$B$3:$BQ$35,13,FALSE),"")</f>
        <v>TC.U1.223 | MDC</v>
      </c>
      <c r="K537" s="59" t="str">
        <f>IFERROR(VLOOKUP(Tabelle32[[#This Row],[Device ID]],BOM!$B$3:$BQ$35,14,FALSE),"")</f>
        <v>Imagine Comunications</v>
      </c>
      <c r="L537" s="59" t="str">
        <f>IFERROR(VLOOKUP(Tabelle32[[#This Row],[Device ID]],BOM!$B$3:$BQ$35,16,FALSE),"")</f>
        <v>IngSRV-10</v>
      </c>
      <c r="M537" s="63" t="str">
        <f>IFERROR(VLOOKUP(Tabelle32[[#This Row],[Device ID]],BOM!$B$3:$BQ$35,17,FALSE),"")</f>
        <v>M3H</v>
      </c>
      <c r="N537" s="59" t="str">
        <f>IFERROR(VLOOKUP(Tabelle32[[#This Row],[Device ID]],BOM!$B$3:$BQ$35,18,FALSE),"")</f>
        <v>TC.03.225 | M3H</v>
      </c>
      <c r="O537" s="64"/>
      <c r="P537" s="64">
        <f>IFERROR(VLOOKUP(Tabelle32[[#This Row],[Device ID]],BOM!$B$3:$BO$50,20,FALSE),"")</f>
        <v>0</v>
      </c>
      <c r="Q537" s="64">
        <f>IFERROR(VLOOKUP(Tabelle32[[#This Row],[Device ID]],BOM!$B$3:$BO$50,21,FALSE),"")</f>
        <v>1</v>
      </c>
      <c r="R537" s="64">
        <f>IFERROR(VLOOKUP(Tabelle32[[#This Row],[Device ID]],BOM!$B$3:$BO$50,22,FALSE),"")</f>
        <v>0</v>
      </c>
      <c r="S537" s="64"/>
      <c r="T537" s="64"/>
      <c r="U537" s="59" t="str">
        <f>IFERROR(VLOOKUP(Tabelle32[[#This Row],[Device ID]],BOM!$B$3:$BQ$35,25,FALSE),"")</f>
        <v>Luis/Ivo</v>
      </c>
      <c r="V537" s="59" t="str">
        <f>IFERROR(VLOOKUP(Tabelle32[[#This Row],[Device ID]],BOM!$B$3:$BQ$35,26,FALSE),"")</f>
        <v>tpco-megw-vgw103.rta.st-net.media.int</v>
      </c>
      <c r="W537" s="59" t="str">
        <f>IFERROR(VLOOKUP(Tabelle32[[#This Row],[Device ID]],BOM!$B$3:$BQ$35,27,FALSE),"")</f>
        <v>10.120.236.50</v>
      </c>
      <c r="X537" s="59" t="str">
        <f>IFERROR(VLOOKUP(Tabelle32[[#This Row],[Device ID]],BOM!$B$3:$BQ$35,28,FALSE),"")</f>
        <v>AVCoreA</v>
      </c>
      <c r="Y537" s="59" t="str">
        <f>IFERROR(VLOOKUP(Tabelle32[[#This Row],[Device ID]],BOM!$B$3:$BQ$35,29,FALSE),"")</f>
        <v>5_36_1</v>
      </c>
      <c r="Z537" s="59" t="str">
        <f>IFERROR(VLOOKUP(Tabelle32[[#This Row],[Device ID]],BOM!$B$3:$BQ$35,30,FALSE),"")</f>
        <v>tpco-megw-vgw103.rtb.st-net.media.int</v>
      </c>
      <c r="AA537" s="59" t="str">
        <f>IFERROR(VLOOKUP(Tabelle32[[#This Row],[Device ID]],BOM!$B$3:$BQ$35,31,FALSE),"")</f>
        <v>10.120.236.54</v>
      </c>
      <c r="AB537" s="59" t="str">
        <f>IFERROR(VLOOKUP(Tabelle32[[#This Row],[Device ID]],BOM!$B$3:$BQ$35,32,FALSE),"")</f>
        <v>AVCoreB</v>
      </c>
      <c r="AC537" s="59" t="str">
        <f>IFERROR(VLOOKUP(Tabelle32[[#This Row],[Device ID]],BOM!$B$3:$BQ$35,33,FALSE),"")</f>
        <v>5_36_1</v>
      </c>
      <c r="AD537" s="59" t="str">
        <f>IFERROR(VLOOKUP(Tabelle32[[#This Row],[Device ID]],BOM!$B$3:$BQ$35,34,FALSE),"")</f>
        <v>tpco-megw-vgw103.st-net.media.int</v>
      </c>
      <c r="AE537" s="59" t="str">
        <f>IFERROR(VLOOKUP(Tabelle32[[#This Row],[Device ID]],BOM!$B$3:$BQ$35,35,FALSE),"")</f>
        <v>10.120.67.141</v>
      </c>
      <c r="AF537" s="59">
        <f>IFERROR(VLOOKUP(Tabelle32[[#This Row],[Device ID]],BOM!$B$3:$BQ$35,36,FALSE),"")</f>
        <v>0</v>
      </c>
      <c r="AG537" s="59">
        <f>IFERROR(VLOOKUP(Tabelle32[[#This Row],[Device ID]],BOM!$B$3:$BQ$35,37,FALSE),"")</f>
        <v>0</v>
      </c>
      <c r="AH537" s="59"/>
      <c r="AI537" s="59"/>
      <c r="AJ537" s="59"/>
      <c r="AK537" s="59"/>
      <c r="AL537" s="59" t="str">
        <f>IFERROR(VLOOKUP(Tabelle32[[#This Row],[Device ID]],BOM!$B$3:$BQ$35,42,FALSE),"")</f>
        <v>Imagine Communications SNP</v>
      </c>
      <c r="AM537" s="59" t="str">
        <f>IFERROR(VLOOKUP(Tabelle32[[#This Row],[Device ID]],BOM!$B$3:$BQ$35,43,FALSE),"")</f>
        <v>no</v>
      </c>
      <c r="AN537" s="59" t="str">
        <f>IFERROR(VLOOKUP(Tabelle32[[#This Row],[Device ID]],BOM!$B$3:$BQ$35,44,FALSE),"")</f>
        <v>yes</v>
      </c>
      <c r="AO537" s="59" t="str">
        <f>IFERROR(VLOOKUP(Tabelle32[[#This Row],[Device ID]],BOM!$B$3:$BQ$35,45,FALSE),"")</f>
        <v>no</v>
      </c>
      <c r="AP537" s="59" t="str">
        <f>IFERROR(CONCATENATE(Tabelle32[[#This Row],[Family
GFX-Unit]]," | ",Tabelle32[[#This Row],[Label 1
GFX-Unit]]," | ",Tabelle32[[#This Row],[Attached Device if Gateway]]),"")</f>
        <v>M3H InCh PGM | Ingest Ch38-06 | IngSRV-10</v>
      </c>
      <c r="AQ537" s="59"/>
      <c r="AR537" s="92"/>
      <c r="AS537" s="92"/>
      <c r="AT537" s="92"/>
      <c r="AU537" s="92"/>
      <c r="AV537" s="92"/>
      <c r="AW537" s="92" t="s">
        <v>97</v>
      </c>
      <c r="AX537" s="92"/>
      <c r="AY537" s="92"/>
      <c r="AZ537" s="92" t="s">
        <v>97</v>
      </c>
      <c r="BA537" s="92"/>
      <c r="BB537" s="92" t="s">
        <v>97</v>
      </c>
      <c r="BC537" s="92" t="s">
        <v>97</v>
      </c>
      <c r="BD537" s="92"/>
      <c r="BE537" s="92"/>
      <c r="BF537" s="92"/>
      <c r="BG537" s="92"/>
      <c r="BH537" s="73" t="s">
        <v>199</v>
      </c>
      <c r="BI537" s="30" t="str">
        <f>IF(COUNTA(Tabelle32[[#This Row],[Type:Vid_1080i50]:[Type:Anc_Prot]])&gt;0,"x","")</f>
        <v>x</v>
      </c>
      <c r="BJ53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37" s="59"/>
      <c r="BL537" s="59"/>
      <c r="BM537" s="63"/>
      <c r="BN537" s="63"/>
      <c r="BO537" s="93" t="s">
        <v>2684</v>
      </c>
      <c r="BP537" s="97" t="s">
        <v>2704</v>
      </c>
      <c r="BQ537" s="75">
        <f>LEN(Tabelle32[[#This Row],[Label 1
GFX-Unit]])</f>
        <v>14</v>
      </c>
      <c r="BR537" s="63"/>
      <c r="BS537" s="63"/>
      <c r="BT537" s="59"/>
      <c r="BU537" s="59"/>
      <c r="BV537" s="59" t="s">
        <v>234</v>
      </c>
      <c r="BW537" s="59" t="s">
        <v>235</v>
      </c>
      <c r="BX537" s="59" t="s">
        <v>1027</v>
      </c>
      <c r="BY537" s="59">
        <v>26</v>
      </c>
    </row>
    <row r="538" spans="1:77" x14ac:dyDescent="0.2">
      <c r="A538" s="58" t="str">
        <f>CONCATENATE(Tabelle32[[#This Row],[Device ID]],".",Tabelle32[[#This Row],[Streamcounter]])</f>
        <v>403.26207</v>
      </c>
      <c r="B53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VGW-103_SDI26_AUDrec_0007</v>
      </c>
      <c r="C538" s="60"/>
      <c r="D538" s="61"/>
      <c r="E538" s="62"/>
      <c r="F538" s="59" t="str">
        <f>IFERROR(VLOOKUP(Tabelle32[[#This Row],[Device ID]],BOM!$B$3:$BQ$35,16,FALSE),"")</f>
        <v>IngSRV-10</v>
      </c>
      <c r="G538" s="63">
        <f>VLOOKUP(Tabelle32[[#This Row],[SDI Interface]],BOM!$A$4:$B$35,2,FALSE)</f>
        <v>403</v>
      </c>
      <c r="H538" s="59" t="str">
        <f>BOM!$C$4</f>
        <v>VGW-103</v>
      </c>
      <c r="I538" s="59" t="str">
        <f>IFERROR(VLOOKUP(Tabelle32[[#This Row],[Device ID]],BOM!$B$3:$BQ$35,12,FALSE),"")</f>
        <v>Videoserver</v>
      </c>
      <c r="J538" s="59" t="str">
        <f>IFERROR(VLOOKUP(Tabelle32[[#This Row],[Device ID]],BOM!$B$3:$BQ$35,13,FALSE),"")</f>
        <v>TC.U1.223 | MDC</v>
      </c>
      <c r="K538" s="59" t="str">
        <f>IFERROR(VLOOKUP(Tabelle32[[#This Row],[Device ID]],BOM!$B$3:$BQ$35,14,FALSE),"")</f>
        <v>Imagine Comunications</v>
      </c>
      <c r="L538" s="59" t="str">
        <f>IFERROR(VLOOKUP(Tabelle32[[#This Row],[Device ID]],BOM!$B$3:$BQ$35,16,FALSE),"")</f>
        <v>IngSRV-10</v>
      </c>
      <c r="M538" s="63" t="str">
        <f>IFERROR(VLOOKUP(Tabelle32[[#This Row],[Device ID]],BOM!$B$3:$BQ$35,17,FALSE),"")</f>
        <v>M3H</v>
      </c>
      <c r="N538" s="59" t="str">
        <f>IFERROR(VLOOKUP(Tabelle32[[#This Row],[Device ID]],BOM!$B$3:$BQ$35,18,FALSE),"")</f>
        <v>TC.03.225 | M3H</v>
      </c>
      <c r="O538" s="64"/>
      <c r="P538" s="64">
        <f>IFERROR(VLOOKUP(Tabelle32[[#This Row],[Device ID]],BOM!$B$3:$BO$50,20,FALSE),"")</f>
        <v>0</v>
      </c>
      <c r="Q538" s="64">
        <f>IFERROR(VLOOKUP(Tabelle32[[#This Row],[Device ID]],BOM!$B$3:$BO$50,21,FALSE),"")</f>
        <v>1</v>
      </c>
      <c r="R538" s="64">
        <f>IFERROR(VLOOKUP(Tabelle32[[#This Row],[Device ID]],BOM!$B$3:$BO$50,22,FALSE),"")</f>
        <v>0</v>
      </c>
      <c r="S538" s="64"/>
      <c r="T538" s="64"/>
      <c r="U538" s="59" t="str">
        <f>IFERROR(VLOOKUP(Tabelle32[[#This Row],[Device ID]],BOM!$B$3:$BQ$35,25,FALSE),"")</f>
        <v>Luis/Ivo</v>
      </c>
      <c r="V538" s="59" t="str">
        <f>IFERROR(VLOOKUP(Tabelle32[[#This Row],[Device ID]],BOM!$B$3:$BQ$35,26,FALSE),"")</f>
        <v>tpco-megw-vgw103.rta.st-net.media.int</v>
      </c>
      <c r="W538" s="59" t="str">
        <f>IFERROR(VLOOKUP(Tabelle32[[#This Row],[Device ID]],BOM!$B$3:$BQ$35,27,FALSE),"")</f>
        <v>10.120.236.50</v>
      </c>
      <c r="X538" s="59" t="str">
        <f>IFERROR(VLOOKUP(Tabelle32[[#This Row],[Device ID]],BOM!$B$3:$BQ$35,28,FALSE),"")</f>
        <v>AVCoreA</v>
      </c>
      <c r="Y538" s="59" t="str">
        <f>IFERROR(VLOOKUP(Tabelle32[[#This Row],[Device ID]],BOM!$B$3:$BQ$35,29,FALSE),"")</f>
        <v>5_36_1</v>
      </c>
      <c r="Z538" s="59" t="str">
        <f>IFERROR(VLOOKUP(Tabelle32[[#This Row],[Device ID]],BOM!$B$3:$BQ$35,30,FALSE),"")</f>
        <v>tpco-megw-vgw103.rtb.st-net.media.int</v>
      </c>
      <c r="AA538" s="59" t="str">
        <f>IFERROR(VLOOKUP(Tabelle32[[#This Row],[Device ID]],BOM!$B$3:$BQ$35,31,FALSE),"")</f>
        <v>10.120.236.54</v>
      </c>
      <c r="AB538" s="59" t="str">
        <f>IFERROR(VLOOKUP(Tabelle32[[#This Row],[Device ID]],BOM!$B$3:$BQ$35,32,FALSE),"")</f>
        <v>AVCoreB</v>
      </c>
      <c r="AC538" s="59" t="str">
        <f>IFERROR(VLOOKUP(Tabelle32[[#This Row],[Device ID]],BOM!$B$3:$BQ$35,33,FALSE),"")</f>
        <v>5_36_1</v>
      </c>
      <c r="AD538" s="59" t="str">
        <f>IFERROR(VLOOKUP(Tabelle32[[#This Row],[Device ID]],BOM!$B$3:$BQ$35,34,FALSE),"")</f>
        <v>tpco-megw-vgw103.st-net.media.int</v>
      </c>
      <c r="AE538" s="59" t="str">
        <f>IFERROR(VLOOKUP(Tabelle32[[#This Row],[Device ID]],BOM!$B$3:$BQ$35,35,FALSE),"")</f>
        <v>10.120.67.141</v>
      </c>
      <c r="AF538" s="59">
        <f>IFERROR(VLOOKUP(Tabelle32[[#This Row],[Device ID]],BOM!$B$3:$BQ$35,36,FALSE),"")</f>
        <v>0</v>
      </c>
      <c r="AG538" s="59">
        <f>IFERROR(VLOOKUP(Tabelle32[[#This Row],[Device ID]],BOM!$B$3:$BQ$35,37,FALSE),"")</f>
        <v>0</v>
      </c>
      <c r="AH538" s="59"/>
      <c r="AI538" s="59"/>
      <c r="AJ538" s="59"/>
      <c r="AK538" s="59"/>
      <c r="AL538" s="59" t="str">
        <f>IFERROR(VLOOKUP(Tabelle32[[#This Row],[Device ID]],BOM!$B$3:$BQ$35,42,FALSE),"")</f>
        <v>Imagine Communications SNP</v>
      </c>
      <c r="AM538" s="59" t="str">
        <f>IFERROR(VLOOKUP(Tabelle32[[#This Row],[Device ID]],BOM!$B$3:$BQ$35,43,FALSE),"")</f>
        <v>no</v>
      </c>
      <c r="AN538" s="59" t="str">
        <f>IFERROR(VLOOKUP(Tabelle32[[#This Row],[Device ID]],BOM!$B$3:$BQ$35,44,FALSE),"")</f>
        <v>yes</v>
      </c>
      <c r="AO538" s="59" t="str">
        <f>IFERROR(VLOOKUP(Tabelle32[[#This Row],[Device ID]],BOM!$B$3:$BQ$35,45,FALSE),"")</f>
        <v>no</v>
      </c>
      <c r="AP538" s="59" t="str">
        <f>IFERROR(CONCATENATE(Tabelle32[[#This Row],[Family
GFX-Unit]]," | ",Tabelle32[[#This Row],[Label 1
GFX-Unit]]," | ",Tabelle32[[#This Row],[Attached Device if Gateway]]),"")</f>
        <v>M3H InCh PGM | Ingest Ch38-07 | IngSRV-10</v>
      </c>
      <c r="AQ538" s="59"/>
      <c r="AR538" s="92"/>
      <c r="AS538" s="92"/>
      <c r="AT538" s="92"/>
      <c r="AU538" s="92"/>
      <c r="AV538" s="92"/>
      <c r="AW538" s="92" t="s">
        <v>97</v>
      </c>
      <c r="AX538" s="92"/>
      <c r="AY538" s="92"/>
      <c r="AZ538" s="92" t="s">
        <v>97</v>
      </c>
      <c r="BA538" s="92"/>
      <c r="BB538" s="92" t="s">
        <v>97</v>
      </c>
      <c r="BC538" s="92" t="s">
        <v>97</v>
      </c>
      <c r="BD538" s="92"/>
      <c r="BE538" s="92"/>
      <c r="BF538" s="92"/>
      <c r="BG538" s="92"/>
      <c r="BH538" s="73" t="s">
        <v>199</v>
      </c>
      <c r="BI538" s="30" t="str">
        <f>IF(COUNTA(Tabelle32[[#This Row],[Type:Vid_1080i50]:[Type:Anc_Prot]])&gt;0,"x","")</f>
        <v>x</v>
      </c>
      <c r="BJ53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38" s="59"/>
      <c r="BL538" s="59"/>
      <c r="BM538" s="63"/>
      <c r="BN538" s="63"/>
      <c r="BO538" s="93" t="s">
        <v>2684</v>
      </c>
      <c r="BP538" s="97" t="s">
        <v>2705</v>
      </c>
      <c r="BQ538" s="75">
        <f>LEN(Tabelle32[[#This Row],[Label 1
GFX-Unit]])</f>
        <v>14</v>
      </c>
      <c r="BR538" s="63"/>
      <c r="BS538" s="63"/>
      <c r="BT538" s="59"/>
      <c r="BU538" s="59"/>
      <c r="BV538" s="59" t="s">
        <v>238</v>
      </c>
      <c r="BW538" s="59" t="s">
        <v>239</v>
      </c>
      <c r="BX538" s="59" t="s">
        <v>1028</v>
      </c>
      <c r="BY538" s="59">
        <v>26</v>
      </c>
    </row>
    <row r="539" spans="1:77" x14ac:dyDescent="0.2">
      <c r="A539" s="58" t="str">
        <f>CONCATENATE(Tabelle32[[#This Row],[Device ID]],".",Tabelle32[[#This Row],[Streamcounter]])</f>
        <v>403.26208</v>
      </c>
      <c r="B53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VGW-103_SDI26_AUDrec_0008</v>
      </c>
      <c r="C539" s="60"/>
      <c r="D539" s="61"/>
      <c r="E539" s="62"/>
      <c r="F539" s="59" t="str">
        <f>IFERROR(VLOOKUP(Tabelle32[[#This Row],[Device ID]],BOM!$B$3:$BQ$35,16,FALSE),"")</f>
        <v>IngSRV-10</v>
      </c>
      <c r="G539" s="63">
        <f>VLOOKUP(Tabelle32[[#This Row],[SDI Interface]],BOM!$A$4:$B$35,2,FALSE)</f>
        <v>403</v>
      </c>
      <c r="H539" s="59" t="str">
        <f>BOM!$C$4</f>
        <v>VGW-103</v>
      </c>
      <c r="I539" s="59" t="str">
        <f>IFERROR(VLOOKUP(Tabelle32[[#This Row],[Device ID]],BOM!$B$3:$BQ$35,12,FALSE),"")</f>
        <v>Videoserver</v>
      </c>
      <c r="J539" s="59" t="str">
        <f>IFERROR(VLOOKUP(Tabelle32[[#This Row],[Device ID]],BOM!$B$3:$BQ$35,13,FALSE),"")</f>
        <v>TC.U1.223 | MDC</v>
      </c>
      <c r="K539" s="59" t="str">
        <f>IFERROR(VLOOKUP(Tabelle32[[#This Row],[Device ID]],BOM!$B$3:$BQ$35,14,FALSE),"")</f>
        <v>Imagine Comunications</v>
      </c>
      <c r="L539" s="59" t="str">
        <f>IFERROR(VLOOKUP(Tabelle32[[#This Row],[Device ID]],BOM!$B$3:$BQ$35,16,FALSE),"")</f>
        <v>IngSRV-10</v>
      </c>
      <c r="M539" s="63" t="str">
        <f>IFERROR(VLOOKUP(Tabelle32[[#This Row],[Device ID]],BOM!$B$3:$BQ$35,17,FALSE),"")</f>
        <v>M3H</v>
      </c>
      <c r="N539" s="59" t="str">
        <f>IFERROR(VLOOKUP(Tabelle32[[#This Row],[Device ID]],BOM!$B$3:$BQ$35,18,FALSE),"")</f>
        <v>TC.03.225 | M3H</v>
      </c>
      <c r="O539" s="64"/>
      <c r="P539" s="64">
        <f>IFERROR(VLOOKUP(Tabelle32[[#This Row],[Device ID]],BOM!$B$3:$BO$50,20,FALSE),"")</f>
        <v>0</v>
      </c>
      <c r="Q539" s="64">
        <f>IFERROR(VLOOKUP(Tabelle32[[#This Row],[Device ID]],BOM!$B$3:$BO$50,21,FALSE),"")</f>
        <v>1</v>
      </c>
      <c r="R539" s="64">
        <f>IFERROR(VLOOKUP(Tabelle32[[#This Row],[Device ID]],BOM!$B$3:$BO$50,22,FALSE),"")</f>
        <v>0</v>
      </c>
      <c r="S539" s="64"/>
      <c r="T539" s="64"/>
      <c r="U539" s="59" t="str">
        <f>IFERROR(VLOOKUP(Tabelle32[[#This Row],[Device ID]],BOM!$B$3:$BQ$35,25,FALSE),"")</f>
        <v>Luis/Ivo</v>
      </c>
      <c r="V539" s="59" t="str">
        <f>IFERROR(VLOOKUP(Tabelle32[[#This Row],[Device ID]],BOM!$B$3:$BQ$35,26,FALSE),"")</f>
        <v>tpco-megw-vgw103.rta.st-net.media.int</v>
      </c>
      <c r="W539" s="59" t="str">
        <f>IFERROR(VLOOKUP(Tabelle32[[#This Row],[Device ID]],BOM!$B$3:$BQ$35,27,FALSE),"")</f>
        <v>10.120.236.50</v>
      </c>
      <c r="X539" s="59" t="str">
        <f>IFERROR(VLOOKUP(Tabelle32[[#This Row],[Device ID]],BOM!$B$3:$BQ$35,28,FALSE),"")</f>
        <v>AVCoreA</v>
      </c>
      <c r="Y539" s="59" t="str">
        <f>IFERROR(VLOOKUP(Tabelle32[[#This Row],[Device ID]],BOM!$B$3:$BQ$35,29,FALSE),"")</f>
        <v>5_36_1</v>
      </c>
      <c r="Z539" s="59" t="str">
        <f>IFERROR(VLOOKUP(Tabelle32[[#This Row],[Device ID]],BOM!$B$3:$BQ$35,30,FALSE),"")</f>
        <v>tpco-megw-vgw103.rtb.st-net.media.int</v>
      </c>
      <c r="AA539" s="59" t="str">
        <f>IFERROR(VLOOKUP(Tabelle32[[#This Row],[Device ID]],BOM!$B$3:$BQ$35,31,FALSE),"")</f>
        <v>10.120.236.54</v>
      </c>
      <c r="AB539" s="59" t="str">
        <f>IFERROR(VLOOKUP(Tabelle32[[#This Row],[Device ID]],BOM!$B$3:$BQ$35,32,FALSE),"")</f>
        <v>AVCoreB</v>
      </c>
      <c r="AC539" s="59" t="str">
        <f>IFERROR(VLOOKUP(Tabelle32[[#This Row],[Device ID]],BOM!$B$3:$BQ$35,33,FALSE),"")</f>
        <v>5_36_1</v>
      </c>
      <c r="AD539" s="59" t="str">
        <f>IFERROR(VLOOKUP(Tabelle32[[#This Row],[Device ID]],BOM!$B$3:$BQ$35,34,FALSE),"")</f>
        <v>tpco-megw-vgw103.st-net.media.int</v>
      </c>
      <c r="AE539" s="59" t="str">
        <f>IFERROR(VLOOKUP(Tabelle32[[#This Row],[Device ID]],BOM!$B$3:$BQ$35,35,FALSE),"")</f>
        <v>10.120.67.141</v>
      </c>
      <c r="AF539" s="59">
        <f>IFERROR(VLOOKUP(Tabelle32[[#This Row],[Device ID]],BOM!$B$3:$BQ$35,36,FALSE),"")</f>
        <v>0</v>
      </c>
      <c r="AG539" s="59">
        <f>IFERROR(VLOOKUP(Tabelle32[[#This Row],[Device ID]],BOM!$B$3:$BQ$35,37,FALSE),"")</f>
        <v>0</v>
      </c>
      <c r="AH539" s="59"/>
      <c r="AI539" s="59"/>
      <c r="AJ539" s="59"/>
      <c r="AK539" s="59"/>
      <c r="AL539" s="59" t="str">
        <f>IFERROR(VLOOKUP(Tabelle32[[#This Row],[Device ID]],BOM!$B$3:$BQ$35,42,FALSE),"")</f>
        <v>Imagine Communications SNP</v>
      </c>
      <c r="AM539" s="59" t="str">
        <f>IFERROR(VLOOKUP(Tabelle32[[#This Row],[Device ID]],BOM!$B$3:$BQ$35,43,FALSE),"")</f>
        <v>no</v>
      </c>
      <c r="AN539" s="59" t="str">
        <f>IFERROR(VLOOKUP(Tabelle32[[#This Row],[Device ID]],BOM!$B$3:$BQ$35,44,FALSE),"")</f>
        <v>yes</v>
      </c>
      <c r="AO539" s="59" t="str">
        <f>IFERROR(VLOOKUP(Tabelle32[[#This Row],[Device ID]],BOM!$B$3:$BQ$35,45,FALSE),"")</f>
        <v>no</v>
      </c>
      <c r="AP539" s="59" t="str">
        <f>IFERROR(CONCATENATE(Tabelle32[[#This Row],[Family
GFX-Unit]]," | ",Tabelle32[[#This Row],[Label 1
GFX-Unit]]," | ",Tabelle32[[#This Row],[Attached Device if Gateway]]),"")</f>
        <v>M3H InCh PGM | Ingest Ch38-08 | IngSRV-10</v>
      </c>
      <c r="AQ539" s="59"/>
      <c r="AR539" s="92"/>
      <c r="AS539" s="92"/>
      <c r="AT539" s="92"/>
      <c r="AU539" s="92"/>
      <c r="AV539" s="92"/>
      <c r="AW539" s="92" t="s">
        <v>97</v>
      </c>
      <c r="AX539" s="92"/>
      <c r="AY539" s="92"/>
      <c r="AZ539" s="92" t="s">
        <v>97</v>
      </c>
      <c r="BA539" s="92"/>
      <c r="BB539" s="92" t="s">
        <v>97</v>
      </c>
      <c r="BC539" s="92" t="s">
        <v>97</v>
      </c>
      <c r="BD539" s="92"/>
      <c r="BE539" s="92"/>
      <c r="BF539" s="92"/>
      <c r="BG539" s="92"/>
      <c r="BH539" s="73" t="s">
        <v>199</v>
      </c>
      <c r="BI539" s="30" t="str">
        <f>IF(COUNTA(Tabelle32[[#This Row],[Type:Vid_1080i50]:[Type:Anc_Prot]])&gt;0,"x","")</f>
        <v>x</v>
      </c>
      <c r="BJ53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39" s="59"/>
      <c r="BL539" s="59"/>
      <c r="BM539" s="63"/>
      <c r="BN539" s="63"/>
      <c r="BO539" s="93" t="s">
        <v>2684</v>
      </c>
      <c r="BP539" s="97" t="s">
        <v>2706</v>
      </c>
      <c r="BQ539" s="75">
        <f>LEN(Tabelle32[[#This Row],[Label 1
GFX-Unit]])</f>
        <v>14</v>
      </c>
      <c r="BR539" s="63"/>
      <c r="BS539" s="63"/>
      <c r="BT539" s="59"/>
      <c r="BU539" s="59"/>
      <c r="BV539" s="59" t="s">
        <v>242</v>
      </c>
      <c r="BW539" s="59" t="s">
        <v>243</v>
      </c>
      <c r="BX539" s="59" t="s">
        <v>1029</v>
      </c>
      <c r="BY539" s="59">
        <v>26</v>
      </c>
    </row>
    <row r="540" spans="1:77" x14ac:dyDescent="0.2">
      <c r="A540" s="58" t="str">
        <f>CONCATENATE(Tabelle32[[#This Row],[Device ID]],".",Tabelle32[[#This Row],[Streamcounter]])</f>
        <v>403.26209</v>
      </c>
      <c r="B54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VGW-103_SDI26_AUDrec_0009</v>
      </c>
      <c r="C540" s="60"/>
      <c r="D540" s="61"/>
      <c r="E540" s="62"/>
      <c r="F540" s="59" t="str">
        <f>IFERROR(VLOOKUP(Tabelle32[[#This Row],[Device ID]],BOM!$B$3:$BQ$35,16,FALSE),"")</f>
        <v>IngSRV-10</v>
      </c>
      <c r="G540" s="63">
        <f>VLOOKUP(Tabelle32[[#This Row],[SDI Interface]],BOM!$A$4:$B$35,2,FALSE)</f>
        <v>403</v>
      </c>
      <c r="H540" s="59" t="str">
        <f>BOM!$C$4</f>
        <v>VGW-103</v>
      </c>
      <c r="I540" s="59" t="str">
        <f>IFERROR(VLOOKUP(Tabelle32[[#This Row],[Device ID]],BOM!$B$3:$BQ$35,12,FALSE),"")</f>
        <v>Videoserver</v>
      </c>
      <c r="J540" s="59" t="str">
        <f>IFERROR(VLOOKUP(Tabelle32[[#This Row],[Device ID]],BOM!$B$3:$BQ$35,13,FALSE),"")</f>
        <v>TC.U1.223 | MDC</v>
      </c>
      <c r="K540" s="59" t="str">
        <f>IFERROR(VLOOKUP(Tabelle32[[#This Row],[Device ID]],BOM!$B$3:$BQ$35,14,FALSE),"")</f>
        <v>Imagine Comunications</v>
      </c>
      <c r="L540" s="59" t="str">
        <f>IFERROR(VLOOKUP(Tabelle32[[#This Row],[Device ID]],BOM!$B$3:$BQ$35,16,FALSE),"")</f>
        <v>IngSRV-10</v>
      </c>
      <c r="M540" s="63" t="str">
        <f>IFERROR(VLOOKUP(Tabelle32[[#This Row],[Device ID]],BOM!$B$3:$BQ$35,17,FALSE),"")</f>
        <v>M3H</v>
      </c>
      <c r="N540" s="59" t="str">
        <f>IFERROR(VLOOKUP(Tabelle32[[#This Row],[Device ID]],BOM!$B$3:$BQ$35,18,FALSE),"")</f>
        <v>TC.03.225 | M3H</v>
      </c>
      <c r="O540" s="64"/>
      <c r="P540" s="64">
        <f>IFERROR(VLOOKUP(Tabelle32[[#This Row],[Device ID]],BOM!$B$3:$BO$50,20,FALSE),"")</f>
        <v>0</v>
      </c>
      <c r="Q540" s="64">
        <f>IFERROR(VLOOKUP(Tabelle32[[#This Row],[Device ID]],BOM!$B$3:$BO$50,21,FALSE),"")</f>
        <v>1</v>
      </c>
      <c r="R540" s="64">
        <f>IFERROR(VLOOKUP(Tabelle32[[#This Row],[Device ID]],BOM!$B$3:$BO$50,22,FALSE),"")</f>
        <v>0</v>
      </c>
      <c r="S540" s="64"/>
      <c r="T540" s="64"/>
      <c r="U540" s="59" t="str">
        <f>IFERROR(VLOOKUP(Tabelle32[[#This Row],[Device ID]],BOM!$B$3:$BQ$35,25,FALSE),"")</f>
        <v>Luis/Ivo</v>
      </c>
      <c r="V540" s="59" t="str">
        <f>IFERROR(VLOOKUP(Tabelle32[[#This Row],[Device ID]],BOM!$B$3:$BQ$35,26,FALSE),"")</f>
        <v>tpco-megw-vgw103.rta.st-net.media.int</v>
      </c>
      <c r="W540" s="59" t="str">
        <f>IFERROR(VLOOKUP(Tabelle32[[#This Row],[Device ID]],BOM!$B$3:$BQ$35,27,FALSE),"")</f>
        <v>10.120.236.50</v>
      </c>
      <c r="X540" s="59" t="str">
        <f>IFERROR(VLOOKUP(Tabelle32[[#This Row],[Device ID]],BOM!$B$3:$BQ$35,28,FALSE),"")</f>
        <v>AVCoreA</v>
      </c>
      <c r="Y540" s="59" t="str">
        <f>IFERROR(VLOOKUP(Tabelle32[[#This Row],[Device ID]],BOM!$B$3:$BQ$35,29,FALSE),"")</f>
        <v>5_36_1</v>
      </c>
      <c r="Z540" s="59" t="str">
        <f>IFERROR(VLOOKUP(Tabelle32[[#This Row],[Device ID]],BOM!$B$3:$BQ$35,30,FALSE),"")</f>
        <v>tpco-megw-vgw103.rtb.st-net.media.int</v>
      </c>
      <c r="AA540" s="59" t="str">
        <f>IFERROR(VLOOKUP(Tabelle32[[#This Row],[Device ID]],BOM!$B$3:$BQ$35,31,FALSE),"")</f>
        <v>10.120.236.54</v>
      </c>
      <c r="AB540" s="59" t="str">
        <f>IFERROR(VLOOKUP(Tabelle32[[#This Row],[Device ID]],BOM!$B$3:$BQ$35,32,FALSE),"")</f>
        <v>AVCoreB</v>
      </c>
      <c r="AC540" s="59" t="str">
        <f>IFERROR(VLOOKUP(Tabelle32[[#This Row],[Device ID]],BOM!$B$3:$BQ$35,33,FALSE),"")</f>
        <v>5_36_1</v>
      </c>
      <c r="AD540" s="59" t="str">
        <f>IFERROR(VLOOKUP(Tabelle32[[#This Row],[Device ID]],BOM!$B$3:$BQ$35,34,FALSE),"")</f>
        <v>tpco-megw-vgw103.st-net.media.int</v>
      </c>
      <c r="AE540" s="59" t="str">
        <f>IFERROR(VLOOKUP(Tabelle32[[#This Row],[Device ID]],BOM!$B$3:$BQ$35,35,FALSE),"")</f>
        <v>10.120.67.141</v>
      </c>
      <c r="AF540" s="59">
        <f>IFERROR(VLOOKUP(Tabelle32[[#This Row],[Device ID]],BOM!$B$3:$BQ$35,36,FALSE),"")</f>
        <v>0</v>
      </c>
      <c r="AG540" s="59">
        <f>IFERROR(VLOOKUP(Tabelle32[[#This Row],[Device ID]],BOM!$B$3:$BQ$35,37,FALSE),"")</f>
        <v>0</v>
      </c>
      <c r="AH540" s="59"/>
      <c r="AI540" s="59"/>
      <c r="AJ540" s="59"/>
      <c r="AK540" s="59"/>
      <c r="AL540" s="59" t="str">
        <f>IFERROR(VLOOKUP(Tabelle32[[#This Row],[Device ID]],BOM!$B$3:$BQ$35,42,FALSE),"")</f>
        <v>Imagine Communications SNP</v>
      </c>
      <c r="AM540" s="59" t="str">
        <f>IFERROR(VLOOKUP(Tabelle32[[#This Row],[Device ID]],BOM!$B$3:$BQ$35,43,FALSE),"")</f>
        <v>no</v>
      </c>
      <c r="AN540" s="59" t="str">
        <f>IFERROR(VLOOKUP(Tabelle32[[#This Row],[Device ID]],BOM!$B$3:$BQ$35,44,FALSE),"")</f>
        <v>yes</v>
      </c>
      <c r="AO540" s="59" t="str">
        <f>IFERROR(VLOOKUP(Tabelle32[[#This Row],[Device ID]],BOM!$B$3:$BQ$35,45,FALSE),"")</f>
        <v>no</v>
      </c>
      <c r="AP540" s="59" t="str">
        <f>IFERROR(CONCATENATE(Tabelle32[[#This Row],[Family
GFX-Unit]]," | ",Tabelle32[[#This Row],[Label 1
GFX-Unit]]," | ",Tabelle32[[#This Row],[Attached Device if Gateway]]),"")</f>
        <v>M3H InCh PGM | Ingest Ch38-09 | IngSRV-10</v>
      </c>
      <c r="AQ540" s="59"/>
      <c r="AR540" s="92"/>
      <c r="AS540" s="92"/>
      <c r="AT540" s="92"/>
      <c r="AU540" s="92"/>
      <c r="AV540" s="92"/>
      <c r="AW540" s="92" t="s">
        <v>97</v>
      </c>
      <c r="AX540" s="92"/>
      <c r="AY540" s="92"/>
      <c r="AZ540" s="92" t="s">
        <v>97</v>
      </c>
      <c r="BA540" s="92"/>
      <c r="BB540" s="92" t="s">
        <v>97</v>
      </c>
      <c r="BC540" s="92" t="s">
        <v>97</v>
      </c>
      <c r="BD540" s="92"/>
      <c r="BE540" s="92"/>
      <c r="BF540" s="92"/>
      <c r="BG540" s="92"/>
      <c r="BH540" s="73" t="s">
        <v>199</v>
      </c>
      <c r="BI540" s="30" t="str">
        <f>IF(COUNTA(Tabelle32[[#This Row],[Type:Vid_1080i50]:[Type:Anc_Prot]])&gt;0,"x","")</f>
        <v>x</v>
      </c>
      <c r="BJ54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40" s="59"/>
      <c r="BL540" s="59"/>
      <c r="BM540" s="63"/>
      <c r="BN540" s="63"/>
      <c r="BO540" s="93" t="s">
        <v>2684</v>
      </c>
      <c r="BP540" s="97" t="s">
        <v>2707</v>
      </c>
      <c r="BQ540" s="75">
        <f>LEN(Tabelle32[[#This Row],[Label 1
GFX-Unit]])</f>
        <v>14</v>
      </c>
      <c r="BR540" s="63"/>
      <c r="BS540" s="63"/>
      <c r="BT540" s="59"/>
      <c r="BU540" s="59"/>
      <c r="BV540" s="59" t="s">
        <v>245</v>
      </c>
      <c r="BW540" s="59" t="s">
        <v>246</v>
      </c>
      <c r="BX540" s="59" t="s">
        <v>1030</v>
      </c>
      <c r="BY540" s="59">
        <v>26</v>
      </c>
    </row>
    <row r="541" spans="1:77" hidden="1" x14ac:dyDescent="0.2">
      <c r="A541" s="58" t="str">
        <f>CONCATENATE(Tabelle32[[#This Row],[Device ID]],".",Tabelle32[[#This Row],[Streamcounter]])</f>
        <v>403.26210</v>
      </c>
      <c r="B54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VGW-103_SDI26_AUDrec_0010</v>
      </c>
      <c r="C541" s="60"/>
      <c r="D541" s="61"/>
      <c r="E541" s="62"/>
      <c r="F541" s="59" t="str">
        <f>IFERROR(VLOOKUP(Tabelle32[[#This Row],[Device ID]],BOM!$B$3:$BQ$35,16,FALSE),"")</f>
        <v>IngSRV-10</v>
      </c>
      <c r="G541" s="63">
        <f>VLOOKUP(Tabelle32[[#This Row],[SDI Interface]],BOM!$A$4:$B$35,2,FALSE)</f>
        <v>403</v>
      </c>
      <c r="H541" s="59" t="str">
        <f>BOM!$C$4</f>
        <v>VGW-103</v>
      </c>
      <c r="I541" s="59" t="str">
        <f>IFERROR(VLOOKUP(Tabelle32[[#This Row],[Device ID]],BOM!$B$3:$BQ$35,12,FALSE),"")</f>
        <v>Videoserver</v>
      </c>
      <c r="J541" s="59" t="str">
        <f>IFERROR(VLOOKUP(Tabelle32[[#This Row],[Device ID]],BOM!$B$3:$BQ$35,13,FALSE),"")</f>
        <v>TC.U1.223 | MDC</v>
      </c>
      <c r="K541" s="59" t="str">
        <f>IFERROR(VLOOKUP(Tabelle32[[#This Row],[Device ID]],BOM!$B$3:$BQ$35,14,FALSE),"")</f>
        <v>Imagine Comunications</v>
      </c>
      <c r="L541" s="59" t="str">
        <f>IFERROR(VLOOKUP(Tabelle32[[#This Row],[Device ID]],BOM!$B$3:$BQ$35,16,FALSE),"")</f>
        <v>IngSRV-10</v>
      </c>
      <c r="M541" s="63" t="str">
        <f>IFERROR(VLOOKUP(Tabelle32[[#This Row],[Device ID]],BOM!$B$3:$BQ$35,17,FALSE),"")</f>
        <v>M3H</v>
      </c>
      <c r="N541" s="59" t="str">
        <f>IFERROR(VLOOKUP(Tabelle32[[#This Row],[Device ID]],BOM!$B$3:$BQ$35,18,FALSE),"")</f>
        <v>TC.03.225 | M3H</v>
      </c>
      <c r="O541" s="64"/>
      <c r="P541" s="64">
        <f>IFERROR(VLOOKUP(Tabelle32[[#This Row],[Device ID]],BOM!$B$3:$BO$50,20,FALSE),"")</f>
        <v>0</v>
      </c>
      <c r="Q541" s="64">
        <f>IFERROR(VLOOKUP(Tabelle32[[#This Row],[Device ID]],BOM!$B$3:$BO$50,21,FALSE),"")</f>
        <v>1</v>
      </c>
      <c r="R541" s="64">
        <f>IFERROR(VLOOKUP(Tabelle32[[#This Row],[Device ID]],BOM!$B$3:$BO$50,22,FALSE),"")</f>
        <v>0</v>
      </c>
      <c r="S541" s="64"/>
      <c r="T541" s="64"/>
      <c r="U541" s="59" t="str">
        <f>IFERROR(VLOOKUP(Tabelle32[[#This Row],[Device ID]],BOM!$B$3:$BQ$35,25,FALSE),"")</f>
        <v>Luis/Ivo</v>
      </c>
      <c r="V541" s="59" t="str">
        <f>IFERROR(VLOOKUP(Tabelle32[[#This Row],[Device ID]],BOM!$B$3:$BQ$35,26,FALSE),"")</f>
        <v>tpco-megw-vgw103.rta.st-net.media.int</v>
      </c>
      <c r="W541" s="59" t="str">
        <f>IFERROR(VLOOKUP(Tabelle32[[#This Row],[Device ID]],BOM!$B$3:$BQ$35,27,FALSE),"")</f>
        <v>10.120.236.50</v>
      </c>
      <c r="X541" s="59" t="str">
        <f>IFERROR(VLOOKUP(Tabelle32[[#This Row],[Device ID]],BOM!$B$3:$BQ$35,28,FALSE),"")</f>
        <v>AVCoreA</v>
      </c>
      <c r="Y541" s="59" t="str">
        <f>IFERROR(VLOOKUP(Tabelle32[[#This Row],[Device ID]],BOM!$B$3:$BQ$35,29,FALSE),"")</f>
        <v>5_36_1</v>
      </c>
      <c r="Z541" s="59" t="str">
        <f>IFERROR(VLOOKUP(Tabelle32[[#This Row],[Device ID]],BOM!$B$3:$BQ$35,30,FALSE),"")</f>
        <v>tpco-megw-vgw103.rtb.st-net.media.int</v>
      </c>
      <c r="AA541" s="59" t="str">
        <f>IFERROR(VLOOKUP(Tabelle32[[#This Row],[Device ID]],BOM!$B$3:$BQ$35,31,FALSE),"")</f>
        <v>10.120.236.54</v>
      </c>
      <c r="AB541" s="59" t="str">
        <f>IFERROR(VLOOKUP(Tabelle32[[#This Row],[Device ID]],BOM!$B$3:$BQ$35,32,FALSE),"")</f>
        <v>AVCoreB</v>
      </c>
      <c r="AC541" s="59" t="str">
        <f>IFERROR(VLOOKUP(Tabelle32[[#This Row],[Device ID]],BOM!$B$3:$BQ$35,33,FALSE),"")</f>
        <v>5_36_1</v>
      </c>
      <c r="AD541" s="59" t="str">
        <f>IFERROR(VLOOKUP(Tabelle32[[#This Row],[Device ID]],BOM!$B$3:$BQ$35,34,FALSE),"")</f>
        <v>tpco-megw-vgw103.st-net.media.int</v>
      </c>
      <c r="AE541" s="59" t="str">
        <f>IFERROR(VLOOKUP(Tabelle32[[#This Row],[Device ID]],BOM!$B$3:$BQ$35,35,FALSE),"")</f>
        <v>10.120.67.141</v>
      </c>
      <c r="AF541" s="59">
        <f>IFERROR(VLOOKUP(Tabelle32[[#This Row],[Device ID]],BOM!$B$3:$BQ$35,36,FALSE),"")</f>
        <v>0</v>
      </c>
      <c r="AG541" s="59">
        <f>IFERROR(VLOOKUP(Tabelle32[[#This Row],[Device ID]],BOM!$B$3:$BQ$35,37,FALSE),"")</f>
        <v>0</v>
      </c>
      <c r="AH541" s="59"/>
      <c r="AI541" s="59"/>
      <c r="AJ541" s="59"/>
      <c r="AK541" s="59"/>
      <c r="AL541" s="59" t="str">
        <f>IFERROR(VLOOKUP(Tabelle32[[#This Row],[Device ID]],BOM!$B$3:$BQ$35,42,FALSE),"")</f>
        <v>Imagine Communications SNP</v>
      </c>
      <c r="AM541" s="59" t="str">
        <f>IFERROR(VLOOKUP(Tabelle32[[#This Row],[Device ID]],BOM!$B$3:$BQ$35,43,FALSE),"")</f>
        <v>no</v>
      </c>
      <c r="AN541" s="59" t="str">
        <f>IFERROR(VLOOKUP(Tabelle32[[#This Row],[Device ID]],BOM!$B$3:$BQ$35,44,FALSE),"")</f>
        <v>yes</v>
      </c>
      <c r="AO541" s="59" t="str">
        <f>IFERROR(VLOOKUP(Tabelle32[[#This Row],[Device ID]],BOM!$B$3:$BQ$35,45,FALSE),"")</f>
        <v>no</v>
      </c>
      <c r="AP541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41" s="59"/>
      <c r="AR541" s="92"/>
      <c r="AS541" s="92"/>
      <c r="AT541" s="92"/>
      <c r="AU541" s="92"/>
      <c r="AV541" s="92"/>
      <c r="AW541" s="92"/>
      <c r="AX541" s="92"/>
      <c r="AY541" s="92"/>
      <c r="AZ541" s="92"/>
      <c r="BA541" s="92"/>
      <c r="BB541" s="92"/>
      <c r="BC541" s="92"/>
      <c r="BD541" s="92"/>
      <c r="BE541" s="92"/>
      <c r="BF541" s="92"/>
      <c r="BG541" s="92"/>
      <c r="BH541" s="73" t="s">
        <v>199</v>
      </c>
      <c r="BI541" s="30" t="str">
        <f>IF(COUNTA(Tabelle32[[#This Row],[Type:Vid_1080i50]:[Type:Anc_Prot]])&gt;0,"x","")</f>
        <v/>
      </c>
      <c r="BJ54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41" s="59"/>
      <c r="BL541" s="59"/>
      <c r="BM541" s="63"/>
      <c r="BN541" s="63"/>
      <c r="BO541" s="96"/>
      <c r="BP541" s="96"/>
      <c r="BQ541" s="75">
        <f>LEN(Tabelle32[[#This Row],[Label 1
GFX-Unit]])</f>
        <v>0</v>
      </c>
      <c r="BR541" s="63"/>
      <c r="BS541" s="63"/>
      <c r="BT541" s="59"/>
      <c r="BU541" s="59"/>
      <c r="BV541" s="59" t="s">
        <v>248</v>
      </c>
      <c r="BW541" s="59" t="s">
        <v>249</v>
      </c>
      <c r="BX541" s="59" t="s">
        <v>1031</v>
      </c>
      <c r="BY541" s="59">
        <v>26</v>
      </c>
    </row>
    <row r="542" spans="1:77" hidden="1" x14ac:dyDescent="0.2">
      <c r="A542" s="58" t="str">
        <f>CONCATENATE(Tabelle32[[#This Row],[Device ID]],".",Tabelle32[[#This Row],[Streamcounter]])</f>
        <v>403.26211</v>
      </c>
      <c r="B54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VGW-103_SDI26_AUDrec_0011</v>
      </c>
      <c r="C542" s="60"/>
      <c r="D542" s="61"/>
      <c r="E542" s="62"/>
      <c r="F542" s="59" t="str">
        <f>IFERROR(VLOOKUP(Tabelle32[[#This Row],[Device ID]],BOM!$B$3:$BQ$35,16,FALSE),"")</f>
        <v>IngSRV-10</v>
      </c>
      <c r="G542" s="63">
        <f>VLOOKUP(Tabelle32[[#This Row],[SDI Interface]],BOM!$A$4:$B$35,2,FALSE)</f>
        <v>403</v>
      </c>
      <c r="H542" s="59" t="str">
        <f>BOM!$C$4</f>
        <v>VGW-103</v>
      </c>
      <c r="I542" s="59" t="str">
        <f>IFERROR(VLOOKUP(Tabelle32[[#This Row],[Device ID]],BOM!$B$3:$BQ$35,12,FALSE),"")</f>
        <v>Videoserver</v>
      </c>
      <c r="J542" s="59" t="str">
        <f>IFERROR(VLOOKUP(Tabelle32[[#This Row],[Device ID]],BOM!$B$3:$BQ$35,13,FALSE),"")</f>
        <v>TC.U1.223 | MDC</v>
      </c>
      <c r="K542" s="59" t="str">
        <f>IFERROR(VLOOKUP(Tabelle32[[#This Row],[Device ID]],BOM!$B$3:$BQ$35,14,FALSE),"")</f>
        <v>Imagine Comunications</v>
      </c>
      <c r="L542" s="59" t="str">
        <f>IFERROR(VLOOKUP(Tabelle32[[#This Row],[Device ID]],BOM!$B$3:$BQ$35,16,FALSE),"")</f>
        <v>IngSRV-10</v>
      </c>
      <c r="M542" s="63" t="str">
        <f>IFERROR(VLOOKUP(Tabelle32[[#This Row],[Device ID]],BOM!$B$3:$BQ$35,17,FALSE),"")</f>
        <v>M3H</v>
      </c>
      <c r="N542" s="59" t="str">
        <f>IFERROR(VLOOKUP(Tabelle32[[#This Row],[Device ID]],BOM!$B$3:$BQ$35,18,FALSE),"")</f>
        <v>TC.03.225 | M3H</v>
      </c>
      <c r="O542" s="64"/>
      <c r="P542" s="64">
        <f>IFERROR(VLOOKUP(Tabelle32[[#This Row],[Device ID]],BOM!$B$3:$BO$50,20,FALSE),"")</f>
        <v>0</v>
      </c>
      <c r="Q542" s="64">
        <f>IFERROR(VLOOKUP(Tabelle32[[#This Row],[Device ID]],BOM!$B$3:$BO$50,21,FALSE),"")</f>
        <v>1</v>
      </c>
      <c r="R542" s="64">
        <f>IFERROR(VLOOKUP(Tabelle32[[#This Row],[Device ID]],BOM!$B$3:$BO$50,22,FALSE),"")</f>
        <v>0</v>
      </c>
      <c r="S542" s="64"/>
      <c r="T542" s="64"/>
      <c r="U542" s="59" t="str">
        <f>IFERROR(VLOOKUP(Tabelle32[[#This Row],[Device ID]],BOM!$B$3:$BQ$35,25,FALSE),"")</f>
        <v>Luis/Ivo</v>
      </c>
      <c r="V542" s="59" t="str">
        <f>IFERROR(VLOOKUP(Tabelle32[[#This Row],[Device ID]],BOM!$B$3:$BQ$35,26,FALSE),"")</f>
        <v>tpco-megw-vgw103.rta.st-net.media.int</v>
      </c>
      <c r="W542" s="59" t="str">
        <f>IFERROR(VLOOKUP(Tabelle32[[#This Row],[Device ID]],BOM!$B$3:$BQ$35,27,FALSE),"")</f>
        <v>10.120.236.50</v>
      </c>
      <c r="X542" s="59" t="str">
        <f>IFERROR(VLOOKUP(Tabelle32[[#This Row],[Device ID]],BOM!$B$3:$BQ$35,28,FALSE),"")</f>
        <v>AVCoreA</v>
      </c>
      <c r="Y542" s="59" t="str">
        <f>IFERROR(VLOOKUP(Tabelle32[[#This Row],[Device ID]],BOM!$B$3:$BQ$35,29,FALSE),"")</f>
        <v>5_36_1</v>
      </c>
      <c r="Z542" s="59" t="str">
        <f>IFERROR(VLOOKUP(Tabelle32[[#This Row],[Device ID]],BOM!$B$3:$BQ$35,30,FALSE),"")</f>
        <v>tpco-megw-vgw103.rtb.st-net.media.int</v>
      </c>
      <c r="AA542" s="59" t="str">
        <f>IFERROR(VLOOKUP(Tabelle32[[#This Row],[Device ID]],BOM!$B$3:$BQ$35,31,FALSE),"")</f>
        <v>10.120.236.54</v>
      </c>
      <c r="AB542" s="59" t="str">
        <f>IFERROR(VLOOKUP(Tabelle32[[#This Row],[Device ID]],BOM!$B$3:$BQ$35,32,FALSE),"")</f>
        <v>AVCoreB</v>
      </c>
      <c r="AC542" s="59" t="str">
        <f>IFERROR(VLOOKUP(Tabelle32[[#This Row],[Device ID]],BOM!$B$3:$BQ$35,33,FALSE),"")</f>
        <v>5_36_1</v>
      </c>
      <c r="AD542" s="59" t="str">
        <f>IFERROR(VLOOKUP(Tabelle32[[#This Row],[Device ID]],BOM!$B$3:$BQ$35,34,FALSE),"")</f>
        <v>tpco-megw-vgw103.st-net.media.int</v>
      </c>
      <c r="AE542" s="59" t="str">
        <f>IFERROR(VLOOKUP(Tabelle32[[#This Row],[Device ID]],BOM!$B$3:$BQ$35,35,FALSE),"")</f>
        <v>10.120.67.141</v>
      </c>
      <c r="AF542" s="59">
        <f>IFERROR(VLOOKUP(Tabelle32[[#This Row],[Device ID]],BOM!$B$3:$BQ$35,36,FALSE),"")</f>
        <v>0</v>
      </c>
      <c r="AG542" s="59">
        <f>IFERROR(VLOOKUP(Tabelle32[[#This Row],[Device ID]],BOM!$B$3:$BQ$35,37,FALSE),"")</f>
        <v>0</v>
      </c>
      <c r="AH542" s="59"/>
      <c r="AI542" s="59"/>
      <c r="AJ542" s="59"/>
      <c r="AK542" s="59"/>
      <c r="AL542" s="59" t="str">
        <f>IFERROR(VLOOKUP(Tabelle32[[#This Row],[Device ID]],BOM!$B$3:$BQ$35,42,FALSE),"")</f>
        <v>Imagine Communications SNP</v>
      </c>
      <c r="AM542" s="59" t="str">
        <f>IFERROR(VLOOKUP(Tabelle32[[#This Row],[Device ID]],BOM!$B$3:$BQ$35,43,FALSE),"")</f>
        <v>no</v>
      </c>
      <c r="AN542" s="59" t="str">
        <f>IFERROR(VLOOKUP(Tabelle32[[#This Row],[Device ID]],BOM!$B$3:$BQ$35,44,FALSE),"")</f>
        <v>yes</v>
      </c>
      <c r="AO542" s="59" t="str">
        <f>IFERROR(VLOOKUP(Tabelle32[[#This Row],[Device ID]],BOM!$B$3:$BQ$35,45,FALSE),"")</f>
        <v>no</v>
      </c>
      <c r="AP542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42" s="59"/>
      <c r="AR542" s="92"/>
      <c r="AS542" s="92"/>
      <c r="AT542" s="92"/>
      <c r="AU542" s="92"/>
      <c r="AV542" s="92"/>
      <c r="AW542" s="92"/>
      <c r="AX542" s="92"/>
      <c r="AY542" s="92"/>
      <c r="AZ542" s="92"/>
      <c r="BA542" s="92"/>
      <c r="BB542" s="92"/>
      <c r="BC542" s="92"/>
      <c r="BD542" s="92"/>
      <c r="BE542" s="92"/>
      <c r="BF542" s="92"/>
      <c r="BG542" s="92"/>
      <c r="BH542" s="73" t="s">
        <v>199</v>
      </c>
      <c r="BI542" s="30" t="str">
        <f>IF(COUNTA(Tabelle32[[#This Row],[Type:Vid_1080i50]:[Type:Anc_Prot]])&gt;0,"x","")</f>
        <v/>
      </c>
      <c r="BJ54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42" s="59"/>
      <c r="BL542" s="59"/>
      <c r="BM542" s="63"/>
      <c r="BN542" s="63"/>
      <c r="BO542" s="96"/>
      <c r="BP542" s="96"/>
      <c r="BQ542" s="75">
        <f>LEN(Tabelle32[[#This Row],[Label 1
GFX-Unit]])</f>
        <v>0</v>
      </c>
      <c r="BR542" s="63"/>
      <c r="BS542" s="63"/>
      <c r="BT542" s="59"/>
      <c r="BU542" s="59"/>
      <c r="BV542" s="59" t="s">
        <v>251</v>
      </c>
      <c r="BW542" s="59" t="s">
        <v>252</v>
      </c>
      <c r="BX542" s="59" t="s">
        <v>1032</v>
      </c>
      <c r="BY542" s="59">
        <v>26</v>
      </c>
    </row>
    <row r="543" spans="1:77" hidden="1" x14ac:dyDescent="0.2">
      <c r="A543" s="58" t="str">
        <f>CONCATENATE(Tabelle32[[#This Row],[Device ID]],".",Tabelle32[[#This Row],[Streamcounter]])</f>
        <v>403.26212</v>
      </c>
      <c r="B54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VGW-103_SDI26_AUDrec_0012</v>
      </c>
      <c r="C543" s="60"/>
      <c r="D543" s="61"/>
      <c r="E543" s="62"/>
      <c r="F543" s="59" t="str">
        <f>IFERROR(VLOOKUP(Tabelle32[[#This Row],[Device ID]],BOM!$B$3:$BQ$35,16,FALSE),"")</f>
        <v>IngSRV-10</v>
      </c>
      <c r="G543" s="63">
        <f>VLOOKUP(Tabelle32[[#This Row],[SDI Interface]],BOM!$A$4:$B$35,2,FALSE)</f>
        <v>403</v>
      </c>
      <c r="H543" s="59" t="str">
        <f>BOM!$C$4</f>
        <v>VGW-103</v>
      </c>
      <c r="I543" s="59" t="str">
        <f>IFERROR(VLOOKUP(Tabelle32[[#This Row],[Device ID]],BOM!$B$3:$BQ$35,12,FALSE),"")</f>
        <v>Videoserver</v>
      </c>
      <c r="J543" s="59" t="str">
        <f>IFERROR(VLOOKUP(Tabelle32[[#This Row],[Device ID]],BOM!$B$3:$BQ$35,13,FALSE),"")</f>
        <v>TC.U1.223 | MDC</v>
      </c>
      <c r="K543" s="59" t="str">
        <f>IFERROR(VLOOKUP(Tabelle32[[#This Row],[Device ID]],BOM!$B$3:$BQ$35,14,FALSE),"")</f>
        <v>Imagine Comunications</v>
      </c>
      <c r="L543" s="59" t="str">
        <f>IFERROR(VLOOKUP(Tabelle32[[#This Row],[Device ID]],BOM!$B$3:$BQ$35,16,FALSE),"")</f>
        <v>IngSRV-10</v>
      </c>
      <c r="M543" s="63" t="str">
        <f>IFERROR(VLOOKUP(Tabelle32[[#This Row],[Device ID]],BOM!$B$3:$BQ$35,17,FALSE),"")</f>
        <v>M3H</v>
      </c>
      <c r="N543" s="59" t="str">
        <f>IFERROR(VLOOKUP(Tabelle32[[#This Row],[Device ID]],BOM!$B$3:$BQ$35,18,FALSE),"")</f>
        <v>TC.03.225 | M3H</v>
      </c>
      <c r="O543" s="64"/>
      <c r="P543" s="64">
        <f>IFERROR(VLOOKUP(Tabelle32[[#This Row],[Device ID]],BOM!$B$3:$BO$50,20,FALSE),"")</f>
        <v>0</v>
      </c>
      <c r="Q543" s="64">
        <f>IFERROR(VLOOKUP(Tabelle32[[#This Row],[Device ID]],BOM!$B$3:$BO$50,21,FALSE),"")</f>
        <v>1</v>
      </c>
      <c r="R543" s="64">
        <f>IFERROR(VLOOKUP(Tabelle32[[#This Row],[Device ID]],BOM!$B$3:$BO$50,22,FALSE),"")</f>
        <v>0</v>
      </c>
      <c r="S543" s="64"/>
      <c r="T543" s="64"/>
      <c r="U543" s="59" t="str">
        <f>IFERROR(VLOOKUP(Tabelle32[[#This Row],[Device ID]],BOM!$B$3:$BQ$35,25,FALSE),"")</f>
        <v>Luis/Ivo</v>
      </c>
      <c r="V543" s="59" t="str">
        <f>IFERROR(VLOOKUP(Tabelle32[[#This Row],[Device ID]],BOM!$B$3:$BQ$35,26,FALSE),"")</f>
        <v>tpco-megw-vgw103.rta.st-net.media.int</v>
      </c>
      <c r="W543" s="59" t="str">
        <f>IFERROR(VLOOKUP(Tabelle32[[#This Row],[Device ID]],BOM!$B$3:$BQ$35,27,FALSE),"")</f>
        <v>10.120.236.50</v>
      </c>
      <c r="X543" s="59" t="str">
        <f>IFERROR(VLOOKUP(Tabelle32[[#This Row],[Device ID]],BOM!$B$3:$BQ$35,28,FALSE),"")</f>
        <v>AVCoreA</v>
      </c>
      <c r="Y543" s="59" t="str">
        <f>IFERROR(VLOOKUP(Tabelle32[[#This Row],[Device ID]],BOM!$B$3:$BQ$35,29,FALSE),"")</f>
        <v>5_36_1</v>
      </c>
      <c r="Z543" s="59" t="str">
        <f>IFERROR(VLOOKUP(Tabelle32[[#This Row],[Device ID]],BOM!$B$3:$BQ$35,30,FALSE),"")</f>
        <v>tpco-megw-vgw103.rtb.st-net.media.int</v>
      </c>
      <c r="AA543" s="59" t="str">
        <f>IFERROR(VLOOKUP(Tabelle32[[#This Row],[Device ID]],BOM!$B$3:$BQ$35,31,FALSE),"")</f>
        <v>10.120.236.54</v>
      </c>
      <c r="AB543" s="59" t="str">
        <f>IFERROR(VLOOKUP(Tabelle32[[#This Row],[Device ID]],BOM!$B$3:$BQ$35,32,FALSE),"")</f>
        <v>AVCoreB</v>
      </c>
      <c r="AC543" s="59" t="str">
        <f>IFERROR(VLOOKUP(Tabelle32[[#This Row],[Device ID]],BOM!$B$3:$BQ$35,33,FALSE),"")</f>
        <v>5_36_1</v>
      </c>
      <c r="AD543" s="59" t="str">
        <f>IFERROR(VLOOKUP(Tabelle32[[#This Row],[Device ID]],BOM!$B$3:$BQ$35,34,FALSE),"")</f>
        <v>tpco-megw-vgw103.st-net.media.int</v>
      </c>
      <c r="AE543" s="59" t="str">
        <f>IFERROR(VLOOKUP(Tabelle32[[#This Row],[Device ID]],BOM!$B$3:$BQ$35,35,FALSE),"")</f>
        <v>10.120.67.141</v>
      </c>
      <c r="AF543" s="59">
        <f>IFERROR(VLOOKUP(Tabelle32[[#This Row],[Device ID]],BOM!$B$3:$BQ$35,36,FALSE),"")</f>
        <v>0</v>
      </c>
      <c r="AG543" s="59">
        <f>IFERROR(VLOOKUP(Tabelle32[[#This Row],[Device ID]],BOM!$B$3:$BQ$35,37,FALSE),"")</f>
        <v>0</v>
      </c>
      <c r="AH543" s="59"/>
      <c r="AI543" s="59"/>
      <c r="AJ543" s="59"/>
      <c r="AK543" s="59"/>
      <c r="AL543" s="59" t="str">
        <f>IFERROR(VLOOKUP(Tabelle32[[#This Row],[Device ID]],BOM!$B$3:$BQ$35,42,FALSE),"")</f>
        <v>Imagine Communications SNP</v>
      </c>
      <c r="AM543" s="59" t="str">
        <f>IFERROR(VLOOKUP(Tabelle32[[#This Row],[Device ID]],BOM!$B$3:$BQ$35,43,FALSE),"")</f>
        <v>no</v>
      </c>
      <c r="AN543" s="59" t="str">
        <f>IFERROR(VLOOKUP(Tabelle32[[#This Row],[Device ID]],BOM!$B$3:$BQ$35,44,FALSE),"")</f>
        <v>yes</v>
      </c>
      <c r="AO543" s="59" t="str">
        <f>IFERROR(VLOOKUP(Tabelle32[[#This Row],[Device ID]],BOM!$B$3:$BQ$35,45,FALSE),"")</f>
        <v>no</v>
      </c>
      <c r="AP543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43" s="59"/>
      <c r="AR543" s="92"/>
      <c r="AS543" s="92"/>
      <c r="AT543" s="92"/>
      <c r="AU543" s="92"/>
      <c r="AV543" s="92"/>
      <c r="AW543" s="92"/>
      <c r="AX543" s="92"/>
      <c r="AY543" s="92"/>
      <c r="AZ543" s="92"/>
      <c r="BA543" s="92"/>
      <c r="BB543" s="92"/>
      <c r="BC543" s="92"/>
      <c r="BD543" s="92"/>
      <c r="BE543" s="92"/>
      <c r="BF543" s="92"/>
      <c r="BG543" s="92"/>
      <c r="BH543" s="73" t="s">
        <v>199</v>
      </c>
      <c r="BI543" s="30" t="str">
        <f>IF(COUNTA(Tabelle32[[#This Row],[Type:Vid_1080i50]:[Type:Anc_Prot]])&gt;0,"x","")</f>
        <v/>
      </c>
      <c r="BJ54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43" s="59"/>
      <c r="BL543" s="59"/>
      <c r="BM543" s="63"/>
      <c r="BN543" s="63"/>
      <c r="BO543" s="96"/>
      <c r="BP543" s="96"/>
      <c r="BQ543" s="75">
        <f>LEN(Tabelle32[[#This Row],[Label 1
GFX-Unit]])</f>
        <v>0</v>
      </c>
      <c r="BR543" s="63"/>
      <c r="BS543" s="63"/>
      <c r="BT543" s="59"/>
      <c r="BU543" s="59"/>
      <c r="BV543" s="59" t="s">
        <v>254</v>
      </c>
      <c r="BW543" s="59" t="s">
        <v>255</v>
      </c>
      <c r="BX543" s="59" t="s">
        <v>1033</v>
      </c>
      <c r="BY543" s="59">
        <v>26</v>
      </c>
    </row>
    <row r="544" spans="1:77" hidden="1" x14ac:dyDescent="0.2">
      <c r="A544" s="58" t="str">
        <f>CONCATENATE(Tabelle32[[#This Row],[Device ID]],".",Tabelle32[[#This Row],[Streamcounter]])</f>
        <v>403.26213</v>
      </c>
      <c r="B54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VGW-103_SDI26_AUDrec_0013</v>
      </c>
      <c r="C544" s="60"/>
      <c r="D544" s="61"/>
      <c r="E544" s="62"/>
      <c r="F544" s="59" t="str">
        <f>IFERROR(VLOOKUP(Tabelle32[[#This Row],[Device ID]],BOM!$B$3:$BQ$35,16,FALSE),"")</f>
        <v>IngSRV-10</v>
      </c>
      <c r="G544" s="63">
        <f>VLOOKUP(Tabelle32[[#This Row],[SDI Interface]],BOM!$A$4:$B$35,2,FALSE)</f>
        <v>403</v>
      </c>
      <c r="H544" s="59" t="str">
        <f>BOM!$C$4</f>
        <v>VGW-103</v>
      </c>
      <c r="I544" s="59" t="str">
        <f>IFERROR(VLOOKUP(Tabelle32[[#This Row],[Device ID]],BOM!$B$3:$BQ$35,12,FALSE),"")</f>
        <v>Videoserver</v>
      </c>
      <c r="J544" s="59" t="str">
        <f>IFERROR(VLOOKUP(Tabelle32[[#This Row],[Device ID]],BOM!$B$3:$BQ$35,13,FALSE),"")</f>
        <v>TC.U1.223 | MDC</v>
      </c>
      <c r="K544" s="59" t="str">
        <f>IFERROR(VLOOKUP(Tabelle32[[#This Row],[Device ID]],BOM!$B$3:$BQ$35,14,FALSE),"")</f>
        <v>Imagine Comunications</v>
      </c>
      <c r="L544" s="59" t="str">
        <f>IFERROR(VLOOKUP(Tabelle32[[#This Row],[Device ID]],BOM!$B$3:$BQ$35,16,FALSE),"")</f>
        <v>IngSRV-10</v>
      </c>
      <c r="M544" s="63" t="str">
        <f>IFERROR(VLOOKUP(Tabelle32[[#This Row],[Device ID]],BOM!$B$3:$BQ$35,17,FALSE),"")</f>
        <v>M3H</v>
      </c>
      <c r="N544" s="59" t="str">
        <f>IFERROR(VLOOKUP(Tabelle32[[#This Row],[Device ID]],BOM!$B$3:$BQ$35,18,FALSE),"")</f>
        <v>TC.03.225 | M3H</v>
      </c>
      <c r="O544" s="64"/>
      <c r="P544" s="64">
        <f>IFERROR(VLOOKUP(Tabelle32[[#This Row],[Device ID]],BOM!$B$3:$BO$50,20,FALSE),"")</f>
        <v>0</v>
      </c>
      <c r="Q544" s="64">
        <f>IFERROR(VLOOKUP(Tabelle32[[#This Row],[Device ID]],BOM!$B$3:$BO$50,21,FALSE),"")</f>
        <v>1</v>
      </c>
      <c r="R544" s="64">
        <f>IFERROR(VLOOKUP(Tabelle32[[#This Row],[Device ID]],BOM!$B$3:$BO$50,22,FALSE),"")</f>
        <v>0</v>
      </c>
      <c r="S544" s="64"/>
      <c r="T544" s="64"/>
      <c r="U544" s="59" t="str">
        <f>IFERROR(VLOOKUP(Tabelle32[[#This Row],[Device ID]],BOM!$B$3:$BQ$35,25,FALSE),"")</f>
        <v>Luis/Ivo</v>
      </c>
      <c r="V544" s="59" t="str">
        <f>IFERROR(VLOOKUP(Tabelle32[[#This Row],[Device ID]],BOM!$B$3:$BQ$35,26,FALSE),"")</f>
        <v>tpco-megw-vgw103.rta.st-net.media.int</v>
      </c>
      <c r="W544" s="59" t="str">
        <f>IFERROR(VLOOKUP(Tabelle32[[#This Row],[Device ID]],BOM!$B$3:$BQ$35,27,FALSE),"")</f>
        <v>10.120.236.50</v>
      </c>
      <c r="X544" s="59" t="str">
        <f>IFERROR(VLOOKUP(Tabelle32[[#This Row],[Device ID]],BOM!$B$3:$BQ$35,28,FALSE),"")</f>
        <v>AVCoreA</v>
      </c>
      <c r="Y544" s="59" t="str">
        <f>IFERROR(VLOOKUP(Tabelle32[[#This Row],[Device ID]],BOM!$B$3:$BQ$35,29,FALSE),"")</f>
        <v>5_36_1</v>
      </c>
      <c r="Z544" s="59" t="str">
        <f>IFERROR(VLOOKUP(Tabelle32[[#This Row],[Device ID]],BOM!$B$3:$BQ$35,30,FALSE),"")</f>
        <v>tpco-megw-vgw103.rtb.st-net.media.int</v>
      </c>
      <c r="AA544" s="59" t="str">
        <f>IFERROR(VLOOKUP(Tabelle32[[#This Row],[Device ID]],BOM!$B$3:$BQ$35,31,FALSE),"")</f>
        <v>10.120.236.54</v>
      </c>
      <c r="AB544" s="59" t="str">
        <f>IFERROR(VLOOKUP(Tabelle32[[#This Row],[Device ID]],BOM!$B$3:$BQ$35,32,FALSE),"")</f>
        <v>AVCoreB</v>
      </c>
      <c r="AC544" s="59" t="str">
        <f>IFERROR(VLOOKUP(Tabelle32[[#This Row],[Device ID]],BOM!$B$3:$BQ$35,33,FALSE),"")</f>
        <v>5_36_1</v>
      </c>
      <c r="AD544" s="59" t="str">
        <f>IFERROR(VLOOKUP(Tabelle32[[#This Row],[Device ID]],BOM!$B$3:$BQ$35,34,FALSE),"")</f>
        <v>tpco-megw-vgw103.st-net.media.int</v>
      </c>
      <c r="AE544" s="59" t="str">
        <f>IFERROR(VLOOKUP(Tabelle32[[#This Row],[Device ID]],BOM!$B$3:$BQ$35,35,FALSE),"")</f>
        <v>10.120.67.141</v>
      </c>
      <c r="AF544" s="59">
        <f>IFERROR(VLOOKUP(Tabelle32[[#This Row],[Device ID]],BOM!$B$3:$BQ$35,36,FALSE),"")</f>
        <v>0</v>
      </c>
      <c r="AG544" s="59">
        <f>IFERROR(VLOOKUP(Tabelle32[[#This Row],[Device ID]],BOM!$B$3:$BQ$35,37,FALSE),"")</f>
        <v>0</v>
      </c>
      <c r="AH544" s="59"/>
      <c r="AI544" s="59"/>
      <c r="AJ544" s="59"/>
      <c r="AK544" s="59"/>
      <c r="AL544" s="59" t="str">
        <f>IFERROR(VLOOKUP(Tabelle32[[#This Row],[Device ID]],BOM!$B$3:$BQ$35,42,FALSE),"")</f>
        <v>Imagine Communications SNP</v>
      </c>
      <c r="AM544" s="59" t="str">
        <f>IFERROR(VLOOKUP(Tabelle32[[#This Row],[Device ID]],BOM!$B$3:$BQ$35,43,FALSE),"")</f>
        <v>no</v>
      </c>
      <c r="AN544" s="59" t="str">
        <f>IFERROR(VLOOKUP(Tabelle32[[#This Row],[Device ID]],BOM!$B$3:$BQ$35,44,FALSE),"")</f>
        <v>yes</v>
      </c>
      <c r="AO544" s="59" t="str">
        <f>IFERROR(VLOOKUP(Tabelle32[[#This Row],[Device ID]],BOM!$B$3:$BQ$35,45,FALSE),"")</f>
        <v>no</v>
      </c>
      <c r="AP544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44" s="59"/>
      <c r="AR544" s="92"/>
      <c r="AS544" s="92"/>
      <c r="AT544" s="92"/>
      <c r="AU544" s="92"/>
      <c r="AV544" s="92"/>
      <c r="AW544" s="92"/>
      <c r="AX544" s="92"/>
      <c r="AY544" s="92"/>
      <c r="AZ544" s="92"/>
      <c r="BA544" s="92"/>
      <c r="BB544" s="92"/>
      <c r="BC544" s="92"/>
      <c r="BD544" s="92"/>
      <c r="BE544" s="92"/>
      <c r="BF544" s="92"/>
      <c r="BG544" s="92"/>
      <c r="BH544" s="73" t="s">
        <v>199</v>
      </c>
      <c r="BI544" s="30" t="str">
        <f>IF(COUNTA(Tabelle32[[#This Row],[Type:Vid_1080i50]:[Type:Anc_Prot]])&gt;0,"x","")</f>
        <v/>
      </c>
      <c r="BJ54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44" s="59"/>
      <c r="BL544" s="59"/>
      <c r="BM544" s="63"/>
      <c r="BN544" s="63"/>
      <c r="BO544" s="96"/>
      <c r="BP544" s="96"/>
      <c r="BQ544" s="75">
        <f>LEN(Tabelle32[[#This Row],[Label 1
GFX-Unit]])</f>
        <v>0</v>
      </c>
      <c r="BR544" s="63"/>
      <c r="BS544" s="63"/>
      <c r="BT544" s="59"/>
      <c r="BU544" s="59"/>
      <c r="BV544" s="59" t="s">
        <v>257</v>
      </c>
      <c r="BW544" s="59" t="s">
        <v>258</v>
      </c>
      <c r="BX544" s="59" t="s">
        <v>1034</v>
      </c>
      <c r="BY544" s="59">
        <v>26</v>
      </c>
    </row>
    <row r="545" spans="1:77" hidden="1" x14ac:dyDescent="0.2">
      <c r="A545" s="58" t="str">
        <f>CONCATENATE(Tabelle32[[#This Row],[Device ID]],".",Tabelle32[[#This Row],[Streamcounter]])</f>
        <v>403.26214</v>
      </c>
      <c r="B54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VGW-103_SDI26_AUDrec_0014</v>
      </c>
      <c r="C545" s="60"/>
      <c r="D545" s="61"/>
      <c r="E545" s="62"/>
      <c r="F545" s="59" t="str">
        <f>IFERROR(VLOOKUP(Tabelle32[[#This Row],[Device ID]],BOM!$B$3:$BQ$35,16,FALSE),"")</f>
        <v>IngSRV-10</v>
      </c>
      <c r="G545" s="63">
        <f>VLOOKUP(Tabelle32[[#This Row],[SDI Interface]],BOM!$A$4:$B$35,2,FALSE)</f>
        <v>403</v>
      </c>
      <c r="H545" s="59" t="str">
        <f>BOM!$C$4</f>
        <v>VGW-103</v>
      </c>
      <c r="I545" s="59" t="str">
        <f>IFERROR(VLOOKUP(Tabelle32[[#This Row],[Device ID]],BOM!$B$3:$BQ$35,12,FALSE),"")</f>
        <v>Videoserver</v>
      </c>
      <c r="J545" s="59" t="str">
        <f>IFERROR(VLOOKUP(Tabelle32[[#This Row],[Device ID]],BOM!$B$3:$BQ$35,13,FALSE),"")</f>
        <v>TC.U1.223 | MDC</v>
      </c>
      <c r="K545" s="59" t="str">
        <f>IFERROR(VLOOKUP(Tabelle32[[#This Row],[Device ID]],BOM!$B$3:$BQ$35,14,FALSE),"")</f>
        <v>Imagine Comunications</v>
      </c>
      <c r="L545" s="59" t="str">
        <f>IFERROR(VLOOKUP(Tabelle32[[#This Row],[Device ID]],BOM!$B$3:$BQ$35,16,FALSE),"")</f>
        <v>IngSRV-10</v>
      </c>
      <c r="M545" s="63" t="str">
        <f>IFERROR(VLOOKUP(Tabelle32[[#This Row],[Device ID]],BOM!$B$3:$BQ$35,17,FALSE),"")</f>
        <v>M3H</v>
      </c>
      <c r="N545" s="59" t="str">
        <f>IFERROR(VLOOKUP(Tabelle32[[#This Row],[Device ID]],BOM!$B$3:$BQ$35,18,FALSE),"")</f>
        <v>TC.03.225 | M3H</v>
      </c>
      <c r="O545" s="64"/>
      <c r="P545" s="64">
        <f>IFERROR(VLOOKUP(Tabelle32[[#This Row],[Device ID]],BOM!$B$3:$BO$50,20,FALSE),"")</f>
        <v>0</v>
      </c>
      <c r="Q545" s="64">
        <f>IFERROR(VLOOKUP(Tabelle32[[#This Row],[Device ID]],BOM!$B$3:$BO$50,21,FALSE),"")</f>
        <v>1</v>
      </c>
      <c r="R545" s="64">
        <f>IFERROR(VLOOKUP(Tabelle32[[#This Row],[Device ID]],BOM!$B$3:$BO$50,22,FALSE),"")</f>
        <v>0</v>
      </c>
      <c r="S545" s="64"/>
      <c r="T545" s="64"/>
      <c r="U545" s="59" t="str">
        <f>IFERROR(VLOOKUP(Tabelle32[[#This Row],[Device ID]],BOM!$B$3:$BQ$35,25,FALSE),"")</f>
        <v>Luis/Ivo</v>
      </c>
      <c r="V545" s="59" t="str">
        <f>IFERROR(VLOOKUP(Tabelle32[[#This Row],[Device ID]],BOM!$B$3:$BQ$35,26,FALSE),"")</f>
        <v>tpco-megw-vgw103.rta.st-net.media.int</v>
      </c>
      <c r="W545" s="59" t="str">
        <f>IFERROR(VLOOKUP(Tabelle32[[#This Row],[Device ID]],BOM!$B$3:$BQ$35,27,FALSE),"")</f>
        <v>10.120.236.50</v>
      </c>
      <c r="X545" s="59" t="str">
        <f>IFERROR(VLOOKUP(Tabelle32[[#This Row],[Device ID]],BOM!$B$3:$BQ$35,28,FALSE),"")</f>
        <v>AVCoreA</v>
      </c>
      <c r="Y545" s="59" t="str">
        <f>IFERROR(VLOOKUP(Tabelle32[[#This Row],[Device ID]],BOM!$B$3:$BQ$35,29,FALSE),"")</f>
        <v>5_36_1</v>
      </c>
      <c r="Z545" s="59" t="str">
        <f>IFERROR(VLOOKUP(Tabelle32[[#This Row],[Device ID]],BOM!$B$3:$BQ$35,30,FALSE),"")</f>
        <v>tpco-megw-vgw103.rtb.st-net.media.int</v>
      </c>
      <c r="AA545" s="59" t="str">
        <f>IFERROR(VLOOKUP(Tabelle32[[#This Row],[Device ID]],BOM!$B$3:$BQ$35,31,FALSE),"")</f>
        <v>10.120.236.54</v>
      </c>
      <c r="AB545" s="59" t="str">
        <f>IFERROR(VLOOKUP(Tabelle32[[#This Row],[Device ID]],BOM!$B$3:$BQ$35,32,FALSE),"")</f>
        <v>AVCoreB</v>
      </c>
      <c r="AC545" s="59" t="str">
        <f>IFERROR(VLOOKUP(Tabelle32[[#This Row],[Device ID]],BOM!$B$3:$BQ$35,33,FALSE),"")</f>
        <v>5_36_1</v>
      </c>
      <c r="AD545" s="59" t="str">
        <f>IFERROR(VLOOKUP(Tabelle32[[#This Row],[Device ID]],BOM!$B$3:$BQ$35,34,FALSE),"")</f>
        <v>tpco-megw-vgw103.st-net.media.int</v>
      </c>
      <c r="AE545" s="59" t="str">
        <f>IFERROR(VLOOKUP(Tabelle32[[#This Row],[Device ID]],BOM!$B$3:$BQ$35,35,FALSE),"")</f>
        <v>10.120.67.141</v>
      </c>
      <c r="AF545" s="59">
        <f>IFERROR(VLOOKUP(Tabelle32[[#This Row],[Device ID]],BOM!$B$3:$BQ$35,36,FALSE),"")</f>
        <v>0</v>
      </c>
      <c r="AG545" s="59">
        <f>IFERROR(VLOOKUP(Tabelle32[[#This Row],[Device ID]],BOM!$B$3:$BQ$35,37,FALSE),"")</f>
        <v>0</v>
      </c>
      <c r="AH545" s="59"/>
      <c r="AI545" s="59"/>
      <c r="AJ545" s="59"/>
      <c r="AK545" s="59"/>
      <c r="AL545" s="59" t="str">
        <f>IFERROR(VLOOKUP(Tabelle32[[#This Row],[Device ID]],BOM!$B$3:$BQ$35,42,FALSE),"")</f>
        <v>Imagine Communications SNP</v>
      </c>
      <c r="AM545" s="59" t="str">
        <f>IFERROR(VLOOKUP(Tabelle32[[#This Row],[Device ID]],BOM!$B$3:$BQ$35,43,FALSE),"")</f>
        <v>no</v>
      </c>
      <c r="AN545" s="59" t="str">
        <f>IFERROR(VLOOKUP(Tabelle32[[#This Row],[Device ID]],BOM!$B$3:$BQ$35,44,FALSE),"")</f>
        <v>yes</v>
      </c>
      <c r="AO545" s="59" t="str">
        <f>IFERROR(VLOOKUP(Tabelle32[[#This Row],[Device ID]],BOM!$B$3:$BQ$35,45,FALSE),"")</f>
        <v>no</v>
      </c>
      <c r="AP545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45" s="59"/>
      <c r="AR545" s="92"/>
      <c r="AS545" s="92"/>
      <c r="AT545" s="92"/>
      <c r="AU545" s="92"/>
      <c r="AV545" s="92"/>
      <c r="AW545" s="92"/>
      <c r="AX545" s="92"/>
      <c r="AY545" s="92"/>
      <c r="AZ545" s="92"/>
      <c r="BA545" s="92"/>
      <c r="BB545" s="92"/>
      <c r="BC545" s="92"/>
      <c r="BD545" s="92"/>
      <c r="BE545" s="92"/>
      <c r="BF545" s="92"/>
      <c r="BG545" s="92"/>
      <c r="BH545" s="73" t="s">
        <v>199</v>
      </c>
      <c r="BI545" s="30" t="str">
        <f>IF(COUNTA(Tabelle32[[#This Row],[Type:Vid_1080i50]:[Type:Anc_Prot]])&gt;0,"x","")</f>
        <v/>
      </c>
      <c r="BJ54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45" s="59"/>
      <c r="BL545" s="59"/>
      <c r="BM545" s="63"/>
      <c r="BN545" s="63"/>
      <c r="BO545" s="96"/>
      <c r="BP545" s="96"/>
      <c r="BQ545" s="75">
        <f>LEN(Tabelle32[[#This Row],[Label 1
GFX-Unit]])</f>
        <v>0</v>
      </c>
      <c r="BR545" s="63"/>
      <c r="BS545" s="63"/>
      <c r="BT545" s="59"/>
      <c r="BU545" s="59"/>
      <c r="BV545" s="59" t="s">
        <v>260</v>
      </c>
      <c r="BW545" s="59" t="s">
        <v>261</v>
      </c>
      <c r="BX545" s="59" t="s">
        <v>1035</v>
      </c>
      <c r="BY545" s="59">
        <v>26</v>
      </c>
    </row>
    <row r="546" spans="1:77" x14ac:dyDescent="0.2">
      <c r="A546" s="58" t="str">
        <f>CONCATENATE(Tabelle32[[#This Row],[Device ID]],".",Tabelle32[[#This Row],[Streamcounter]])</f>
        <v>403.26215</v>
      </c>
      <c r="B54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VGW-103_SDI26_AUDrec_0015</v>
      </c>
      <c r="C546" s="60"/>
      <c r="D546" s="61"/>
      <c r="E546" s="62"/>
      <c r="F546" s="59" t="str">
        <f>IFERROR(VLOOKUP(Tabelle32[[#This Row],[Device ID]],BOM!$B$3:$BQ$35,16,FALSE),"")</f>
        <v>IngSRV-10</v>
      </c>
      <c r="G546" s="63">
        <f>VLOOKUP(Tabelle32[[#This Row],[SDI Interface]],BOM!$A$4:$B$35,2,FALSE)</f>
        <v>403</v>
      </c>
      <c r="H546" s="59" t="str">
        <f>BOM!$C$4</f>
        <v>VGW-103</v>
      </c>
      <c r="I546" s="59" t="str">
        <f>IFERROR(VLOOKUP(Tabelle32[[#This Row],[Device ID]],BOM!$B$3:$BQ$35,12,FALSE),"")</f>
        <v>Videoserver</v>
      </c>
      <c r="J546" s="59" t="str">
        <f>IFERROR(VLOOKUP(Tabelle32[[#This Row],[Device ID]],BOM!$B$3:$BQ$35,13,FALSE),"")</f>
        <v>TC.U1.223 | MDC</v>
      </c>
      <c r="K546" s="59" t="str">
        <f>IFERROR(VLOOKUP(Tabelle32[[#This Row],[Device ID]],BOM!$B$3:$BQ$35,14,FALSE),"")</f>
        <v>Imagine Comunications</v>
      </c>
      <c r="L546" s="59" t="str">
        <f>IFERROR(VLOOKUP(Tabelle32[[#This Row],[Device ID]],BOM!$B$3:$BQ$35,16,FALSE),"")</f>
        <v>IngSRV-10</v>
      </c>
      <c r="M546" s="63" t="str">
        <f>IFERROR(VLOOKUP(Tabelle32[[#This Row],[Device ID]],BOM!$B$3:$BQ$35,17,FALSE),"")</f>
        <v>M3H</v>
      </c>
      <c r="N546" s="59" t="str">
        <f>IFERROR(VLOOKUP(Tabelle32[[#This Row],[Device ID]],BOM!$B$3:$BQ$35,18,FALSE),"")</f>
        <v>TC.03.225 | M3H</v>
      </c>
      <c r="O546" s="64"/>
      <c r="P546" s="64">
        <f>IFERROR(VLOOKUP(Tabelle32[[#This Row],[Device ID]],BOM!$B$3:$BO$50,20,FALSE),"")</f>
        <v>0</v>
      </c>
      <c r="Q546" s="64">
        <f>IFERROR(VLOOKUP(Tabelle32[[#This Row],[Device ID]],BOM!$B$3:$BO$50,21,FALSE),"")</f>
        <v>1</v>
      </c>
      <c r="R546" s="64">
        <f>IFERROR(VLOOKUP(Tabelle32[[#This Row],[Device ID]],BOM!$B$3:$BO$50,22,FALSE),"")</f>
        <v>0</v>
      </c>
      <c r="S546" s="64"/>
      <c r="T546" s="64"/>
      <c r="U546" s="59" t="str">
        <f>IFERROR(VLOOKUP(Tabelle32[[#This Row],[Device ID]],BOM!$B$3:$BQ$35,25,FALSE),"")</f>
        <v>Luis/Ivo</v>
      </c>
      <c r="V546" s="59" t="str">
        <f>IFERROR(VLOOKUP(Tabelle32[[#This Row],[Device ID]],BOM!$B$3:$BQ$35,26,FALSE),"")</f>
        <v>tpco-megw-vgw103.rta.st-net.media.int</v>
      </c>
      <c r="W546" s="59" t="str">
        <f>IFERROR(VLOOKUP(Tabelle32[[#This Row],[Device ID]],BOM!$B$3:$BQ$35,27,FALSE),"")</f>
        <v>10.120.236.50</v>
      </c>
      <c r="X546" s="59" t="str">
        <f>IFERROR(VLOOKUP(Tabelle32[[#This Row],[Device ID]],BOM!$B$3:$BQ$35,28,FALSE),"")</f>
        <v>AVCoreA</v>
      </c>
      <c r="Y546" s="59" t="str">
        <f>IFERROR(VLOOKUP(Tabelle32[[#This Row],[Device ID]],BOM!$B$3:$BQ$35,29,FALSE),"")</f>
        <v>5_36_1</v>
      </c>
      <c r="Z546" s="59" t="str">
        <f>IFERROR(VLOOKUP(Tabelle32[[#This Row],[Device ID]],BOM!$B$3:$BQ$35,30,FALSE),"")</f>
        <v>tpco-megw-vgw103.rtb.st-net.media.int</v>
      </c>
      <c r="AA546" s="59" t="str">
        <f>IFERROR(VLOOKUP(Tabelle32[[#This Row],[Device ID]],BOM!$B$3:$BQ$35,31,FALSE),"")</f>
        <v>10.120.236.54</v>
      </c>
      <c r="AB546" s="59" t="str">
        <f>IFERROR(VLOOKUP(Tabelle32[[#This Row],[Device ID]],BOM!$B$3:$BQ$35,32,FALSE),"")</f>
        <v>AVCoreB</v>
      </c>
      <c r="AC546" s="59" t="str">
        <f>IFERROR(VLOOKUP(Tabelle32[[#This Row],[Device ID]],BOM!$B$3:$BQ$35,33,FALSE),"")</f>
        <v>5_36_1</v>
      </c>
      <c r="AD546" s="59" t="str">
        <f>IFERROR(VLOOKUP(Tabelle32[[#This Row],[Device ID]],BOM!$B$3:$BQ$35,34,FALSE),"")</f>
        <v>tpco-megw-vgw103.st-net.media.int</v>
      </c>
      <c r="AE546" s="59" t="str">
        <f>IFERROR(VLOOKUP(Tabelle32[[#This Row],[Device ID]],BOM!$B$3:$BQ$35,35,FALSE),"")</f>
        <v>10.120.67.141</v>
      </c>
      <c r="AF546" s="59">
        <f>IFERROR(VLOOKUP(Tabelle32[[#This Row],[Device ID]],BOM!$B$3:$BQ$35,36,FALSE),"")</f>
        <v>0</v>
      </c>
      <c r="AG546" s="59">
        <f>IFERROR(VLOOKUP(Tabelle32[[#This Row],[Device ID]],BOM!$B$3:$BQ$35,37,FALSE),"")</f>
        <v>0</v>
      </c>
      <c r="AH546" s="59"/>
      <c r="AI546" s="59"/>
      <c r="AJ546" s="59"/>
      <c r="AK546" s="59"/>
      <c r="AL546" s="59" t="str">
        <f>IFERROR(VLOOKUP(Tabelle32[[#This Row],[Device ID]],BOM!$B$3:$BQ$35,42,FALSE),"")</f>
        <v>Imagine Communications SNP</v>
      </c>
      <c r="AM546" s="59" t="str">
        <f>IFERROR(VLOOKUP(Tabelle32[[#This Row],[Device ID]],BOM!$B$3:$BQ$35,43,FALSE),"")</f>
        <v>no</v>
      </c>
      <c r="AN546" s="59" t="str">
        <f>IFERROR(VLOOKUP(Tabelle32[[#This Row],[Device ID]],BOM!$B$3:$BQ$35,44,FALSE),"")</f>
        <v>yes</v>
      </c>
      <c r="AO546" s="59" t="str">
        <f>IFERROR(VLOOKUP(Tabelle32[[#This Row],[Device ID]],BOM!$B$3:$BQ$35,45,FALSE),"")</f>
        <v>no</v>
      </c>
      <c r="AP546" s="59" t="str">
        <f>IFERROR(CONCATENATE(Tabelle32[[#This Row],[Family
GFX-Unit]]," | ",Tabelle32[[#This Row],[Label 1
GFX-Unit]]," | ",Tabelle32[[#This Row],[Attached Device if Gateway]]),"")</f>
        <v>M3H InCh PGM | Ingest Ch38-15 | IngSRV-10</v>
      </c>
      <c r="AQ546" s="59"/>
      <c r="AR546" s="92"/>
      <c r="AS546" s="92"/>
      <c r="AT546" s="92"/>
      <c r="AU546" s="92"/>
      <c r="AV546" s="92"/>
      <c r="AW546" s="92" t="s">
        <v>97</v>
      </c>
      <c r="AX546" s="92"/>
      <c r="AY546" s="92"/>
      <c r="AZ546" s="92" t="s">
        <v>97</v>
      </c>
      <c r="BA546" s="92"/>
      <c r="BB546" s="92" t="s">
        <v>97</v>
      </c>
      <c r="BC546" s="92" t="s">
        <v>97</v>
      </c>
      <c r="BD546" s="92" t="s">
        <v>97</v>
      </c>
      <c r="BE546" s="92"/>
      <c r="BF546" s="92"/>
      <c r="BG546" s="92"/>
      <c r="BH546" s="73" t="s">
        <v>199</v>
      </c>
      <c r="BI546" s="30" t="str">
        <f>IF(COUNTA(Tabelle32[[#This Row],[Type:Vid_1080i50]:[Type:Anc_Prot]])&gt;0,"x","")</f>
        <v>x</v>
      </c>
      <c r="BJ54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546" s="59"/>
      <c r="BL546" s="59"/>
      <c r="BM546" s="63"/>
      <c r="BN546" s="63"/>
      <c r="BO546" s="97" t="s">
        <v>2684</v>
      </c>
      <c r="BP546" s="97" t="s">
        <v>2708</v>
      </c>
      <c r="BQ546" s="75">
        <f>LEN(Tabelle32[[#This Row],[Label 1
GFX-Unit]])</f>
        <v>14</v>
      </c>
      <c r="BR546" s="63"/>
      <c r="BS546" s="63"/>
      <c r="BT546" s="59"/>
      <c r="BU546" s="59"/>
      <c r="BV546" s="59" t="s">
        <v>264</v>
      </c>
      <c r="BW546" s="59" t="s">
        <v>265</v>
      </c>
      <c r="BX546" s="59" t="s">
        <v>1036</v>
      </c>
      <c r="BY546" s="59">
        <v>26</v>
      </c>
    </row>
    <row r="547" spans="1:77" x14ac:dyDescent="0.2">
      <c r="A547" s="58" t="str">
        <f>CONCATENATE(Tabelle32[[#This Row],[Device ID]],".",Tabelle32[[#This Row],[Streamcounter]])</f>
        <v>403.26216</v>
      </c>
      <c r="B54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VGW-103_SDI26_AUDrec_0016</v>
      </c>
      <c r="C547" s="60"/>
      <c r="D547" s="61"/>
      <c r="E547" s="62"/>
      <c r="F547" s="59" t="str">
        <f>IFERROR(VLOOKUP(Tabelle32[[#This Row],[Device ID]],BOM!$B$3:$BQ$35,16,FALSE),"")</f>
        <v>IngSRV-10</v>
      </c>
      <c r="G547" s="63">
        <f>VLOOKUP(Tabelle32[[#This Row],[SDI Interface]],BOM!$A$4:$B$35,2,FALSE)</f>
        <v>403</v>
      </c>
      <c r="H547" s="59" t="str">
        <f>BOM!$C$4</f>
        <v>VGW-103</v>
      </c>
      <c r="I547" s="59" t="str">
        <f>IFERROR(VLOOKUP(Tabelle32[[#This Row],[Device ID]],BOM!$B$3:$BQ$35,12,FALSE),"")</f>
        <v>Videoserver</v>
      </c>
      <c r="J547" s="59" t="str">
        <f>IFERROR(VLOOKUP(Tabelle32[[#This Row],[Device ID]],BOM!$B$3:$BQ$35,13,FALSE),"")</f>
        <v>TC.U1.223 | MDC</v>
      </c>
      <c r="K547" s="59" t="str">
        <f>IFERROR(VLOOKUP(Tabelle32[[#This Row],[Device ID]],BOM!$B$3:$BQ$35,14,FALSE),"")</f>
        <v>Imagine Comunications</v>
      </c>
      <c r="L547" s="59" t="str">
        <f>IFERROR(VLOOKUP(Tabelle32[[#This Row],[Device ID]],BOM!$B$3:$BQ$35,16,FALSE),"")</f>
        <v>IngSRV-10</v>
      </c>
      <c r="M547" s="63" t="str">
        <f>IFERROR(VLOOKUP(Tabelle32[[#This Row],[Device ID]],BOM!$B$3:$BQ$35,17,FALSE),"")</f>
        <v>M3H</v>
      </c>
      <c r="N547" s="59" t="str">
        <f>IFERROR(VLOOKUP(Tabelle32[[#This Row],[Device ID]],BOM!$B$3:$BQ$35,18,FALSE),"")</f>
        <v>TC.03.225 | M3H</v>
      </c>
      <c r="O547" s="64"/>
      <c r="P547" s="64">
        <f>IFERROR(VLOOKUP(Tabelle32[[#This Row],[Device ID]],BOM!$B$3:$BO$50,20,FALSE),"")</f>
        <v>0</v>
      </c>
      <c r="Q547" s="64">
        <f>IFERROR(VLOOKUP(Tabelle32[[#This Row],[Device ID]],BOM!$B$3:$BO$50,21,FALSE),"")</f>
        <v>1</v>
      </c>
      <c r="R547" s="64">
        <f>IFERROR(VLOOKUP(Tabelle32[[#This Row],[Device ID]],BOM!$B$3:$BO$50,22,FALSE),"")</f>
        <v>0</v>
      </c>
      <c r="S547" s="64"/>
      <c r="T547" s="64"/>
      <c r="U547" s="59" t="str">
        <f>IFERROR(VLOOKUP(Tabelle32[[#This Row],[Device ID]],BOM!$B$3:$BQ$35,25,FALSE),"")</f>
        <v>Luis/Ivo</v>
      </c>
      <c r="V547" s="59" t="str">
        <f>IFERROR(VLOOKUP(Tabelle32[[#This Row],[Device ID]],BOM!$B$3:$BQ$35,26,FALSE),"")</f>
        <v>tpco-megw-vgw103.rta.st-net.media.int</v>
      </c>
      <c r="W547" s="59" t="str">
        <f>IFERROR(VLOOKUP(Tabelle32[[#This Row],[Device ID]],BOM!$B$3:$BQ$35,27,FALSE),"")</f>
        <v>10.120.236.50</v>
      </c>
      <c r="X547" s="59" t="str">
        <f>IFERROR(VLOOKUP(Tabelle32[[#This Row],[Device ID]],BOM!$B$3:$BQ$35,28,FALSE),"")</f>
        <v>AVCoreA</v>
      </c>
      <c r="Y547" s="59" t="str">
        <f>IFERROR(VLOOKUP(Tabelle32[[#This Row],[Device ID]],BOM!$B$3:$BQ$35,29,FALSE),"")</f>
        <v>5_36_1</v>
      </c>
      <c r="Z547" s="59" t="str">
        <f>IFERROR(VLOOKUP(Tabelle32[[#This Row],[Device ID]],BOM!$B$3:$BQ$35,30,FALSE),"")</f>
        <v>tpco-megw-vgw103.rtb.st-net.media.int</v>
      </c>
      <c r="AA547" s="59" t="str">
        <f>IFERROR(VLOOKUP(Tabelle32[[#This Row],[Device ID]],BOM!$B$3:$BQ$35,31,FALSE),"")</f>
        <v>10.120.236.54</v>
      </c>
      <c r="AB547" s="59" t="str">
        <f>IFERROR(VLOOKUP(Tabelle32[[#This Row],[Device ID]],BOM!$B$3:$BQ$35,32,FALSE),"")</f>
        <v>AVCoreB</v>
      </c>
      <c r="AC547" s="59" t="str">
        <f>IFERROR(VLOOKUP(Tabelle32[[#This Row],[Device ID]],BOM!$B$3:$BQ$35,33,FALSE),"")</f>
        <v>5_36_1</v>
      </c>
      <c r="AD547" s="59" t="str">
        <f>IFERROR(VLOOKUP(Tabelle32[[#This Row],[Device ID]],BOM!$B$3:$BQ$35,34,FALSE),"")</f>
        <v>tpco-megw-vgw103.st-net.media.int</v>
      </c>
      <c r="AE547" s="59" t="str">
        <f>IFERROR(VLOOKUP(Tabelle32[[#This Row],[Device ID]],BOM!$B$3:$BQ$35,35,FALSE),"")</f>
        <v>10.120.67.141</v>
      </c>
      <c r="AF547" s="59">
        <f>IFERROR(VLOOKUP(Tabelle32[[#This Row],[Device ID]],BOM!$B$3:$BQ$35,36,FALSE),"")</f>
        <v>0</v>
      </c>
      <c r="AG547" s="59">
        <f>IFERROR(VLOOKUP(Tabelle32[[#This Row],[Device ID]],BOM!$B$3:$BQ$35,37,FALSE),"")</f>
        <v>0</v>
      </c>
      <c r="AH547" s="59"/>
      <c r="AI547" s="59"/>
      <c r="AJ547" s="59"/>
      <c r="AK547" s="59"/>
      <c r="AL547" s="59" t="str">
        <f>IFERROR(VLOOKUP(Tabelle32[[#This Row],[Device ID]],BOM!$B$3:$BQ$35,42,FALSE),"")</f>
        <v>Imagine Communications SNP</v>
      </c>
      <c r="AM547" s="59" t="str">
        <f>IFERROR(VLOOKUP(Tabelle32[[#This Row],[Device ID]],BOM!$B$3:$BQ$35,43,FALSE),"")</f>
        <v>no</v>
      </c>
      <c r="AN547" s="59" t="str">
        <f>IFERROR(VLOOKUP(Tabelle32[[#This Row],[Device ID]],BOM!$B$3:$BQ$35,44,FALSE),"")</f>
        <v>yes</v>
      </c>
      <c r="AO547" s="59" t="str">
        <f>IFERROR(VLOOKUP(Tabelle32[[#This Row],[Device ID]],BOM!$B$3:$BQ$35,45,FALSE),"")</f>
        <v>no</v>
      </c>
      <c r="AP547" s="59" t="str">
        <f>IFERROR(CONCATENATE(Tabelle32[[#This Row],[Family
GFX-Unit]]," | ",Tabelle32[[#This Row],[Label 1
GFX-Unit]]," | ",Tabelle32[[#This Row],[Attached Device if Gateway]]),"")</f>
        <v>M3H InCh PGM | Ingest Ch38-16 | IngSRV-10</v>
      </c>
      <c r="AQ547" s="59"/>
      <c r="AR547" s="92"/>
      <c r="AS547" s="92"/>
      <c r="AT547" s="92"/>
      <c r="AU547" s="92"/>
      <c r="AV547" s="92"/>
      <c r="AW547" s="92" t="s">
        <v>97</v>
      </c>
      <c r="AX547" s="92"/>
      <c r="AY547" s="92"/>
      <c r="AZ547" s="92" t="s">
        <v>97</v>
      </c>
      <c r="BA547" s="92"/>
      <c r="BB547" s="92" t="s">
        <v>97</v>
      </c>
      <c r="BC547" s="92" t="s">
        <v>97</v>
      </c>
      <c r="BD547" s="92" t="s">
        <v>97</v>
      </c>
      <c r="BE547" s="92"/>
      <c r="BF547" s="92"/>
      <c r="BG547" s="92"/>
      <c r="BH547" s="73" t="s">
        <v>199</v>
      </c>
      <c r="BI547" s="30" t="str">
        <f>IF(COUNTA(Tabelle32[[#This Row],[Type:Vid_1080i50]:[Type:Anc_Prot]])&gt;0,"x","")</f>
        <v>x</v>
      </c>
      <c r="BJ54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547" s="59"/>
      <c r="BL547" s="59"/>
      <c r="BM547" s="63"/>
      <c r="BN547" s="63"/>
      <c r="BO547" s="97" t="s">
        <v>2684</v>
      </c>
      <c r="BP547" s="97" t="s">
        <v>2709</v>
      </c>
      <c r="BQ547" s="75">
        <f>LEN(Tabelle32[[#This Row],[Label 1
GFX-Unit]])</f>
        <v>14</v>
      </c>
      <c r="BR547" s="63"/>
      <c r="BS547" s="63"/>
      <c r="BT547" s="59"/>
      <c r="BU547" s="59"/>
      <c r="BV547" s="59" t="s">
        <v>268</v>
      </c>
      <c r="BW547" s="59" t="s">
        <v>269</v>
      </c>
      <c r="BX547" s="59" t="s">
        <v>1037</v>
      </c>
      <c r="BY547" s="59">
        <v>26</v>
      </c>
    </row>
    <row r="548" spans="1:77" x14ac:dyDescent="0.2">
      <c r="A548" s="58" t="str">
        <f>CONCATENATE(Tabelle32[[#This Row],[Device ID]],".",Tabelle32[[#This Row],[Streamcounter]])</f>
        <v>403.26101</v>
      </c>
      <c r="B54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VGW-103_SDI26_VIDrec_0001</v>
      </c>
      <c r="C548" s="60"/>
      <c r="D548" s="61"/>
      <c r="E548" s="62"/>
      <c r="F548" s="59" t="str">
        <f>IFERROR(VLOOKUP(Tabelle32[[#This Row],[Device ID]],BOM!$B$3:$BQ$35,16,FALSE),"")</f>
        <v>IngSRV-10</v>
      </c>
      <c r="G548" s="63">
        <f>VLOOKUP(Tabelle32[[#This Row],[SDI Interface]],BOM!$A$4:$B$35,2,FALSE)</f>
        <v>403</v>
      </c>
      <c r="H548" s="59" t="str">
        <f>BOM!$C$4</f>
        <v>VGW-103</v>
      </c>
      <c r="I548" s="59" t="str">
        <f>IFERROR(VLOOKUP(Tabelle32[[#This Row],[Device ID]],BOM!$B$3:$BQ$35,12,FALSE),"")</f>
        <v>Videoserver</v>
      </c>
      <c r="J548" s="59" t="str">
        <f>IFERROR(VLOOKUP(Tabelle32[[#This Row],[Device ID]],BOM!$B$3:$BQ$35,13,FALSE),"")</f>
        <v>TC.U1.223 | MDC</v>
      </c>
      <c r="K548" s="59" t="str">
        <f>IFERROR(VLOOKUP(Tabelle32[[#This Row],[Device ID]],BOM!$B$3:$BQ$35,14,FALSE),"")</f>
        <v>Imagine Comunications</v>
      </c>
      <c r="L548" s="59" t="str">
        <f>IFERROR(VLOOKUP(Tabelle32[[#This Row],[Device ID]],BOM!$B$3:$BQ$35,16,FALSE),"")</f>
        <v>IngSRV-10</v>
      </c>
      <c r="M548" s="63" t="str">
        <f>IFERROR(VLOOKUP(Tabelle32[[#This Row],[Device ID]],BOM!$B$3:$BQ$35,17,FALSE),"")</f>
        <v>M3H</v>
      </c>
      <c r="N548" s="59" t="str">
        <f>IFERROR(VLOOKUP(Tabelle32[[#This Row],[Device ID]],BOM!$B$3:$BQ$35,18,FALSE),"")</f>
        <v>TC.03.225 | M3H</v>
      </c>
      <c r="O548" s="64"/>
      <c r="P548" s="64">
        <f>IFERROR(VLOOKUP(Tabelle32[[#This Row],[Device ID]],BOM!$B$3:$BO$50,20,FALSE),"")</f>
        <v>0</v>
      </c>
      <c r="Q548" s="64">
        <f>IFERROR(VLOOKUP(Tabelle32[[#This Row],[Device ID]],BOM!$B$3:$BO$50,21,FALSE),"")</f>
        <v>1</v>
      </c>
      <c r="R548" s="64">
        <f>IFERROR(VLOOKUP(Tabelle32[[#This Row],[Device ID]],BOM!$B$3:$BO$50,22,FALSE),"")</f>
        <v>0</v>
      </c>
      <c r="S548" s="64"/>
      <c r="T548" s="64"/>
      <c r="U548" s="59" t="str">
        <f>IFERROR(VLOOKUP(Tabelle32[[#This Row],[Device ID]],BOM!$B$3:$BQ$35,25,FALSE),"")</f>
        <v>Luis/Ivo</v>
      </c>
      <c r="V548" s="59" t="str">
        <f>IFERROR(VLOOKUP(Tabelle32[[#This Row],[Device ID]],BOM!$B$3:$BQ$35,26,FALSE),"")</f>
        <v>tpco-megw-vgw103.rta.st-net.media.int</v>
      </c>
      <c r="W548" s="59" t="str">
        <f>IFERROR(VLOOKUP(Tabelle32[[#This Row],[Device ID]],BOM!$B$3:$BQ$35,27,FALSE),"")</f>
        <v>10.120.236.50</v>
      </c>
      <c r="X548" s="59" t="str">
        <f>IFERROR(VLOOKUP(Tabelle32[[#This Row],[Device ID]],BOM!$B$3:$BQ$35,28,FALSE),"")</f>
        <v>AVCoreA</v>
      </c>
      <c r="Y548" s="59" t="str">
        <f>IFERROR(VLOOKUP(Tabelle32[[#This Row],[Device ID]],BOM!$B$3:$BQ$35,29,FALSE),"")</f>
        <v>5_36_1</v>
      </c>
      <c r="Z548" s="59" t="str">
        <f>IFERROR(VLOOKUP(Tabelle32[[#This Row],[Device ID]],BOM!$B$3:$BQ$35,30,FALSE),"")</f>
        <v>tpco-megw-vgw103.rtb.st-net.media.int</v>
      </c>
      <c r="AA548" s="59" t="str">
        <f>IFERROR(VLOOKUP(Tabelle32[[#This Row],[Device ID]],BOM!$B$3:$BQ$35,31,FALSE),"")</f>
        <v>10.120.236.54</v>
      </c>
      <c r="AB548" s="59" t="str">
        <f>IFERROR(VLOOKUP(Tabelle32[[#This Row],[Device ID]],BOM!$B$3:$BQ$35,32,FALSE),"")</f>
        <v>AVCoreB</v>
      </c>
      <c r="AC548" s="59" t="str">
        <f>IFERROR(VLOOKUP(Tabelle32[[#This Row],[Device ID]],BOM!$B$3:$BQ$35,33,FALSE),"")</f>
        <v>5_36_1</v>
      </c>
      <c r="AD548" s="59" t="str">
        <f>IFERROR(VLOOKUP(Tabelle32[[#This Row],[Device ID]],BOM!$B$3:$BQ$35,34,FALSE),"")</f>
        <v>tpco-megw-vgw103.st-net.media.int</v>
      </c>
      <c r="AE548" s="59" t="str">
        <f>IFERROR(VLOOKUP(Tabelle32[[#This Row],[Device ID]],BOM!$B$3:$BQ$35,35,FALSE),"")</f>
        <v>10.120.67.141</v>
      </c>
      <c r="AF548" s="59">
        <f>IFERROR(VLOOKUP(Tabelle32[[#This Row],[Device ID]],BOM!$B$3:$BQ$35,36,FALSE),"")</f>
        <v>0</v>
      </c>
      <c r="AG548" s="59">
        <f>IFERROR(VLOOKUP(Tabelle32[[#This Row],[Device ID]],BOM!$B$3:$BQ$35,37,FALSE),"")</f>
        <v>0</v>
      </c>
      <c r="AH548" s="59"/>
      <c r="AI548" s="59"/>
      <c r="AJ548" s="59"/>
      <c r="AK548" s="59"/>
      <c r="AL548" s="59" t="str">
        <f>IFERROR(VLOOKUP(Tabelle32[[#This Row],[Device ID]],BOM!$B$3:$BQ$35,42,FALSE),"")</f>
        <v>Imagine Communications SNP</v>
      </c>
      <c r="AM548" s="59" t="str">
        <f>IFERROR(VLOOKUP(Tabelle32[[#This Row],[Device ID]],BOM!$B$3:$BQ$35,43,FALSE),"")</f>
        <v>no</v>
      </c>
      <c r="AN548" s="59" t="str">
        <f>IFERROR(VLOOKUP(Tabelle32[[#This Row],[Device ID]],BOM!$B$3:$BQ$35,44,FALSE),"")</f>
        <v>yes</v>
      </c>
      <c r="AO548" s="59" t="str">
        <f>IFERROR(VLOOKUP(Tabelle32[[#This Row],[Device ID]],BOM!$B$3:$BQ$35,45,FALSE),"")</f>
        <v>no</v>
      </c>
      <c r="AP548" s="59" t="str">
        <f>IFERROR(CONCATENATE(Tabelle32[[#This Row],[Family
GFX-Unit]]," | ",Tabelle32[[#This Row],[Label 1
GFX-Unit]]," | ",Tabelle32[[#This Row],[Attached Device if Gateway]]),"")</f>
        <v>M3H InCh PGM | Ingest Ch38 | IngSRV-10</v>
      </c>
      <c r="AQ548" s="59"/>
      <c r="AR548" s="92" t="s">
        <v>97</v>
      </c>
      <c r="AS548" s="92" t="s">
        <v>97</v>
      </c>
      <c r="AT548" s="92" t="s">
        <v>97</v>
      </c>
      <c r="AU548" s="92"/>
      <c r="AV548" s="92" t="s">
        <v>97</v>
      </c>
      <c r="AW548" s="92"/>
      <c r="AX548" s="92"/>
      <c r="AY548" s="92"/>
      <c r="AZ548" s="92"/>
      <c r="BA548" s="92"/>
      <c r="BB548" s="92"/>
      <c r="BC548" s="92"/>
      <c r="BD548" s="92"/>
      <c r="BE548" s="92"/>
      <c r="BF548" s="92"/>
      <c r="BG548" s="92"/>
      <c r="BH548" s="73" t="s">
        <v>199</v>
      </c>
      <c r="BI548" s="30" t="str">
        <f>IF(COUNTA(Tabelle32[[#This Row],[Type:Vid_1080i50]:[Type:Anc_Prot]])&gt;0,"x","")</f>
        <v>x</v>
      </c>
      <c r="BJ54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548" s="59"/>
      <c r="BL548" s="59"/>
      <c r="BM548" s="63"/>
      <c r="BN548" s="63"/>
      <c r="BO548" s="93" t="s">
        <v>2684</v>
      </c>
      <c r="BP548" s="93" t="s">
        <v>2710</v>
      </c>
      <c r="BQ548" s="75">
        <f>LEN(Tabelle32[[#This Row],[Label 1
GFX-Unit]])</f>
        <v>11</v>
      </c>
      <c r="BR548" s="63"/>
      <c r="BS548" s="63"/>
      <c r="BT548" s="59"/>
      <c r="BU548" s="59"/>
      <c r="BV548" s="59" t="s">
        <v>272</v>
      </c>
      <c r="BW548" s="59" t="s">
        <v>273</v>
      </c>
      <c r="BX548" s="59" t="s">
        <v>1038</v>
      </c>
      <c r="BY548" s="59">
        <v>26</v>
      </c>
    </row>
    <row r="549" spans="1:77" x14ac:dyDescent="0.2">
      <c r="A549" s="58" t="str">
        <f>CONCATENATE(Tabelle32[[#This Row],[Device ID]],".",Tabelle32[[#This Row],[Streamcounter]])</f>
        <v>404.27301</v>
      </c>
      <c r="B54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VGW-103_SDI27_ANCrec_0001</v>
      </c>
      <c r="C549" s="60"/>
      <c r="D549" s="61"/>
      <c r="E549" s="62"/>
      <c r="F549" s="59" t="str">
        <f>IFERROR(VLOOKUP(Tabelle32[[#This Row],[Device ID]],BOM!$B$3:$BQ$35,16,FALSE),"")</f>
        <v>IngSRV-10</v>
      </c>
      <c r="G549" s="63">
        <f>VLOOKUP(Tabelle32[[#This Row],[SDI Interface]],BOM!$A$4:$B$35,2,FALSE)</f>
        <v>404</v>
      </c>
      <c r="H549" s="59" t="str">
        <f>BOM!$C$4</f>
        <v>VGW-103</v>
      </c>
      <c r="I549" s="59" t="str">
        <f>IFERROR(VLOOKUP(Tabelle32[[#This Row],[Device ID]],BOM!$B$3:$BQ$35,12,FALSE),"")</f>
        <v>Videoserver</v>
      </c>
      <c r="J549" s="59" t="str">
        <f>IFERROR(VLOOKUP(Tabelle32[[#This Row],[Device ID]],BOM!$B$3:$BQ$35,13,FALSE),"")</f>
        <v>TC.U1.223 | MDC</v>
      </c>
      <c r="K549" s="59" t="str">
        <f>IFERROR(VLOOKUP(Tabelle32[[#This Row],[Device ID]],BOM!$B$3:$BQ$35,14,FALSE),"")</f>
        <v>Imagine Comunications</v>
      </c>
      <c r="L549" s="59" t="str">
        <f>IFERROR(VLOOKUP(Tabelle32[[#This Row],[Device ID]],BOM!$B$3:$BQ$35,16,FALSE),"")</f>
        <v>IngSRV-10</v>
      </c>
      <c r="M549" s="63" t="str">
        <f>IFERROR(VLOOKUP(Tabelle32[[#This Row],[Device ID]],BOM!$B$3:$BQ$35,17,FALSE),"")</f>
        <v>M3H</v>
      </c>
      <c r="N549" s="59" t="str">
        <f>IFERROR(VLOOKUP(Tabelle32[[#This Row],[Device ID]],BOM!$B$3:$BQ$35,18,FALSE),"")</f>
        <v>TC.03.225 | M3H</v>
      </c>
      <c r="O549" s="64"/>
      <c r="P549" s="64">
        <f>IFERROR(VLOOKUP(Tabelle32[[#This Row],[Device ID]],BOM!$B$3:$BO$50,20,FALSE),"")</f>
        <v>0</v>
      </c>
      <c r="Q549" s="64">
        <f>IFERROR(VLOOKUP(Tabelle32[[#This Row],[Device ID]],BOM!$B$3:$BO$50,21,FALSE),"")</f>
        <v>1</v>
      </c>
      <c r="R549" s="64">
        <f>IFERROR(VLOOKUP(Tabelle32[[#This Row],[Device ID]],BOM!$B$3:$BO$50,22,FALSE),"")</f>
        <v>0</v>
      </c>
      <c r="S549" s="64"/>
      <c r="T549" s="64"/>
      <c r="U549" s="59" t="str">
        <f>IFERROR(VLOOKUP(Tabelle32[[#This Row],[Device ID]],BOM!$B$3:$BQ$35,25,FALSE),"")</f>
        <v>Luis/Ivo</v>
      </c>
      <c r="V549" s="59" t="str">
        <f>IFERROR(VLOOKUP(Tabelle32[[#This Row],[Device ID]],BOM!$B$3:$BQ$35,26,FALSE),"")</f>
        <v>tpco-megw-vgw103.rta.st-net.media.int</v>
      </c>
      <c r="W549" s="59" t="str">
        <f>IFERROR(VLOOKUP(Tabelle32[[#This Row],[Device ID]],BOM!$B$3:$BQ$35,27,FALSE),"")</f>
        <v>10.120.236.50</v>
      </c>
      <c r="X549" s="59" t="str">
        <f>IFERROR(VLOOKUP(Tabelle32[[#This Row],[Device ID]],BOM!$B$3:$BQ$35,28,FALSE),"")</f>
        <v>AVCoreA</v>
      </c>
      <c r="Y549" s="59" t="str">
        <f>IFERROR(VLOOKUP(Tabelle32[[#This Row],[Device ID]],BOM!$B$3:$BQ$35,29,FALSE),"")</f>
        <v>5_36_1</v>
      </c>
      <c r="Z549" s="59" t="str">
        <f>IFERROR(VLOOKUP(Tabelle32[[#This Row],[Device ID]],BOM!$B$3:$BQ$35,30,FALSE),"")</f>
        <v>tpco-megw-vgw103.rtb.st-net.media.int</v>
      </c>
      <c r="AA549" s="59" t="str">
        <f>IFERROR(VLOOKUP(Tabelle32[[#This Row],[Device ID]],BOM!$B$3:$BQ$35,31,FALSE),"")</f>
        <v>10.120.236.54</v>
      </c>
      <c r="AB549" s="59" t="str">
        <f>IFERROR(VLOOKUP(Tabelle32[[#This Row],[Device ID]],BOM!$B$3:$BQ$35,32,FALSE),"")</f>
        <v>AVCoreB</v>
      </c>
      <c r="AC549" s="59" t="str">
        <f>IFERROR(VLOOKUP(Tabelle32[[#This Row],[Device ID]],BOM!$B$3:$BQ$35,33,FALSE),"")</f>
        <v>5_36_1</v>
      </c>
      <c r="AD549" s="59" t="str">
        <f>IFERROR(VLOOKUP(Tabelle32[[#This Row],[Device ID]],BOM!$B$3:$BQ$35,34,FALSE),"")</f>
        <v>tpco-megw-vgw103.st-net.media.int</v>
      </c>
      <c r="AE549" s="59" t="str">
        <f>IFERROR(VLOOKUP(Tabelle32[[#This Row],[Device ID]],BOM!$B$3:$BQ$35,35,FALSE),"")</f>
        <v>10.120.67.141</v>
      </c>
      <c r="AF549" s="59">
        <f>IFERROR(VLOOKUP(Tabelle32[[#This Row],[Device ID]],BOM!$B$3:$BQ$35,36,FALSE),"")</f>
        <v>0</v>
      </c>
      <c r="AG549" s="59">
        <f>IFERROR(VLOOKUP(Tabelle32[[#This Row],[Device ID]],BOM!$B$3:$BQ$35,37,FALSE),"")</f>
        <v>0</v>
      </c>
      <c r="AH549" s="59"/>
      <c r="AI549" s="59"/>
      <c r="AJ549" s="59"/>
      <c r="AK549" s="59"/>
      <c r="AL549" s="59" t="str">
        <f>IFERROR(VLOOKUP(Tabelle32[[#This Row],[Device ID]],BOM!$B$3:$BQ$35,42,FALSE),"")</f>
        <v>Imagine Communications SNP</v>
      </c>
      <c r="AM549" s="59" t="str">
        <f>IFERROR(VLOOKUP(Tabelle32[[#This Row],[Device ID]],BOM!$B$3:$BQ$35,43,FALSE),"")</f>
        <v>no</v>
      </c>
      <c r="AN549" s="59" t="str">
        <f>IFERROR(VLOOKUP(Tabelle32[[#This Row],[Device ID]],BOM!$B$3:$BQ$35,44,FALSE),"")</f>
        <v>yes</v>
      </c>
      <c r="AO549" s="59" t="str">
        <f>IFERROR(VLOOKUP(Tabelle32[[#This Row],[Device ID]],BOM!$B$3:$BQ$35,45,FALSE),"")</f>
        <v>no</v>
      </c>
      <c r="AP549" s="59" t="str">
        <f>IFERROR(CONCATENATE(Tabelle32[[#This Row],[Family
GFX-Unit]]," | ",Tabelle32[[#This Row],[Label 1
GFX-Unit]]," | ",Tabelle32[[#This Row],[Attached Device if Gateway]]),"")</f>
        <v>M3H InCh PGM | Ingest Ch39-ANC1 | IngSRV-10</v>
      </c>
      <c r="AQ549" s="59"/>
      <c r="AR549" s="92"/>
      <c r="AS549" s="92"/>
      <c r="AT549" s="92"/>
      <c r="AU549" s="92"/>
      <c r="AV549" s="92"/>
      <c r="AW549" s="92"/>
      <c r="AX549" s="92"/>
      <c r="AY549" s="92"/>
      <c r="AZ549" s="92"/>
      <c r="BA549" s="92"/>
      <c r="BB549" s="92"/>
      <c r="BC549" s="92"/>
      <c r="BD549" s="92"/>
      <c r="BE549" s="92"/>
      <c r="BF549" s="92"/>
      <c r="BG549" s="92" t="s">
        <v>97</v>
      </c>
      <c r="BH549" s="73" t="s">
        <v>199</v>
      </c>
      <c r="BI549" s="30" t="str">
        <f>IF(COUNTA(Tabelle32[[#This Row],[Type:Vid_1080i50]:[Type:Anc_Prot]])&gt;0,"x","")</f>
        <v>x</v>
      </c>
      <c r="BJ54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549" s="59"/>
      <c r="BL549" s="59"/>
      <c r="BM549" s="63"/>
      <c r="BN549" s="63"/>
      <c r="BO549" s="93" t="s">
        <v>2684</v>
      </c>
      <c r="BP549" s="93" t="s">
        <v>2711</v>
      </c>
      <c r="BQ549" s="75">
        <f>LEN(Tabelle32[[#This Row],[Label 1
GFX-Unit]])</f>
        <v>16</v>
      </c>
      <c r="BR549" s="63"/>
      <c r="BS549" s="63"/>
      <c r="BT549" s="59"/>
      <c r="BU549" s="59"/>
      <c r="BV549" s="59" t="s">
        <v>202</v>
      </c>
      <c r="BW549" s="59" t="s">
        <v>203</v>
      </c>
      <c r="BX549" s="59" t="s">
        <v>1039</v>
      </c>
      <c r="BY549" s="59">
        <v>27</v>
      </c>
    </row>
    <row r="550" spans="1:77" hidden="1" x14ac:dyDescent="0.2">
      <c r="A550" s="58" t="str">
        <f>CONCATENATE(Tabelle32[[#This Row],[Device ID]],".",Tabelle32[[#This Row],[Streamcounter]])</f>
        <v>404.27302</v>
      </c>
      <c r="B55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VGW-103_SDI27_ANCrec_0002</v>
      </c>
      <c r="C550" s="60"/>
      <c r="D550" s="61"/>
      <c r="E550" s="62"/>
      <c r="F550" s="59" t="str">
        <f>IFERROR(VLOOKUP(Tabelle32[[#This Row],[Device ID]],BOM!$B$3:$BQ$35,16,FALSE),"")</f>
        <v>IngSRV-10</v>
      </c>
      <c r="G550" s="63">
        <f>VLOOKUP(Tabelle32[[#This Row],[SDI Interface]],BOM!$A$4:$B$35,2,FALSE)</f>
        <v>404</v>
      </c>
      <c r="H550" s="59" t="str">
        <f>BOM!$C$4</f>
        <v>VGW-103</v>
      </c>
      <c r="I550" s="59" t="str">
        <f>IFERROR(VLOOKUP(Tabelle32[[#This Row],[Device ID]],BOM!$B$3:$BQ$35,12,FALSE),"")</f>
        <v>Videoserver</v>
      </c>
      <c r="J550" s="59" t="str">
        <f>IFERROR(VLOOKUP(Tabelle32[[#This Row],[Device ID]],BOM!$B$3:$BQ$35,13,FALSE),"")</f>
        <v>TC.U1.223 | MDC</v>
      </c>
      <c r="K550" s="59" t="str">
        <f>IFERROR(VLOOKUP(Tabelle32[[#This Row],[Device ID]],BOM!$B$3:$BQ$35,14,FALSE),"")</f>
        <v>Imagine Comunications</v>
      </c>
      <c r="L550" s="59" t="str">
        <f>IFERROR(VLOOKUP(Tabelle32[[#This Row],[Device ID]],BOM!$B$3:$BQ$35,16,FALSE),"")</f>
        <v>IngSRV-10</v>
      </c>
      <c r="M550" s="63" t="str">
        <f>IFERROR(VLOOKUP(Tabelle32[[#This Row],[Device ID]],BOM!$B$3:$BQ$35,17,FALSE),"")</f>
        <v>M3H</v>
      </c>
      <c r="N550" s="59" t="str">
        <f>IFERROR(VLOOKUP(Tabelle32[[#This Row],[Device ID]],BOM!$B$3:$BQ$35,18,FALSE),"")</f>
        <v>TC.03.225 | M3H</v>
      </c>
      <c r="O550" s="64"/>
      <c r="P550" s="64">
        <f>IFERROR(VLOOKUP(Tabelle32[[#This Row],[Device ID]],BOM!$B$3:$BO$50,20,FALSE),"")</f>
        <v>0</v>
      </c>
      <c r="Q550" s="64">
        <f>IFERROR(VLOOKUP(Tabelle32[[#This Row],[Device ID]],BOM!$B$3:$BO$50,21,FALSE),"")</f>
        <v>1</v>
      </c>
      <c r="R550" s="64">
        <f>IFERROR(VLOOKUP(Tabelle32[[#This Row],[Device ID]],BOM!$B$3:$BO$50,22,FALSE),"")</f>
        <v>0</v>
      </c>
      <c r="S550" s="64"/>
      <c r="T550" s="64"/>
      <c r="U550" s="59" t="str">
        <f>IFERROR(VLOOKUP(Tabelle32[[#This Row],[Device ID]],BOM!$B$3:$BQ$35,25,FALSE),"")</f>
        <v>Luis/Ivo</v>
      </c>
      <c r="V550" s="59" t="str">
        <f>IFERROR(VLOOKUP(Tabelle32[[#This Row],[Device ID]],BOM!$B$3:$BQ$35,26,FALSE),"")</f>
        <v>tpco-megw-vgw103.rta.st-net.media.int</v>
      </c>
      <c r="W550" s="59" t="str">
        <f>IFERROR(VLOOKUP(Tabelle32[[#This Row],[Device ID]],BOM!$B$3:$BQ$35,27,FALSE),"")</f>
        <v>10.120.236.50</v>
      </c>
      <c r="X550" s="59" t="str">
        <f>IFERROR(VLOOKUP(Tabelle32[[#This Row],[Device ID]],BOM!$B$3:$BQ$35,28,FALSE),"")</f>
        <v>AVCoreA</v>
      </c>
      <c r="Y550" s="59" t="str">
        <f>IFERROR(VLOOKUP(Tabelle32[[#This Row],[Device ID]],BOM!$B$3:$BQ$35,29,FALSE),"")</f>
        <v>5_36_1</v>
      </c>
      <c r="Z550" s="59" t="str">
        <f>IFERROR(VLOOKUP(Tabelle32[[#This Row],[Device ID]],BOM!$B$3:$BQ$35,30,FALSE),"")</f>
        <v>tpco-megw-vgw103.rtb.st-net.media.int</v>
      </c>
      <c r="AA550" s="59" t="str">
        <f>IFERROR(VLOOKUP(Tabelle32[[#This Row],[Device ID]],BOM!$B$3:$BQ$35,31,FALSE),"")</f>
        <v>10.120.236.54</v>
      </c>
      <c r="AB550" s="59" t="str">
        <f>IFERROR(VLOOKUP(Tabelle32[[#This Row],[Device ID]],BOM!$B$3:$BQ$35,32,FALSE),"")</f>
        <v>AVCoreB</v>
      </c>
      <c r="AC550" s="59" t="str">
        <f>IFERROR(VLOOKUP(Tabelle32[[#This Row],[Device ID]],BOM!$B$3:$BQ$35,33,FALSE),"")</f>
        <v>5_36_1</v>
      </c>
      <c r="AD550" s="59" t="str">
        <f>IFERROR(VLOOKUP(Tabelle32[[#This Row],[Device ID]],BOM!$B$3:$BQ$35,34,FALSE),"")</f>
        <v>tpco-megw-vgw103.st-net.media.int</v>
      </c>
      <c r="AE550" s="59" t="str">
        <f>IFERROR(VLOOKUP(Tabelle32[[#This Row],[Device ID]],BOM!$B$3:$BQ$35,35,FALSE),"")</f>
        <v>10.120.67.141</v>
      </c>
      <c r="AF550" s="59">
        <f>IFERROR(VLOOKUP(Tabelle32[[#This Row],[Device ID]],BOM!$B$3:$BQ$35,36,FALSE),"")</f>
        <v>0</v>
      </c>
      <c r="AG550" s="59">
        <f>IFERROR(VLOOKUP(Tabelle32[[#This Row],[Device ID]],BOM!$B$3:$BQ$35,37,FALSE),"")</f>
        <v>0</v>
      </c>
      <c r="AH550" s="59"/>
      <c r="AI550" s="59"/>
      <c r="AJ550" s="59"/>
      <c r="AK550" s="59"/>
      <c r="AL550" s="59" t="str">
        <f>IFERROR(VLOOKUP(Tabelle32[[#This Row],[Device ID]],BOM!$B$3:$BQ$35,42,FALSE),"")</f>
        <v>Imagine Communications SNP</v>
      </c>
      <c r="AM550" s="59" t="str">
        <f>IFERROR(VLOOKUP(Tabelle32[[#This Row],[Device ID]],BOM!$B$3:$BQ$35,43,FALSE),"")</f>
        <v>no</v>
      </c>
      <c r="AN550" s="59" t="str">
        <f>IFERROR(VLOOKUP(Tabelle32[[#This Row],[Device ID]],BOM!$B$3:$BQ$35,44,FALSE),"")</f>
        <v>yes</v>
      </c>
      <c r="AO550" s="59" t="str">
        <f>IFERROR(VLOOKUP(Tabelle32[[#This Row],[Device ID]],BOM!$B$3:$BQ$35,45,FALSE),"")</f>
        <v>no</v>
      </c>
      <c r="AP550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50" s="59"/>
      <c r="AR550" s="90"/>
      <c r="AS550" s="90"/>
      <c r="AT550" s="90"/>
      <c r="AU550" s="90"/>
      <c r="AV550" s="90"/>
      <c r="AW550" s="90"/>
      <c r="AX550" s="90"/>
      <c r="AY550" s="90"/>
      <c r="AZ550" s="90"/>
      <c r="BA550" s="90"/>
      <c r="BB550" s="90"/>
      <c r="BC550" s="90"/>
      <c r="BD550" s="90"/>
      <c r="BE550" s="90"/>
      <c r="BF550" s="90"/>
      <c r="BG550" s="90"/>
      <c r="BH550" s="73" t="s">
        <v>199</v>
      </c>
      <c r="BI550" s="30" t="str">
        <f>IF(COUNTA(Tabelle32[[#This Row],[Type:Vid_1080i50]:[Type:Anc_Prot]])&gt;0,"x","")</f>
        <v/>
      </c>
      <c r="BJ55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50" s="59"/>
      <c r="BL550" s="59"/>
      <c r="BM550" s="63"/>
      <c r="BN550" s="63"/>
      <c r="BO550" s="96"/>
      <c r="BP550" s="96"/>
      <c r="BQ550" s="75">
        <f>LEN(Tabelle32[[#This Row],[Label 1
GFX-Unit]])</f>
        <v>0</v>
      </c>
      <c r="BR550" s="63"/>
      <c r="BS550" s="63"/>
      <c r="BT550" s="59"/>
      <c r="BU550" s="59"/>
      <c r="BV550" s="59" t="s">
        <v>205</v>
      </c>
      <c r="BW550" s="59" t="s">
        <v>206</v>
      </c>
      <c r="BX550" s="59" t="s">
        <v>1040</v>
      </c>
      <c r="BY550" s="59">
        <v>27</v>
      </c>
    </row>
    <row r="551" spans="1:77" hidden="1" x14ac:dyDescent="0.2">
      <c r="A551" s="58" t="str">
        <f>CONCATENATE(Tabelle32[[#This Row],[Device ID]],".",Tabelle32[[#This Row],[Streamcounter]])</f>
        <v>404.27303</v>
      </c>
      <c r="B55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VGW-103_SDI27_ANCrec_0003</v>
      </c>
      <c r="C551" s="60"/>
      <c r="D551" s="61"/>
      <c r="E551" s="62"/>
      <c r="F551" s="59" t="str">
        <f>IFERROR(VLOOKUP(Tabelle32[[#This Row],[Device ID]],BOM!$B$3:$BQ$35,16,FALSE),"")</f>
        <v>IngSRV-10</v>
      </c>
      <c r="G551" s="63">
        <f>VLOOKUP(Tabelle32[[#This Row],[SDI Interface]],BOM!$A$4:$B$35,2,FALSE)</f>
        <v>404</v>
      </c>
      <c r="H551" s="59" t="str">
        <f>BOM!$C$4</f>
        <v>VGW-103</v>
      </c>
      <c r="I551" s="59" t="str">
        <f>IFERROR(VLOOKUP(Tabelle32[[#This Row],[Device ID]],BOM!$B$3:$BQ$35,12,FALSE),"")</f>
        <v>Videoserver</v>
      </c>
      <c r="J551" s="59" t="str">
        <f>IFERROR(VLOOKUP(Tabelle32[[#This Row],[Device ID]],BOM!$B$3:$BQ$35,13,FALSE),"")</f>
        <v>TC.U1.223 | MDC</v>
      </c>
      <c r="K551" s="59" t="str">
        <f>IFERROR(VLOOKUP(Tabelle32[[#This Row],[Device ID]],BOM!$B$3:$BQ$35,14,FALSE),"")</f>
        <v>Imagine Comunications</v>
      </c>
      <c r="L551" s="59" t="str">
        <f>IFERROR(VLOOKUP(Tabelle32[[#This Row],[Device ID]],BOM!$B$3:$BQ$35,16,FALSE),"")</f>
        <v>IngSRV-10</v>
      </c>
      <c r="M551" s="63" t="str">
        <f>IFERROR(VLOOKUP(Tabelle32[[#This Row],[Device ID]],BOM!$B$3:$BQ$35,17,FALSE),"")</f>
        <v>M3H</v>
      </c>
      <c r="N551" s="59" t="str">
        <f>IFERROR(VLOOKUP(Tabelle32[[#This Row],[Device ID]],BOM!$B$3:$BQ$35,18,FALSE),"")</f>
        <v>TC.03.225 | M3H</v>
      </c>
      <c r="O551" s="64"/>
      <c r="P551" s="64">
        <f>IFERROR(VLOOKUP(Tabelle32[[#This Row],[Device ID]],BOM!$B$3:$BO$50,20,FALSE),"")</f>
        <v>0</v>
      </c>
      <c r="Q551" s="64">
        <f>IFERROR(VLOOKUP(Tabelle32[[#This Row],[Device ID]],BOM!$B$3:$BO$50,21,FALSE),"")</f>
        <v>1</v>
      </c>
      <c r="R551" s="64">
        <f>IFERROR(VLOOKUP(Tabelle32[[#This Row],[Device ID]],BOM!$B$3:$BO$50,22,FALSE),"")</f>
        <v>0</v>
      </c>
      <c r="S551" s="64"/>
      <c r="T551" s="64"/>
      <c r="U551" s="59" t="str">
        <f>IFERROR(VLOOKUP(Tabelle32[[#This Row],[Device ID]],BOM!$B$3:$BQ$35,25,FALSE),"")</f>
        <v>Luis/Ivo</v>
      </c>
      <c r="V551" s="59" t="str">
        <f>IFERROR(VLOOKUP(Tabelle32[[#This Row],[Device ID]],BOM!$B$3:$BQ$35,26,FALSE),"")</f>
        <v>tpco-megw-vgw103.rta.st-net.media.int</v>
      </c>
      <c r="W551" s="59" t="str">
        <f>IFERROR(VLOOKUP(Tabelle32[[#This Row],[Device ID]],BOM!$B$3:$BQ$35,27,FALSE),"")</f>
        <v>10.120.236.50</v>
      </c>
      <c r="X551" s="59" t="str">
        <f>IFERROR(VLOOKUP(Tabelle32[[#This Row],[Device ID]],BOM!$B$3:$BQ$35,28,FALSE),"")</f>
        <v>AVCoreA</v>
      </c>
      <c r="Y551" s="59" t="str">
        <f>IFERROR(VLOOKUP(Tabelle32[[#This Row],[Device ID]],BOM!$B$3:$BQ$35,29,FALSE),"")</f>
        <v>5_36_1</v>
      </c>
      <c r="Z551" s="59" t="str">
        <f>IFERROR(VLOOKUP(Tabelle32[[#This Row],[Device ID]],BOM!$B$3:$BQ$35,30,FALSE),"")</f>
        <v>tpco-megw-vgw103.rtb.st-net.media.int</v>
      </c>
      <c r="AA551" s="59" t="str">
        <f>IFERROR(VLOOKUP(Tabelle32[[#This Row],[Device ID]],BOM!$B$3:$BQ$35,31,FALSE),"")</f>
        <v>10.120.236.54</v>
      </c>
      <c r="AB551" s="59" t="str">
        <f>IFERROR(VLOOKUP(Tabelle32[[#This Row],[Device ID]],BOM!$B$3:$BQ$35,32,FALSE),"")</f>
        <v>AVCoreB</v>
      </c>
      <c r="AC551" s="59" t="str">
        <f>IFERROR(VLOOKUP(Tabelle32[[#This Row],[Device ID]],BOM!$B$3:$BQ$35,33,FALSE),"")</f>
        <v>5_36_1</v>
      </c>
      <c r="AD551" s="59" t="str">
        <f>IFERROR(VLOOKUP(Tabelle32[[#This Row],[Device ID]],BOM!$B$3:$BQ$35,34,FALSE),"")</f>
        <v>tpco-megw-vgw103.st-net.media.int</v>
      </c>
      <c r="AE551" s="59" t="str">
        <f>IFERROR(VLOOKUP(Tabelle32[[#This Row],[Device ID]],BOM!$B$3:$BQ$35,35,FALSE),"")</f>
        <v>10.120.67.141</v>
      </c>
      <c r="AF551" s="59">
        <f>IFERROR(VLOOKUP(Tabelle32[[#This Row],[Device ID]],BOM!$B$3:$BQ$35,36,FALSE),"")</f>
        <v>0</v>
      </c>
      <c r="AG551" s="59">
        <f>IFERROR(VLOOKUP(Tabelle32[[#This Row],[Device ID]],BOM!$B$3:$BQ$35,37,FALSE),"")</f>
        <v>0</v>
      </c>
      <c r="AH551" s="59"/>
      <c r="AI551" s="59"/>
      <c r="AJ551" s="59"/>
      <c r="AK551" s="59"/>
      <c r="AL551" s="59" t="str">
        <f>IFERROR(VLOOKUP(Tabelle32[[#This Row],[Device ID]],BOM!$B$3:$BQ$35,42,FALSE),"")</f>
        <v>Imagine Communications SNP</v>
      </c>
      <c r="AM551" s="59" t="str">
        <f>IFERROR(VLOOKUP(Tabelle32[[#This Row],[Device ID]],BOM!$B$3:$BQ$35,43,FALSE),"")</f>
        <v>no</v>
      </c>
      <c r="AN551" s="59" t="str">
        <f>IFERROR(VLOOKUP(Tabelle32[[#This Row],[Device ID]],BOM!$B$3:$BQ$35,44,FALSE),"")</f>
        <v>yes</v>
      </c>
      <c r="AO551" s="59" t="str">
        <f>IFERROR(VLOOKUP(Tabelle32[[#This Row],[Device ID]],BOM!$B$3:$BQ$35,45,FALSE),"")</f>
        <v>no</v>
      </c>
      <c r="AP551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51" s="59"/>
      <c r="AR551" s="90"/>
      <c r="AS551" s="90"/>
      <c r="AT551" s="90"/>
      <c r="AU551" s="90"/>
      <c r="AV551" s="90"/>
      <c r="AW551" s="90"/>
      <c r="AX551" s="90"/>
      <c r="AY551" s="90"/>
      <c r="AZ551" s="90"/>
      <c r="BA551" s="90"/>
      <c r="BB551" s="90"/>
      <c r="BC551" s="90"/>
      <c r="BD551" s="90"/>
      <c r="BE551" s="90"/>
      <c r="BF551" s="90"/>
      <c r="BG551" s="90"/>
      <c r="BH551" s="73" t="s">
        <v>199</v>
      </c>
      <c r="BI551" s="30" t="str">
        <f>IF(COUNTA(Tabelle32[[#This Row],[Type:Vid_1080i50]:[Type:Anc_Prot]])&gt;0,"x","")</f>
        <v/>
      </c>
      <c r="BJ55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51" s="59"/>
      <c r="BL551" s="59"/>
      <c r="BM551" s="63"/>
      <c r="BN551" s="63"/>
      <c r="BO551" s="96"/>
      <c r="BP551" s="96"/>
      <c r="BQ551" s="75">
        <f>LEN(Tabelle32[[#This Row],[Label 1
GFX-Unit]])</f>
        <v>0</v>
      </c>
      <c r="BR551" s="63"/>
      <c r="BS551" s="63"/>
      <c r="BT551" s="59"/>
      <c r="BU551" s="59"/>
      <c r="BV551" s="59" t="s">
        <v>208</v>
      </c>
      <c r="BW551" s="59" t="s">
        <v>209</v>
      </c>
      <c r="BX551" s="59" t="s">
        <v>1041</v>
      </c>
      <c r="BY551" s="59">
        <v>27</v>
      </c>
    </row>
    <row r="552" spans="1:77" hidden="1" x14ac:dyDescent="0.2">
      <c r="A552" s="58" t="str">
        <f>CONCATENATE(Tabelle32[[#This Row],[Device ID]],".",Tabelle32[[#This Row],[Streamcounter]])</f>
        <v>404.27304</v>
      </c>
      <c r="B55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VGW-103_SDI27_ANCrec_0004</v>
      </c>
      <c r="C552" s="60"/>
      <c r="D552" s="61"/>
      <c r="E552" s="62"/>
      <c r="F552" s="59" t="str">
        <f>IFERROR(VLOOKUP(Tabelle32[[#This Row],[Device ID]],BOM!$B$3:$BQ$35,16,FALSE),"")</f>
        <v>IngSRV-10</v>
      </c>
      <c r="G552" s="63">
        <f>VLOOKUP(Tabelle32[[#This Row],[SDI Interface]],BOM!$A$4:$B$35,2,FALSE)</f>
        <v>404</v>
      </c>
      <c r="H552" s="59" t="str">
        <f>BOM!$C$4</f>
        <v>VGW-103</v>
      </c>
      <c r="I552" s="59" t="str">
        <f>IFERROR(VLOOKUP(Tabelle32[[#This Row],[Device ID]],BOM!$B$3:$BQ$35,12,FALSE),"")</f>
        <v>Videoserver</v>
      </c>
      <c r="J552" s="59" t="str">
        <f>IFERROR(VLOOKUP(Tabelle32[[#This Row],[Device ID]],BOM!$B$3:$BQ$35,13,FALSE),"")</f>
        <v>TC.U1.223 | MDC</v>
      </c>
      <c r="K552" s="59" t="str">
        <f>IFERROR(VLOOKUP(Tabelle32[[#This Row],[Device ID]],BOM!$B$3:$BQ$35,14,FALSE),"")</f>
        <v>Imagine Comunications</v>
      </c>
      <c r="L552" s="59" t="str">
        <f>IFERROR(VLOOKUP(Tabelle32[[#This Row],[Device ID]],BOM!$B$3:$BQ$35,16,FALSE),"")</f>
        <v>IngSRV-10</v>
      </c>
      <c r="M552" s="63" t="str">
        <f>IFERROR(VLOOKUP(Tabelle32[[#This Row],[Device ID]],BOM!$B$3:$BQ$35,17,FALSE),"")</f>
        <v>M3H</v>
      </c>
      <c r="N552" s="59" t="str">
        <f>IFERROR(VLOOKUP(Tabelle32[[#This Row],[Device ID]],BOM!$B$3:$BQ$35,18,FALSE),"")</f>
        <v>TC.03.225 | M3H</v>
      </c>
      <c r="O552" s="64"/>
      <c r="P552" s="64">
        <f>IFERROR(VLOOKUP(Tabelle32[[#This Row],[Device ID]],BOM!$B$3:$BO$50,20,FALSE),"")</f>
        <v>0</v>
      </c>
      <c r="Q552" s="64">
        <f>IFERROR(VLOOKUP(Tabelle32[[#This Row],[Device ID]],BOM!$B$3:$BO$50,21,FALSE),"")</f>
        <v>1</v>
      </c>
      <c r="R552" s="64">
        <f>IFERROR(VLOOKUP(Tabelle32[[#This Row],[Device ID]],BOM!$B$3:$BO$50,22,FALSE),"")</f>
        <v>0</v>
      </c>
      <c r="S552" s="64"/>
      <c r="T552" s="64"/>
      <c r="U552" s="59" t="str">
        <f>IFERROR(VLOOKUP(Tabelle32[[#This Row],[Device ID]],BOM!$B$3:$BQ$35,25,FALSE),"")</f>
        <v>Luis/Ivo</v>
      </c>
      <c r="V552" s="59" t="str">
        <f>IFERROR(VLOOKUP(Tabelle32[[#This Row],[Device ID]],BOM!$B$3:$BQ$35,26,FALSE),"")</f>
        <v>tpco-megw-vgw103.rta.st-net.media.int</v>
      </c>
      <c r="W552" s="59" t="str">
        <f>IFERROR(VLOOKUP(Tabelle32[[#This Row],[Device ID]],BOM!$B$3:$BQ$35,27,FALSE),"")</f>
        <v>10.120.236.50</v>
      </c>
      <c r="X552" s="59" t="str">
        <f>IFERROR(VLOOKUP(Tabelle32[[#This Row],[Device ID]],BOM!$B$3:$BQ$35,28,FALSE),"")</f>
        <v>AVCoreA</v>
      </c>
      <c r="Y552" s="59" t="str">
        <f>IFERROR(VLOOKUP(Tabelle32[[#This Row],[Device ID]],BOM!$B$3:$BQ$35,29,FALSE),"")</f>
        <v>5_36_1</v>
      </c>
      <c r="Z552" s="59" t="str">
        <f>IFERROR(VLOOKUP(Tabelle32[[#This Row],[Device ID]],BOM!$B$3:$BQ$35,30,FALSE),"")</f>
        <v>tpco-megw-vgw103.rtb.st-net.media.int</v>
      </c>
      <c r="AA552" s="59" t="str">
        <f>IFERROR(VLOOKUP(Tabelle32[[#This Row],[Device ID]],BOM!$B$3:$BQ$35,31,FALSE),"")</f>
        <v>10.120.236.54</v>
      </c>
      <c r="AB552" s="59" t="str">
        <f>IFERROR(VLOOKUP(Tabelle32[[#This Row],[Device ID]],BOM!$B$3:$BQ$35,32,FALSE),"")</f>
        <v>AVCoreB</v>
      </c>
      <c r="AC552" s="59" t="str">
        <f>IFERROR(VLOOKUP(Tabelle32[[#This Row],[Device ID]],BOM!$B$3:$BQ$35,33,FALSE),"")</f>
        <v>5_36_1</v>
      </c>
      <c r="AD552" s="59" t="str">
        <f>IFERROR(VLOOKUP(Tabelle32[[#This Row],[Device ID]],BOM!$B$3:$BQ$35,34,FALSE),"")</f>
        <v>tpco-megw-vgw103.st-net.media.int</v>
      </c>
      <c r="AE552" s="59" t="str">
        <f>IFERROR(VLOOKUP(Tabelle32[[#This Row],[Device ID]],BOM!$B$3:$BQ$35,35,FALSE),"")</f>
        <v>10.120.67.141</v>
      </c>
      <c r="AF552" s="59">
        <f>IFERROR(VLOOKUP(Tabelle32[[#This Row],[Device ID]],BOM!$B$3:$BQ$35,36,FALSE),"")</f>
        <v>0</v>
      </c>
      <c r="AG552" s="59">
        <f>IFERROR(VLOOKUP(Tabelle32[[#This Row],[Device ID]],BOM!$B$3:$BQ$35,37,FALSE),"")</f>
        <v>0</v>
      </c>
      <c r="AH552" s="59"/>
      <c r="AI552" s="59"/>
      <c r="AJ552" s="59"/>
      <c r="AK552" s="59"/>
      <c r="AL552" s="59" t="str">
        <f>IFERROR(VLOOKUP(Tabelle32[[#This Row],[Device ID]],BOM!$B$3:$BQ$35,42,FALSE),"")</f>
        <v>Imagine Communications SNP</v>
      </c>
      <c r="AM552" s="59" t="str">
        <f>IFERROR(VLOOKUP(Tabelle32[[#This Row],[Device ID]],BOM!$B$3:$BQ$35,43,FALSE),"")</f>
        <v>no</v>
      </c>
      <c r="AN552" s="59" t="str">
        <f>IFERROR(VLOOKUP(Tabelle32[[#This Row],[Device ID]],BOM!$B$3:$BQ$35,44,FALSE),"")</f>
        <v>yes</v>
      </c>
      <c r="AO552" s="59" t="str">
        <f>IFERROR(VLOOKUP(Tabelle32[[#This Row],[Device ID]],BOM!$B$3:$BQ$35,45,FALSE),"")</f>
        <v>no</v>
      </c>
      <c r="AP552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52" s="59"/>
      <c r="AR552" s="90"/>
      <c r="AS552" s="90"/>
      <c r="AT552" s="90"/>
      <c r="AU552" s="90"/>
      <c r="AV552" s="90"/>
      <c r="AW552" s="90"/>
      <c r="AX552" s="90"/>
      <c r="AY552" s="90"/>
      <c r="AZ552" s="90"/>
      <c r="BA552" s="90"/>
      <c r="BB552" s="90"/>
      <c r="BC552" s="90"/>
      <c r="BD552" s="90"/>
      <c r="BE552" s="90"/>
      <c r="BF552" s="90"/>
      <c r="BG552" s="90"/>
      <c r="BH552" s="73" t="s">
        <v>199</v>
      </c>
      <c r="BI552" s="30" t="str">
        <f>IF(COUNTA(Tabelle32[[#This Row],[Type:Vid_1080i50]:[Type:Anc_Prot]])&gt;0,"x","")</f>
        <v/>
      </c>
      <c r="BJ55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52" s="59"/>
      <c r="BL552" s="59"/>
      <c r="BM552" s="63"/>
      <c r="BN552" s="63"/>
      <c r="BO552" s="96"/>
      <c r="BP552" s="96"/>
      <c r="BQ552" s="75">
        <f>LEN(Tabelle32[[#This Row],[Label 1
GFX-Unit]])</f>
        <v>0</v>
      </c>
      <c r="BR552" s="63"/>
      <c r="BS552" s="63"/>
      <c r="BT552" s="59"/>
      <c r="BU552" s="59"/>
      <c r="BV552" s="59" t="s">
        <v>211</v>
      </c>
      <c r="BW552" s="59" t="s">
        <v>212</v>
      </c>
      <c r="BX552" s="59" t="s">
        <v>1042</v>
      </c>
      <c r="BY552" s="59">
        <v>27</v>
      </c>
    </row>
    <row r="553" spans="1:77" x14ac:dyDescent="0.2">
      <c r="A553" s="58" t="str">
        <f>CONCATENATE(Tabelle32[[#This Row],[Device ID]],".",Tabelle32[[#This Row],[Streamcounter]])</f>
        <v>404.27201</v>
      </c>
      <c r="B55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VGW-103_SDI27_AUDrec_0001</v>
      </c>
      <c r="C553" s="60"/>
      <c r="D553" s="61"/>
      <c r="E553" s="62"/>
      <c r="F553" s="59" t="str">
        <f>IFERROR(VLOOKUP(Tabelle32[[#This Row],[Device ID]],BOM!$B$3:$BQ$35,16,FALSE),"")</f>
        <v>IngSRV-10</v>
      </c>
      <c r="G553" s="63">
        <f>VLOOKUP(Tabelle32[[#This Row],[SDI Interface]],BOM!$A$4:$B$35,2,FALSE)</f>
        <v>404</v>
      </c>
      <c r="H553" s="59" t="str">
        <f>BOM!$C$4</f>
        <v>VGW-103</v>
      </c>
      <c r="I553" s="59" t="str">
        <f>IFERROR(VLOOKUP(Tabelle32[[#This Row],[Device ID]],BOM!$B$3:$BQ$35,12,FALSE),"")</f>
        <v>Videoserver</v>
      </c>
      <c r="J553" s="59" t="str">
        <f>IFERROR(VLOOKUP(Tabelle32[[#This Row],[Device ID]],BOM!$B$3:$BQ$35,13,FALSE),"")</f>
        <v>TC.U1.223 | MDC</v>
      </c>
      <c r="K553" s="59" t="str">
        <f>IFERROR(VLOOKUP(Tabelle32[[#This Row],[Device ID]],BOM!$B$3:$BQ$35,14,FALSE),"")</f>
        <v>Imagine Comunications</v>
      </c>
      <c r="L553" s="59" t="str">
        <f>IFERROR(VLOOKUP(Tabelle32[[#This Row],[Device ID]],BOM!$B$3:$BQ$35,16,FALSE),"")</f>
        <v>IngSRV-10</v>
      </c>
      <c r="M553" s="63" t="str">
        <f>IFERROR(VLOOKUP(Tabelle32[[#This Row],[Device ID]],BOM!$B$3:$BQ$35,17,FALSE),"")</f>
        <v>M3H</v>
      </c>
      <c r="N553" s="59" t="str">
        <f>IFERROR(VLOOKUP(Tabelle32[[#This Row],[Device ID]],BOM!$B$3:$BQ$35,18,FALSE),"")</f>
        <v>TC.03.225 | M3H</v>
      </c>
      <c r="O553" s="64"/>
      <c r="P553" s="64">
        <f>IFERROR(VLOOKUP(Tabelle32[[#This Row],[Device ID]],BOM!$B$3:$BO$50,20,FALSE),"")</f>
        <v>0</v>
      </c>
      <c r="Q553" s="64">
        <f>IFERROR(VLOOKUP(Tabelle32[[#This Row],[Device ID]],BOM!$B$3:$BO$50,21,FALSE),"")</f>
        <v>1</v>
      </c>
      <c r="R553" s="64">
        <f>IFERROR(VLOOKUP(Tabelle32[[#This Row],[Device ID]],BOM!$B$3:$BO$50,22,FALSE),"")</f>
        <v>0</v>
      </c>
      <c r="S553" s="64"/>
      <c r="T553" s="64"/>
      <c r="U553" s="59" t="str">
        <f>IFERROR(VLOOKUP(Tabelle32[[#This Row],[Device ID]],BOM!$B$3:$BQ$35,25,FALSE),"")</f>
        <v>Luis/Ivo</v>
      </c>
      <c r="V553" s="59" t="str">
        <f>IFERROR(VLOOKUP(Tabelle32[[#This Row],[Device ID]],BOM!$B$3:$BQ$35,26,FALSE),"")</f>
        <v>tpco-megw-vgw103.rta.st-net.media.int</v>
      </c>
      <c r="W553" s="59" t="str">
        <f>IFERROR(VLOOKUP(Tabelle32[[#This Row],[Device ID]],BOM!$B$3:$BQ$35,27,FALSE),"")</f>
        <v>10.120.236.50</v>
      </c>
      <c r="X553" s="59" t="str">
        <f>IFERROR(VLOOKUP(Tabelle32[[#This Row],[Device ID]],BOM!$B$3:$BQ$35,28,FALSE),"")</f>
        <v>AVCoreA</v>
      </c>
      <c r="Y553" s="59" t="str">
        <f>IFERROR(VLOOKUP(Tabelle32[[#This Row],[Device ID]],BOM!$B$3:$BQ$35,29,FALSE),"")</f>
        <v>5_36_1</v>
      </c>
      <c r="Z553" s="59" t="str">
        <f>IFERROR(VLOOKUP(Tabelle32[[#This Row],[Device ID]],BOM!$B$3:$BQ$35,30,FALSE),"")</f>
        <v>tpco-megw-vgw103.rtb.st-net.media.int</v>
      </c>
      <c r="AA553" s="59" t="str">
        <f>IFERROR(VLOOKUP(Tabelle32[[#This Row],[Device ID]],BOM!$B$3:$BQ$35,31,FALSE),"")</f>
        <v>10.120.236.54</v>
      </c>
      <c r="AB553" s="59" t="str">
        <f>IFERROR(VLOOKUP(Tabelle32[[#This Row],[Device ID]],BOM!$B$3:$BQ$35,32,FALSE),"")</f>
        <v>AVCoreB</v>
      </c>
      <c r="AC553" s="59" t="str">
        <f>IFERROR(VLOOKUP(Tabelle32[[#This Row],[Device ID]],BOM!$B$3:$BQ$35,33,FALSE),"")</f>
        <v>5_36_1</v>
      </c>
      <c r="AD553" s="59" t="str">
        <f>IFERROR(VLOOKUP(Tabelle32[[#This Row],[Device ID]],BOM!$B$3:$BQ$35,34,FALSE),"")</f>
        <v>tpco-megw-vgw103.st-net.media.int</v>
      </c>
      <c r="AE553" s="59" t="str">
        <f>IFERROR(VLOOKUP(Tabelle32[[#This Row],[Device ID]],BOM!$B$3:$BQ$35,35,FALSE),"")</f>
        <v>10.120.67.141</v>
      </c>
      <c r="AF553" s="59">
        <f>IFERROR(VLOOKUP(Tabelle32[[#This Row],[Device ID]],BOM!$B$3:$BQ$35,36,FALSE),"")</f>
        <v>0</v>
      </c>
      <c r="AG553" s="59">
        <f>IFERROR(VLOOKUP(Tabelle32[[#This Row],[Device ID]],BOM!$B$3:$BQ$35,37,FALSE),"")</f>
        <v>0</v>
      </c>
      <c r="AH553" s="59"/>
      <c r="AI553" s="59"/>
      <c r="AJ553" s="59"/>
      <c r="AK553" s="59"/>
      <c r="AL553" s="59" t="str">
        <f>IFERROR(VLOOKUP(Tabelle32[[#This Row],[Device ID]],BOM!$B$3:$BQ$35,42,FALSE),"")</f>
        <v>Imagine Communications SNP</v>
      </c>
      <c r="AM553" s="59" t="str">
        <f>IFERROR(VLOOKUP(Tabelle32[[#This Row],[Device ID]],BOM!$B$3:$BQ$35,43,FALSE),"")</f>
        <v>no</v>
      </c>
      <c r="AN553" s="59" t="str">
        <f>IFERROR(VLOOKUP(Tabelle32[[#This Row],[Device ID]],BOM!$B$3:$BQ$35,44,FALSE),"")</f>
        <v>yes</v>
      </c>
      <c r="AO553" s="59" t="str">
        <f>IFERROR(VLOOKUP(Tabelle32[[#This Row],[Device ID]],BOM!$B$3:$BQ$35,45,FALSE),"")</f>
        <v>no</v>
      </c>
      <c r="AP553" s="59" t="str">
        <f>IFERROR(CONCATENATE(Tabelle32[[#This Row],[Family
GFX-Unit]]," | ",Tabelle32[[#This Row],[Label 1
GFX-Unit]]," | ",Tabelle32[[#This Row],[Attached Device if Gateway]]),"")</f>
        <v>M3H InCh PGM | Ingest Ch39-01 | IngSRV-10</v>
      </c>
      <c r="AQ553" s="59"/>
      <c r="AR553" s="92"/>
      <c r="AS553" s="92"/>
      <c r="AT553" s="92"/>
      <c r="AU553" s="92"/>
      <c r="AV553" s="92"/>
      <c r="AW553" s="92" t="s">
        <v>97</v>
      </c>
      <c r="AX553" s="92"/>
      <c r="AY553" s="92"/>
      <c r="AZ553" s="92" t="s">
        <v>97</v>
      </c>
      <c r="BA553" s="92"/>
      <c r="BB553" s="92" t="s">
        <v>97</v>
      </c>
      <c r="BC553" s="92" t="s">
        <v>97</v>
      </c>
      <c r="BD553" s="92"/>
      <c r="BE553" s="92"/>
      <c r="BF553" s="92"/>
      <c r="BG553" s="92"/>
      <c r="BH553" s="73" t="s">
        <v>199</v>
      </c>
      <c r="BI553" s="30" t="str">
        <f>IF(COUNTA(Tabelle32[[#This Row],[Type:Vid_1080i50]:[Type:Anc_Prot]])&gt;0,"x","")</f>
        <v>x</v>
      </c>
      <c r="BJ55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53" s="59"/>
      <c r="BL553" s="59"/>
      <c r="BM553" s="63"/>
      <c r="BN553" s="63"/>
      <c r="BO553" s="97" t="s">
        <v>2684</v>
      </c>
      <c r="BP553" s="97" t="s">
        <v>2712</v>
      </c>
      <c r="BQ553" s="75">
        <f>LEN(Tabelle32[[#This Row],[Label 1
GFX-Unit]])</f>
        <v>14</v>
      </c>
      <c r="BR553" s="63"/>
      <c r="BS553" s="63"/>
      <c r="BT553" s="59"/>
      <c r="BU553" s="59"/>
      <c r="BV553" s="59" t="s">
        <v>214</v>
      </c>
      <c r="BW553" s="59" t="s">
        <v>215</v>
      </c>
      <c r="BX553" s="59" t="s">
        <v>1043</v>
      </c>
      <c r="BY553" s="59">
        <v>27</v>
      </c>
    </row>
    <row r="554" spans="1:77" x14ac:dyDescent="0.2">
      <c r="A554" s="58" t="str">
        <f>CONCATENATE(Tabelle32[[#This Row],[Device ID]],".",Tabelle32[[#This Row],[Streamcounter]])</f>
        <v>404.27202</v>
      </c>
      <c r="B55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VGW-103_SDI27_AUDrec_0002</v>
      </c>
      <c r="C554" s="67"/>
      <c r="D554" s="61"/>
      <c r="E554" s="67"/>
      <c r="F554" s="59" t="str">
        <f>IFERROR(VLOOKUP(Tabelle32[[#This Row],[Device ID]],BOM!$B$3:$BQ$35,16,FALSE),"")</f>
        <v>IngSRV-10</v>
      </c>
      <c r="G554" s="63">
        <f>VLOOKUP(Tabelle32[[#This Row],[SDI Interface]],BOM!$A$4:$B$35,2,FALSE)</f>
        <v>404</v>
      </c>
      <c r="H554" s="59" t="str">
        <f>BOM!$C$4</f>
        <v>VGW-103</v>
      </c>
      <c r="I554" s="59" t="str">
        <f>IFERROR(VLOOKUP(Tabelle32[[#This Row],[Device ID]],BOM!$B$3:$BQ$35,12,FALSE),"")</f>
        <v>Videoserver</v>
      </c>
      <c r="J554" s="59" t="str">
        <f>IFERROR(VLOOKUP(Tabelle32[[#This Row],[Device ID]],BOM!$B$3:$BQ$35,13,FALSE),"")</f>
        <v>TC.U1.223 | MDC</v>
      </c>
      <c r="K554" s="59" t="str">
        <f>IFERROR(VLOOKUP(Tabelle32[[#This Row],[Device ID]],BOM!$B$3:$BQ$35,14,FALSE),"")</f>
        <v>Imagine Comunications</v>
      </c>
      <c r="L554" s="59" t="str">
        <f>IFERROR(VLOOKUP(Tabelle32[[#This Row],[Device ID]],BOM!$B$3:$BQ$35,16,FALSE),"")</f>
        <v>IngSRV-10</v>
      </c>
      <c r="M554" s="63" t="str">
        <f>IFERROR(VLOOKUP(Tabelle32[[#This Row],[Device ID]],BOM!$B$3:$BQ$35,17,FALSE),"")</f>
        <v>M3H</v>
      </c>
      <c r="N554" s="59" t="str">
        <f>IFERROR(VLOOKUP(Tabelle32[[#This Row],[Device ID]],BOM!$B$3:$BQ$35,18,FALSE),"")</f>
        <v>TC.03.225 | M3H</v>
      </c>
      <c r="O554" s="64"/>
      <c r="P554" s="64">
        <f>IFERROR(VLOOKUP(Tabelle32[[#This Row],[Device ID]],BOM!$B$3:$BO$50,20,FALSE),"")</f>
        <v>0</v>
      </c>
      <c r="Q554" s="64">
        <f>IFERROR(VLOOKUP(Tabelle32[[#This Row],[Device ID]],BOM!$B$3:$BO$50,21,FALSE),"")</f>
        <v>1</v>
      </c>
      <c r="R554" s="64">
        <f>IFERROR(VLOOKUP(Tabelle32[[#This Row],[Device ID]],BOM!$B$3:$BO$50,22,FALSE),"")</f>
        <v>0</v>
      </c>
      <c r="S554" s="64"/>
      <c r="T554" s="64"/>
      <c r="U554" s="59" t="str">
        <f>IFERROR(VLOOKUP(Tabelle32[[#This Row],[Device ID]],BOM!$B$3:$BQ$35,25,FALSE),"")</f>
        <v>Luis/Ivo</v>
      </c>
      <c r="V554" s="59" t="str">
        <f>IFERROR(VLOOKUP(Tabelle32[[#This Row],[Device ID]],BOM!$B$3:$BQ$35,26,FALSE),"")</f>
        <v>tpco-megw-vgw103.rta.st-net.media.int</v>
      </c>
      <c r="W554" s="59" t="str">
        <f>IFERROR(VLOOKUP(Tabelle32[[#This Row],[Device ID]],BOM!$B$3:$BQ$35,27,FALSE),"")</f>
        <v>10.120.236.50</v>
      </c>
      <c r="X554" s="59" t="str">
        <f>IFERROR(VLOOKUP(Tabelle32[[#This Row],[Device ID]],BOM!$B$3:$BQ$35,28,FALSE),"")</f>
        <v>AVCoreA</v>
      </c>
      <c r="Y554" s="59" t="str">
        <f>IFERROR(VLOOKUP(Tabelle32[[#This Row],[Device ID]],BOM!$B$3:$BQ$35,29,FALSE),"")</f>
        <v>5_36_1</v>
      </c>
      <c r="Z554" s="59" t="str">
        <f>IFERROR(VLOOKUP(Tabelle32[[#This Row],[Device ID]],BOM!$B$3:$BQ$35,30,FALSE),"")</f>
        <v>tpco-megw-vgw103.rtb.st-net.media.int</v>
      </c>
      <c r="AA554" s="59" t="str">
        <f>IFERROR(VLOOKUP(Tabelle32[[#This Row],[Device ID]],BOM!$B$3:$BQ$35,31,FALSE),"")</f>
        <v>10.120.236.54</v>
      </c>
      <c r="AB554" s="59" t="str">
        <f>IFERROR(VLOOKUP(Tabelle32[[#This Row],[Device ID]],BOM!$B$3:$BQ$35,32,FALSE),"")</f>
        <v>AVCoreB</v>
      </c>
      <c r="AC554" s="59" t="str">
        <f>IFERROR(VLOOKUP(Tabelle32[[#This Row],[Device ID]],BOM!$B$3:$BQ$35,33,FALSE),"")</f>
        <v>5_36_1</v>
      </c>
      <c r="AD554" s="59" t="str">
        <f>IFERROR(VLOOKUP(Tabelle32[[#This Row],[Device ID]],BOM!$B$3:$BQ$35,34,FALSE),"")</f>
        <v>tpco-megw-vgw103.st-net.media.int</v>
      </c>
      <c r="AE554" s="59" t="str">
        <f>IFERROR(VLOOKUP(Tabelle32[[#This Row],[Device ID]],BOM!$B$3:$BQ$35,35,FALSE),"")</f>
        <v>10.120.67.141</v>
      </c>
      <c r="AF554" s="59">
        <f>IFERROR(VLOOKUP(Tabelle32[[#This Row],[Device ID]],BOM!$B$3:$BQ$35,36,FALSE),"")</f>
        <v>0</v>
      </c>
      <c r="AG554" s="59">
        <f>IFERROR(VLOOKUP(Tabelle32[[#This Row],[Device ID]],BOM!$B$3:$BQ$35,37,FALSE),"")</f>
        <v>0</v>
      </c>
      <c r="AH554" s="59"/>
      <c r="AI554" s="59"/>
      <c r="AJ554" s="59"/>
      <c r="AK554" s="59"/>
      <c r="AL554" s="59" t="str">
        <f>IFERROR(VLOOKUP(Tabelle32[[#This Row],[Device ID]],BOM!$B$3:$BQ$35,42,FALSE),"")</f>
        <v>Imagine Communications SNP</v>
      </c>
      <c r="AM554" s="59" t="str">
        <f>IFERROR(VLOOKUP(Tabelle32[[#This Row],[Device ID]],BOM!$B$3:$BQ$35,43,FALSE),"")</f>
        <v>no</v>
      </c>
      <c r="AN554" s="59" t="str">
        <f>IFERROR(VLOOKUP(Tabelle32[[#This Row],[Device ID]],BOM!$B$3:$BQ$35,44,FALSE),"")</f>
        <v>yes</v>
      </c>
      <c r="AO554" s="59" t="str">
        <f>IFERROR(VLOOKUP(Tabelle32[[#This Row],[Device ID]],BOM!$B$3:$BQ$35,45,FALSE),"")</f>
        <v>no</v>
      </c>
      <c r="AP554" s="59" t="str">
        <f>IFERROR(CONCATENATE(Tabelle32[[#This Row],[Family
GFX-Unit]]," | ",Tabelle32[[#This Row],[Label 1
GFX-Unit]]," | ",Tabelle32[[#This Row],[Attached Device if Gateway]]),"")</f>
        <v>M3H InCh PGM | Ingest Ch39-02 | IngSRV-10</v>
      </c>
      <c r="AQ554" s="59"/>
      <c r="AR554" s="92"/>
      <c r="AS554" s="92"/>
      <c r="AT554" s="92"/>
      <c r="AU554" s="92"/>
      <c r="AV554" s="92"/>
      <c r="AW554" s="92" t="s">
        <v>97</v>
      </c>
      <c r="AX554" s="92"/>
      <c r="AY554" s="92"/>
      <c r="AZ554" s="92" t="s">
        <v>97</v>
      </c>
      <c r="BA554" s="92"/>
      <c r="BB554" s="92" t="s">
        <v>97</v>
      </c>
      <c r="BC554" s="92" t="s">
        <v>97</v>
      </c>
      <c r="BD554" s="92"/>
      <c r="BE554" s="92"/>
      <c r="BF554" s="92"/>
      <c r="BG554" s="92"/>
      <c r="BH554" s="73" t="s">
        <v>199</v>
      </c>
      <c r="BI554" s="30" t="str">
        <f>IF(COUNTA(Tabelle32[[#This Row],[Type:Vid_1080i50]:[Type:Anc_Prot]])&gt;0,"x","")</f>
        <v>x</v>
      </c>
      <c r="BJ55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54" s="59"/>
      <c r="BL554" s="59"/>
      <c r="BM554" s="63"/>
      <c r="BN554" s="63"/>
      <c r="BO554" s="93" t="s">
        <v>2684</v>
      </c>
      <c r="BP554" s="97" t="s">
        <v>2713</v>
      </c>
      <c r="BQ554" s="75">
        <f>LEN(Tabelle32[[#This Row],[Label 1
GFX-Unit]])</f>
        <v>14</v>
      </c>
      <c r="BR554" s="63"/>
      <c r="BS554" s="63"/>
      <c r="BT554" s="59"/>
      <c r="BU554" s="59"/>
      <c r="BV554" s="59" t="s">
        <v>218</v>
      </c>
      <c r="BW554" s="59" t="s">
        <v>219</v>
      </c>
      <c r="BX554" s="59" t="s">
        <v>1044</v>
      </c>
      <c r="BY554" s="59">
        <v>27</v>
      </c>
    </row>
    <row r="555" spans="1:77" x14ac:dyDescent="0.2">
      <c r="A555" s="58" t="str">
        <f>CONCATENATE(Tabelle32[[#This Row],[Device ID]],".",Tabelle32[[#This Row],[Streamcounter]])</f>
        <v>404.27203</v>
      </c>
      <c r="B55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VGW-103_SDI27_AUDrec_0003</v>
      </c>
      <c r="C555" s="67"/>
      <c r="D555" s="61"/>
      <c r="E555" s="67"/>
      <c r="F555" s="59" t="str">
        <f>IFERROR(VLOOKUP(Tabelle32[[#This Row],[Device ID]],BOM!$B$3:$BQ$35,16,FALSE),"")</f>
        <v>IngSRV-10</v>
      </c>
      <c r="G555" s="63">
        <f>VLOOKUP(Tabelle32[[#This Row],[SDI Interface]],BOM!$A$4:$B$35,2,FALSE)</f>
        <v>404</v>
      </c>
      <c r="H555" s="59" t="str">
        <f>BOM!$C$4</f>
        <v>VGW-103</v>
      </c>
      <c r="I555" s="59" t="str">
        <f>IFERROR(VLOOKUP(Tabelle32[[#This Row],[Device ID]],BOM!$B$3:$BQ$35,12,FALSE),"")</f>
        <v>Videoserver</v>
      </c>
      <c r="J555" s="59" t="str">
        <f>IFERROR(VLOOKUP(Tabelle32[[#This Row],[Device ID]],BOM!$B$3:$BQ$35,13,FALSE),"")</f>
        <v>TC.U1.223 | MDC</v>
      </c>
      <c r="K555" s="59" t="str">
        <f>IFERROR(VLOOKUP(Tabelle32[[#This Row],[Device ID]],BOM!$B$3:$BQ$35,14,FALSE),"")</f>
        <v>Imagine Comunications</v>
      </c>
      <c r="L555" s="59" t="str">
        <f>IFERROR(VLOOKUP(Tabelle32[[#This Row],[Device ID]],BOM!$B$3:$BQ$35,16,FALSE),"")</f>
        <v>IngSRV-10</v>
      </c>
      <c r="M555" s="63" t="str">
        <f>IFERROR(VLOOKUP(Tabelle32[[#This Row],[Device ID]],BOM!$B$3:$BQ$35,17,FALSE),"")</f>
        <v>M3H</v>
      </c>
      <c r="N555" s="59" t="str">
        <f>IFERROR(VLOOKUP(Tabelle32[[#This Row],[Device ID]],BOM!$B$3:$BQ$35,18,FALSE),"")</f>
        <v>TC.03.225 | M3H</v>
      </c>
      <c r="O555" s="64"/>
      <c r="P555" s="64">
        <f>IFERROR(VLOOKUP(Tabelle32[[#This Row],[Device ID]],BOM!$B$3:$BO$50,20,FALSE),"")</f>
        <v>0</v>
      </c>
      <c r="Q555" s="64">
        <f>IFERROR(VLOOKUP(Tabelle32[[#This Row],[Device ID]],BOM!$B$3:$BO$50,21,FALSE),"")</f>
        <v>1</v>
      </c>
      <c r="R555" s="64">
        <f>IFERROR(VLOOKUP(Tabelle32[[#This Row],[Device ID]],BOM!$B$3:$BO$50,22,FALSE),"")</f>
        <v>0</v>
      </c>
      <c r="S555" s="64"/>
      <c r="T555" s="64"/>
      <c r="U555" s="59" t="str">
        <f>IFERROR(VLOOKUP(Tabelle32[[#This Row],[Device ID]],BOM!$B$3:$BQ$35,25,FALSE),"")</f>
        <v>Luis/Ivo</v>
      </c>
      <c r="V555" s="59" t="str">
        <f>IFERROR(VLOOKUP(Tabelle32[[#This Row],[Device ID]],BOM!$B$3:$BQ$35,26,FALSE),"")</f>
        <v>tpco-megw-vgw103.rta.st-net.media.int</v>
      </c>
      <c r="W555" s="59" t="str">
        <f>IFERROR(VLOOKUP(Tabelle32[[#This Row],[Device ID]],BOM!$B$3:$BQ$35,27,FALSE),"")</f>
        <v>10.120.236.50</v>
      </c>
      <c r="X555" s="59" t="str">
        <f>IFERROR(VLOOKUP(Tabelle32[[#This Row],[Device ID]],BOM!$B$3:$BQ$35,28,FALSE),"")</f>
        <v>AVCoreA</v>
      </c>
      <c r="Y555" s="59" t="str">
        <f>IFERROR(VLOOKUP(Tabelle32[[#This Row],[Device ID]],BOM!$B$3:$BQ$35,29,FALSE),"")</f>
        <v>5_36_1</v>
      </c>
      <c r="Z555" s="59" t="str">
        <f>IFERROR(VLOOKUP(Tabelle32[[#This Row],[Device ID]],BOM!$B$3:$BQ$35,30,FALSE),"")</f>
        <v>tpco-megw-vgw103.rtb.st-net.media.int</v>
      </c>
      <c r="AA555" s="59" t="str">
        <f>IFERROR(VLOOKUP(Tabelle32[[#This Row],[Device ID]],BOM!$B$3:$BQ$35,31,FALSE),"")</f>
        <v>10.120.236.54</v>
      </c>
      <c r="AB555" s="59" t="str">
        <f>IFERROR(VLOOKUP(Tabelle32[[#This Row],[Device ID]],BOM!$B$3:$BQ$35,32,FALSE),"")</f>
        <v>AVCoreB</v>
      </c>
      <c r="AC555" s="59" t="str">
        <f>IFERROR(VLOOKUP(Tabelle32[[#This Row],[Device ID]],BOM!$B$3:$BQ$35,33,FALSE),"")</f>
        <v>5_36_1</v>
      </c>
      <c r="AD555" s="59" t="str">
        <f>IFERROR(VLOOKUP(Tabelle32[[#This Row],[Device ID]],BOM!$B$3:$BQ$35,34,FALSE),"")</f>
        <v>tpco-megw-vgw103.st-net.media.int</v>
      </c>
      <c r="AE555" s="59" t="str">
        <f>IFERROR(VLOOKUP(Tabelle32[[#This Row],[Device ID]],BOM!$B$3:$BQ$35,35,FALSE),"")</f>
        <v>10.120.67.141</v>
      </c>
      <c r="AF555" s="59">
        <f>IFERROR(VLOOKUP(Tabelle32[[#This Row],[Device ID]],BOM!$B$3:$BQ$35,36,FALSE),"")</f>
        <v>0</v>
      </c>
      <c r="AG555" s="59">
        <f>IFERROR(VLOOKUP(Tabelle32[[#This Row],[Device ID]],BOM!$B$3:$BQ$35,37,FALSE),"")</f>
        <v>0</v>
      </c>
      <c r="AH555" s="59"/>
      <c r="AI555" s="59"/>
      <c r="AJ555" s="59"/>
      <c r="AK555" s="59"/>
      <c r="AL555" s="59" t="str">
        <f>IFERROR(VLOOKUP(Tabelle32[[#This Row],[Device ID]],BOM!$B$3:$BQ$35,42,FALSE),"")</f>
        <v>Imagine Communications SNP</v>
      </c>
      <c r="AM555" s="59" t="str">
        <f>IFERROR(VLOOKUP(Tabelle32[[#This Row],[Device ID]],BOM!$B$3:$BQ$35,43,FALSE),"")</f>
        <v>no</v>
      </c>
      <c r="AN555" s="59" t="str">
        <f>IFERROR(VLOOKUP(Tabelle32[[#This Row],[Device ID]],BOM!$B$3:$BQ$35,44,FALSE),"")</f>
        <v>yes</v>
      </c>
      <c r="AO555" s="59" t="str">
        <f>IFERROR(VLOOKUP(Tabelle32[[#This Row],[Device ID]],BOM!$B$3:$BQ$35,45,FALSE),"")</f>
        <v>no</v>
      </c>
      <c r="AP555" s="59" t="str">
        <f>IFERROR(CONCATENATE(Tabelle32[[#This Row],[Family
GFX-Unit]]," | ",Tabelle32[[#This Row],[Label 1
GFX-Unit]]," | ",Tabelle32[[#This Row],[Attached Device if Gateway]]),"")</f>
        <v>M3H InCh PGM | Ingest Ch39-03 | IngSRV-10</v>
      </c>
      <c r="AQ555" s="59"/>
      <c r="AR555" s="92"/>
      <c r="AS555" s="92"/>
      <c r="AT555" s="92"/>
      <c r="AU555" s="92"/>
      <c r="AV555" s="92"/>
      <c r="AW555" s="92" t="s">
        <v>97</v>
      </c>
      <c r="AX555" s="92"/>
      <c r="AY555" s="92"/>
      <c r="AZ555" s="92" t="s">
        <v>97</v>
      </c>
      <c r="BA555" s="92"/>
      <c r="BB555" s="92" t="s">
        <v>97</v>
      </c>
      <c r="BC555" s="92" t="s">
        <v>97</v>
      </c>
      <c r="BD555" s="92"/>
      <c r="BE555" s="92"/>
      <c r="BF555" s="92"/>
      <c r="BG555" s="92"/>
      <c r="BH555" s="73" t="s">
        <v>199</v>
      </c>
      <c r="BI555" s="30" t="str">
        <f>IF(COUNTA(Tabelle32[[#This Row],[Type:Vid_1080i50]:[Type:Anc_Prot]])&gt;0,"x","")</f>
        <v>x</v>
      </c>
      <c r="BJ55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55" s="59"/>
      <c r="BL555" s="59"/>
      <c r="BM555" s="63"/>
      <c r="BN555" s="63"/>
      <c r="BO555" s="93" t="s">
        <v>2684</v>
      </c>
      <c r="BP555" s="97" t="s">
        <v>2714</v>
      </c>
      <c r="BQ555" s="75">
        <f>LEN(Tabelle32[[#This Row],[Label 1
GFX-Unit]])</f>
        <v>14</v>
      </c>
      <c r="BR555" s="63"/>
      <c r="BS555" s="63"/>
      <c r="BT555" s="59"/>
      <c r="BU555" s="59"/>
      <c r="BV555" s="59" t="s">
        <v>222</v>
      </c>
      <c r="BW555" s="59" t="s">
        <v>223</v>
      </c>
      <c r="BX555" s="59" t="s">
        <v>1045</v>
      </c>
      <c r="BY555" s="59">
        <v>27</v>
      </c>
    </row>
    <row r="556" spans="1:77" x14ac:dyDescent="0.2">
      <c r="A556" s="58" t="str">
        <f>CONCATENATE(Tabelle32[[#This Row],[Device ID]],".",Tabelle32[[#This Row],[Streamcounter]])</f>
        <v>404.27204</v>
      </c>
      <c r="B55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VGW-103_SDI27_AUDrec_0004</v>
      </c>
      <c r="C556" s="60"/>
      <c r="D556" s="61"/>
      <c r="E556" s="62"/>
      <c r="F556" s="59" t="str">
        <f>IFERROR(VLOOKUP(Tabelle32[[#This Row],[Device ID]],BOM!$B$3:$BQ$35,16,FALSE),"")</f>
        <v>IngSRV-10</v>
      </c>
      <c r="G556" s="63">
        <f>VLOOKUP(Tabelle32[[#This Row],[SDI Interface]],BOM!$A$4:$B$35,2,FALSE)</f>
        <v>404</v>
      </c>
      <c r="H556" s="59" t="str">
        <f>BOM!$C$4</f>
        <v>VGW-103</v>
      </c>
      <c r="I556" s="59" t="str">
        <f>IFERROR(VLOOKUP(Tabelle32[[#This Row],[Device ID]],BOM!$B$3:$BQ$35,12,FALSE),"")</f>
        <v>Videoserver</v>
      </c>
      <c r="J556" s="59" t="str">
        <f>IFERROR(VLOOKUP(Tabelle32[[#This Row],[Device ID]],BOM!$B$3:$BQ$35,13,FALSE),"")</f>
        <v>TC.U1.223 | MDC</v>
      </c>
      <c r="K556" s="59" t="str">
        <f>IFERROR(VLOOKUP(Tabelle32[[#This Row],[Device ID]],BOM!$B$3:$BQ$35,14,FALSE),"")</f>
        <v>Imagine Comunications</v>
      </c>
      <c r="L556" s="59" t="str">
        <f>IFERROR(VLOOKUP(Tabelle32[[#This Row],[Device ID]],BOM!$B$3:$BQ$35,16,FALSE),"")</f>
        <v>IngSRV-10</v>
      </c>
      <c r="M556" s="63" t="str">
        <f>IFERROR(VLOOKUP(Tabelle32[[#This Row],[Device ID]],BOM!$B$3:$BQ$35,17,FALSE),"")</f>
        <v>M3H</v>
      </c>
      <c r="N556" s="59" t="str">
        <f>IFERROR(VLOOKUP(Tabelle32[[#This Row],[Device ID]],BOM!$B$3:$BQ$35,18,FALSE),"")</f>
        <v>TC.03.225 | M3H</v>
      </c>
      <c r="O556" s="64"/>
      <c r="P556" s="64">
        <f>IFERROR(VLOOKUP(Tabelle32[[#This Row],[Device ID]],BOM!$B$3:$BO$50,20,FALSE),"")</f>
        <v>0</v>
      </c>
      <c r="Q556" s="64">
        <f>IFERROR(VLOOKUP(Tabelle32[[#This Row],[Device ID]],BOM!$B$3:$BO$50,21,FALSE),"")</f>
        <v>1</v>
      </c>
      <c r="R556" s="64">
        <f>IFERROR(VLOOKUP(Tabelle32[[#This Row],[Device ID]],BOM!$B$3:$BO$50,22,FALSE),"")</f>
        <v>0</v>
      </c>
      <c r="S556" s="64"/>
      <c r="T556" s="64"/>
      <c r="U556" s="59" t="str">
        <f>IFERROR(VLOOKUP(Tabelle32[[#This Row],[Device ID]],BOM!$B$3:$BQ$35,25,FALSE),"")</f>
        <v>Luis/Ivo</v>
      </c>
      <c r="V556" s="59" t="str">
        <f>IFERROR(VLOOKUP(Tabelle32[[#This Row],[Device ID]],BOM!$B$3:$BQ$35,26,FALSE),"")</f>
        <v>tpco-megw-vgw103.rta.st-net.media.int</v>
      </c>
      <c r="W556" s="59" t="str">
        <f>IFERROR(VLOOKUP(Tabelle32[[#This Row],[Device ID]],BOM!$B$3:$BQ$35,27,FALSE),"")</f>
        <v>10.120.236.50</v>
      </c>
      <c r="X556" s="59" t="str">
        <f>IFERROR(VLOOKUP(Tabelle32[[#This Row],[Device ID]],BOM!$B$3:$BQ$35,28,FALSE),"")</f>
        <v>AVCoreA</v>
      </c>
      <c r="Y556" s="59" t="str">
        <f>IFERROR(VLOOKUP(Tabelle32[[#This Row],[Device ID]],BOM!$B$3:$BQ$35,29,FALSE),"")</f>
        <v>5_36_1</v>
      </c>
      <c r="Z556" s="59" t="str">
        <f>IFERROR(VLOOKUP(Tabelle32[[#This Row],[Device ID]],BOM!$B$3:$BQ$35,30,FALSE),"")</f>
        <v>tpco-megw-vgw103.rtb.st-net.media.int</v>
      </c>
      <c r="AA556" s="59" t="str">
        <f>IFERROR(VLOOKUP(Tabelle32[[#This Row],[Device ID]],BOM!$B$3:$BQ$35,31,FALSE),"")</f>
        <v>10.120.236.54</v>
      </c>
      <c r="AB556" s="59" t="str">
        <f>IFERROR(VLOOKUP(Tabelle32[[#This Row],[Device ID]],BOM!$B$3:$BQ$35,32,FALSE),"")</f>
        <v>AVCoreB</v>
      </c>
      <c r="AC556" s="59" t="str">
        <f>IFERROR(VLOOKUP(Tabelle32[[#This Row],[Device ID]],BOM!$B$3:$BQ$35,33,FALSE),"")</f>
        <v>5_36_1</v>
      </c>
      <c r="AD556" s="59" t="str">
        <f>IFERROR(VLOOKUP(Tabelle32[[#This Row],[Device ID]],BOM!$B$3:$BQ$35,34,FALSE),"")</f>
        <v>tpco-megw-vgw103.st-net.media.int</v>
      </c>
      <c r="AE556" s="59" t="str">
        <f>IFERROR(VLOOKUP(Tabelle32[[#This Row],[Device ID]],BOM!$B$3:$BQ$35,35,FALSE),"")</f>
        <v>10.120.67.141</v>
      </c>
      <c r="AF556" s="59">
        <f>IFERROR(VLOOKUP(Tabelle32[[#This Row],[Device ID]],BOM!$B$3:$BQ$35,36,FALSE),"")</f>
        <v>0</v>
      </c>
      <c r="AG556" s="59">
        <f>IFERROR(VLOOKUP(Tabelle32[[#This Row],[Device ID]],BOM!$B$3:$BQ$35,37,FALSE),"")</f>
        <v>0</v>
      </c>
      <c r="AH556" s="59"/>
      <c r="AI556" s="59"/>
      <c r="AJ556" s="59"/>
      <c r="AK556" s="59"/>
      <c r="AL556" s="59" t="str">
        <f>IFERROR(VLOOKUP(Tabelle32[[#This Row],[Device ID]],BOM!$B$3:$BQ$35,42,FALSE),"")</f>
        <v>Imagine Communications SNP</v>
      </c>
      <c r="AM556" s="59" t="str">
        <f>IFERROR(VLOOKUP(Tabelle32[[#This Row],[Device ID]],BOM!$B$3:$BQ$35,43,FALSE),"")</f>
        <v>no</v>
      </c>
      <c r="AN556" s="59" t="str">
        <f>IFERROR(VLOOKUP(Tabelle32[[#This Row],[Device ID]],BOM!$B$3:$BQ$35,44,FALSE),"")</f>
        <v>yes</v>
      </c>
      <c r="AO556" s="59" t="str">
        <f>IFERROR(VLOOKUP(Tabelle32[[#This Row],[Device ID]],BOM!$B$3:$BQ$35,45,FALSE),"")</f>
        <v>no</v>
      </c>
      <c r="AP556" s="59" t="str">
        <f>IFERROR(CONCATENATE(Tabelle32[[#This Row],[Family
GFX-Unit]]," | ",Tabelle32[[#This Row],[Label 1
GFX-Unit]]," | ",Tabelle32[[#This Row],[Attached Device if Gateway]]),"")</f>
        <v>M3H InCh PGM | Ingest Ch39-04 | IngSRV-10</v>
      </c>
      <c r="AQ556" s="59"/>
      <c r="AR556" s="92"/>
      <c r="AS556" s="92"/>
      <c r="AT556" s="92"/>
      <c r="AU556" s="92"/>
      <c r="AV556" s="92"/>
      <c r="AW556" s="92" t="s">
        <v>97</v>
      </c>
      <c r="AX556" s="92"/>
      <c r="AY556" s="92"/>
      <c r="AZ556" s="92" t="s">
        <v>97</v>
      </c>
      <c r="BA556" s="92"/>
      <c r="BB556" s="92" t="s">
        <v>97</v>
      </c>
      <c r="BC556" s="92" t="s">
        <v>97</v>
      </c>
      <c r="BD556" s="92"/>
      <c r="BE556" s="92"/>
      <c r="BF556" s="92"/>
      <c r="BG556" s="92"/>
      <c r="BH556" s="73" t="s">
        <v>199</v>
      </c>
      <c r="BI556" s="30" t="str">
        <f>IF(COUNTA(Tabelle32[[#This Row],[Type:Vid_1080i50]:[Type:Anc_Prot]])&gt;0,"x","")</f>
        <v>x</v>
      </c>
      <c r="BJ55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56" s="59"/>
      <c r="BL556" s="59"/>
      <c r="BM556" s="63"/>
      <c r="BN556" s="63"/>
      <c r="BO556" s="93" t="s">
        <v>2684</v>
      </c>
      <c r="BP556" s="97" t="s">
        <v>2715</v>
      </c>
      <c r="BQ556" s="75">
        <f>LEN(Tabelle32[[#This Row],[Label 1
GFX-Unit]])</f>
        <v>14</v>
      </c>
      <c r="BR556" s="63"/>
      <c r="BS556" s="63"/>
      <c r="BT556" s="59"/>
      <c r="BU556" s="59"/>
      <c r="BV556" s="59" t="s">
        <v>226</v>
      </c>
      <c r="BW556" s="59" t="s">
        <v>227</v>
      </c>
      <c r="BX556" s="59" t="s">
        <v>1046</v>
      </c>
      <c r="BY556" s="59">
        <v>27</v>
      </c>
    </row>
    <row r="557" spans="1:77" x14ac:dyDescent="0.2">
      <c r="A557" s="58" t="str">
        <f>CONCATENATE(Tabelle32[[#This Row],[Device ID]],".",Tabelle32[[#This Row],[Streamcounter]])</f>
        <v>404.27205</v>
      </c>
      <c r="B55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VGW-103_SDI27_AUDrec_0005</v>
      </c>
      <c r="C557" s="60"/>
      <c r="D557" s="61"/>
      <c r="E557" s="62"/>
      <c r="F557" s="59" t="str">
        <f>IFERROR(VLOOKUP(Tabelle32[[#This Row],[Device ID]],BOM!$B$3:$BQ$35,16,FALSE),"")</f>
        <v>IngSRV-10</v>
      </c>
      <c r="G557" s="63">
        <f>VLOOKUP(Tabelle32[[#This Row],[SDI Interface]],BOM!$A$4:$B$35,2,FALSE)</f>
        <v>404</v>
      </c>
      <c r="H557" s="59" t="str">
        <f>BOM!$C$4</f>
        <v>VGW-103</v>
      </c>
      <c r="I557" s="59" t="str">
        <f>IFERROR(VLOOKUP(Tabelle32[[#This Row],[Device ID]],BOM!$B$3:$BQ$35,12,FALSE),"")</f>
        <v>Videoserver</v>
      </c>
      <c r="J557" s="59" t="str">
        <f>IFERROR(VLOOKUP(Tabelle32[[#This Row],[Device ID]],BOM!$B$3:$BQ$35,13,FALSE),"")</f>
        <v>TC.U1.223 | MDC</v>
      </c>
      <c r="K557" s="59" t="str">
        <f>IFERROR(VLOOKUP(Tabelle32[[#This Row],[Device ID]],BOM!$B$3:$BQ$35,14,FALSE),"")</f>
        <v>Imagine Comunications</v>
      </c>
      <c r="L557" s="59" t="str">
        <f>IFERROR(VLOOKUP(Tabelle32[[#This Row],[Device ID]],BOM!$B$3:$BQ$35,16,FALSE),"")</f>
        <v>IngSRV-10</v>
      </c>
      <c r="M557" s="63" t="str">
        <f>IFERROR(VLOOKUP(Tabelle32[[#This Row],[Device ID]],BOM!$B$3:$BQ$35,17,FALSE),"")</f>
        <v>M3H</v>
      </c>
      <c r="N557" s="59" t="str">
        <f>IFERROR(VLOOKUP(Tabelle32[[#This Row],[Device ID]],BOM!$B$3:$BQ$35,18,FALSE),"")</f>
        <v>TC.03.225 | M3H</v>
      </c>
      <c r="O557" s="64"/>
      <c r="P557" s="64">
        <f>IFERROR(VLOOKUP(Tabelle32[[#This Row],[Device ID]],BOM!$B$3:$BO$50,20,FALSE),"")</f>
        <v>0</v>
      </c>
      <c r="Q557" s="64">
        <f>IFERROR(VLOOKUP(Tabelle32[[#This Row],[Device ID]],BOM!$B$3:$BO$50,21,FALSE),"")</f>
        <v>1</v>
      </c>
      <c r="R557" s="64">
        <f>IFERROR(VLOOKUP(Tabelle32[[#This Row],[Device ID]],BOM!$B$3:$BO$50,22,FALSE),"")</f>
        <v>0</v>
      </c>
      <c r="S557" s="64"/>
      <c r="T557" s="64"/>
      <c r="U557" s="59" t="str">
        <f>IFERROR(VLOOKUP(Tabelle32[[#This Row],[Device ID]],BOM!$B$3:$BQ$35,25,FALSE),"")</f>
        <v>Luis/Ivo</v>
      </c>
      <c r="V557" s="59" t="str">
        <f>IFERROR(VLOOKUP(Tabelle32[[#This Row],[Device ID]],BOM!$B$3:$BQ$35,26,FALSE),"")</f>
        <v>tpco-megw-vgw103.rta.st-net.media.int</v>
      </c>
      <c r="W557" s="59" t="str">
        <f>IFERROR(VLOOKUP(Tabelle32[[#This Row],[Device ID]],BOM!$B$3:$BQ$35,27,FALSE),"")</f>
        <v>10.120.236.50</v>
      </c>
      <c r="X557" s="59" t="str">
        <f>IFERROR(VLOOKUP(Tabelle32[[#This Row],[Device ID]],BOM!$B$3:$BQ$35,28,FALSE),"")</f>
        <v>AVCoreA</v>
      </c>
      <c r="Y557" s="59" t="str">
        <f>IFERROR(VLOOKUP(Tabelle32[[#This Row],[Device ID]],BOM!$B$3:$BQ$35,29,FALSE),"")</f>
        <v>5_36_1</v>
      </c>
      <c r="Z557" s="59" t="str">
        <f>IFERROR(VLOOKUP(Tabelle32[[#This Row],[Device ID]],BOM!$B$3:$BQ$35,30,FALSE),"")</f>
        <v>tpco-megw-vgw103.rtb.st-net.media.int</v>
      </c>
      <c r="AA557" s="59" t="str">
        <f>IFERROR(VLOOKUP(Tabelle32[[#This Row],[Device ID]],BOM!$B$3:$BQ$35,31,FALSE),"")</f>
        <v>10.120.236.54</v>
      </c>
      <c r="AB557" s="59" t="str">
        <f>IFERROR(VLOOKUP(Tabelle32[[#This Row],[Device ID]],BOM!$B$3:$BQ$35,32,FALSE),"")</f>
        <v>AVCoreB</v>
      </c>
      <c r="AC557" s="59" t="str">
        <f>IFERROR(VLOOKUP(Tabelle32[[#This Row],[Device ID]],BOM!$B$3:$BQ$35,33,FALSE),"")</f>
        <v>5_36_1</v>
      </c>
      <c r="AD557" s="59" t="str">
        <f>IFERROR(VLOOKUP(Tabelle32[[#This Row],[Device ID]],BOM!$B$3:$BQ$35,34,FALSE),"")</f>
        <v>tpco-megw-vgw103.st-net.media.int</v>
      </c>
      <c r="AE557" s="59" t="str">
        <f>IFERROR(VLOOKUP(Tabelle32[[#This Row],[Device ID]],BOM!$B$3:$BQ$35,35,FALSE),"")</f>
        <v>10.120.67.141</v>
      </c>
      <c r="AF557" s="59">
        <f>IFERROR(VLOOKUP(Tabelle32[[#This Row],[Device ID]],BOM!$B$3:$BQ$35,36,FALSE),"")</f>
        <v>0</v>
      </c>
      <c r="AG557" s="59">
        <f>IFERROR(VLOOKUP(Tabelle32[[#This Row],[Device ID]],BOM!$B$3:$BQ$35,37,FALSE),"")</f>
        <v>0</v>
      </c>
      <c r="AH557" s="59"/>
      <c r="AI557" s="59"/>
      <c r="AJ557" s="59"/>
      <c r="AK557" s="59"/>
      <c r="AL557" s="59" t="str">
        <f>IFERROR(VLOOKUP(Tabelle32[[#This Row],[Device ID]],BOM!$B$3:$BQ$35,42,FALSE),"")</f>
        <v>Imagine Communications SNP</v>
      </c>
      <c r="AM557" s="59" t="str">
        <f>IFERROR(VLOOKUP(Tabelle32[[#This Row],[Device ID]],BOM!$B$3:$BQ$35,43,FALSE),"")</f>
        <v>no</v>
      </c>
      <c r="AN557" s="59" t="str">
        <f>IFERROR(VLOOKUP(Tabelle32[[#This Row],[Device ID]],BOM!$B$3:$BQ$35,44,FALSE),"")</f>
        <v>yes</v>
      </c>
      <c r="AO557" s="59" t="str">
        <f>IFERROR(VLOOKUP(Tabelle32[[#This Row],[Device ID]],BOM!$B$3:$BQ$35,45,FALSE),"")</f>
        <v>no</v>
      </c>
      <c r="AP557" s="59" t="str">
        <f>IFERROR(CONCATENATE(Tabelle32[[#This Row],[Family
GFX-Unit]]," | ",Tabelle32[[#This Row],[Label 1
GFX-Unit]]," | ",Tabelle32[[#This Row],[Attached Device if Gateway]]),"")</f>
        <v>M3H InCh PGM | Ingest Ch39-05 | IngSRV-10</v>
      </c>
      <c r="AQ557" s="59"/>
      <c r="AR557" s="92"/>
      <c r="AS557" s="92"/>
      <c r="AT557" s="92"/>
      <c r="AU557" s="92"/>
      <c r="AV557" s="92"/>
      <c r="AW557" s="92" t="s">
        <v>97</v>
      </c>
      <c r="AX557" s="92"/>
      <c r="AY557" s="92"/>
      <c r="AZ557" s="92" t="s">
        <v>97</v>
      </c>
      <c r="BA557" s="92"/>
      <c r="BB557" s="92" t="s">
        <v>97</v>
      </c>
      <c r="BC557" s="92" t="s">
        <v>97</v>
      </c>
      <c r="BD557" s="92"/>
      <c r="BE557" s="92"/>
      <c r="BF557" s="92"/>
      <c r="BG557" s="92"/>
      <c r="BH557" s="73" t="s">
        <v>199</v>
      </c>
      <c r="BI557" s="30" t="str">
        <f>IF(COUNTA(Tabelle32[[#This Row],[Type:Vid_1080i50]:[Type:Anc_Prot]])&gt;0,"x","")</f>
        <v>x</v>
      </c>
      <c r="BJ55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57" s="59"/>
      <c r="BL557" s="59"/>
      <c r="BM557" s="63"/>
      <c r="BN557" s="63"/>
      <c r="BO557" s="93" t="s">
        <v>2684</v>
      </c>
      <c r="BP557" s="97" t="s">
        <v>2716</v>
      </c>
      <c r="BQ557" s="75">
        <f>LEN(Tabelle32[[#This Row],[Label 1
GFX-Unit]])</f>
        <v>14</v>
      </c>
      <c r="BR557" s="63"/>
      <c r="BS557" s="63"/>
      <c r="BT557" s="59"/>
      <c r="BU557" s="59"/>
      <c r="BV557" s="59" t="s">
        <v>230</v>
      </c>
      <c r="BW557" s="59" t="s">
        <v>231</v>
      </c>
      <c r="BX557" s="59" t="s">
        <v>1047</v>
      </c>
      <c r="BY557" s="59">
        <v>27</v>
      </c>
    </row>
    <row r="558" spans="1:77" x14ac:dyDescent="0.2">
      <c r="A558" s="58" t="str">
        <f>CONCATENATE(Tabelle32[[#This Row],[Device ID]],".",Tabelle32[[#This Row],[Streamcounter]])</f>
        <v>404.27206</v>
      </c>
      <c r="B55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VGW-103_SDI27_AUDrec_0006</v>
      </c>
      <c r="C558" s="60"/>
      <c r="D558" s="61"/>
      <c r="E558" s="62"/>
      <c r="F558" s="59" t="str">
        <f>IFERROR(VLOOKUP(Tabelle32[[#This Row],[Device ID]],BOM!$B$3:$BQ$35,16,FALSE),"")</f>
        <v>IngSRV-10</v>
      </c>
      <c r="G558" s="63">
        <f>VLOOKUP(Tabelle32[[#This Row],[SDI Interface]],BOM!$A$4:$B$35,2,FALSE)</f>
        <v>404</v>
      </c>
      <c r="H558" s="59" t="str">
        <f>BOM!$C$4</f>
        <v>VGW-103</v>
      </c>
      <c r="I558" s="59" t="str">
        <f>IFERROR(VLOOKUP(Tabelle32[[#This Row],[Device ID]],BOM!$B$3:$BQ$35,12,FALSE),"")</f>
        <v>Videoserver</v>
      </c>
      <c r="J558" s="59" t="str">
        <f>IFERROR(VLOOKUP(Tabelle32[[#This Row],[Device ID]],BOM!$B$3:$BQ$35,13,FALSE),"")</f>
        <v>TC.U1.223 | MDC</v>
      </c>
      <c r="K558" s="59" t="str">
        <f>IFERROR(VLOOKUP(Tabelle32[[#This Row],[Device ID]],BOM!$B$3:$BQ$35,14,FALSE),"")</f>
        <v>Imagine Comunications</v>
      </c>
      <c r="L558" s="59" t="str">
        <f>IFERROR(VLOOKUP(Tabelle32[[#This Row],[Device ID]],BOM!$B$3:$BQ$35,16,FALSE),"")</f>
        <v>IngSRV-10</v>
      </c>
      <c r="M558" s="63" t="str">
        <f>IFERROR(VLOOKUP(Tabelle32[[#This Row],[Device ID]],BOM!$B$3:$BQ$35,17,FALSE),"")</f>
        <v>M3H</v>
      </c>
      <c r="N558" s="59" t="str">
        <f>IFERROR(VLOOKUP(Tabelle32[[#This Row],[Device ID]],BOM!$B$3:$BQ$35,18,FALSE),"")</f>
        <v>TC.03.225 | M3H</v>
      </c>
      <c r="O558" s="64"/>
      <c r="P558" s="64">
        <f>IFERROR(VLOOKUP(Tabelle32[[#This Row],[Device ID]],BOM!$B$3:$BO$50,20,FALSE),"")</f>
        <v>0</v>
      </c>
      <c r="Q558" s="64">
        <f>IFERROR(VLOOKUP(Tabelle32[[#This Row],[Device ID]],BOM!$B$3:$BO$50,21,FALSE),"")</f>
        <v>1</v>
      </c>
      <c r="R558" s="64">
        <f>IFERROR(VLOOKUP(Tabelle32[[#This Row],[Device ID]],BOM!$B$3:$BO$50,22,FALSE),"")</f>
        <v>0</v>
      </c>
      <c r="S558" s="64"/>
      <c r="T558" s="64"/>
      <c r="U558" s="59" t="str">
        <f>IFERROR(VLOOKUP(Tabelle32[[#This Row],[Device ID]],BOM!$B$3:$BQ$35,25,FALSE),"")</f>
        <v>Luis/Ivo</v>
      </c>
      <c r="V558" s="59" t="str">
        <f>IFERROR(VLOOKUP(Tabelle32[[#This Row],[Device ID]],BOM!$B$3:$BQ$35,26,FALSE),"")</f>
        <v>tpco-megw-vgw103.rta.st-net.media.int</v>
      </c>
      <c r="W558" s="59" t="str">
        <f>IFERROR(VLOOKUP(Tabelle32[[#This Row],[Device ID]],BOM!$B$3:$BQ$35,27,FALSE),"")</f>
        <v>10.120.236.50</v>
      </c>
      <c r="X558" s="59" t="str">
        <f>IFERROR(VLOOKUP(Tabelle32[[#This Row],[Device ID]],BOM!$B$3:$BQ$35,28,FALSE),"")</f>
        <v>AVCoreA</v>
      </c>
      <c r="Y558" s="59" t="str">
        <f>IFERROR(VLOOKUP(Tabelle32[[#This Row],[Device ID]],BOM!$B$3:$BQ$35,29,FALSE),"")</f>
        <v>5_36_1</v>
      </c>
      <c r="Z558" s="59" t="str">
        <f>IFERROR(VLOOKUP(Tabelle32[[#This Row],[Device ID]],BOM!$B$3:$BQ$35,30,FALSE),"")</f>
        <v>tpco-megw-vgw103.rtb.st-net.media.int</v>
      </c>
      <c r="AA558" s="59" t="str">
        <f>IFERROR(VLOOKUP(Tabelle32[[#This Row],[Device ID]],BOM!$B$3:$BQ$35,31,FALSE),"")</f>
        <v>10.120.236.54</v>
      </c>
      <c r="AB558" s="59" t="str">
        <f>IFERROR(VLOOKUP(Tabelle32[[#This Row],[Device ID]],BOM!$B$3:$BQ$35,32,FALSE),"")</f>
        <v>AVCoreB</v>
      </c>
      <c r="AC558" s="59" t="str">
        <f>IFERROR(VLOOKUP(Tabelle32[[#This Row],[Device ID]],BOM!$B$3:$BQ$35,33,FALSE),"")</f>
        <v>5_36_1</v>
      </c>
      <c r="AD558" s="59" t="str">
        <f>IFERROR(VLOOKUP(Tabelle32[[#This Row],[Device ID]],BOM!$B$3:$BQ$35,34,FALSE),"")</f>
        <v>tpco-megw-vgw103.st-net.media.int</v>
      </c>
      <c r="AE558" s="59" t="str">
        <f>IFERROR(VLOOKUP(Tabelle32[[#This Row],[Device ID]],BOM!$B$3:$BQ$35,35,FALSE),"")</f>
        <v>10.120.67.141</v>
      </c>
      <c r="AF558" s="59">
        <f>IFERROR(VLOOKUP(Tabelle32[[#This Row],[Device ID]],BOM!$B$3:$BQ$35,36,FALSE),"")</f>
        <v>0</v>
      </c>
      <c r="AG558" s="59">
        <f>IFERROR(VLOOKUP(Tabelle32[[#This Row],[Device ID]],BOM!$B$3:$BQ$35,37,FALSE),"")</f>
        <v>0</v>
      </c>
      <c r="AH558" s="59"/>
      <c r="AI558" s="59"/>
      <c r="AJ558" s="59"/>
      <c r="AK558" s="59"/>
      <c r="AL558" s="59" t="str">
        <f>IFERROR(VLOOKUP(Tabelle32[[#This Row],[Device ID]],BOM!$B$3:$BQ$35,42,FALSE),"")</f>
        <v>Imagine Communications SNP</v>
      </c>
      <c r="AM558" s="59" t="str">
        <f>IFERROR(VLOOKUP(Tabelle32[[#This Row],[Device ID]],BOM!$B$3:$BQ$35,43,FALSE),"")</f>
        <v>no</v>
      </c>
      <c r="AN558" s="59" t="str">
        <f>IFERROR(VLOOKUP(Tabelle32[[#This Row],[Device ID]],BOM!$B$3:$BQ$35,44,FALSE),"")</f>
        <v>yes</v>
      </c>
      <c r="AO558" s="59" t="str">
        <f>IFERROR(VLOOKUP(Tabelle32[[#This Row],[Device ID]],BOM!$B$3:$BQ$35,45,FALSE),"")</f>
        <v>no</v>
      </c>
      <c r="AP558" s="59" t="str">
        <f>IFERROR(CONCATENATE(Tabelle32[[#This Row],[Family
GFX-Unit]]," | ",Tabelle32[[#This Row],[Label 1
GFX-Unit]]," | ",Tabelle32[[#This Row],[Attached Device if Gateway]]),"")</f>
        <v>M3H InCh PGM | Ingest Ch39-06 | IngSRV-10</v>
      </c>
      <c r="AQ558" s="59"/>
      <c r="AR558" s="92"/>
      <c r="AS558" s="92"/>
      <c r="AT558" s="92"/>
      <c r="AU558" s="92"/>
      <c r="AV558" s="92"/>
      <c r="AW558" s="92" t="s">
        <v>97</v>
      </c>
      <c r="AX558" s="92"/>
      <c r="AY558" s="92"/>
      <c r="AZ558" s="92" t="s">
        <v>97</v>
      </c>
      <c r="BA558" s="92"/>
      <c r="BB558" s="92" t="s">
        <v>97</v>
      </c>
      <c r="BC558" s="92" t="s">
        <v>97</v>
      </c>
      <c r="BD558" s="92"/>
      <c r="BE558" s="92"/>
      <c r="BF558" s="92"/>
      <c r="BG558" s="92"/>
      <c r="BH558" s="73" t="s">
        <v>199</v>
      </c>
      <c r="BI558" s="30" t="str">
        <f>IF(COUNTA(Tabelle32[[#This Row],[Type:Vid_1080i50]:[Type:Anc_Prot]])&gt;0,"x","")</f>
        <v>x</v>
      </c>
      <c r="BJ55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58" s="59"/>
      <c r="BL558" s="59"/>
      <c r="BM558" s="63"/>
      <c r="BN558" s="63"/>
      <c r="BO558" s="93" t="s">
        <v>2684</v>
      </c>
      <c r="BP558" s="97" t="s">
        <v>2717</v>
      </c>
      <c r="BQ558" s="75">
        <f>LEN(Tabelle32[[#This Row],[Label 1
GFX-Unit]])</f>
        <v>14</v>
      </c>
      <c r="BR558" s="63"/>
      <c r="BS558" s="63"/>
      <c r="BT558" s="59"/>
      <c r="BU558" s="59"/>
      <c r="BV558" s="59" t="s">
        <v>234</v>
      </c>
      <c r="BW558" s="59" t="s">
        <v>235</v>
      </c>
      <c r="BX558" s="59" t="s">
        <v>1048</v>
      </c>
      <c r="BY558" s="59">
        <v>27</v>
      </c>
    </row>
    <row r="559" spans="1:77" x14ac:dyDescent="0.2">
      <c r="A559" s="58" t="str">
        <f>CONCATENATE(Tabelle32[[#This Row],[Device ID]],".",Tabelle32[[#This Row],[Streamcounter]])</f>
        <v>404.27207</v>
      </c>
      <c r="B55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VGW-103_SDI27_AUDrec_0007</v>
      </c>
      <c r="C559" s="60"/>
      <c r="D559" s="61"/>
      <c r="E559" s="62"/>
      <c r="F559" s="59" t="str">
        <f>IFERROR(VLOOKUP(Tabelle32[[#This Row],[Device ID]],BOM!$B$3:$BQ$35,16,FALSE),"")</f>
        <v>IngSRV-10</v>
      </c>
      <c r="G559" s="63">
        <f>VLOOKUP(Tabelle32[[#This Row],[SDI Interface]],BOM!$A$4:$B$35,2,FALSE)</f>
        <v>404</v>
      </c>
      <c r="H559" s="59" t="str">
        <f>BOM!$C$4</f>
        <v>VGW-103</v>
      </c>
      <c r="I559" s="59" t="str">
        <f>IFERROR(VLOOKUP(Tabelle32[[#This Row],[Device ID]],BOM!$B$3:$BQ$35,12,FALSE),"")</f>
        <v>Videoserver</v>
      </c>
      <c r="J559" s="59" t="str">
        <f>IFERROR(VLOOKUP(Tabelle32[[#This Row],[Device ID]],BOM!$B$3:$BQ$35,13,FALSE),"")</f>
        <v>TC.U1.223 | MDC</v>
      </c>
      <c r="K559" s="59" t="str">
        <f>IFERROR(VLOOKUP(Tabelle32[[#This Row],[Device ID]],BOM!$B$3:$BQ$35,14,FALSE),"")</f>
        <v>Imagine Comunications</v>
      </c>
      <c r="L559" s="59" t="str">
        <f>IFERROR(VLOOKUP(Tabelle32[[#This Row],[Device ID]],BOM!$B$3:$BQ$35,16,FALSE),"")</f>
        <v>IngSRV-10</v>
      </c>
      <c r="M559" s="63" t="str">
        <f>IFERROR(VLOOKUP(Tabelle32[[#This Row],[Device ID]],BOM!$B$3:$BQ$35,17,FALSE),"")</f>
        <v>M3H</v>
      </c>
      <c r="N559" s="59" t="str">
        <f>IFERROR(VLOOKUP(Tabelle32[[#This Row],[Device ID]],BOM!$B$3:$BQ$35,18,FALSE),"")</f>
        <v>TC.03.225 | M3H</v>
      </c>
      <c r="O559" s="64"/>
      <c r="P559" s="64">
        <f>IFERROR(VLOOKUP(Tabelle32[[#This Row],[Device ID]],BOM!$B$3:$BO$50,20,FALSE),"")</f>
        <v>0</v>
      </c>
      <c r="Q559" s="64">
        <f>IFERROR(VLOOKUP(Tabelle32[[#This Row],[Device ID]],BOM!$B$3:$BO$50,21,FALSE),"")</f>
        <v>1</v>
      </c>
      <c r="R559" s="64">
        <f>IFERROR(VLOOKUP(Tabelle32[[#This Row],[Device ID]],BOM!$B$3:$BO$50,22,FALSE),"")</f>
        <v>0</v>
      </c>
      <c r="S559" s="64"/>
      <c r="T559" s="64"/>
      <c r="U559" s="59" t="str">
        <f>IFERROR(VLOOKUP(Tabelle32[[#This Row],[Device ID]],BOM!$B$3:$BQ$35,25,FALSE),"")</f>
        <v>Luis/Ivo</v>
      </c>
      <c r="V559" s="59" t="str">
        <f>IFERROR(VLOOKUP(Tabelle32[[#This Row],[Device ID]],BOM!$B$3:$BQ$35,26,FALSE),"")</f>
        <v>tpco-megw-vgw103.rta.st-net.media.int</v>
      </c>
      <c r="W559" s="59" t="str">
        <f>IFERROR(VLOOKUP(Tabelle32[[#This Row],[Device ID]],BOM!$B$3:$BQ$35,27,FALSE),"")</f>
        <v>10.120.236.50</v>
      </c>
      <c r="X559" s="59" t="str">
        <f>IFERROR(VLOOKUP(Tabelle32[[#This Row],[Device ID]],BOM!$B$3:$BQ$35,28,FALSE),"")</f>
        <v>AVCoreA</v>
      </c>
      <c r="Y559" s="59" t="str">
        <f>IFERROR(VLOOKUP(Tabelle32[[#This Row],[Device ID]],BOM!$B$3:$BQ$35,29,FALSE),"")</f>
        <v>5_36_1</v>
      </c>
      <c r="Z559" s="59" t="str">
        <f>IFERROR(VLOOKUP(Tabelle32[[#This Row],[Device ID]],BOM!$B$3:$BQ$35,30,FALSE),"")</f>
        <v>tpco-megw-vgw103.rtb.st-net.media.int</v>
      </c>
      <c r="AA559" s="59" t="str">
        <f>IFERROR(VLOOKUP(Tabelle32[[#This Row],[Device ID]],BOM!$B$3:$BQ$35,31,FALSE),"")</f>
        <v>10.120.236.54</v>
      </c>
      <c r="AB559" s="59" t="str">
        <f>IFERROR(VLOOKUP(Tabelle32[[#This Row],[Device ID]],BOM!$B$3:$BQ$35,32,FALSE),"")</f>
        <v>AVCoreB</v>
      </c>
      <c r="AC559" s="59" t="str">
        <f>IFERROR(VLOOKUP(Tabelle32[[#This Row],[Device ID]],BOM!$B$3:$BQ$35,33,FALSE),"")</f>
        <v>5_36_1</v>
      </c>
      <c r="AD559" s="59" t="str">
        <f>IFERROR(VLOOKUP(Tabelle32[[#This Row],[Device ID]],BOM!$B$3:$BQ$35,34,FALSE),"")</f>
        <v>tpco-megw-vgw103.st-net.media.int</v>
      </c>
      <c r="AE559" s="59" t="str">
        <f>IFERROR(VLOOKUP(Tabelle32[[#This Row],[Device ID]],BOM!$B$3:$BQ$35,35,FALSE),"")</f>
        <v>10.120.67.141</v>
      </c>
      <c r="AF559" s="59">
        <f>IFERROR(VLOOKUP(Tabelle32[[#This Row],[Device ID]],BOM!$B$3:$BQ$35,36,FALSE),"")</f>
        <v>0</v>
      </c>
      <c r="AG559" s="59">
        <f>IFERROR(VLOOKUP(Tabelle32[[#This Row],[Device ID]],BOM!$B$3:$BQ$35,37,FALSE),"")</f>
        <v>0</v>
      </c>
      <c r="AH559" s="59"/>
      <c r="AI559" s="59"/>
      <c r="AJ559" s="59"/>
      <c r="AK559" s="59"/>
      <c r="AL559" s="59" t="str">
        <f>IFERROR(VLOOKUP(Tabelle32[[#This Row],[Device ID]],BOM!$B$3:$BQ$35,42,FALSE),"")</f>
        <v>Imagine Communications SNP</v>
      </c>
      <c r="AM559" s="59" t="str">
        <f>IFERROR(VLOOKUP(Tabelle32[[#This Row],[Device ID]],BOM!$B$3:$BQ$35,43,FALSE),"")</f>
        <v>no</v>
      </c>
      <c r="AN559" s="59" t="str">
        <f>IFERROR(VLOOKUP(Tabelle32[[#This Row],[Device ID]],BOM!$B$3:$BQ$35,44,FALSE),"")</f>
        <v>yes</v>
      </c>
      <c r="AO559" s="59" t="str">
        <f>IFERROR(VLOOKUP(Tabelle32[[#This Row],[Device ID]],BOM!$B$3:$BQ$35,45,FALSE),"")</f>
        <v>no</v>
      </c>
      <c r="AP559" s="59" t="str">
        <f>IFERROR(CONCATENATE(Tabelle32[[#This Row],[Family
GFX-Unit]]," | ",Tabelle32[[#This Row],[Label 1
GFX-Unit]]," | ",Tabelle32[[#This Row],[Attached Device if Gateway]]),"")</f>
        <v>M3H InCh PGM | Ingest Ch39-07 | IngSRV-10</v>
      </c>
      <c r="AQ559" s="59"/>
      <c r="AR559" s="92"/>
      <c r="AS559" s="92"/>
      <c r="AT559" s="92"/>
      <c r="AU559" s="92"/>
      <c r="AV559" s="92"/>
      <c r="AW559" s="92" t="s">
        <v>97</v>
      </c>
      <c r="AX559" s="92"/>
      <c r="AY559" s="92"/>
      <c r="AZ559" s="92" t="s">
        <v>97</v>
      </c>
      <c r="BA559" s="92"/>
      <c r="BB559" s="92" t="s">
        <v>97</v>
      </c>
      <c r="BC559" s="92" t="s">
        <v>97</v>
      </c>
      <c r="BD559" s="92"/>
      <c r="BE559" s="92"/>
      <c r="BF559" s="92"/>
      <c r="BG559" s="92"/>
      <c r="BH559" s="73" t="s">
        <v>199</v>
      </c>
      <c r="BI559" s="30" t="str">
        <f>IF(COUNTA(Tabelle32[[#This Row],[Type:Vid_1080i50]:[Type:Anc_Prot]])&gt;0,"x","")</f>
        <v>x</v>
      </c>
      <c r="BJ55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59" s="59"/>
      <c r="BL559" s="59"/>
      <c r="BM559" s="63"/>
      <c r="BN559" s="63"/>
      <c r="BO559" s="93" t="s">
        <v>2684</v>
      </c>
      <c r="BP559" s="97" t="s">
        <v>2718</v>
      </c>
      <c r="BQ559" s="75">
        <f>LEN(Tabelle32[[#This Row],[Label 1
GFX-Unit]])</f>
        <v>14</v>
      </c>
      <c r="BR559" s="63"/>
      <c r="BS559" s="63"/>
      <c r="BT559" s="59"/>
      <c r="BU559" s="59"/>
      <c r="BV559" s="59" t="s">
        <v>238</v>
      </c>
      <c r="BW559" s="59" t="s">
        <v>239</v>
      </c>
      <c r="BX559" s="59" t="s">
        <v>1049</v>
      </c>
      <c r="BY559" s="59">
        <v>27</v>
      </c>
    </row>
    <row r="560" spans="1:77" x14ac:dyDescent="0.2">
      <c r="A560" s="58" t="str">
        <f>CONCATENATE(Tabelle32[[#This Row],[Device ID]],".",Tabelle32[[#This Row],[Streamcounter]])</f>
        <v>404.27208</v>
      </c>
      <c r="B56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VGW-103_SDI27_AUDrec_0008</v>
      </c>
      <c r="C560" s="60"/>
      <c r="D560" s="61"/>
      <c r="E560" s="62"/>
      <c r="F560" s="59" t="str">
        <f>IFERROR(VLOOKUP(Tabelle32[[#This Row],[Device ID]],BOM!$B$3:$BQ$35,16,FALSE),"")</f>
        <v>IngSRV-10</v>
      </c>
      <c r="G560" s="63">
        <f>VLOOKUP(Tabelle32[[#This Row],[SDI Interface]],BOM!$A$4:$B$35,2,FALSE)</f>
        <v>404</v>
      </c>
      <c r="H560" s="59" t="str">
        <f>BOM!$C$4</f>
        <v>VGW-103</v>
      </c>
      <c r="I560" s="59" t="str">
        <f>IFERROR(VLOOKUP(Tabelle32[[#This Row],[Device ID]],BOM!$B$3:$BQ$35,12,FALSE),"")</f>
        <v>Videoserver</v>
      </c>
      <c r="J560" s="59" t="str">
        <f>IFERROR(VLOOKUP(Tabelle32[[#This Row],[Device ID]],BOM!$B$3:$BQ$35,13,FALSE),"")</f>
        <v>TC.U1.223 | MDC</v>
      </c>
      <c r="K560" s="59" t="str">
        <f>IFERROR(VLOOKUP(Tabelle32[[#This Row],[Device ID]],BOM!$B$3:$BQ$35,14,FALSE),"")</f>
        <v>Imagine Comunications</v>
      </c>
      <c r="L560" s="59" t="str">
        <f>IFERROR(VLOOKUP(Tabelle32[[#This Row],[Device ID]],BOM!$B$3:$BQ$35,16,FALSE),"")</f>
        <v>IngSRV-10</v>
      </c>
      <c r="M560" s="63" t="str">
        <f>IFERROR(VLOOKUP(Tabelle32[[#This Row],[Device ID]],BOM!$B$3:$BQ$35,17,FALSE),"")</f>
        <v>M3H</v>
      </c>
      <c r="N560" s="59" t="str">
        <f>IFERROR(VLOOKUP(Tabelle32[[#This Row],[Device ID]],BOM!$B$3:$BQ$35,18,FALSE),"")</f>
        <v>TC.03.225 | M3H</v>
      </c>
      <c r="O560" s="64"/>
      <c r="P560" s="64">
        <f>IFERROR(VLOOKUP(Tabelle32[[#This Row],[Device ID]],BOM!$B$3:$BO$50,20,FALSE),"")</f>
        <v>0</v>
      </c>
      <c r="Q560" s="64">
        <f>IFERROR(VLOOKUP(Tabelle32[[#This Row],[Device ID]],BOM!$B$3:$BO$50,21,FALSE),"")</f>
        <v>1</v>
      </c>
      <c r="R560" s="64">
        <f>IFERROR(VLOOKUP(Tabelle32[[#This Row],[Device ID]],BOM!$B$3:$BO$50,22,FALSE),"")</f>
        <v>0</v>
      </c>
      <c r="S560" s="64"/>
      <c r="T560" s="64"/>
      <c r="U560" s="59" t="str">
        <f>IFERROR(VLOOKUP(Tabelle32[[#This Row],[Device ID]],BOM!$B$3:$BQ$35,25,FALSE),"")</f>
        <v>Luis/Ivo</v>
      </c>
      <c r="V560" s="59" t="str">
        <f>IFERROR(VLOOKUP(Tabelle32[[#This Row],[Device ID]],BOM!$B$3:$BQ$35,26,FALSE),"")</f>
        <v>tpco-megw-vgw103.rta.st-net.media.int</v>
      </c>
      <c r="W560" s="59" t="str">
        <f>IFERROR(VLOOKUP(Tabelle32[[#This Row],[Device ID]],BOM!$B$3:$BQ$35,27,FALSE),"")</f>
        <v>10.120.236.50</v>
      </c>
      <c r="X560" s="59" t="str">
        <f>IFERROR(VLOOKUP(Tabelle32[[#This Row],[Device ID]],BOM!$B$3:$BQ$35,28,FALSE),"")</f>
        <v>AVCoreA</v>
      </c>
      <c r="Y560" s="59" t="str">
        <f>IFERROR(VLOOKUP(Tabelle32[[#This Row],[Device ID]],BOM!$B$3:$BQ$35,29,FALSE),"")</f>
        <v>5_36_1</v>
      </c>
      <c r="Z560" s="59" t="str">
        <f>IFERROR(VLOOKUP(Tabelle32[[#This Row],[Device ID]],BOM!$B$3:$BQ$35,30,FALSE),"")</f>
        <v>tpco-megw-vgw103.rtb.st-net.media.int</v>
      </c>
      <c r="AA560" s="59" t="str">
        <f>IFERROR(VLOOKUP(Tabelle32[[#This Row],[Device ID]],BOM!$B$3:$BQ$35,31,FALSE),"")</f>
        <v>10.120.236.54</v>
      </c>
      <c r="AB560" s="59" t="str">
        <f>IFERROR(VLOOKUP(Tabelle32[[#This Row],[Device ID]],BOM!$B$3:$BQ$35,32,FALSE),"")</f>
        <v>AVCoreB</v>
      </c>
      <c r="AC560" s="59" t="str">
        <f>IFERROR(VLOOKUP(Tabelle32[[#This Row],[Device ID]],BOM!$B$3:$BQ$35,33,FALSE),"")</f>
        <v>5_36_1</v>
      </c>
      <c r="AD560" s="59" t="str">
        <f>IFERROR(VLOOKUP(Tabelle32[[#This Row],[Device ID]],BOM!$B$3:$BQ$35,34,FALSE),"")</f>
        <v>tpco-megw-vgw103.st-net.media.int</v>
      </c>
      <c r="AE560" s="59" t="str">
        <f>IFERROR(VLOOKUP(Tabelle32[[#This Row],[Device ID]],BOM!$B$3:$BQ$35,35,FALSE),"")</f>
        <v>10.120.67.141</v>
      </c>
      <c r="AF560" s="59">
        <f>IFERROR(VLOOKUP(Tabelle32[[#This Row],[Device ID]],BOM!$B$3:$BQ$35,36,FALSE),"")</f>
        <v>0</v>
      </c>
      <c r="AG560" s="59">
        <f>IFERROR(VLOOKUP(Tabelle32[[#This Row],[Device ID]],BOM!$B$3:$BQ$35,37,FALSE),"")</f>
        <v>0</v>
      </c>
      <c r="AH560" s="59"/>
      <c r="AI560" s="59"/>
      <c r="AJ560" s="59"/>
      <c r="AK560" s="59"/>
      <c r="AL560" s="59" t="str">
        <f>IFERROR(VLOOKUP(Tabelle32[[#This Row],[Device ID]],BOM!$B$3:$BQ$35,42,FALSE),"")</f>
        <v>Imagine Communications SNP</v>
      </c>
      <c r="AM560" s="59" t="str">
        <f>IFERROR(VLOOKUP(Tabelle32[[#This Row],[Device ID]],BOM!$B$3:$BQ$35,43,FALSE),"")</f>
        <v>no</v>
      </c>
      <c r="AN560" s="59" t="str">
        <f>IFERROR(VLOOKUP(Tabelle32[[#This Row],[Device ID]],BOM!$B$3:$BQ$35,44,FALSE),"")</f>
        <v>yes</v>
      </c>
      <c r="AO560" s="59" t="str">
        <f>IFERROR(VLOOKUP(Tabelle32[[#This Row],[Device ID]],BOM!$B$3:$BQ$35,45,FALSE),"")</f>
        <v>no</v>
      </c>
      <c r="AP560" s="59" t="str">
        <f>IFERROR(CONCATENATE(Tabelle32[[#This Row],[Family
GFX-Unit]]," | ",Tabelle32[[#This Row],[Label 1
GFX-Unit]]," | ",Tabelle32[[#This Row],[Attached Device if Gateway]]),"")</f>
        <v>M3H InCh PGM | Ingest Ch39-08 | IngSRV-10</v>
      </c>
      <c r="AQ560" s="59"/>
      <c r="AR560" s="92"/>
      <c r="AS560" s="92"/>
      <c r="AT560" s="92"/>
      <c r="AU560" s="92"/>
      <c r="AV560" s="92"/>
      <c r="AW560" s="92" t="s">
        <v>97</v>
      </c>
      <c r="AX560" s="92"/>
      <c r="AY560" s="92"/>
      <c r="AZ560" s="92" t="s">
        <v>97</v>
      </c>
      <c r="BA560" s="92"/>
      <c r="BB560" s="92" t="s">
        <v>97</v>
      </c>
      <c r="BC560" s="92" t="s">
        <v>97</v>
      </c>
      <c r="BD560" s="92"/>
      <c r="BE560" s="92"/>
      <c r="BF560" s="92"/>
      <c r="BG560" s="92"/>
      <c r="BH560" s="73" t="s">
        <v>199</v>
      </c>
      <c r="BI560" s="30" t="str">
        <f>IF(COUNTA(Tabelle32[[#This Row],[Type:Vid_1080i50]:[Type:Anc_Prot]])&gt;0,"x","")</f>
        <v>x</v>
      </c>
      <c r="BJ56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60" s="59"/>
      <c r="BL560" s="59"/>
      <c r="BM560" s="63"/>
      <c r="BN560" s="63"/>
      <c r="BO560" s="93" t="s">
        <v>2684</v>
      </c>
      <c r="BP560" s="97" t="s">
        <v>2719</v>
      </c>
      <c r="BQ560" s="75">
        <f>LEN(Tabelle32[[#This Row],[Label 1
GFX-Unit]])</f>
        <v>14</v>
      </c>
      <c r="BR560" s="63"/>
      <c r="BS560" s="63"/>
      <c r="BT560" s="59"/>
      <c r="BU560" s="59"/>
      <c r="BV560" s="59" t="s">
        <v>242</v>
      </c>
      <c r="BW560" s="59" t="s">
        <v>243</v>
      </c>
      <c r="BX560" s="59" t="s">
        <v>1050</v>
      </c>
      <c r="BY560" s="59">
        <v>27</v>
      </c>
    </row>
    <row r="561" spans="1:77" x14ac:dyDescent="0.2">
      <c r="A561" s="58" t="str">
        <f>CONCATENATE(Tabelle32[[#This Row],[Device ID]],".",Tabelle32[[#This Row],[Streamcounter]])</f>
        <v>404.27209</v>
      </c>
      <c r="B56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VGW-103_SDI27_AUDrec_0009</v>
      </c>
      <c r="C561" s="60"/>
      <c r="D561" s="61"/>
      <c r="E561" s="62"/>
      <c r="F561" s="59" t="str">
        <f>IFERROR(VLOOKUP(Tabelle32[[#This Row],[Device ID]],BOM!$B$3:$BQ$35,16,FALSE),"")</f>
        <v>IngSRV-10</v>
      </c>
      <c r="G561" s="63">
        <f>VLOOKUP(Tabelle32[[#This Row],[SDI Interface]],BOM!$A$4:$B$35,2,FALSE)</f>
        <v>404</v>
      </c>
      <c r="H561" s="59" t="str">
        <f>BOM!$C$4</f>
        <v>VGW-103</v>
      </c>
      <c r="I561" s="59" t="str">
        <f>IFERROR(VLOOKUP(Tabelle32[[#This Row],[Device ID]],BOM!$B$3:$BQ$35,12,FALSE),"")</f>
        <v>Videoserver</v>
      </c>
      <c r="J561" s="59" t="str">
        <f>IFERROR(VLOOKUP(Tabelle32[[#This Row],[Device ID]],BOM!$B$3:$BQ$35,13,FALSE),"")</f>
        <v>TC.U1.223 | MDC</v>
      </c>
      <c r="K561" s="59" t="str">
        <f>IFERROR(VLOOKUP(Tabelle32[[#This Row],[Device ID]],BOM!$B$3:$BQ$35,14,FALSE),"")</f>
        <v>Imagine Comunications</v>
      </c>
      <c r="L561" s="59" t="str">
        <f>IFERROR(VLOOKUP(Tabelle32[[#This Row],[Device ID]],BOM!$B$3:$BQ$35,16,FALSE),"")</f>
        <v>IngSRV-10</v>
      </c>
      <c r="M561" s="63" t="str">
        <f>IFERROR(VLOOKUP(Tabelle32[[#This Row],[Device ID]],BOM!$B$3:$BQ$35,17,FALSE),"")</f>
        <v>M3H</v>
      </c>
      <c r="N561" s="59" t="str">
        <f>IFERROR(VLOOKUP(Tabelle32[[#This Row],[Device ID]],BOM!$B$3:$BQ$35,18,FALSE),"")</f>
        <v>TC.03.225 | M3H</v>
      </c>
      <c r="O561" s="64"/>
      <c r="P561" s="64">
        <f>IFERROR(VLOOKUP(Tabelle32[[#This Row],[Device ID]],BOM!$B$3:$BO$50,20,FALSE),"")</f>
        <v>0</v>
      </c>
      <c r="Q561" s="64">
        <f>IFERROR(VLOOKUP(Tabelle32[[#This Row],[Device ID]],BOM!$B$3:$BO$50,21,FALSE),"")</f>
        <v>1</v>
      </c>
      <c r="R561" s="64">
        <f>IFERROR(VLOOKUP(Tabelle32[[#This Row],[Device ID]],BOM!$B$3:$BO$50,22,FALSE),"")</f>
        <v>0</v>
      </c>
      <c r="S561" s="64"/>
      <c r="T561" s="64"/>
      <c r="U561" s="59" t="str">
        <f>IFERROR(VLOOKUP(Tabelle32[[#This Row],[Device ID]],BOM!$B$3:$BQ$35,25,FALSE),"")</f>
        <v>Luis/Ivo</v>
      </c>
      <c r="V561" s="59" t="str">
        <f>IFERROR(VLOOKUP(Tabelle32[[#This Row],[Device ID]],BOM!$B$3:$BQ$35,26,FALSE),"")</f>
        <v>tpco-megw-vgw103.rta.st-net.media.int</v>
      </c>
      <c r="W561" s="59" t="str">
        <f>IFERROR(VLOOKUP(Tabelle32[[#This Row],[Device ID]],BOM!$B$3:$BQ$35,27,FALSE),"")</f>
        <v>10.120.236.50</v>
      </c>
      <c r="X561" s="59" t="str">
        <f>IFERROR(VLOOKUP(Tabelle32[[#This Row],[Device ID]],BOM!$B$3:$BQ$35,28,FALSE),"")</f>
        <v>AVCoreA</v>
      </c>
      <c r="Y561" s="59" t="str">
        <f>IFERROR(VLOOKUP(Tabelle32[[#This Row],[Device ID]],BOM!$B$3:$BQ$35,29,FALSE),"")</f>
        <v>5_36_1</v>
      </c>
      <c r="Z561" s="59" t="str">
        <f>IFERROR(VLOOKUP(Tabelle32[[#This Row],[Device ID]],BOM!$B$3:$BQ$35,30,FALSE),"")</f>
        <v>tpco-megw-vgw103.rtb.st-net.media.int</v>
      </c>
      <c r="AA561" s="59" t="str">
        <f>IFERROR(VLOOKUP(Tabelle32[[#This Row],[Device ID]],BOM!$B$3:$BQ$35,31,FALSE),"")</f>
        <v>10.120.236.54</v>
      </c>
      <c r="AB561" s="59" t="str">
        <f>IFERROR(VLOOKUP(Tabelle32[[#This Row],[Device ID]],BOM!$B$3:$BQ$35,32,FALSE),"")</f>
        <v>AVCoreB</v>
      </c>
      <c r="AC561" s="59" t="str">
        <f>IFERROR(VLOOKUP(Tabelle32[[#This Row],[Device ID]],BOM!$B$3:$BQ$35,33,FALSE),"")</f>
        <v>5_36_1</v>
      </c>
      <c r="AD561" s="59" t="str">
        <f>IFERROR(VLOOKUP(Tabelle32[[#This Row],[Device ID]],BOM!$B$3:$BQ$35,34,FALSE),"")</f>
        <v>tpco-megw-vgw103.st-net.media.int</v>
      </c>
      <c r="AE561" s="59" t="str">
        <f>IFERROR(VLOOKUP(Tabelle32[[#This Row],[Device ID]],BOM!$B$3:$BQ$35,35,FALSE),"")</f>
        <v>10.120.67.141</v>
      </c>
      <c r="AF561" s="59">
        <f>IFERROR(VLOOKUP(Tabelle32[[#This Row],[Device ID]],BOM!$B$3:$BQ$35,36,FALSE),"")</f>
        <v>0</v>
      </c>
      <c r="AG561" s="59">
        <f>IFERROR(VLOOKUP(Tabelle32[[#This Row],[Device ID]],BOM!$B$3:$BQ$35,37,FALSE),"")</f>
        <v>0</v>
      </c>
      <c r="AH561" s="59"/>
      <c r="AI561" s="59"/>
      <c r="AJ561" s="59"/>
      <c r="AK561" s="59"/>
      <c r="AL561" s="59" t="str">
        <f>IFERROR(VLOOKUP(Tabelle32[[#This Row],[Device ID]],BOM!$B$3:$BQ$35,42,FALSE),"")</f>
        <v>Imagine Communications SNP</v>
      </c>
      <c r="AM561" s="59" t="str">
        <f>IFERROR(VLOOKUP(Tabelle32[[#This Row],[Device ID]],BOM!$B$3:$BQ$35,43,FALSE),"")</f>
        <v>no</v>
      </c>
      <c r="AN561" s="59" t="str">
        <f>IFERROR(VLOOKUP(Tabelle32[[#This Row],[Device ID]],BOM!$B$3:$BQ$35,44,FALSE),"")</f>
        <v>yes</v>
      </c>
      <c r="AO561" s="59" t="str">
        <f>IFERROR(VLOOKUP(Tabelle32[[#This Row],[Device ID]],BOM!$B$3:$BQ$35,45,FALSE),"")</f>
        <v>no</v>
      </c>
      <c r="AP561" s="59" t="str">
        <f>IFERROR(CONCATENATE(Tabelle32[[#This Row],[Family
GFX-Unit]]," | ",Tabelle32[[#This Row],[Label 1
GFX-Unit]]," | ",Tabelle32[[#This Row],[Attached Device if Gateway]]),"")</f>
        <v>M3H InCh PGM | Ingest Ch39-09 | IngSRV-10</v>
      </c>
      <c r="AQ561" s="59"/>
      <c r="AR561" s="92"/>
      <c r="AS561" s="92"/>
      <c r="AT561" s="92"/>
      <c r="AU561" s="92"/>
      <c r="AV561" s="92"/>
      <c r="AW561" s="92" t="s">
        <v>97</v>
      </c>
      <c r="AX561" s="92"/>
      <c r="AY561" s="92"/>
      <c r="AZ561" s="92" t="s">
        <v>97</v>
      </c>
      <c r="BA561" s="92"/>
      <c r="BB561" s="92" t="s">
        <v>97</v>
      </c>
      <c r="BC561" s="92" t="s">
        <v>97</v>
      </c>
      <c r="BD561" s="92"/>
      <c r="BE561" s="92"/>
      <c r="BF561" s="92"/>
      <c r="BG561" s="92"/>
      <c r="BH561" s="73" t="s">
        <v>199</v>
      </c>
      <c r="BI561" s="30" t="str">
        <f>IF(COUNTA(Tabelle32[[#This Row],[Type:Vid_1080i50]:[Type:Anc_Prot]])&gt;0,"x","")</f>
        <v>x</v>
      </c>
      <c r="BJ56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61" s="59"/>
      <c r="BL561" s="59"/>
      <c r="BM561" s="63"/>
      <c r="BN561" s="63"/>
      <c r="BO561" s="93" t="s">
        <v>2684</v>
      </c>
      <c r="BP561" s="97" t="s">
        <v>2720</v>
      </c>
      <c r="BQ561" s="75">
        <f>LEN(Tabelle32[[#This Row],[Label 1
GFX-Unit]])</f>
        <v>14</v>
      </c>
      <c r="BR561" s="63"/>
      <c r="BS561" s="63"/>
      <c r="BT561" s="59"/>
      <c r="BU561" s="59"/>
      <c r="BV561" s="59" t="s">
        <v>245</v>
      </c>
      <c r="BW561" s="59" t="s">
        <v>246</v>
      </c>
      <c r="BX561" s="59" t="s">
        <v>1051</v>
      </c>
      <c r="BY561" s="59">
        <v>27</v>
      </c>
    </row>
    <row r="562" spans="1:77" hidden="1" x14ac:dyDescent="0.2">
      <c r="A562" s="58" t="str">
        <f>CONCATENATE(Tabelle32[[#This Row],[Device ID]],".",Tabelle32[[#This Row],[Streamcounter]])</f>
        <v>404.27210</v>
      </c>
      <c r="B56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VGW-103_SDI27_AUDrec_0010</v>
      </c>
      <c r="C562" s="60"/>
      <c r="D562" s="61"/>
      <c r="E562" s="62"/>
      <c r="F562" s="59" t="str">
        <f>IFERROR(VLOOKUP(Tabelle32[[#This Row],[Device ID]],BOM!$B$3:$BQ$35,16,FALSE),"")</f>
        <v>IngSRV-10</v>
      </c>
      <c r="G562" s="63">
        <f>VLOOKUP(Tabelle32[[#This Row],[SDI Interface]],BOM!$A$4:$B$35,2,FALSE)</f>
        <v>404</v>
      </c>
      <c r="H562" s="59" t="str">
        <f>BOM!$C$4</f>
        <v>VGW-103</v>
      </c>
      <c r="I562" s="59" t="str">
        <f>IFERROR(VLOOKUP(Tabelle32[[#This Row],[Device ID]],BOM!$B$3:$BQ$35,12,FALSE),"")</f>
        <v>Videoserver</v>
      </c>
      <c r="J562" s="59" t="str">
        <f>IFERROR(VLOOKUP(Tabelle32[[#This Row],[Device ID]],BOM!$B$3:$BQ$35,13,FALSE),"")</f>
        <v>TC.U1.223 | MDC</v>
      </c>
      <c r="K562" s="59" t="str">
        <f>IFERROR(VLOOKUP(Tabelle32[[#This Row],[Device ID]],BOM!$B$3:$BQ$35,14,FALSE),"")</f>
        <v>Imagine Comunications</v>
      </c>
      <c r="L562" s="59" t="str">
        <f>IFERROR(VLOOKUP(Tabelle32[[#This Row],[Device ID]],BOM!$B$3:$BQ$35,16,FALSE),"")</f>
        <v>IngSRV-10</v>
      </c>
      <c r="M562" s="63" t="str">
        <f>IFERROR(VLOOKUP(Tabelle32[[#This Row],[Device ID]],BOM!$B$3:$BQ$35,17,FALSE),"")</f>
        <v>M3H</v>
      </c>
      <c r="N562" s="59" t="str">
        <f>IFERROR(VLOOKUP(Tabelle32[[#This Row],[Device ID]],BOM!$B$3:$BQ$35,18,FALSE),"")</f>
        <v>TC.03.225 | M3H</v>
      </c>
      <c r="O562" s="64"/>
      <c r="P562" s="64">
        <f>IFERROR(VLOOKUP(Tabelle32[[#This Row],[Device ID]],BOM!$B$3:$BO$50,20,FALSE),"")</f>
        <v>0</v>
      </c>
      <c r="Q562" s="64">
        <f>IFERROR(VLOOKUP(Tabelle32[[#This Row],[Device ID]],BOM!$B$3:$BO$50,21,FALSE),"")</f>
        <v>1</v>
      </c>
      <c r="R562" s="64">
        <f>IFERROR(VLOOKUP(Tabelle32[[#This Row],[Device ID]],BOM!$B$3:$BO$50,22,FALSE),"")</f>
        <v>0</v>
      </c>
      <c r="S562" s="64"/>
      <c r="T562" s="64"/>
      <c r="U562" s="59" t="str">
        <f>IFERROR(VLOOKUP(Tabelle32[[#This Row],[Device ID]],BOM!$B$3:$BQ$35,25,FALSE),"")</f>
        <v>Luis/Ivo</v>
      </c>
      <c r="V562" s="59" t="str">
        <f>IFERROR(VLOOKUP(Tabelle32[[#This Row],[Device ID]],BOM!$B$3:$BQ$35,26,FALSE),"")</f>
        <v>tpco-megw-vgw103.rta.st-net.media.int</v>
      </c>
      <c r="W562" s="59" t="str">
        <f>IFERROR(VLOOKUP(Tabelle32[[#This Row],[Device ID]],BOM!$B$3:$BQ$35,27,FALSE),"")</f>
        <v>10.120.236.50</v>
      </c>
      <c r="X562" s="59" t="str">
        <f>IFERROR(VLOOKUP(Tabelle32[[#This Row],[Device ID]],BOM!$B$3:$BQ$35,28,FALSE),"")</f>
        <v>AVCoreA</v>
      </c>
      <c r="Y562" s="59" t="str">
        <f>IFERROR(VLOOKUP(Tabelle32[[#This Row],[Device ID]],BOM!$B$3:$BQ$35,29,FALSE),"")</f>
        <v>5_36_1</v>
      </c>
      <c r="Z562" s="59" t="str">
        <f>IFERROR(VLOOKUP(Tabelle32[[#This Row],[Device ID]],BOM!$B$3:$BQ$35,30,FALSE),"")</f>
        <v>tpco-megw-vgw103.rtb.st-net.media.int</v>
      </c>
      <c r="AA562" s="59" t="str">
        <f>IFERROR(VLOOKUP(Tabelle32[[#This Row],[Device ID]],BOM!$B$3:$BQ$35,31,FALSE),"")</f>
        <v>10.120.236.54</v>
      </c>
      <c r="AB562" s="59" t="str">
        <f>IFERROR(VLOOKUP(Tabelle32[[#This Row],[Device ID]],BOM!$B$3:$BQ$35,32,FALSE),"")</f>
        <v>AVCoreB</v>
      </c>
      <c r="AC562" s="59" t="str">
        <f>IFERROR(VLOOKUP(Tabelle32[[#This Row],[Device ID]],BOM!$B$3:$BQ$35,33,FALSE),"")</f>
        <v>5_36_1</v>
      </c>
      <c r="AD562" s="59" t="str">
        <f>IFERROR(VLOOKUP(Tabelle32[[#This Row],[Device ID]],BOM!$B$3:$BQ$35,34,FALSE),"")</f>
        <v>tpco-megw-vgw103.st-net.media.int</v>
      </c>
      <c r="AE562" s="59" t="str">
        <f>IFERROR(VLOOKUP(Tabelle32[[#This Row],[Device ID]],BOM!$B$3:$BQ$35,35,FALSE),"")</f>
        <v>10.120.67.141</v>
      </c>
      <c r="AF562" s="59">
        <f>IFERROR(VLOOKUP(Tabelle32[[#This Row],[Device ID]],BOM!$B$3:$BQ$35,36,FALSE),"")</f>
        <v>0</v>
      </c>
      <c r="AG562" s="59">
        <f>IFERROR(VLOOKUP(Tabelle32[[#This Row],[Device ID]],BOM!$B$3:$BQ$35,37,FALSE),"")</f>
        <v>0</v>
      </c>
      <c r="AH562" s="59"/>
      <c r="AI562" s="59"/>
      <c r="AJ562" s="59"/>
      <c r="AK562" s="59"/>
      <c r="AL562" s="59" t="str">
        <f>IFERROR(VLOOKUP(Tabelle32[[#This Row],[Device ID]],BOM!$B$3:$BQ$35,42,FALSE),"")</f>
        <v>Imagine Communications SNP</v>
      </c>
      <c r="AM562" s="59" t="str">
        <f>IFERROR(VLOOKUP(Tabelle32[[#This Row],[Device ID]],BOM!$B$3:$BQ$35,43,FALSE),"")</f>
        <v>no</v>
      </c>
      <c r="AN562" s="59" t="str">
        <f>IFERROR(VLOOKUP(Tabelle32[[#This Row],[Device ID]],BOM!$B$3:$BQ$35,44,FALSE),"")</f>
        <v>yes</v>
      </c>
      <c r="AO562" s="59" t="str">
        <f>IFERROR(VLOOKUP(Tabelle32[[#This Row],[Device ID]],BOM!$B$3:$BQ$35,45,FALSE),"")</f>
        <v>no</v>
      </c>
      <c r="AP562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62" s="59"/>
      <c r="AR562" s="92"/>
      <c r="AS562" s="92"/>
      <c r="AT562" s="92"/>
      <c r="AU562" s="92"/>
      <c r="AV562" s="92"/>
      <c r="AW562" s="92"/>
      <c r="AX562" s="92"/>
      <c r="AY562" s="92"/>
      <c r="AZ562" s="92"/>
      <c r="BA562" s="92"/>
      <c r="BB562" s="92"/>
      <c r="BC562" s="92"/>
      <c r="BD562" s="92"/>
      <c r="BE562" s="92"/>
      <c r="BF562" s="92"/>
      <c r="BG562" s="92"/>
      <c r="BH562" s="73" t="s">
        <v>199</v>
      </c>
      <c r="BI562" s="30" t="str">
        <f>IF(COUNTA(Tabelle32[[#This Row],[Type:Vid_1080i50]:[Type:Anc_Prot]])&gt;0,"x","")</f>
        <v/>
      </c>
      <c r="BJ56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62" s="59"/>
      <c r="BL562" s="59"/>
      <c r="BM562" s="63"/>
      <c r="BN562" s="63"/>
      <c r="BO562" s="96"/>
      <c r="BP562" s="96"/>
      <c r="BQ562" s="75">
        <f>LEN(Tabelle32[[#This Row],[Label 1
GFX-Unit]])</f>
        <v>0</v>
      </c>
      <c r="BR562" s="63"/>
      <c r="BS562" s="63"/>
      <c r="BT562" s="59"/>
      <c r="BU562" s="59"/>
      <c r="BV562" s="59" t="s">
        <v>248</v>
      </c>
      <c r="BW562" s="59" t="s">
        <v>249</v>
      </c>
      <c r="BX562" s="59" t="s">
        <v>1052</v>
      </c>
      <c r="BY562" s="59">
        <v>27</v>
      </c>
    </row>
    <row r="563" spans="1:77" hidden="1" x14ac:dyDescent="0.2">
      <c r="A563" s="58" t="str">
        <f>CONCATENATE(Tabelle32[[#This Row],[Device ID]],".",Tabelle32[[#This Row],[Streamcounter]])</f>
        <v>404.27211</v>
      </c>
      <c r="B56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VGW-103_SDI27_AUDrec_0011</v>
      </c>
      <c r="C563" s="60"/>
      <c r="D563" s="61"/>
      <c r="E563" s="62"/>
      <c r="F563" s="59" t="str">
        <f>IFERROR(VLOOKUP(Tabelle32[[#This Row],[Device ID]],BOM!$B$3:$BQ$35,16,FALSE),"")</f>
        <v>IngSRV-10</v>
      </c>
      <c r="G563" s="63">
        <f>VLOOKUP(Tabelle32[[#This Row],[SDI Interface]],BOM!$A$4:$B$35,2,FALSE)</f>
        <v>404</v>
      </c>
      <c r="H563" s="59" t="str">
        <f>BOM!$C$4</f>
        <v>VGW-103</v>
      </c>
      <c r="I563" s="59" t="str">
        <f>IFERROR(VLOOKUP(Tabelle32[[#This Row],[Device ID]],BOM!$B$3:$BQ$35,12,FALSE),"")</f>
        <v>Videoserver</v>
      </c>
      <c r="J563" s="59" t="str">
        <f>IFERROR(VLOOKUP(Tabelle32[[#This Row],[Device ID]],BOM!$B$3:$BQ$35,13,FALSE),"")</f>
        <v>TC.U1.223 | MDC</v>
      </c>
      <c r="K563" s="59" t="str">
        <f>IFERROR(VLOOKUP(Tabelle32[[#This Row],[Device ID]],BOM!$B$3:$BQ$35,14,FALSE),"")</f>
        <v>Imagine Comunications</v>
      </c>
      <c r="L563" s="59" t="str">
        <f>IFERROR(VLOOKUP(Tabelle32[[#This Row],[Device ID]],BOM!$B$3:$BQ$35,16,FALSE),"")</f>
        <v>IngSRV-10</v>
      </c>
      <c r="M563" s="63" t="str">
        <f>IFERROR(VLOOKUP(Tabelle32[[#This Row],[Device ID]],BOM!$B$3:$BQ$35,17,FALSE),"")</f>
        <v>M3H</v>
      </c>
      <c r="N563" s="59" t="str">
        <f>IFERROR(VLOOKUP(Tabelle32[[#This Row],[Device ID]],BOM!$B$3:$BQ$35,18,FALSE),"")</f>
        <v>TC.03.225 | M3H</v>
      </c>
      <c r="O563" s="64"/>
      <c r="P563" s="64">
        <f>IFERROR(VLOOKUP(Tabelle32[[#This Row],[Device ID]],BOM!$B$3:$BO$50,20,FALSE),"")</f>
        <v>0</v>
      </c>
      <c r="Q563" s="64">
        <f>IFERROR(VLOOKUP(Tabelle32[[#This Row],[Device ID]],BOM!$B$3:$BO$50,21,FALSE),"")</f>
        <v>1</v>
      </c>
      <c r="R563" s="64">
        <f>IFERROR(VLOOKUP(Tabelle32[[#This Row],[Device ID]],BOM!$B$3:$BO$50,22,FALSE),"")</f>
        <v>0</v>
      </c>
      <c r="S563" s="64"/>
      <c r="T563" s="64"/>
      <c r="U563" s="59" t="str">
        <f>IFERROR(VLOOKUP(Tabelle32[[#This Row],[Device ID]],BOM!$B$3:$BQ$35,25,FALSE),"")</f>
        <v>Luis/Ivo</v>
      </c>
      <c r="V563" s="59" t="str">
        <f>IFERROR(VLOOKUP(Tabelle32[[#This Row],[Device ID]],BOM!$B$3:$BQ$35,26,FALSE),"")</f>
        <v>tpco-megw-vgw103.rta.st-net.media.int</v>
      </c>
      <c r="W563" s="59" t="str">
        <f>IFERROR(VLOOKUP(Tabelle32[[#This Row],[Device ID]],BOM!$B$3:$BQ$35,27,FALSE),"")</f>
        <v>10.120.236.50</v>
      </c>
      <c r="X563" s="59" t="str">
        <f>IFERROR(VLOOKUP(Tabelle32[[#This Row],[Device ID]],BOM!$B$3:$BQ$35,28,FALSE),"")</f>
        <v>AVCoreA</v>
      </c>
      <c r="Y563" s="59" t="str">
        <f>IFERROR(VLOOKUP(Tabelle32[[#This Row],[Device ID]],BOM!$B$3:$BQ$35,29,FALSE),"")</f>
        <v>5_36_1</v>
      </c>
      <c r="Z563" s="59" t="str">
        <f>IFERROR(VLOOKUP(Tabelle32[[#This Row],[Device ID]],BOM!$B$3:$BQ$35,30,FALSE),"")</f>
        <v>tpco-megw-vgw103.rtb.st-net.media.int</v>
      </c>
      <c r="AA563" s="59" t="str">
        <f>IFERROR(VLOOKUP(Tabelle32[[#This Row],[Device ID]],BOM!$B$3:$BQ$35,31,FALSE),"")</f>
        <v>10.120.236.54</v>
      </c>
      <c r="AB563" s="59" t="str">
        <f>IFERROR(VLOOKUP(Tabelle32[[#This Row],[Device ID]],BOM!$B$3:$BQ$35,32,FALSE),"")</f>
        <v>AVCoreB</v>
      </c>
      <c r="AC563" s="59" t="str">
        <f>IFERROR(VLOOKUP(Tabelle32[[#This Row],[Device ID]],BOM!$B$3:$BQ$35,33,FALSE),"")</f>
        <v>5_36_1</v>
      </c>
      <c r="AD563" s="59" t="str">
        <f>IFERROR(VLOOKUP(Tabelle32[[#This Row],[Device ID]],BOM!$B$3:$BQ$35,34,FALSE),"")</f>
        <v>tpco-megw-vgw103.st-net.media.int</v>
      </c>
      <c r="AE563" s="59" t="str">
        <f>IFERROR(VLOOKUP(Tabelle32[[#This Row],[Device ID]],BOM!$B$3:$BQ$35,35,FALSE),"")</f>
        <v>10.120.67.141</v>
      </c>
      <c r="AF563" s="59">
        <f>IFERROR(VLOOKUP(Tabelle32[[#This Row],[Device ID]],BOM!$B$3:$BQ$35,36,FALSE),"")</f>
        <v>0</v>
      </c>
      <c r="AG563" s="59">
        <f>IFERROR(VLOOKUP(Tabelle32[[#This Row],[Device ID]],BOM!$B$3:$BQ$35,37,FALSE),"")</f>
        <v>0</v>
      </c>
      <c r="AH563" s="59"/>
      <c r="AI563" s="59"/>
      <c r="AJ563" s="59"/>
      <c r="AK563" s="59"/>
      <c r="AL563" s="59" t="str">
        <f>IFERROR(VLOOKUP(Tabelle32[[#This Row],[Device ID]],BOM!$B$3:$BQ$35,42,FALSE),"")</f>
        <v>Imagine Communications SNP</v>
      </c>
      <c r="AM563" s="59" t="str">
        <f>IFERROR(VLOOKUP(Tabelle32[[#This Row],[Device ID]],BOM!$B$3:$BQ$35,43,FALSE),"")</f>
        <v>no</v>
      </c>
      <c r="AN563" s="59" t="str">
        <f>IFERROR(VLOOKUP(Tabelle32[[#This Row],[Device ID]],BOM!$B$3:$BQ$35,44,FALSE),"")</f>
        <v>yes</v>
      </c>
      <c r="AO563" s="59" t="str">
        <f>IFERROR(VLOOKUP(Tabelle32[[#This Row],[Device ID]],BOM!$B$3:$BQ$35,45,FALSE),"")</f>
        <v>no</v>
      </c>
      <c r="AP563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63" s="59"/>
      <c r="AR563" s="92"/>
      <c r="AS563" s="92"/>
      <c r="AT563" s="92"/>
      <c r="AU563" s="92"/>
      <c r="AV563" s="92"/>
      <c r="AW563" s="92"/>
      <c r="AX563" s="92"/>
      <c r="AY563" s="92"/>
      <c r="AZ563" s="92"/>
      <c r="BA563" s="92"/>
      <c r="BB563" s="92"/>
      <c r="BC563" s="92"/>
      <c r="BD563" s="92"/>
      <c r="BE563" s="92"/>
      <c r="BF563" s="92"/>
      <c r="BG563" s="92"/>
      <c r="BH563" s="73" t="s">
        <v>199</v>
      </c>
      <c r="BI563" s="30" t="str">
        <f>IF(COUNTA(Tabelle32[[#This Row],[Type:Vid_1080i50]:[Type:Anc_Prot]])&gt;0,"x","")</f>
        <v/>
      </c>
      <c r="BJ56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63" s="59"/>
      <c r="BL563" s="59"/>
      <c r="BM563" s="63"/>
      <c r="BN563" s="63"/>
      <c r="BO563" s="96"/>
      <c r="BP563" s="96"/>
      <c r="BQ563" s="75">
        <f>LEN(Tabelle32[[#This Row],[Label 1
GFX-Unit]])</f>
        <v>0</v>
      </c>
      <c r="BR563" s="63"/>
      <c r="BS563" s="63"/>
      <c r="BT563" s="59"/>
      <c r="BU563" s="59"/>
      <c r="BV563" s="59" t="s">
        <v>251</v>
      </c>
      <c r="BW563" s="59" t="s">
        <v>252</v>
      </c>
      <c r="BX563" s="59" t="s">
        <v>1053</v>
      </c>
      <c r="BY563" s="59">
        <v>27</v>
      </c>
    </row>
    <row r="564" spans="1:77" hidden="1" x14ac:dyDescent="0.2">
      <c r="A564" s="58" t="str">
        <f>CONCATENATE(Tabelle32[[#This Row],[Device ID]],".",Tabelle32[[#This Row],[Streamcounter]])</f>
        <v>404.27212</v>
      </c>
      <c r="B56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VGW-103_SDI27_AUDrec_0012</v>
      </c>
      <c r="C564" s="60"/>
      <c r="D564" s="61"/>
      <c r="E564" s="62"/>
      <c r="F564" s="59" t="str">
        <f>IFERROR(VLOOKUP(Tabelle32[[#This Row],[Device ID]],BOM!$B$3:$BQ$35,16,FALSE),"")</f>
        <v>IngSRV-10</v>
      </c>
      <c r="G564" s="63">
        <f>VLOOKUP(Tabelle32[[#This Row],[SDI Interface]],BOM!$A$4:$B$35,2,FALSE)</f>
        <v>404</v>
      </c>
      <c r="H564" s="59" t="str">
        <f>BOM!$C$4</f>
        <v>VGW-103</v>
      </c>
      <c r="I564" s="59" t="str">
        <f>IFERROR(VLOOKUP(Tabelle32[[#This Row],[Device ID]],BOM!$B$3:$BQ$35,12,FALSE),"")</f>
        <v>Videoserver</v>
      </c>
      <c r="J564" s="59" t="str">
        <f>IFERROR(VLOOKUP(Tabelle32[[#This Row],[Device ID]],BOM!$B$3:$BQ$35,13,FALSE),"")</f>
        <v>TC.U1.223 | MDC</v>
      </c>
      <c r="K564" s="59" t="str">
        <f>IFERROR(VLOOKUP(Tabelle32[[#This Row],[Device ID]],BOM!$B$3:$BQ$35,14,FALSE),"")</f>
        <v>Imagine Comunications</v>
      </c>
      <c r="L564" s="59" t="str">
        <f>IFERROR(VLOOKUP(Tabelle32[[#This Row],[Device ID]],BOM!$B$3:$BQ$35,16,FALSE),"")</f>
        <v>IngSRV-10</v>
      </c>
      <c r="M564" s="63" t="str">
        <f>IFERROR(VLOOKUP(Tabelle32[[#This Row],[Device ID]],BOM!$B$3:$BQ$35,17,FALSE),"")</f>
        <v>M3H</v>
      </c>
      <c r="N564" s="59" t="str">
        <f>IFERROR(VLOOKUP(Tabelle32[[#This Row],[Device ID]],BOM!$B$3:$BQ$35,18,FALSE),"")</f>
        <v>TC.03.225 | M3H</v>
      </c>
      <c r="O564" s="64"/>
      <c r="P564" s="64">
        <f>IFERROR(VLOOKUP(Tabelle32[[#This Row],[Device ID]],BOM!$B$3:$BO$50,20,FALSE),"")</f>
        <v>0</v>
      </c>
      <c r="Q564" s="64">
        <f>IFERROR(VLOOKUP(Tabelle32[[#This Row],[Device ID]],BOM!$B$3:$BO$50,21,FALSE),"")</f>
        <v>1</v>
      </c>
      <c r="R564" s="64">
        <f>IFERROR(VLOOKUP(Tabelle32[[#This Row],[Device ID]],BOM!$B$3:$BO$50,22,FALSE),"")</f>
        <v>0</v>
      </c>
      <c r="S564" s="64"/>
      <c r="T564" s="64"/>
      <c r="U564" s="59" t="str">
        <f>IFERROR(VLOOKUP(Tabelle32[[#This Row],[Device ID]],BOM!$B$3:$BQ$35,25,FALSE),"")</f>
        <v>Luis/Ivo</v>
      </c>
      <c r="V564" s="59" t="str">
        <f>IFERROR(VLOOKUP(Tabelle32[[#This Row],[Device ID]],BOM!$B$3:$BQ$35,26,FALSE),"")</f>
        <v>tpco-megw-vgw103.rta.st-net.media.int</v>
      </c>
      <c r="W564" s="59" t="str">
        <f>IFERROR(VLOOKUP(Tabelle32[[#This Row],[Device ID]],BOM!$B$3:$BQ$35,27,FALSE),"")</f>
        <v>10.120.236.50</v>
      </c>
      <c r="X564" s="59" t="str">
        <f>IFERROR(VLOOKUP(Tabelle32[[#This Row],[Device ID]],BOM!$B$3:$BQ$35,28,FALSE),"")</f>
        <v>AVCoreA</v>
      </c>
      <c r="Y564" s="59" t="str">
        <f>IFERROR(VLOOKUP(Tabelle32[[#This Row],[Device ID]],BOM!$B$3:$BQ$35,29,FALSE),"")</f>
        <v>5_36_1</v>
      </c>
      <c r="Z564" s="59" t="str">
        <f>IFERROR(VLOOKUP(Tabelle32[[#This Row],[Device ID]],BOM!$B$3:$BQ$35,30,FALSE),"")</f>
        <v>tpco-megw-vgw103.rtb.st-net.media.int</v>
      </c>
      <c r="AA564" s="59" t="str">
        <f>IFERROR(VLOOKUP(Tabelle32[[#This Row],[Device ID]],BOM!$B$3:$BQ$35,31,FALSE),"")</f>
        <v>10.120.236.54</v>
      </c>
      <c r="AB564" s="59" t="str">
        <f>IFERROR(VLOOKUP(Tabelle32[[#This Row],[Device ID]],BOM!$B$3:$BQ$35,32,FALSE),"")</f>
        <v>AVCoreB</v>
      </c>
      <c r="AC564" s="59" t="str">
        <f>IFERROR(VLOOKUP(Tabelle32[[#This Row],[Device ID]],BOM!$B$3:$BQ$35,33,FALSE),"")</f>
        <v>5_36_1</v>
      </c>
      <c r="AD564" s="59" t="str">
        <f>IFERROR(VLOOKUP(Tabelle32[[#This Row],[Device ID]],BOM!$B$3:$BQ$35,34,FALSE),"")</f>
        <v>tpco-megw-vgw103.st-net.media.int</v>
      </c>
      <c r="AE564" s="59" t="str">
        <f>IFERROR(VLOOKUP(Tabelle32[[#This Row],[Device ID]],BOM!$B$3:$BQ$35,35,FALSE),"")</f>
        <v>10.120.67.141</v>
      </c>
      <c r="AF564" s="59">
        <f>IFERROR(VLOOKUP(Tabelle32[[#This Row],[Device ID]],BOM!$B$3:$BQ$35,36,FALSE),"")</f>
        <v>0</v>
      </c>
      <c r="AG564" s="59">
        <f>IFERROR(VLOOKUP(Tabelle32[[#This Row],[Device ID]],BOM!$B$3:$BQ$35,37,FALSE),"")</f>
        <v>0</v>
      </c>
      <c r="AH564" s="59"/>
      <c r="AI564" s="59"/>
      <c r="AJ564" s="59"/>
      <c r="AK564" s="59"/>
      <c r="AL564" s="59" t="str">
        <f>IFERROR(VLOOKUP(Tabelle32[[#This Row],[Device ID]],BOM!$B$3:$BQ$35,42,FALSE),"")</f>
        <v>Imagine Communications SNP</v>
      </c>
      <c r="AM564" s="59" t="str">
        <f>IFERROR(VLOOKUP(Tabelle32[[#This Row],[Device ID]],BOM!$B$3:$BQ$35,43,FALSE),"")</f>
        <v>no</v>
      </c>
      <c r="AN564" s="59" t="str">
        <f>IFERROR(VLOOKUP(Tabelle32[[#This Row],[Device ID]],BOM!$B$3:$BQ$35,44,FALSE),"")</f>
        <v>yes</v>
      </c>
      <c r="AO564" s="59" t="str">
        <f>IFERROR(VLOOKUP(Tabelle32[[#This Row],[Device ID]],BOM!$B$3:$BQ$35,45,FALSE),"")</f>
        <v>no</v>
      </c>
      <c r="AP564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64" s="59"/>
      <c r="AR564" s="92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73" t="s">
        <v>199</v>
      </c>
      <c r="BI564" s="30" t="str">
        <f>IF(COUNTA(Tabelle32[[#This Row],[Type:Vid_1080i50]:[Type:Anc_Prot]])&gt;0,"x","")</f>
        <v/>
      </c>
      <c r="BJ56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64" s="59"/>
      <c r="BL564" s="59"/>
      <c r="BM564" s="63"/>
      <c r="BN564" s="63"/>
      <c r="BO564" s="96"/>
      <c r="BP564" s="96"/>
      <c r="BQ564" s="75">
        <f>LEN(Tabelle32[[#This Row],[Label 1
GFX-Unit]])</f>
        <v>0</v>
      </c>
      <c r="BR564" s="63"/>
      <c r="BS564" s="63"/>
      <c r="BT564" s="59"/>
      <c r="BU564" s="59"/>
      <c r="BV564" s="59" t="s">
        <v>254</v>
      </c>
      <c r="BW564" s="59" t="s">
        <v>255</v>
      </c>
      <c r="BX564" s="59" t="s">
        <v>1054</v>
      </c>
      <c r="BY564" s="59">
        <v>27</v>
      </c>
    </row>
    <row r="565" spans="1:77" hidden="1" x14ac:dyDescent="0.2">
      <c r="A565" s="58" t="str">
        <f>CONCATENATE(Tabelle32[[#This Row],[Device ID]],".",Tabelle32[[#This Row],[Streamcounter]])</f>
        <v>404.27213</v>
      </c>
      <c r="B56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VGW-103_SDI27_AUDrec_0013</v>
      </c>
      <c r="C565" s="60"/>
      <c r="D565" s="61"/>
      <c r="E565" s="62"/>
      <c r="F565" s="59" t="str">
        <f>IFERROR(VLOOKUP(Tabelle32[[#This Row],[Device ID]],BOM!$B$3:$BQ$35,16,FALSE),"")</f>
        <v>IngSRV-10</v>
      </c>
      <c r="G565" s="63">
        <f>VLOOKUP(Tabelle32[[#This Row],[SDI Interface]],BOM!$A$4:$B$35,2,FALSE)</f>
        <v>404</v>
      </c>
      <c r="H565" s="59" t="str">
        <f>BOM!$C$4</f>
        <v>VGW-103</v>
      </c>
      <c r="I565" s="59" t="str">
        <f>IFERROR(VLOOKUP(Tabelle32[[#This Row],[Device ID]],BOM!$B$3:$BQ$35,12,FALSE),"")</f>
        <v>Videoserver</v>
      </c>
      <c r="J565" s="59" t="str">
        <f>IFERROR(VLOOKUP(Tabelle32[[#This Row],[Device ID]],BOM!$B$3:$BQ$35,13,FALSE),"")</f>
        <v>TC.U1.223 | MDC</v>
      </c>
      <c r="K565" s="59" t="str">
        <f>IFERROR(VLOOKUP(Tabelle32[[#This Row],[Device ID]],BOM!$B$3:$BQ$35,14,FALSE),"")</f>
        <v>Imagine Comunications</v>
      </c>
      <c r="L565" s="59" t="str">
        <f>IFERROR(VLOOKUP(Tabelle32[[#This Row],[Device ID]],BOM!$B$3:$BQ$35,16,FALSE),"")</f>
        <v>IngSRV-10</v>
      </c>
      <c r="M565" s="63" t="str">
        <f>IFERROR(VLOOKUP(Tabelle32[[#This Row],[Device ID]],BOM!$B$3:$BQ$35,17,FALSE),"")</f>
        <v>M3H</v>
      </c>
      <c r="N565" s="59" t="str">
        <f>IFERROR(VLOOKUP(Tabelle32[[#This Row],[Device ID]],BOM!$B$3:$BQ$35,18,FALSE),"")</f>
        <v>TC.03.225 | M3H</v>
      </c>
      <c r="O565" s="64"/>
      <c r="P565" s="64">
        <f>IFERROR(VLOOKUP(Tabelle32[[#This Row],[Device ID]],BOM!$B$3:$BO$50,20,FALSE),"")</f>
        <v>0</v>
      </c>
      <c r="Q565" s="64">
        <f>IFERROR(VLOOKUP(Tabelle32[[#This Row],[Device ID]],BOM!$B$3:$BO$50,21,FALSE),"")</f>
        <v>1</v>
      </c>
      <c r="R565" s="64">
        <f>IFERROR(VLOOKUP(Tabelle32[[#This Row],[Device ID]],BOM!$B$3:$BO$50,22,FALSE),"")</f>
        <v>0</v>
      </c>
      <c r="S565" s="64"/>
      <c r="T565" s="64"/>
      <c r="U565" s="59" t="str">
        <f>IFERROR(VLOOKUP(Tabelle32[[#This Row],[Device ID]],BOM!$B$3:$BQ$35,25,FALSE),"")</f>
        <v>Luis/Ivo</v>
      </c>
      <c r="V565" s="59" t="str">
        <f>IFERROR(VLOOKUP(Tabelle32[[#This Row],[Device ID]],BOM!$B$3:$BQ$35,26,FALSE),"")</f>
        <v>tpco-megw-vgw103.rta.st-net.media.int</v>
      </c>
      <c r="W565" s="59" t="str">
        <f>IFERROR(VLOOKUP(Tabelle32[[#This Row],[Device ID]],BOM!$B$3:$BQ$35,27,FALSE),"")</f>
        <v>10.120.236.50</v>
      </c>
      <c r="X565" s="59" t="str">
        <f>IFERROR(VLOOKUP(Tabelle32[[#This Row],[Device ID]],BOM!$B$3:$BQ$35,28,FALSE),"")</f>
        <v>AVCoreA</v>
      </c>
      <c r="Y565" s="59" t="str">
        <f>IFERROR(VLOOKUP(Tabelle32[[#This Row],[Device ID]],BOM!$B$3:$BQ$35,29,FALSE),"")</f>
        <v>5_36_1</v>
      </c>
      <c r="Z565" s="59" t="str">
        <f>IFERROR(VLOOKUP(Tabelle32[[#This Row],[Device ID]],BOM!$B$3:$BQ$35,30,FALSE),"")</f>
        <v>tpco-megw-vgw103.rtb.st-net.media.int</v>
      </c>
      <c r="AA565" s="59" t="str">
        <f>IFERROR(VLOOKUP(Tabelle32[[#This Row],[Device ID]],BOM!$B$3:$BQ$35,31,FALSE),"")</f>
        <v>10.120.236.54</v>
      </c>
      <c r="AB565" s="59" t="str">
        <f>IFERROR(VLOOKUP(Tabelle32[[#This Row],[Device ID]],BOM!$B$3:$BQ$35,32,FALSE),"")</f>
        <v>AVCoreB</v>
      </c>
      <c r="AC565" s="59" t="str">
        <f>IFERROR(VLOOKUP(Tabelle32[[#This Row],[Device ID]],BOM!$B$3:$BQ$35,33,FALSE),"")</f>
        <v>5_36_1</v>
      </c>
      <c r="AD565" s="59" t="str">
        <f>IFERROR(VLOOKUP(Tabelle32[[#This Row],[Device ID]],BOM!$B$3:$BQ$35,34,FALSE),"")</f>
        <v>tpco-megw-vgw103.st-net.media.int</v>
      </c>
      <c r="AE565" s="59" t="str">
        <f>IFERROR(VLOOKUP(Tabelle32[[#This Row],[Device ID]],BOM!$B$3:$BQ$35,35,FALSE),"")</f>
        <v>10.120.67.141</v>
      </c>
      <c r="AF565" s="59">
        <f>IFERROR(VLOOKUP(Tabelle32[[#This Row],[Device ID]],BOM!$B$3:$BQ$35,36,FALSE),"")</f>
        <v>0</v>
      </c>
      <c r="AG565" s="59">
        <f>IFERROR(VLOOKUP(Tabelle32[[#This Row],[Device ID]],BOM!$B$3:$BQ$35,37,FALSE),"")</f>
        <v>0</v>
      </c>
      <c r="AH565" s="59"/>
      <c r="AI565" s="59"/>
      <c r="AJ565" s="59"/>
      <c r="AK565" s="59"/>
      <c r="AL565" s="59" t="str">
        <f>IFERROR(VLOOKUP(Tabelle32[[#This Row],[Device ID]],BOM!$B$3:$BQ$35,42,FALSE),"")</f>
        <v>Imagine Communications SNP</v>
      </c>
      <c r="AM565" s="59" t="str">
        <f>IFERROR(VLOOKUP(Tabelle32[[#This Row],[Device ID]],BOM!$B$3:$BQ$35,43,FALSE),"")</f>
        <v>no</v>
      </c>
      <c r="AN565" s="59" t="str">
        <f>IFERROR(VLOOKUP(Tabelle32[[#This Row],[Device ID]],BOM!$B$3:$BQ$35,44,FALSE),"")</f>
        <v>yes</v>
      </c>
      <c r="AO565" s="59" t="str">
        <f>IFERROR(VLOOKUP(Tabelle32[[#This Row],[Device ID]],BOM!$B$3:$BQ$35,45,FALSE),"")</f>
        <v>no</v>
      </c>
      <c r="AP565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65" s="59"/>
      <c r="AR565" s="92"/>
      <c r="AS565" s="92"/>
      <c r="AT565" s="92"/>
      <c r="AU565" s="92"/>
      <c r="AV565" s="92"/>
      <c r="AW565" s="92"/>
      <c r="AX565" s="92"/>
      <c r="AY565" s="92"/>
      <c r="AZ565" s="92"/>
      <c r="BA565" s="92"/>
      <c r="BB565" s="92"/>
      <c r="BC565" s="92"/>
      <c r="BD565" s="92"/>
      <c r="BE565" s="92"/>
      <c r="BF565" s="92"/>
      <c r="BG565" s="92"/>
      <c r="BH565" s="73" t="s">
        <v>199</v>
      </c>
      <c r="BI565" s="30" t="str">
        <f>IF(COUNTA(Tabelle32[[#This Row],[Type:Vid_1080i50]:[Type:Anc_Prot]])&gt;0,"x","")</f>
        <v/>
      </c>
      <c r="BJ56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65" s="59"/>
      <c r="BL565" s="59"/>
      <c r="BM565" s="63"/>
      <c r="BN565" s="63"/>
      <c r="BO565" s="96"/>
      <c r="BP565" s="96"/>
      <c r="BQ565" s="75">
        <f>LEN(Tabelle32[[#This Row],[Label 1
GFX-Unit]])</f>
        <v>0</v>
      </c>
      <c r="BR565" s="63"/>
      <c r="BS565" s="63"/>
      <c r="BT565" s="59"/>
      <c r="BU565" s="59"/>
      <c r="BV565" s="59" t="s">
        <v>257</v>
      </c>
      <c r="BW565" s="59" t="s">
        <v>258</v>
      </c>
      <c r="BX565" s="59" t="s">
        <v>1055</v>
      </c>
      <c r="BY565" s="59">
        <v>27</v>
      </c>
    </row>
    <row r="566" spans="1:77" hidden="1" x14ac:dyDescent="0.2">
      <c r="A566" s="58" t="str">
        <f>CONCATENATE(Tabelle32[[#This Row],[Device ID]],".",Tabelle32[[#This Row],[Streamcounter]])</f>
        <v>404.27214</v>
      </c>
      <c r="B56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VGW-103_SDI27_AUDrec_0014</v>
      </c>
      <c r="C566" s="60"/>
      <c r="D566" s="61"/>
      <c r="E566" s="62"/>
      <c r="F566" s="59" t="str">
        <f>IFERROR(VLOOKUP(Tabelle32[[#This Row],[Device ID]],BOM!$B$3:$BQ$35,16,FALSE),"")</f>
        <v>IngSRV-10</v>
      </c>
      <c r="G566" s="63">
        <f>VLOOKUP(Tabelle32[[#This Row],[SDI Interface]],BOM!$A$4:$B$35,2,FALSE)</f>
        <v>404</v>
      </c>
      <c r="H566" s="59" t="str">
        <f>BOM!$C$4</f>
        <v>VGW-103</v>
      </c>
      <c r="I566" s="59" t="str">
        <f>IFERROR(VLOOKUP(Tabelle32[[#This Row],[Device ID]],BOM!$B$3:$BQ$35,12,FALSE),"")</f>
        <v>Videoserver</v>
      </c>
      <c r="J566" s="59" t="str">
        <f>IFERROR(VLOOKUP(Tabelle32[[#This Row],[Device ID]],BOM!$B$3:$BQ$35,13,FALSE),"")</f>
        <v>TC.U1.223 | MDC</v>
      </c>
      <c r="K566" s="59" t="str">
        <f>IFERROR(VLOOKUP(Tabelle32[[#This Row],[Device ID]],BOM!$B$3:$BQ$35,14,FALSE),"")</f>
        <v>Imagine Comunications</v>
      </c>
      <c r="L566" s="59" t="str">
        <f>IFERROR(VLOOKUP(Tabelle32[[#This Row],[Device ID]],BOM!$B$3:$BQ$35,16,FALSE),"")</f>
        <v>IngSRV-10</v>
      </c>
      <c r="M566" s="63" t="str">
        <f>IFERROR(VLOOKUP(Tabelle32[[#This Row],[Device ID]],BOM!$B$3:$BQ$35,17,FALSE),"")</f>
        <v>M3H</v>
      </c>
      <c r="N566" s="59" t="str">
        <f>IFERROR(VLOOKUP(Tabelle32[[#This Row],[Device ID]],BOM!$B$3:$BQ$35,18,FALSE),"")</f>
        <v>TC.03.225 | M3H</v>
      </c>
      <c r="O566" s="64"/>
      <c r="P566" s="64">
        <f>IFERROR(VLOOKUP(Tabelle32[[#This Row],[Device ID]],BOM!$B$3:$BO$50,20,FALSE),"")</f>
        <v>0</v>
      </c>
      <c r="Q566" s="64">
        <f>IFERROR(VLOOKUP(Tabelle32[[#This Row],[Device ID]],BOM!$B$3:$BO$50,21,FALSE),"")</f>
        <v>1</v>
      </c>
      <c r="R566" s="64">
        <f>IFERROR(VLOOKUP(Tabelle32[[#This Row],[Device ID]],BOM!$B$3:$BO$50,22,FALSE),"")</f>
        <v>0</v>
      </c>
      <c r="S566" s="64"/>
      <c r="T566" s="64"/>
      <c r="U566" s="59" t="str">
        <f>IFERROR(VLOOKUP(Tabelle32[[#This Row],[Device ID]],BOM!$B$3:$BQ$35,25,FALSE),"")</f>
        <v>Luis/Ivo</v>
      </c>
      <c r="V566" s="59" t="str">
        <f>IFERROR(VLOOKUP(Tabelle32[[#This Row],[Device ID]],BOM!$B$3:$BQ$35,26,FALSE),"")</f>
        <v>tpco-megw-vgw103.rta.st-net.media.int</v>
      </c>
      <c r="W566" s="59" t="str">
        <f>IFERROR(VLOOKUP(Tabelle32[[#This Row],[Device ID]],BOM!$B$3:$BQ$35,27,FALSE),"")</f>
        <v>10.120.236.50</v>
      </c>
      <c r="X566" s="59" t="str">
        <f>IFERROR(VLOOKUP(Tabelle32[[#This Row],[Device ID]],BOM!$B$3:$BQ$35,28,FALSE),"")</f>
        <v>AVCoreA</v>
      </c>
      <c r="Y566" s="59" t="str">
        <f>IFERROR(VLOOKUP(Tabelle32[[#This Row],[Device ID]],BOM!$B$3:$BQ$35,29,FALSE),"")</f>
        <v>5_36_1</v>
      </c>
      <c r="Z566" s="59" t="str">
        <f>IFERROR(VLOOKUP(Tabelle32[[#This Row],[Device ID]],BOM!$B$3:$BQ$35,30,FALSE),"")</f>
        <v>tpco-megw-vgw103.rtb.st-net.media.int</v>
      </c>
      <c r="AA566" s="59" t="str">
        <f>IFERROR(VLOOKUP(Tabelle32[[#This Row],[Device ID]],BOM!$B$3:$BQ$35,31,FALSE),"")</f>
        <v>10.120.236.54</v>
      </c>
      <c r="AB566" s="59" t="str">
        <f>IFERROR(VLOOKUP(Tabelle32[[#This Row],[Device ID]],BOM!$B$3:$BQ$35,32,FALSE),"")</f>
        <v>AVCoreB</v>
      </c>
      <c r="AC566" s="59" t="str">
        <f>IFERROR(VLOOKUP(Tabelle32[[#This Row],[Device ID]],BOM!$B$3:$BQ$35,33,FALSE),"")</f>
        <v>5_36_1</v>
      </c>
      <c r="AD566" s="59" t="str">
        <f>IFERROR(VLOOKUP(Tabelle32[[#This Row],[Device ID]],BOM!$B$3:$BQ$35,34,FALSE),"")</f>
        <v>tpco-megw-vgw103.st-net.media.int</v>
      </c>
      <c r="AE566" s="59" t="str">
        <f>IFERROR(VLOOKUP(Tabelle32[[#This Row],[Device ID]],BOM!$B$3:$BQ$35,35,FALSE),"")</f>
        <v>10.120.67.141</v>
      </c>
      <c r="AF566" s="59">
        <f>IFERROR(VLOOKUP(Tabelle32[[#This Row],[Device ID]],BOM!$B$3:$BQ$35,36,FALSE),"")</f>
        <v>0</v>
      </c>
      <c r="AG566" s="59">
        <f>IFERROR(VLOOKUP(Tabelle32[[#This Row],[Device ID]],BOM!$B$3:$BQ$35,37,FALSE),"")</f>
        <v>0</v>
      </c>
      <c r="AH566" s="59"/>
      <c r="AI566" s="59"/>
      <c r="AJ566" s="59"/>
      <c r="AK566" s="59"/>
      <c r="AL566" s="59" t="str">
        <f>IFERROR(VLOOKUP(Tabelle32[[#This Row],[Device ID]],BOM!$B$3:$BQ$35,42,FALSE),"")</f>
        <v>Imagine Communications SNP</v>
      </c>
      <c r="AM566" s="59" t="str">
        <f>IFERROR(VLOOKUP(Tabelle32[[#This Row],[Device ID]],BOM!$B$3:$BQ$35,43,FALSE),"")</f>
        <v>no</v>
      </c>
      <c r="AN566" s="59" t="str">
        <f>IFERROR(VLOOKUP(Tabelle32[[#This Row],[Device ID]],BOM!$B$3:$BQ$35,44,FALSE),"")</f>
        <v>yes</v>
      </c>
      <c r="AO566" s="59" t="str">
        <f>IFERROR(VLOOKUP(Tabelle32[[#This Row],[Device ID]],BOM!$B$3:$BQ$35,45,FALSE),"")</f>
        <v>no</v>
      </c>
      <c r="AP566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66" s="59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  <c r="BC566" s="92"/>
      <c r="BD566" s="92"/>
      <c r="BE566" s="92"/>
      <c r="BF566" s="92"/>
      <c r="BG566" s="92"/>
      <c r="BH566" s="73" t="s">
        <v>199</v>
      </c>
      <c r="BI566" s="30" t="str">
        <f>IF(COUNTA(Tabelle32[[#This Row],[Type:Vid_1080i50]:[Type:Anc_Prot]])&gt;0,"x","")</f>
        <v/>
      </c>
      <c r="BJ56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66" s="59"/>
      <c r="BL566" s="59"/>
      <c r="BM566" s="63"/>
      <c r="BN566" s="63"/>
      <c r="BO566" s="96"/>
      <c r="BP566" s="96"/>
      <c r="BQ566" s="75">
        <f>LEN(Tabelle32[[#This Row],[Label 1
GFX-Unit]])</f>
        <v>0</v>
      </c>
      <c r="BR566" s="63"/>
      <c r="BS566" s="63"/>
      <c r="BT566" s="59"/>
      <c r="BU566" s="59"/>
      <c r="BV566" s="59" t="s">
        <v>260</v>
      </c>
      <c r="BW566" s="59" t="s">
        <v>261</v>
      </c>
      <c r="BX566" s="59" t="s">
        <v>1056</v>
      </c>
      <c r="BY566" s="59">
        <v>27</v>
      </c>
    </row>
    <row r="567" spans="1:77" x14ac:dyDescent="0.2">
      <c r="A567" s="58" t="str">
        <f>CONCATENATE(Tabelle32[[#This Row],[Device ID]],".",Tabelle32[[#This Row],[Streamcounter]])</f>
        <v>404.27215</v>
      </c>
      <c r="B56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VGW-103_SDI27_AUDrec_0015</v>
      </c>
      <c r="C567" s="60"/>
      <c r="D567" s="61"/>
      <c r="E567" s="62"/>
      <c r="F567" s="59" t="str">
        <f>IFERROR(VLOOKUP(Tabelle32[[#This Row],[Device ID]],BOM!$B$3:$BQ$35,16,FALSE),"")</f>
        <v>IngSRV-10</v>
      </c>
      <c r="G567" s="63">
        <f>VLOOKUP(Tabelle32[[#This Row],[SDI Interface]],BOM!$A$4:$B$35,2,FALSE)</f>
        <v>404</v>
      </c>
      <c r="H567" s="59" t="str">
        <f>BOM!$C$4</f>
        <v>VGW-103</v>
      </c>
      <c r="I567" s="59" t="str">
        <f>IFERROR(VLOOKUP(Tabelle32[[#This Row],[Device ID]],BOM!$B$3:$BQ$35,12,FALSE),"")</f>
        <v>Videoserver</v>
      </c>
      <c r="J567" s="59" t="str">
        <f>IFERROR(VLOOKUP(Tabelle32[[#This Row],[Device ID]],BOM!$B$3:$BQ$35,13,FALSE),"")</f>
        <v>TC.U1.223 | MDC</v>
      </c>
      <c r="K567" s="59" t="str">
        <f>IFERROR(VLOOKUP(Tabelle32[[#This Row],[Device ID]],BOM!$B$3:$BQ$35,14,FALSE),"")</f>
        <v>Imagine Comunications</v>
      </c>
      <c r="L567" s="59" t="str">
        <f>IFERROR(VLOOKUP(Tabelle32[[#This Row],[Device ID]],BOM!$B$3:$BQ$35,16,FALSE),"")</f>
        <v>IngSRV-10</v>
      </c>
      <c r="M567" s="63" t="str">
        <f>IFERROR(VLOOKUP(Tabelle32[[#This Row],[Device ID]],BOM!$B$3:$BQ$35,17,FALSE),"")</f>
        <v>M3H</v>
      </c>
      <c r="N567" s="59" t="str">
        <f>IFERROR(VLOOKUP(Tabelle32[[#This Row],[Device ID]],BOM!$B$3:$BQ$35,18,FALSE),"")</f>
        <v>TC.03.225 | M3H</v>
      </c>
      <c r="O567" s="64"/>
      <c r="P567" s="64">
        <f>IFERROR(VLOOKUP(Tabelle32[[#This Row],[Device ID]],BOM!$B$3:$BO$50,20,FALSE),"")</f>
        <v>0</v>
      </c>
      <c r="Q567" s="64">
        <f>IFERROR(VLOOKUP(Tabelle32[[#This Row],[Device ID]],BOM!$B$3:$BO$50,21,FALSE),"")</f>
        <v>1</v>
      </c>
      <c r="R567" s="64">
        <f>IFERROR(VLOOKUP(Tabelle32[[#This Row],[Device ID]],BOM!$B$3:$BO$50,22,FALSE),"")</f>
        <v>0</v>
      </c>
      <c r="S567" s="64"/>
      <c r="T567" s="64"/>
      <c r="U567" s="59" t="str">
        <f>IFERROR(VLOOKUP(Tabelle32[[#This Row],[Device ID]],BOM!$B$3:$BQ$35,25,FALSE),"")</f>
        <v>Luis/Ivo</v>
      </c>
      <c r="V567" s="59" t="str">
        <f>IFERROR(VLOOKUP(Tabelle32[[#This Row],[Device ID]],BOM!$B$3:$BQ$35,26,FALSE),"")</f>
        <v>tpco-megw-vgw103.rta.st-net.media.int</v>
      </c>
      <c r="W567" s="59" t="str">
        <f>IFERROR(VLOOKUP(Tabelle32[[#This Row],[Device ID]],BOM!$B$3:$BQ$35,27,FALSE),"")</f>
        <v>10.120.236.50</v>
      </c>
      <c r="X567" s="59" t="str">
        <f>IFERROR(VLOOKUP(Tabelle32[[#This Row],[Device ID]],BOM!$B$3:$BQ$35,28,FALSE),"")</f>
        <v>AVCoreA</v>
      </c>
      <c r="Y567" s="59" t="str">
        <f>IFERROR(VLOOKUP(Tabelle32[[#This Row],[Device ID]],BOM!$B$3:$BQ$35,29,FALSE),"")</f>
        <v>5_36_1</v>
      </c>
      <c r="Z567" s="59" t="str">
        <f>IFERROR(VLOOKUP(Tabelle32[[#This Row],[Device ID]],BOM!$B$3:$BQ$35,30,FALSE),"")</f>
        <v>tpco-megw-vgw103.rtb.st-net.media.int</v>
      </c>
      <c r="AA567" s="59" t="str">
        <f>IFERROR(VLOOKUP(Tabelle32[[#This Row],[Device ID]],BOM!$B$3:$BQ$35,31,FALSE),"")</f>
        <v>10.120.236.54</v>
      </c>
      <c r="AB567" s="59" t="str">
        <f>IFERROR(VLOOKUP(Tabelle32[[#This Row],[Device ID]],BOM!$B$3:$BQ$35,32,FALSE),"")</f>
        <v>AVCoreB</v>
      </c>
      <c r="AC567" s="59" t="str">
        <f>IFERROR(VLOOKUP(Tabelle32[[#This Row],[Device ID]],BOM!$B$3:$BQ$35,33,FALSE),"")</f>
        <v>5_36_1</v>
      </c>
      <c r="AD567" s="59" t="str">
        <f>IFERROR(VLOOKUP(Tabelle32[[#This Row],[Device ID]],BOM!$B$3:$BQ$35,34,FALSE),"")</f>
        <v>tpco-megw-vgw103.st-net.media.int</v>
      </c>
      <c r="AE567" s="59" t="str">
        <f>IFERROR(VLOOKUP(Tabelle32[[#This Row],[Device ID]],BOM!$B$3:$BQ$35,35,FALSE),"")</f>
        <v>10.120.67.141</v>
      </c>
      <c r="AF567" s="59">
        <f>IFERROR(VLOOKUP(Tabelle32[[#This Row],[Device ID]],BOM!$B$3:$BQ$35,36,FALSE),"")</f>
        <v>0</v>
      </c>
      <c r="AG567" s="59">
        <f>IFERROR(VLOOKUP(Tabelle32[[#This Row],[Device ID]],BOM!$B$3:$BQ$35,37,FALSE),"")</f>
        <v>0</v>
      </c>
      <c r="AH567" s="59"/>
      <c r="AI567" s="59"/>
      <c r="AJ567" s="59"/>
      <c r="AK567" s="59"/>
      <c r="AL567" s="59" t="str">
        <f>IFERROR(VLOOKUP(Tabelle32[[#This Row],[Device ID]],BOM!$B$3:$BQ$35,42,FALSE),"")</f>
        <v>Imagine Communications SNP</v>
      </c>
      <c r="AM567" s="59" t="str">
        <f>IFERROR(VLOOKUP(Tabelle32[[#This Row],[Device ID]],BOM!$B$3:$BQ$35,43,FALSE),"")</f>
        <v>no</v>
      </c>
      <c r="AN567" s="59" t="str">
        <f>IFERROR(VLOOKUP(Tabelle32[[#This Row],[Device ID]],BOM!$B$3:$BQ$35,44,FALSE),"")</f>
        <v>yes</v>
      </c>
      <c r="AO567" s="59" t="str">
        <f>IFERROR(VLOOKUP(Tabelle32[[#This Row],[Device ID]],BOM!$B$3:$BQ$35,45,FALSE),"")</f>
        <v>no</v>
      </c>
      <c r="AP567" s="59" t="str">
        <f>IFERROR(CONCATENATE(Tabelle32[[#This Row],[Family
GFX-Unit]]," | ",Tabelle32[[#This Row],[Label 1
GFX-Unit]]," | ",Tabelle32[[#This Row],[Attached Device if Gateway]]),"")</f>
        <v>M3H InCh PGM | Ingest Ch39-15 | IngSRV-10</v>
      </c>
      <c r="AQ567" s="59"/>
      <c r="AR567" s="92"/>
      <c r="AS567" s="92"/>
      <c r="AT567" s="92"/>
      <c r="AU567" s="92"/>
      <c r="AV567" s="92"/>
      <c r="AW567" s="92" t="s">
        <v>97</v>
      </c>
      <c r="AX567" s="92"/>
      <c r="AY567" s="92"/>
      <c r="AZ567" s="92" t="s">
        <v>97</v>
      </c>
      <c r="BA567" s="92"/>
      <c r="BB567" s="92" t="s">
        <v>97</v>
      </c>
      <c r="BC567" s="92" t="s">
        <v>97</v>
      </c>
      <c r="BD567" s="92" t="s">
        <v>97</v>
      </c>
      <c r="BE567" s="92"/>
      <c r="BF567" s="92"/>
      <c r="BG567" s="92"/>
      <c r="BH567" s="73" t="s">
        <v>199</v>
      </c>
      <c r="BI567" s="30" t="str">
        <f>IF(COUNTA(Tabelle32[[#This Row],[Type:Vid_1080i50]:[Type:Anc_Prot]])&gt;0,"x","")</f>
        <v>x</v>
      </c>
      <c r="BJ56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567" s="59"/>
      <c r="BL567" s="59"/>
      <c r="BM567" s="63"/>
      <c r="BN567" s="63"/>
      <c r="BO567" s="97" t="s">
        <v>2684</v>
      </c>
      <c r="BP567" s="97" t="s">
        <v>2721</v>
      </c>
      <c r="BQ567" s="75">
        <f>LEN(Tabelle32[[#This Row],[Label 1
GFX-Unit]])</f>
        <v>14</v>
      </c>
      <c r="BR567" s="63"/>
      <c r="BS567" s="63"/>
      <c r="BT567" s="59"/>
      <c r="BU567" s="59"/>
      <c r="BV567" s="59" t="s">
        <v>264</v>
      </c>
      <c r="BW567" s="59" t="s">
        <v>265</v>
      </c>
      <c r="BX567" s="59" t="s">
        <v>1057</v>
      </c>
      <c r="BY567" s="59">
        <v>27</v>
      </c>
    </row>
    <row r="568" spans="1:77" x14ac:dyDescent="0.2">
      <c r="A568" s="58" t="str">
        <f>CONCATENATE(Tabelle32[[#This Row],[Device ID]],".",Tabelle32[[#This Row],[Streamcounter]])</f>
        <v>404.27216</v>
      </c>
      <c r="B56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VGW-103_SDI27_AUDrec_0016</v>
      </c>
      <c r="C568" s="60"/>
      <c r="D568" s="61"/>
      <c r="E568" s="62"/>
      <c r="F568" s="59" t="str">
        <f>IFERROR(VLOOKUP(Tabelle32[[#This Row],[Device ID]],BOM!$B$3:$BQ$35,16,FALSE),"")</f>
        <v>IngSRV-10</v>
      </c>
      <c r="G568" s="63">
        <f>VLOOKUP(Tabelle32[[#This Row],[SDI Interface]],BOM!$A$4:$B$35,2,FALSE)</f>
        <v>404</v>
      </c>
      <c r="H568" s="59" t="str">
        <f>BOM!$C$4</f>
        <v>VGW-103</v>
      </c>
      <c r="I568" s="59" t="str">
        <f>IFERROR(VLOOKUP(Tabelle32[[#This Row],[Device ID]],BOM!$B$3:$BQ$35,12,FALSE),"")</f>
        <v>Videoserver</v>
      </c>
      <c r="J568" s="59" t="str">
        <f>IFERROR(VLOOKUP(Tabelle32[[#This Row],[Device ID]],BOM!$B$3:$BQ$35,13,FALSE),"")</f>
        <v>TC.U1.223 | MDC</v>
      </c>
      <c r="K568" s="59" t="str">
        <f>IFERROR(VLOOKUP(Tabelle32[[#This Row],[Device ID]],BOM!$B$3:$BQ$35,14,FALSE),"")</f>
        <v>Imagine Comunications</v>
      </c>
      <c r="L568" s="59" t="str">
        <f>IFERROR(VLOOKUP(Tabelle32[[#This Row],[Device ID]],BOM!$B$3:$BQ$35,16,FALSE),"")</f>
        <v>IngSRV-10</v>
      </c>
      <c r="M568" s="63" t="str">
        <f>IFERROR(VLOOKUP(Tabelle32[[#This Row],[Device ID]],BOM!$B$3:$BQ$35,17,FALSE),"")</f>
        <v>M3H</v>
      </c>
      <c r="N568" s="59" t="str">
        <f>IFERROR(VLOOKUP(Tabelle32[[#This Row],[Device ID]],BOM!$B$3:$BQ$35,18,FALSE),"")</f>
        <v>TC.03.225 | M3H</v>
      </c>
      <c r="O568" s="64"/>
      <c r="P568" s="64">
        <f>IFERROR(VLOOKUP(Tabelle32[[#This Row],[Device ID]],BOM!$B$3:$BO$50,20,FALSE),"")</f>
        <v>0</v>
      </c>
      <c r="Q568" s="64">
        <f>IFERROR(VLOOKUP(Tabelle32[[#This Row],[Device ID]],BOM!$B$3:$BO$50,21,FALSE),"")</f>
        <v>1</v>
      </c>
      <c r="R568" s="64">
        <f>IFERROR(VLOOKUP(Tabelle32[[#This Row],[Device ID]],BOM!$B$3:$BO$50,22,FALSE),"")</f>
        <v>0</v>
      </c>
      <c r="S568" s="64"/>
      <c r="T568" s="64"/>
      <c r="U568" s="59" t="str">
        <f>IFERROR(VLOOKUP(Tabelle32[[#This Row],[Device ID]],BOM!$B$3:$BQ$35,25,FALSE),"")</f>
        <v>Luis/Ivo</v>
      </c>
      <c r="V568" s="59" t="str">
        <f>IFERROR(VLOOKUP(Tabelle32[[#This Row],[Device ID]],BOM!$B$3:$BQ$35,26,FALSE),"")</f>
        <v>tpco-megw-vgw103.rta.st-net.media.int</v>
      </c>
      <c r="W568" s="59" t="str">
        <f>IFERROR(VLOOKUP(Tabelle32[[#This Row],[Device ID]],BOM!$B$3:$BQ$35,27,FALSE),"")</f>
        <v>10.120.236.50</v>
      </c>
      <c r="X568" s="59" t="str">
        <f>IFERROR(VLOOKUP(Tabelle32[[#This Row],[Device ID]],BOM!$B$3:$BQ$35,28,FALSE),"")</f>
        <v>AVCoreA</v>
      </c>
      <c r="Y568" s="59" t="str">
        <f>IFERROR(VLOOKUP(Tabelle32[[#This Row],[Device ID]],BOM!$B$3:$BQ$35,29,FALSE),"")</f>
        <v>5_36_1</v>
      </c>
      <c r="Z568" s="59" t="str">
        <f>IFERROR(VLOOKUP(Tabelle32[[#This Row],[Device ID]],BOM!$B$3:$BQ$35,30,FALSE),"")</f>
        <v>tpco-megw-vgw103.rtb.st-net.media.int</v>
      </c>
      <c r="AA568" s="59" t="str">
        <f>IFERROR(VLOOKUP(Tabelle32[[#This Row],[Device ID]],BOM!$B$3:$BQ$35,31,FALSE),"")</f>
        <v>10.120.236.54</v>
      </c>
      <c r="AB568" s="59" t="str">
        <f>IFERROR(VLOOKUP(Tabelle32[[#This Row],[Device ID]],BOM!$B$3:$BQ$35,32,FALSE),"")</f>
        <v>AVCoreB</v>
      </c>
      <c r="AC568" s="59" t="str">
        <f>IFERROR(VLOOKUP(Tabelle32[[#This Row],[Device ID]],BOM!$B$3:$BQ$35,33,FALSE),"")</f>
        <v>5_36_1</v>
      </c>
      <c r="AD568" s="59" t="str">
        <f>IFERROR(VLOOKUP(Tabelle32[[#This Row],[Device ID]],BOM!$B$3:$BQ$35,34,FALSE),"")</f>
        <v>tpco-megw-vgw103.st-net.media.int</v>
      </c>
      <c r="AE568" s="59" t="str">
        <f>IFERROR(VLOOKUP(Tabelle32[[#This Row],[Device ID]],BOM!$B$3:$BQ$35,35,FALSE),"")</f>
        <v>10.120.67.141</v>
      </c>
      <c r="AF568" s="59">
        <f>IFERROR(VLOOKUP(Tabelle32[[#This Row],[Device ID]],BOM!$B$3:$BQ$35,36,FALSE),"")</f>
        <v>0</v>
      </c>
      <c r="AG568" s="59">
        <f>IFERROR(VLOOKUP(Tabelle32[[#This Row],[Device ID]],BOM!$B$3:$BQ$35,37,FALSE),"")</f>
        <v>0</v>
      </c>
      <c r="AH568" s="59"/>
      <c r="AI568" s="59"/>
      <c r="AJ568" s="59"/>
      <c r="AK568" s="59"/>
      <c r="AL568" s="59" t="str">
        <f>IFERROR(VLOOKUP(Tabelle32[[#This Row],[Device ID]],BOM!$B$3:$BQ$35,42,FALSE),"")</f>
        <v>Imagine Communications SNP</v>
      </c>
      <c r="AM568" s="59" t="str">
        <f>IFERROR(VLOOKUP(Tabelle32[[#This Row],[Device ID]],BOM!$B$3:$BQ$35,43,FALSE),"")</f>
        <v>no</v>
      </c>
      <c r="AN568" s="59" t="str">
        <f>IFERROR(VLOOKUP(Tabelle32[[#This Row],[Device ID]],BOM!$B$3:$BQ$35,44,FALSE),"")</f>
        <v>yes</v>
      </c>
      <c r="AO568" s="59" t="str">
        <f>IFERROR(VLOOKUP(Tabelle32[[#This Row],[Device ID]],BOM!$B$3:$BQ$35,45,FALSE),"")</f>
        <v>no</v>
      </c>
      <c r="AP568" s="59" t="str">
        <f>IFERROR(CONCATENATE(Tabelle32[[#This Row],[Family
GFX-Unit]]," | ",Tabelle32[[#This Row],[Label 1
GFX-Unit]]," | ",Tabelle32[[#This Row],[Attached Device if Gateway]]),"")</f>
        <v>M3H InCh PGM | Ingest Ch39-16 | IngSRV-10</v>
      </c>
      <c r="AQ568" s="59"/>
      <c r="AR568" s="92"/>
      <c r="AS568" s="92"/>
      <c r="AT568" s="92"/>
      <c r="AU568" s="92"/>
      <c r="AV568" s="92"/>
      <c r="AW568" s="92" t="s">
        <v>97</v>
      </c>
      <c r="AX568" s="92"/>
      <c r="AY568" s="92"/>
      <c r="AZ568" s="92" t="s">
        <v>97</v>
      </c>
      <c r="BA568" s="92"/>
      <c r="BB568" s="92" t="s">
        <v>97</v>
      </c>
      <c r="BC568" s="92" t="s">
        <v>97</v>
      </c>
      <c r="BD568" s="92" t="s">
        <v>97</v>
      </c>
      <c r="BE568" s="92"/>
      <c r="BF568" s="92"/>
      <c r="BG568" s="92"/>
      <c r="BH568" s="73" t="s">
        <v>199</v>
      </c>
      <c r="BI568" s="30" t="str">
        <f>IF(COUNTA(Tabelle32[[#This Row],[Type:Vid_1080i50]:[Type:Anc_Prot]])&gt;0,"x","")</f>
        <v>x</v>
      </c>
      <c r="BJ56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568" s="59"/>
      <c r="BL568" s="59"/>
      <c r="BM568" s="63"/>
      <c r="BN568" s="63"/>
      <c r="BO568" s="97" t="s">
        <v>2684</v>
      </c>
      <c r="BP568" s="97" t="s">
        <v>2722</v>
      </c>
      <c r="BQ568" s="75">
        <f>LEN(Tabelle32[[#This Row],[Label 1
GFX-Unit]])</f>
        <v>14</v>
      </c>
      <c r="BR568" s="63"/>
      <c r="BS568" s="63"/>
      <c r="BT568" s="59"/>
      <c r="BU568" s="59"/>
      <c r="BV568" s="59" t="s">
        <v>268</v>
      </c>
      <c r="BW568" s="59" t="s">
        <v>269</v>
      </c>
      <c r="BX568" s="59" t="s">
        <v>1058</v>
      </c>
      <c r="BY568" s="59">
        <v>27</v>
      </c>
    </row>
    <row r="569" spans="1:77" x14ac:dyDescent="0.2">
      <c r="A569" s="58" t="str">
        <f>CONCATENATE(Tabelle32[[#This Row],[Device ID]],".",Tabelle32[[#This Row],[Streamcounter]])</f>
        <v>404.27101</v>
      </c>
      <c r="B56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VGW-103_SDI27_VIDrec_0001</v>
      </c>
      <c r="C569" s="60"/>
      <c r="D569" s="61"/>
      <c r="E569" s="62"/>
      <c r="F569" s="59" t="str">
        <f>IFERROR(VLOOKUP(Tabelle32[[#This Row],[Device ID]],BOM!$B$3:$BQ$35,16,FALSE),"")</f>
        <v>IngSRV-10</v>
      </c>
      <c r="G569" s="63">
        <f>VLOOKUP(Tabelle32[[#This Row],[SDI Interface]],BOM!$A$4:$B$35,2,FALSE)</f>
        <v>404</v>
      </c>
      <c r="H569" s="59" t="str">
        <f>BOM!$C$4</f>
        <v>VGW-103</v>
      </c>
      <c r="I569" s="59" t="str">
        <f>IFERROR(VLOOKUP(Tabelle32[[#This Row],[Device ID]],BOM!$B$3:$BQ$35,12,FALSE),"")</f>
        <v>Videoserver</v>
      </c>
      <c r="J569" s="59" t="str">
        <f>IFERROR(VLOOKUP(Tabelle32[[#This Row],[Device ID]],BOM!$B$3:$BQ$35,13,FALSE),"")</f>
        <v>TC.U1.223 | MDC</v>
      </c>
      <c r="K569" s="59" t="str">
        <f>IFERROR(VLOOKUP(Tabelle32[[#This Row],[Device ID]],BOM!$B$3:$BQ$35,14,FALSE),"")</f>
        <v>Imagine Comunications</v>
      </c>
      <c r="L569" s="59" t="str">
        <f>IFERROR(VLOOKUP(Tabelle32[[#This Row],[Device ID]],BOM!$B$3:$BQ$35,16,FALSE),"")</f>
        <v>IngSRV-10</v>
      </c>
      <c r="M569" s="63" t="str">
        <f>IFERROR(VLOOKUP(Tabelle32[[#This Row],[Device ID]],BOM!$B$3:$BQ$35,17,FALSE),"")</f>
        <v>M3H</v>
      </c>
      <c r="N569" s="59" t="str">
        <f>IFERROR(VLOOKUP(Tabelle32[[#This Row],[Device ID]],BOM!$B$3:$BQ$35,18,FALSE),"")</f>
        <v>TC.03.225 | M3H</v>
      </c>
      <c r="O569" s="64"/>
      <c r="P569" s="64">
        <f>IFERROR(VLOOKUP(Tabelle32[[#This Row],[Device ID]],BOM!$B$3:$BO$50,20,FALSE),"")</f>
        <v>0</v>
      </c>
      <c r="Q569" s="64">
        <f>IFERROR(VLOOKUP(Tabelle32[[#This Row],[Device ID]],BOM!$B$3:$BO$50,21,FALSE),"")</f>
        <v>1</v>
      </c>
      <c r="R569" s="64">
        <f>IFERROR(VLOOKUP(Tabelle32[[#This Row],[Device ID]],BOM!$B$3:$BO$50,22,FALSE),"")</f>
        <v>0</v>
      </c>
      <c r="S569" s="64"/>
      <c r="T569" s="64"/>
      <c r="U569" s="59" t="str">
        <f>IFERROR(VLOOKUP(Tabelle32[[#This Row],[Device ID]],BOM!$B$3:$BQ$35,25,FALSE),"")</f>
        <v>Luis/Ivo</v>
      </c>
      <c r="V569" s="59" t="str">
        <f>IFERROR(VLOOKUP(Tabelle32[[#This Row],[Device ID]],BOM!$B$3:$BQ$35,26,FALSE),"")</f>
        <v>tpco-megw-vgw103.rta.st-net.media.int</v>
      </c>
      <c r="W569" s="59" t="str">
        <f>IFERROR(VLOOKUP(Tabelle32[[#This Row],[Device ID]],BOM!$B$3:$BQ$35,27,FALSE),"")</f>
        <v>10.120.236.50</v>
      </c>
      <c r="X569" s="59" t="str">
        <f>IFERROR(VLOOKUP(Tabelle32[[#This Row],[Device ID]],BOM!$B$3:$BQ$35,28,FALSE),"")</f>
        <v>AVCoreA</v>
      </c>
      <c r="Y569" s="59" t="str">
        <f>IFERROR(VLOOKUP(Tabelle32[[#This Row],[Device ID]],BOM!$B$3:$BQ$35,29,FALSE),"")</f>
        <v>5_36_1</v>
      </c>
      <c r="Z569" s="59" t="str">
        <f>IFERROR(VLOOKUP(Tabelle32[[#This Row],[Device ID]],BOM!$B$3:$BQ$35,30,FALSE),"")</f>
        <v>tpco-megw-vgw103.rtb.st-net.media.int</v>
      </c>
      <c r="AA569" s="59" t="str">
        <f>IFERROR(VLOOKUP(Tabelle32[[#This Row],[Device ID]],BOM!$B$3:$BQ$35,31,FALSE),"")</f>
        <v>10.120.236.54</v>
      </c>
      <c r="AB569" s="59" t="str">
        <f>IFERROR(VLOOKUP(Tabelle32[[#This Row],[Device ID]],BOM!$B$3:$BQ$35,32,FALSE),"")</f>
        <v>AVCoreB</v>
      </c>
      <c r="AC569" s="59" t="str">
        <f>IFERROR(VLOOKUP(Tabelle32[[#This Row],[Device ID]],BOM!$B$3:$BQ$35,33,FALSE),"")</f>
        <v>5_36_1</v>
      </c>
      <c r="AD569" s="59" t="str">
        <f>IFERROR(VLOOKUP(Tabelle32[[#This Row],[Device ID]],BOM!$B$3:$BQ$35,34,FALSE),"")</f>
        <v>tpco-megw-vgw103.st-net.media.int</v>
      </c>
      <c r="AE569" s="59" t="str">
        <f>IFERROR(VLOOKUP(Tabelle32[[#This Row],[Device ID]],BOM!$B$3:$BQ$35,35,FALSE),"")</f>
        <v>10.120.67.141</v>
      </c>
      <c r="AF569" s="59">
        <f>IFERROR(VLOOKUP(Tabelle32[[#This Row],[Device ID]],BOM!$B$3:$BQ$35,36,FALSE),"")</f>
        <v>0</v>
      </c>
      <c r="AG569" s="59">
        <f>IFERROR(VLOOKUP(Tabelle32[[#This Row],[Device ID]],BOM!$B$3:$BQ$35,37,FALSE),"")</f>
        <v>0</v>
      </c>
      <c r="AH569" s="59"/>
      <c r="AI569" s="59"/>
      <c r="AJ569" s="59"/>
      <c r="AK569" s="59"/>
      <c r="AL569" s="59" t="str">
        <f>IFERROR(VLOOKUP(Tabelle32[[#This Row],[Device ID]],BOM!$B$3:$BQ$35,42,FALSE),"")</f>
        <v>Imagine Communications SNP</v>
      </c>
      <c r="AM569" s="59" t="str">
        <f>IFERROR(VLOOKUP(Tabelle32[[#This Row],[Device ID]],BOM!$B$3:$BQ$35,43,FALSE),"")</f>
        <v>no</v>
      </c>
      <c r="AN569" s="59" t="str">
        <f>IFERROR(VLOOKUP(Tabelle32[[#This Row],[Device ID]],BOM!$B$3:$BQ$35,44,FALSE),"")</f>
        <v>yes</v>
      </c>
      <c r="AO569" s="59" t="str">
        <f>IFERROR(VLOOKUP(Tabelle32[[#This Row],[Device ID]],BOM!$B$3:$BQ$35,45,FALSE),"")</f>
        <v>no</v>
      </c>
      <c r="AP569" s="59" t="str">
        <f>IFERROR(CONCATENATE(Tabelle32[[#This Row],[Family
GFX-Unit]]," | ",Tabelle32[[#This Row],[Label 1
GFX-Unit]]," | ",Tabelle32[[#This Row],[Attached Device if Gateway]]),"")</f>
        <v>M3H InCh PGM | Ingest Ch39 | IngSRV-10</v>
      </c>
      <c r="AQ569" s="59"/>
      <c r="AR569" s="92" t="s">
        <v>97</v>
      </c>
      <c r="AS569" s="92" t="s">
        <v>97</v>
      </c>
      <c r="AT569" s="92" t="s">
        <v>97</v>
      </c>
      <c r="AU569" s="92"/>
      <c r="AV569" s="92" t="s">
        <v>97</v>
      </c>
      <c r="AW569" s="92"/>
      <c r="AX569" s="92"/>
      <c r="AY569" s="92"/>
      <c r="AZ569" s="92"/>
      <c r="BA569" s="92"/>
      <c r="BB569" s="92"/>
      <c r="BC569" s="92"/>
      <c r="BD569" s="92"/>
      <c r="BE569" s="92"/>
      <c r="BF569" s="92"/>
      <c r="BG569" s="92"/>
      <c r="BH569" s="73" t="s">
        <v>199</v>
      </c>
      <c r="BI569" s="30" t="str">
        <f>IF(COUNTA(Tabelle32[[#This Row],[Type:Vid_1080i50]:[Type:Anc_Prot]])&gt;0,"x","")</f>
        <v>x</v>
      </c>
      <c r="BJ56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569" s="59"/>
      <c r="BL569" s="59"/>
      <c r="BM569" s="63"/>
      <c r="BN569" s="63"/>
      <c r="BO569" s="93" t="s">
        <v>2684</v>
      </c>
      <c r="BP569" s="93" t="s">
        <v>2723</v>
      </c>
      <c r="BQ569" s="75">
        <f>LEN(Tabelle32[[#This Row],[Label 1
GFX-Unit]])</f>
        <v>11</v>
      </c>
      <c r="BR569" s="63"/>
      <c r="BS569" s="63"/>
      <c r="BT569" s="59"/>
      <c r="BU569" s="59"/>
      <c r="BV569" s="59" t="s">
        <v>272</v>
      </c>
      <c r="BW569" s="59" t="s">
        <v>273</v>
      </c>
      <c r="BX569" s="59" t="s">
        <v>1059</v>
      </c>
      <c r="BY569" s="59">
        <v>27</v>
      </c>
    </row>
    <row r="570" spans="1:77" x14ac:dyDescent="0.2">
      <c r="A570" s="58" t="str">
        <f>CONCATENATE(Tabelle32[[#This Row],[Device ID]],".",Tabelle32[[#This Row],[Streamcounter]])</f>
        <v>405.28301</v>
      </c>
      <c r="B57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VGW-103_SDI28_ANCrec_0001</v>
      </c>
      <c r="C570" s="60"/>
      <c r="D570" s="61"/>
      <c r="E570" s="62"/>
      <c r="F570" s="59" t="str">
        <f>IFERROR(VLOOKUP(Tabelle32[[#This Row],[Device ID]],BOM!$B$3:$BQ$35,16,FALSE),"")</f>
        <v>IngSRV-10</v>
      </c>
      <c r="G570" s="63">
        <f>VLOOKUP(Tabelle32[[#This Row],[SDI Interface]],BOM!$A$4:$B$35,2,FALSE)</f>
        <v>405</v>
      </c>
      <c r="H570" s="59" t="str">
        <f>BOM!$C$4</f>
        <v>VGW-103</v>
      </c>
      <c r="I570" s="59" t="str">
        <f>IFERROR(VLOOKUP(Tabelle32[[#This Row],[Device ID]],BOM!$B$3:$BQ$35,12,FALSE),"")</f>
        <v>Videoserver</v>
      </c>
      <c r="J570" s="59" t="str">
        <f>IFERROR(VLOOKUP(Tabelle32[[#This Row],[Device ID]],BOM!$B$3:$BQ$35,13,FALSE),"")</f>
        <v>TC.U1.223 | MDC</v>
      </c>
      <c r="K570" s="59" t="str">
        <f>IFERROR(VLOOKUP(Tabelle32[[#This Row],[Device ID]],BOM!$B$3:$BQ$35,14,FALSE),"")</f>
        <v>Imagine Comunications</v>
      </c>
      <c r="L570" s="59" t="str">
        <f>IFERROR(VLOOKUP(Tabelle32[[#This Row],[Device ID]],BOM!$B$3:$BQ$35,16,FALSE),"")</f>
        <v>IngSRV-10</v>
      </c>
      <c r="M570" s="63" t="str">
        <f>IFERROR(VLOOKUP(Tabelle32[[#This Row],[Device ID]],BOM!$B$3:$BQ$35,17,FALSE),"")</f>
        <v>M3H</v>
      </c>
      <c r="N570" s="59" t="str">
        <f>IFERROR(VLOOKUP(Tabelle32[[#This Row],[Device ID]],BOM!$B$3:$BQ$35,18,FALSE),"")</f>
        <v>TC.03.225 | M3H</v>
      </c>
      <c r="O570" s="64"/>
      <c r="P570" s="64">
        <f>IFERROR(VLOOKUP(Tabelle32[[#This Row],[Device ID]],BOM!$B$3:$BO$50,20,FALSE),"")</f>
        <v>0</v>
      </c>
      <c r="Q570" s="64">
        <f>IFERROR(VLOOKUP(Tabelle32[[#This Row],[Device ID]],BOM!$B$3:$BO$50,21,FALSE),"")</f>
        <v>1</v>
      </c>
      <c r="R570" s="64">
        <f>IFERROR(VLOOKUP(Tabelle32[[#This Row],[Device ID]],BOM!$B$3:$BO$50,22,FALSE),"")</f>
        <v>0</v>
      </c>
      <c r="S570" s="64"/>
      <c r="T570" s="64"/>
      <c r="U570" s="59" t="str">
        <f>IFERROR(VLOOKUP(Tabelle32[[#This Row],[Device ID]],BOM!$B$3:$BQ$35,25,FALSE),"")</f>
        <v>Luis/Ivo</v>
      </c>
      <c r="V570" s="59" t="str">
        <f>IFERROR(VLOOKUP(Tabelle32[[#This Row],[Device ID]],BOM!$B$3:$BQ$35,26,FALSE),"")</f>
        <v>tpco-megw-vgw103.rta.st-net.media.int</v>
      </c>
      <c r="W570" s="59" t="str">
        <f>IFERROR(VLOOKUP(Tabelle32[[#This Row],[Device ID]],BOM!$B$3:$BQ$35,27,FALSE),"")</f>
        <v>10.120.236.50</v>
      </c>
      <c r="X570" s="59" t="str">
        <f>IFERROR(VLOOKUP(Tabelle32[[#This Row],[Device ID]],BOM!$B$3:$BQ$35,28,FALSE),"")</f>
        <v>AVCoreA</v>
      </c>
      <c r="Y570" s="59" t="str">
        <f>IFERROR(VLOOKUP(Tabelle32[[#This Row],[Device ID]],BOM!$B$3:$BQ$35,29,FALSE),"")</f>
        <v>5_36_1</v>
      </c>
      <c r="Z570" s="59" t="str">
        <f>IFERROR(VLOOKUP(Tabelle32[[#This Row],[Device ID]],BOM!$B$3:$BQ$35,30,FALSE),"")</f>
        <v>tpco-megw-vgw103.rtb.st-net.media.int</v>
      </c>
      <c r="AA570" s="59" t="str">
        <f>IFERROR(VLOOKUP(Tabelle32[[#This Row],[Device ID]],BOM!$B$3:$BQ$35,31,FALSE),"")</f>
        <v>10.120.236.54</v>
      </c>
      <c r="AB570" s="59" t="str">
        <f>IFERROR(VLOOKUP(Tabelle32[[#This Row],[Device ID]],BOM!$B$3:$BQ$35,32,FALSE),"")</f>
        <v>AVCoreB</v>
      </c>
      <c r="AC570" s="59" t="str">
        <f>IFERROR(VLOOKUP(Tabelle32[[#This Row],[Device ID]],BOM!$B$3:$BQ$35,33,FALSE),"")</f>
        <v>5_36_1</v>
      </c>
      <c r="AD570" s="59" t="str">
        <f>IFERROR(VLOOKUP(Tabelle32[[#This Row],[Device ID]],BOM!$B$3:$BQ$35,34,FALSE),"")</f>
        <v>tpco-megw-vgw103.st-net.media.int</v>
      </c>
      <c r="AE570" s="59" t="str">
        <f>IFERROR(VLOOKUP(Tabelle32[[#This Row],[Device ID]],BOM!$B$3:$BQ$35,35,FALSE),"")</f>
        <v>10.120.67.141</v>
      </c>
      <c r="AF570" s="59">
        <f>IFERROR(VLOOKUP(Tabelle32[[#This Row],[Device ID]],BOM!$B$3:$BQ$35,36,FALSE),"")</f>
        <v>0</v>
      </c>
      <c r="AG570" s="59">
        <f>IFERROR(VLOOKUP(Tabelle32[[#This Row],[Device ID]],BOM!$B$3:$BQ$35,37,FALSE),"")</f>
        <v>0</v>
      </c>
      <c r="AH570" s="59"/>
      <c r="AI570" s="59"/>
      <c r="AJ570" s="59"/>
      <c r="AK570" s="59"/>
      <c r="AL570" s="59" t="str">
        <f>IFERROR(VLOOKUP(Tabelle32[[#This Row],[Device ID]],BOM!$B$3:$BQ$35,42,FALSE),"")</f>
        <v>Imagine Communications SNP</v>
      </c>
      <c r="AM570" s="59" t="str">
        <f>IFERROR(VLOOKUP(Tabelle32[[#This Row],[Device ID]],BOM!$B$3:$BQ$35,43,FALSE),"")</f>
        <v>no</v>
      </c>
      <c r="AN570" s="59" t="str">
        <f>IFERROR(VLOOKUP(Tabelle32[[#This Row],[Device ID]],BOM!$B$3:$BQ$35,44,FALSE),"")</f>
        <v>yes</v>
      </c>
      <c r="AO570" s="59" t="str">
        <f>IFERROR(VLOOKUP(Tabelle32[[#This Row],[Device ID]],BOM!$B$3:$BQ$35,45,FALSE),"")</f>
        <v>no</v>
      </c>
      <c r="AP570" s="59" t="str">
        <f>IFERROR(CONCATENATE(Tabelle32[[#This Row],[Family
GFX-Unit]]," | ",Tabelle32[[#This Row],[Label 1
GFX-Unit]]," | ",Tabelle32[[#This Row],[Attached Device if Gateway]]),"")</f>
        <v>M3H InCh PGM | Ingest Ch40-ANC1 | IngSRV-10</v>
      </c>
      <c r="AQ570" s="59"/>
      <c r="AR570" s="92"/>
      <c r="AS570" s="92"/>
      <c r="AT570" s="92"/>
      <c r="AU570" s="92"/>
      <c r="AV570" s="92"/>
      <c r="AW570" s="92"/>
      <c r="AX570" s="92"/>
      <c r="AY570" s="92"/>
      <c r="AZ570" s="92"/>
      <c r="BA570" s="92"/>
      <c r="BB570" s="92"/>
      <c r="BC570" s="92"/>
      <c r="BD570" s="92"/>
      <c r="BE570" s="92"/>
      <c r="BF570" s="92"/>
      <c r="BG570" s="92" t="s">
        <v>97</v>
      </c>
      <c r="BH570" s="73" t="s">
        <v>199</v>
      </c>
      <c r="BI570" s="30" t="str">
        <f>IF(COUNTA(Tabelle32[[#This Row],[Type:Vid_1080i50]:[Type:Anc_Prot]])&gt;0,"x","")</f>
        <v>x</v>
      </c>
      <c r="BJ57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570" s="59"/>
      <c r="BL570" s="59"/>
      <c r="BM570" s="63"/>
      <c r="BN570" s="63"/>
      <c r="BO570" s="93" t="s">
        <v>2684</v>
      </c>
      <c r="BP570" s="93" t="s">
        <v>2724</v>
      </c>
      <c r="BQ570" s="75">
        <f>LEN(Tabelle32[[#This Row],[Label 1
GFX-Unit]])</f>
        <v>16</v>
      </c>
      <c r="BR570" s="63"/>
      <c r="BS570" s="63"/>
      <c r="BT570" s="59"/>
      <c r="BU570" s="59"/>
      <c r="BV570" s="59" t="s">
        <v>202</v>
      </c>
      <c r="BW570" s="59" t="s">
        <v>203</v>
      </c>
      <c r="BX570" s="59" t="s">
        <v>1060</v>
      </c>
      <c r="BY570" s="59">
        <v>28</v>
      </c>
    </row>
    <row r="571" spans="1:77" hidden="1" x14ac:dyDescent="0.2">
      <c r="A571" s="58" t="str">
        <f>CONCATENATE(Tabelle32[[#This Row],[Device ID]],".",Tabelle32[[#This Row],[Streamcounter]])</f>
        <v>405.28302</v>
      </c>
      <c r="B57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VGW-103_SDI28_ANCrec_0002</v>
      </c>
      <c r="C571" s="60"/>
      <c r="D571" s="61"/>
      <c r="E571" s="62"/>
      <c r="F571" s="59" t="str">
        <f>IFERROR(VLOOKUP(Tabelle32[[#This Row],[Device ID]],BOM!$B$3:$BQ$35,16,FALSE),"")</f>
        <v>IngSRV-10</v>
      </c>
      <c r="G571" s="63">
        <f>VLOOKUP(Tabelle32[[#This Row],[SDI Interface]],BOM!$A$4:$B$35,2,FALSE)</f>
        <v>405</v>
      </c>
      <c r="H571" s="59" t="str">
        <f>BOM!$C$4</f>
        <v>VGW-103</v>
      </c>
      <c r="I571" s="59" t="str">
        <f>IFERROR(VLOOKUP(Tabelle32[[#This Row],[Device ID]],BOM!$B$3:$BQ$35,12,FALSE),"")</f>
        <v>Videoserver</v>
      </c>
      <c r="J571" s="59" t="str">
        <f>IFERROR(VLOOKUP(Tabelle32[[#This Row],[Device ID]],BOM!$B$3:$BQ$35,13,FALSE),"")</f>
        <v>TC.U1.223 | MDC</v>
      </c>
      <c r="K571" s="59" t="str">
        <f>IFERROR(VLOOKUP(Tabelle32[[#This Row],[Device ID]],BOM!$B$3:$BQ$35,14,FALSE),"")</f>
        <v>Imagine Comunications</v>
      </c>
      <c r="L571" s="59" t="str">
        <f>IFERROR(VLOOKUP(Tabelle32[[#This Row],[Device ID]],BOM!$B$3:$BQ$35,16,FALSE),"")</f>
        <v>IngSRV-10</v>
      </c>
      <c r="M571" s="63" t="str">
        <f>IFERROR(VLOOKUP(Tabelle32[[#This Row],[Device ID]],BOM!$B$3:$BQ$35,17,FALSE),"")</f>
        <v>M3H</v>
      </c>
      <c r="N571" s="59" t="str">
        <f>IFERROR(VLOOKUP(Tabelle32[[#This Row],[Device ID]],BOM!$B$3:$BQ$35,18,FALSE),"")</f>
        <v>TC.03.225 | M3H</v>
      </c>
      <c r="O571" s="64"/>
      <c r="P571" s="64">
        <f>IFERROR(VLOOKUP(Tabelle32[[#This Row],[Device ID]],BOM!$B$3:$BO$50,20,FALSE),"")</f>
        <v>0</v>
      </c>
      <c r="Q571" s="64">
        <f>IFERROR(VLOOKUP(Tabelle32[[#This Row],[Device ID]],BOM!$B$3:$BO$50,21,FALSE),"")</f>
        <v>1</v>
      </c>
      <c r="R571" s="64">
        <f>IFERROR(VLOOKUP(Tabelle32[[#This Row],[Device ID]],BOM!$B$3:$BO$50,22,FALSE),"")</f>
        <v>0</v>
      </c>
      <c r="S571" s="64"/>
      <c r="T571" s="64"/>
      <c r="U571" s="59" t="str">
        <f>IFERROR(VLOOKUP(Tabelle32[[#This Row],[Device ID]],BOM!$B$3:$BQ$35,25,FALSE),"")</f>
        <v>Luis/Ivo</v>
      </c>
      <c r="V571" s="59" t="str">
        <f>IFERROR(VLOOKUP(Tabelle32[[#This Row],[Device ID]],BOM!$B$3:$BQ$35,26,FALSE),"")</f>
        <v>tpco-megw-vgw103.rta.st-net.media.int</v>
      </c>
      <c r="W571" s="59" t="str">
        <f>IFERROR(VLOOKUP(Tabelle32[[#This Row],[Device ID]],BOM!$B$3:$BQ$35,27,FALSE),"")</f>
        <v>10.120.236.50</v>
      </c>
      <c r="X571" s="59" t="str">
        <f>IFERROR(VLOOKUP(Tabelle32[[#This Row],[Device ID]],BOM!$B$3:$BQ$35,28,FALSE),"")</f>
        <v>AVCoreA</v>
      </c>
      <c r="Y571" s="59" t="str">
        <f>IFERROR(VLOOKUP(Tabelle32[[#This Row],[Device ID]],BOM!$B$3:$BQ$35,29,FALSE),"")</f>
        <v>5_36_1</v>
      </c>
      <c r="Z571" s="59" t="str">
        <f>IFERROR(VLOOKUP(Tabelle32[[#This Row],[Device ID]],BOM!$B$3:$BQ$35,30,FALSE),"")</f>
        <v>tpco-megw-vgw103.rtb.st-net.media.int</v>
      </c>
      <c r="AA571" s="59" t="str">
        <f>IFERROR(VLOOKUP(Tabelle32[[#This Row],[Device ID]],BOM!$B$3:$BQ$35,31,FALSE),"")</f>
        <v>10.120.236.54</v>
      </c>
      <c r="AB571" s="59" t="str">
        <f>IFERROR(VLOOKUP(Tabelle32[[#This Row],[Device ID]],BOM!$B$3:$BQ$35,32,FALSE),"")</f>
        <v>AVCoreB</v>
      </c>
      <c r="AC571" s="59" t="str">
        <f>IFERROR(VLOOKUP(Tabelle32[[#This Row],[Device ID]],BOM!$B$3:$BQ$35,33,FALSE),"")</f>
        <v>5_36_1</v>
      </c>
      <c r="AD571" s="59" t="str">
        <f>IFERROR(VLOOKUP(Tabelle32[[#This Row],[Device ID]],BOM!$B$3:$BQ$35,34,FALSE),"")</f>
        <v>tpco-megw-vgw103.st-net.media.int</v>
      </c>
      <c r="AE571" s="59" t="str">
        <f>IFERROR(VLOOKUP(Tabelle32[[#This Row],[Device ID]],BOM!$B$3:$BQ$35,35,FALSE),"")</f>
        <v>10.120.67.141</v>
      </c>
      <c r="AF571" s="59">
        <f>IFERROR(VLOOKUP(Tabelle32[[#This Row],[Device ID]],BOM!$B$3:$BQ$35,36,FALSE),"")</f>
        <v>0</v>
      </c>
      <c r="AG571" s="59">
        <f>IFERROR(VLOOKUP(Tabelle32[[#This Row],[Device ID]],BOM!$B$3:$BQ$35,37,FALSE),"")</f>
        <v>0</v>
      </c>
      <c r="AH571" s="59"/>
      <c r="AI571" s="59"/>
      <c r="AJ571" s="59"/>
      <c r="AK571" s="59"/>
      <c r="AL571" s="59" t="str">
        <f>IFERROR(VLOOKUP(Tabelle32[[#This Row],[Device ID]],BOM!$B$3:$BQ$35,42,FALSE),"")</f>
        <v>Imagine Communications SNP</v>
      </c>
      <c r="AM571" s="59" t="str">
        <f>IFERROR(VLOOKUP(Tabelle32[[#This Row],[Device ID]],BOM!$B$3:$BQ$35,43,FALSE),"")</f>
        <v>no</v>
      </c>
      <c r="AN571" s="59" t="str">
        <f>IFERROR(VLOOKUP(Tabelle32[[#This Row],[Device ID]],BOM!$B$3:$BQ$35,44,FALSE),"")</f>
        <v>yes</v>
      </c>
      <c r="AO571" s="59" t="str">
        <f>IFERROR(VLOOKUP(Tabelle32[[#This Row],[Device ID]],BOM!$B$3:$BQ$35,45,FALSE),"")</f>
        <v>no</v>
      </c>
      <c r="AP571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71" s="59"/>
      <c r="AR571" s="90"/>
      <c r="AS571" s="90"/>
      <c r="AT571" s="90"/>
      <c r="AU571" s="90"/>
      <c r="AV571" s="90"/>
      <c r="AW571" s="90"/>
      <c r="AX571" s="90"/>
      <c r="AY571" s="90"/>
      <c r="AZ571" s="90"/>
      <c r="BA571" s="90"/>
      <c r="BB571" s="90"/>
      <c r="BC571" s="90"/>
      <c r="BD571" s="90"/>
      <c r="BE571" s="90"/>
      <c r="BF571" s="90"/>
      <c r="BG571" s="90"/>
      <c r="BH571" s="73" t="s">
        <v>199</v>
      </c>
      <c r="BI571" s="30" t="str">
        <f>IF(COUNTA(Tabelle32[[#This Row],[Type:Vid_1080i50]:[Type:Anc_Prot]])&gt;0,"x","")</f>
        <v/>
      </c>
      <c r="BJ57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71" s="59"/>
      <c r="BL571" s="59"/>
      <c r="BM571" s="63"/>
      <c r="BN571" s="63"/>
      <c r="BO571" s="96"/>
      <c r="BP571" s="96"/>
      <c r="BQ571" s="75">
        <f>LEN(Tabelle32[[#This Row],[Label 1
GFX-Unit]])</f>
        <v>0</v>
      </c>
      <c r="BR571" s="63"/>
      <c r="BS571" s="63"/>
      <c r="BT571" s="59"/>
      <c r="BU571" s="59"/>
      <c r="BV571" s="59" t="s">
        <v>205</v>
      </c>
      <c r="BW571" s="59" t="s">
        <v>206</v>
      </c>
      <c r="BX571" s="59" t="s">
        <v>1061</v>
      </c>
      <c r="BY571" s="59">
        <v>28</v>
      </c>
    </row>
    <row r="572" spans="1:77" hidden="1" x14ac:dyDescent="0.2">
      <c r="A572" s="58" t="str">
        <f>CONCATENATE(Tabelle32[[#This Row],[Device ID]],".",Tabelle32[[#This Row],[Streamcounter]])</f>
        <v>405.28303</v>
      </c>
      <c r="B57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VGW-103_SDI28_ANCrec_0003</v>
      </c>
      <c r="C572" s="60"/>
      <c r="D572" s="61"/>
      <c r="E572" s="62"/>
      <c r="F572" s="59" t="str">
        <f>IFERROR(VLOOKUP(Tabelle32[[#This Row],[Device ID]],BOM!$B$3:$BQ$35,16,FALSE),"")</f>
        <v>IngSRV-10</v>
      </c>
      <c r="G572" s="63">
        <f>VLOOKUP(Tabelle32[[#This Row],[SDI Interface]],BOM!$A$4:$B$35,2,FALSE)</f>
        <v>405</v>
      </c>
      <c r="H572" s="59" t="str">
        <f>BOM!$C$4</f>
        <v>VGW-103</v>
      </c>
      <c r="I572" s="59" t="str">
        <f>IFERROR(VLOOKUP(Tabelle32[[#This Row],[Device ID]],BOM!$B$3:$BQ$35,12,FALSE),"")</f>
        <v>Videoserver</v>
      </c>
      <c r="J572" s="59" t="str">
        <f>IFERROR(VLOOKUP(Tabelle32[[#This Row],[Device ID]],BOM!$B$3:$BQ$35,13,FALSE),"")</f>
        <v>TC.U1.223 | MDC</v>
      </c>
      <c r="K572" s="59" t="str">
        <f>IFERROR(VLOOKUP(Tabelle32[[#This Row],[Device ID]],BOM!$B$3:$BQ$35,14,FALSE),"")</f>
        <v>Imagine Comunications</v>
      </c>
      <c r="L572" s="59" t="str">
        <f>IFERROR(VLOOKUP(Tabelle32[[#This Row],[Device ID]],BOM!$B$3:$BQ$35,16,FALSE),"")</f>
        <v>IngSRV-10</v>
      </c>
      <c r="M572" s="63" t="str">
        <f>IFERROR(VLOOKUP(Tabelle32[[#This Row],[Device ID]],BOM!$B$3:$BQ$35,17,FALSE),"")</f>
        <v>M3H</v>
      </c>
      <c r="N572" s="59" t="str">
        <f>IFERROR(VLOOKUP(Tabelle32[[#This Row],[Device ID]],BOM!$B$3:$BQ$35,18,FALSE),"")</f>
        <v>TC.03.225 | M3H</v>
      </c>
      <c r="O572" s="64"/>
      <c r="P572" s="64">
        <f>IFERROR(VLOOKUP(Tabelle32[[#This Row],[Device ID]],BOM!$B$3:$BO$50,20,FALSE),"")</f>
        <v>0</v>
      </c>
      <c r="Q572" s="64">
        <f>IFERROR(VLOOKUP(Tabelle32[[#This Row],[Device ID]],BOM!$B$3:$BO$50,21,FALSE),"")</f>
        <v>1</v>
      </c>
      <c r="R572" s="64">
        <f>IFERROR(VLOOKUP(Tabelle32[[#This Row],[Device ID]],BOM!$B$3:$BO$50,22,FALSE),"")</f>
        <v>0</v>
      </c>
      <c r="S572" s="64"/>
      <c r="T572" s="64"/>
      <c r="U572" s="59" t="str">
        <f>IFERROR(VLOOKUP(Tabelle32[[#This Row],[Device ID]],BOM!$B$3:$BQ$35,25,FALSE),"")</f>
        <v>Luis/Ivo</v>
      </c>
      <c r="V572" s="59" t="str">
        <f>IFERROR(VLOOKUP(Tabelle32[[#This Row],[Device ID]],BOM!$B$3:$BQ$35,26,FALSE),"")</f>
        <v>tpco-megw-vgw103.rta.st-net.media.int</v>
      </c>
      <c r="W572" s="59" t="str">
        <f>IFERROR(VLOOKUP(Tabelle32[[#This Row],[Device ID]],BOM!$B$3:$BQ$35,27,FALSE),"")</f>
        <v>10.120.236.50</v>
      </c>
      <c r="X572" s="59" t="str">
        <f>IFERROR(VLOOKUP(Tabelle32[[#This Row],[Device ID]],BOM!$B$3:$BQ$35,28,FALSE),"")</f>
        <v>AVCoreA</v>
      </c>
      <c r="Y572" s="59" t="str">
        <f>IFERROR(VLOOKUP(Tabelle32[[#This Row],[Device ID]],BOM!$B$3:$BQ$35,29,FALSE),"")</f>
        <v>5_36_1</v>
      </c>
      <c r="Z572" s="59" t="str">
        <f>IFERROR(VLOOKUP(Tabelle32[[#This Row],[Device ID]],BOM!$B$3:$BQ$35,30,FALSE),"")</f>
        <v>tpco-megw-vgw103.rtb.st-net.media.int</v>
      </c>
      <c r="AA572" s="59" t="str">
        <f>IFERROR(VLOOKUP(Tabelle32[[#This Row],[Device ID]],BOM!$B$3:$BQ$35,31,FALSE),"")</f>
        <v>10.120.236.54</v>
      </c>
      <c r="AB572" s="59" t="str">
        <f>IFERROR(VLOOKUP(Tabelle32[[#This Row],[Device ID]],BOM!$B$3:$BQ$35,32,FALSE),"")</f>
        <v>AVCoreB</v>
      </c>
      <c r="AC572" s="59" t="str">
        <f>IFERROR(VLOOKUP(Tabelle32[[#This Row],[Device ID]],BOM!$B$3:$BQ$35,33,FALSE),"")</f>
        <v>5_36_1</v>
      </c>
      <c r="AD572" s="59" t="str">
        <f>IFERROR(VLOOKUP(Tabelle32[[#This Row],[Device ID]],BOM!$B$3:$BQ$35,34,FALSE),"")</f>
        <v>tpco-megw-vgw103.st-net.media.int</v>
      </c>
      <c r="AE572" s="59" t="str">
        <f>IFERROR(VLOOKUP(Tabelle32[[#This Row],[Device ID]],BOM!$B$3:$BQ$35,35,FALSE),"")</f>
        <v>10.120.67.141</v>
      </c>
      <c r="AF572" s="59">
        <f>IFERROR(VLOOKUP(Tabelle32[[#This Row],[Device ID]],BOM!$B$3:$BQ$35,36,FALSE),"")</f>
        <v>0</v>
      </c>
      <c r="AG572" s="59">
        <f>IFERROR(VLOOKUP(Tabelle32[[#This Row],[Device ID]],BOM!$B$3:$BQ$35,37,FALSE),"")</f>
        <v>0</v>
      </c>
      <c r="AH572" s="59"/>
      <c r="AI572" s="59"/>
      <c r="AJ572" s="59"/>
      <c r="AK572" s="59"/>
      <c r="AL572" s="59" t="str">
        <f>IFERROR(VLOOKUP(Tabelle32[[#This Row],[Device ID]],BOM!$B$3:$BQ$35,42,FALSE),"")</f>
        <v>Imagine Communications SNP</v>
      </c>
      <c r="AM572" s="59" t="str">
        <f>IFERROR(VLOOKUP(Tabelle32[[#This Row],[Device ID]],BOM!$B$3:$BQ$35,43,FALSE),"")</f>
        <v>no</v>
      </c>
      <c r="AN572" s="59" t="str">
        <f>IFERROR(VLOOKUP(Tabelle32[[#This Row],[Device ID]],BOM!$B$3:$BQ$35,44,FALSE),"")</f>
        <v>yes</v>
      </c>
      <c r="AO572" s="59" t="str">
        <f>IFERROR(VLOOKUP(Tabelle32[[#This Row],[Device ID]],BOM!$B$3:$BQ$35,45,FALSE),"")</f>
        <v>no</v>
      </c>
      <c r="AP572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72" s="59"/>
      <c r="AR572" s="90"/>
      <c r="AS572" s="90"/>
      <c r="AT572" s="90"/>
      <c r="AU572" s="90"/>
      <c r="AV572" s="90"/>
      <c r="AW572" s="90"/>
      <c r="AX572" s="90"/>
      <c r="AY572" s="90"/>
      <c r="AZ572" s="90"/>
      <c r="BA572" s="90"/>
      <c r="BB572" s="90"/>
      <c r="BC572" s="90"/>
      <c r="BD572" s="90"/>
      <c r="BE572" s="90"/>
      <c r="BF572" s="90"/>
      <c r="BG572" s="90"/>
      <c r="BH572" s="73" t="s">
        <v>199</v>
      </c>
      <c r="BI572" s="30" t="str">
        <f>IF(COUNTA(Tabelle32[[#This Row],[Type:Vid_1080i50]:[Type:Anc_Prot]])&gt;0,"x","")</f>
        <v/>
      </c>
      <c r="BJ57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72" s="59"/>
      <c r="BL572" s="59"/>
      <c r="BM572" s="63"/>
      <c r="BN572" s="63"/>
      <c r="BO572" s="96"/>
      <c r="BP572" s="96"/>
      <c r="BQ572" s="75">
        <f>LEN(Tabelle32[[#This Row],[Label 1
GFX-Unit]])</f>
        <v>0</v>
      </c>
      <c r="BR572" s="63"/>
      <c r="BS572" s="63"/>
      <c r="BT572" s="59"/>
      <c r="BU572" s="59"/>
      <c r="BV572" s="59" t="s">
        <v>208</v>
      </c>
      <c r="BW572" s="59" t="s">
        <v>209</v>
      </c>
      <c r="BX572" s="59" t="s">
        <v>1062</v>
      </c>
      <c r="BY572" s="59">
        <v>28</v>
      </c>
    </row>
    <row r="573" spans="1:77" hidden="1" x14ac:dyDescent="0.2">
      <c r="A573" s="58" t="str">
        <f>CONCATENATE(Tabelle32[[#This Row],[Device ID]],".",Tabelle32[[#This Row],[Streamcounter]])</f>
        <v>405.28304</v>
      </c>
      <c r="B57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VGW-103_SDI28_ANCrec_0004</v>
      </c>
      <c r="C573" s="60"/>
      <c r="D573" s="61"/>
      <c r="E573" s="62"/>
      <c r="F573" s="59" t="str">
        <f>IFERROR(VLOOKUP(Tabelle32[[#This Row],[Device ID]],BOM!$B$3:$BQ$35,16,FALSE),"")</f>
        <v>IngSRV-10</v>
      </c>
      <c r="G573" s="63">
        <f>VLOOKUP(Tabelle32[[#This Row],[SDI Interface]],BOM!$A$4:$B$35,2,FALSE)</f>
        <v>405</v>
      </c>
      <c r="H573" s="59" t="str">
        <f>BOM!$C$4</f>
        <v>VGW-103</v>
      </c>
      <c r="I573" s="59" t="str">
        <f>IFERROR(VLOOKUP(Tabelle32[[#This Row],[Device ID]],BOM!$B$3:$BQ$35,12,FALSE),"")</f>
        <v>Videoserver</v>
      </c>
      <c r="J573" s="59" t="str">
        <f>IFERROR(VLOOKUP(Tabelle32[[#This Row],[Device ID]],BOM!$B$3:$BQ$35,13,FALSE),"")</f>
        <v>TC.U1.223 | MDC</v>
      </c>
      <c r="K573" s="59" t="str">
        <f>IFERROR(VLOOKUP(Tabelle32[[#This Row],[Device ID]],BOM!$B$3:$BQ$35,14,FALSE),"")</f>
        <v>Imagine Comunications</v>
      </c>
      <c r="L573" s="59" t="str">
        <f>IFERROR(VLOOKUP(Tabelle32[[#This Row],[Device ID]],BOM!$B$3:$BQ$35,16,FALSE),"")</f>
        <v>IngSRV-10</v>
      </c>
      <c r="M573" s="63" t="str">
        <f>IFERROR(VLOOKUP(Tabelle32[[#This Row],[Device ID]],BOM!$B$3:$BQ$35,17,FALSE),"")</f>
        <v>M3H</v>
      </c>
      <c r="N573" s="59" t="str">
        <f>IFERROR(VLOOKUP(Tabelle32[[#This Row],[Device ID]],BOM!$B$3:$BQ$35,18,FALSE),"")</f>
        <v>TC.03.225 | M3H</v>
      </c>
      <c r="O573" s="64"/>
      <c r="P573" s="64">
        <f>IFERROR(VLOOKUP(Tabelle32[[#This Row],[Device ID]],BOM!$B$3:$BO$50,20,FALSE),"")</f>
        <v>0</v>
      </c>
      <c r="Q573" s="64">
        <f>IFERROR(VLOOKUP(Tabelle32[[#This Row],[Device ID]],BOM!$B$3:$BO$50,21,FALSE),"")</f>
        <v>1</v>
      </c>
      <c r="R573" s="64">
        <f>IFERROR(VLOOKUP(Tabelle32[[#This Row],[Device ID]],BOM!$B$3:$BO$50,22,FALSE),"")</f>
        <v>0</v>
      </c>
      <c r="S573" s="64"/>
      <c r="T573" s="64"/>
      <c r="U573" s="59" t="str">
        <f>IFERROR(VLOOKUP(Tabelle32[[#This Row],[Device ID]],BOM!$B$3:$BQ$35,25,FALSE),"")</f>
        <v>Luis/Ivo</v>
      </c>
      <c r="V573" s="59" t="str">
        <f>IFERROR(VLOOKUP(Tabelle32[[#This Row],[Device ID]],BOM!$B$3:$BQ$35,26,FALSE),"")</f>
        <v>tpco-megw-vgw103.rta.st-net.media.int</v>
      </c>
      <c r="W573" s="59" t="str">
        <f>IFERROR(VLOOKUP(Tabelle32[[#This Row],[Device ID]],BOM!$B$3:$BQ$35,27,FALSE),"")</f>
        <v>10.120.236.50</v>
      </c>
      <c r="X573" s="59" t="str">
        <f>IFERROR(VLOOKUP(Tabelle32[[#This Row],[Device ID]],BOM!$B$3:$BQ$35,28,FALSE),"")</f>
        <v>AVCoreA</v>
      </c>
      <c r="Y573" s="59" t="str">
        <f>IFERROR(VLOOKUP(Tabelle32[[#This Row],[Device ID]],BOM!$B$3:$BQ$35,29,FALSE),"")</f>
        <v>5_36_1</v>
      </c>
      <c r="Z573" s="59" t="str">
        <f>IFERROR(VLOOKUP(Tabelle32[[#This Row],[Device ID]],BOM!$B$3:$BQ$35,30,FALSE),"")</f>
        <v>tpco-megw-vgw103.rtb.st-net.media.int</v>
      </c>
      <c r="AA573" s="59" t="str">
        <f>IFERROR(VLOOKUP(Tabelle32[[#This Row],[Device ID]],BOM!$B$3:$BQ$35,31,FALSE),"")</f>
        <v>10.120.236.54</v>
      </c>
      <c r="AB573" s="59" t="str">
        <f>IFERROR(VLOOKUP(Tabelle32[[#This Row],[Device ID]],BOM!$B$3:$BQ$35,32,FALSE),"")</f>
        <v>AVCoreB</v>
      </c>
      <c r="AC573" s="59" t="str">
        <f>IFERROR(VLOOKUP(Tabelle32[[#This Row],[Device ID]],BOM!$B$3:$BQ$35,33,FALSE),"")</f>
        <v>5_36_1</v>
      </c>
      <c r="AD573" s="59" t="str">
        <f>IFERROR(VLOOKUP(Tabelle32[[#This Row],[Device ID]],BOM!$B$3:$BQ$35,34,FALSE),"")</f>
        <v>tpco-megw-vgw103.st-net.media.int</v>
      </c>
      <c r="AE573" s="59" t="str">
        <f>IFERROR(VLOOKUP(Tabelle32[[#This Row],[Device ID]],BOM!$B$3:$BQ$35,35,FALSE),"")</f>
        <v>10.120.67.141</v>
      </c>
      <c r="AF573" s="59">
        <f>IFERROR(VLOOKUP(Tabelle32[[#This Row],[Device ID]],BOM!$B$3:$BQ$35,36,FALSE),"")</f>
        <v>0</v>
      </c>
      <c r="AG573" s="59">
        <f>IFERROR(VLOOKUP(Tabelle32[[#This Row],[Device ID]],BOM!$B$3:$BQ$35,37,FALSE),"")</f>
        <v>0</v>
      </c>
      <c r="AH573" s="59"/>
      <c r="AI573" s="59"/>
      <c r="AJ573" s="59"/>
      <c r="AK573" s="59"/>
      <c r="AL573" s="59" t="str">
        <f>IFERROR(VLOOKUP(Tabelle32[[#This Row],[Device ID]],BOM!$B$3:$BQ$35,42,FALSE),"")</f>
        <v>Imagine Communications SNP</v>
      </c>
      <c r="AM573" s="59" t="str">
        <f>IFERROR(VLOOKUP(Tabelle32[[#This Row],[Device ID]],BOM!$B$3:$BQ$35,43,FALSE),"")</f>
        <v>no</v>
      </c>
      <c r="AN573" s="59" t="str">
        <f>IFERROR(VLOOKUP(Tabelle32[[#This Row],[Device ID]],BOM!$B$3:$BQ$35,44,FALSE),"")</f>
        <v>yes</v>
      </c>
      <c r="AO573" s="59" t="str">
        <f>IFERROR(VLOOKUP(Tabelle32[[#This Row],[Device ID]],BOM!$B$3:$BQ$35,45,FALSE),"")</f>
        <v>no</v>
      </c>
      <c r="AP573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73" s="59"/>
      <c r="AR573" s="90"/>
      <c r="AS573" s="90"/>
      <c r="AT573" s="90"/>
      <c r="AU573" s="90"/>
      <c r="AV573" s="90"/>
      <c r="AW573" s="90"/>
      <c r="AX573" s="90"/>
      <c r="AY573" s="90"/>
      <c r="AZ573" s="90"/>
      <c r="BA573" s="90"/>
      <c r="BB573" s="90"/>
      <c r="BC573" s="90"/>
      <c r="BD573" s="90"/>
      <c r="BE573" s="90"/>
      <c r="BF573" s="90"/>
      <c r="BG573" s="90"/>
      <c r="BH573" s="73" t="s">
        <v>199</v>
      </c>
      <c r="BI573" s="30" t="str">
        <f>IF(COUNTA(Tabelle32[[#This Row],[Type:Vid_1080i50]:[Type:Anc_Prot]])&gt;0,"x","")</f>
        <v/>
      </c>
      <c r="BJ57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73" s="59"/>
      <c r="BL573" s="59"/>
      <c r="BM573" s="63"/>
      <c r="BN573" s="63"/>
      <c r="BO573" s="96"/>
      <c r="BP573" s="96"/>
      <c r="BQ573" s="75">
        <f>LEN(Tabelle32[[#This Row],[Label 1
GFX-Unit]])</f>
        <v>0</v>
      </c>
      <c r="BR573" s="63"/>
      <c r="BS573" s="63"/>
      <c r="BT573" s="59"/>
      <c r="BU573" s="59"/>
      <c r="BV573" s="59" t="s">
        <v>211</v>
      </c>
      <c r="BW573" s="59" t="s">
        <v>212</v>
      </c>
      <c r="BX573" s="59" t="s">
        <v>1063</v>
      </c>
      <c r="BY573" s="59">
        <v>28</v>
      </c>
    </row>
    <row r="574" spans="1:77" x14ac:dyDescent="0.2">
      <c r="A574" s="58" t="str">
        <f>CONCATENATE(Tabelle32[[#This Row],[Device ID]],".",Tabelle32[[#This Row],[Streamcounter]])</f>
        <v>405.28201</v>
      </c>
      <c r="B57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VGW-103_SDI28_AUDrec_0001</v>
      </c>
      <c r="C574" s="60"/>
      <c r="D574" s="61"/>
      <c r="E574" s="62"/>
      <c r="F574" s="59" t="str">
        <f>IFERROR(VLOOKUP(Tabelle32[[#This Row],[Device ID]],BOM!$B$3:$BQ$35,16,FALSE),"")</f>
        <v>IngSRV-10</v>
      </c>
      <c r="G574" s="63">
        <f>VLOOKUP(Tabelle32[[#This Row],[SDI Interface]],BOM!$A$4:$B$35,2,FALSE)</f>
        <v>405</v>
      </c>
      <c r="H574" s="59" t="str">
        <f>BOM!$C$4</f>
        <v>VGW-103</v>
      </c>
      <c r="I574" s="59" t="str">
        <f>IFERROR(VLOOKUP(Tabelle32[[#This Row],[Device ID]],BOM!$B$3:$BQ$35,12,FALSE),"")</f>
        <v>Videoserver</v>
      </c>
      <c r="J574" s="59" t="str">
        <f>IFERROR(VLOOKUP(Tabelle32[[#This Row],[Device ID]],BOM!$B$3:$BQ$35,13,FALSE),"")</f>
        <v>TC.U1.223 | MDC</v>
      </c>
      <c r="K574" s="59" t="str">
        <f>IFERROR(VLOOKUP(Tabelle32[[#This Row],[Device ID]],BOM!$B$3:$BQ$35,14,FALSE),"")</f>
        <v>Imagine Comunications</v>
      </c>
      <c r="L574" s="59" t="str">
        <f>IFERROR(VLOOKUP(Tabelle32[[#This Row],[Device ID]],BOM!$B$3:$BQ$35,16,FALSE),"")</f>
        <v>IngSRV-10</v>
      </c>
      <c r="M574" s="63" t="str">
        <f>IFERROR(VLOOKUP(Tabelle32[[#This Row],[Device ID]],BOM!$B$3:$BQ$35,17,FALSE),"")</f>
        <v>M3H</v>
      </c>
      <c r="N574" s="59" t="str">
        <f>IFERROR(VLOOKUP(Tabelle32[[#This Row],[Device ID]],BOM!$B$3:$BQ$35,18,FALSE),"")</f>
        <v>TC.03.225 | M3H</v>
      </c>
      <c r="O574" s="64"/>
      <c r="P574" s="64">
        <f>IFERROR(VLOOKUP(Tabelle32[[#This Row],[Device ID]],BOM!$B$3:$BO$50,20,FALSE),"")</f>
        <v>0</v>
      </c>
      <c r="Q574" s="64">
        <f>IFERROR(VLOOKUP(Tabelle32[[#This Row],[Device ID]],BOM!$B$3:$BO$50,21,FALSE),"")</f>
        <v>1</v>
      </c>
      <c r="R574" s="64">
        <f>IFERROR(VLOOKUP(Tabelle32[[#This Row],[Device ID]],BOM!$B$3:$BO$50,22,FALSE),"")</f>
        <v>0</v>
      </c>
      <c r="S574" s="64"/>
      <c r="T574" s="64"/>
      <c r="U574" s="59" t="str">
        <f>IFERROR(VLOOKUP(Tabelle32[[#This Row],[Device ID]],BOM!$B$3:$BQ$35,25,FALSE),"")</f>
        <v>Luis/Ivo</v>
      </c>
      <c r="V574" s="59" t="str">
        <f>IFERROR(VLOOKUP(Tabelle32[[#This Row],[Device ID]],BOM!$B$3:$BQ$35,26,FALSE),"")</f>
        <v>tpco-megw-vgw103.rta.st-net.media.int</v>
      </c>
      <c r="W574" s="59" t="str">
        <f>IFERROR(VLOOKUP(Tabelle32[[#This Row],[Device ID]],BOM!$B$3:$BQ$35,27,FALSE),"")</f>
        <v>10.120.236.50</v>
      </c>
      <c r="X574" s="59" t="str">
        <f>IFERROR(VLOOKUP(Tabelle32[[#This Row],[Device ID]],BOM!$B$3:$BQ$35,28,FALSE),"")</f>
        <v>AVCoreA</v>
      </c>
      <c r="Y574" s="59" t="str">
        <f>IFERROR(VLOOKUP(Tabelle32[[#This Row],[Device ID]],BOM!$B$3:$BQ$35,29,FALSE),"")</f>
        <v>5_36_1</v>
      </c>
      <c r="Z574" s="59" t="str">
        <f>IFERROR(VLOOKUP(Tabelle32[[#This Row],[Device ID]],BOM!$B$3:$BQ$35,30,FALSE),"")</f>
        <v>tpco-megw-vgw103.rtb.st-net.media.int</v>
      </c>
      <c r="AA574" s="59" t="str">
        <f>IFERROR(VLOOKUP(Tabelle32[[#This Row],[Device ID]],BOM!$B$3:$BQ$35,31,FALSE),"")</f>
        <v>10.120.236.54</v>
      </c>
      <c r="AB574" s="59" t="str">
        <f>IFERROR(VLOOKUP(Tabelle32[[#This Row],[Device ID]],BOM!$B$3:$BQ$35,32,FALSE),"")</f>
        <v>AVCoreB</v>
      </c>
      <c r="AC574" s="59" t="str">
        <f>IFERROR(VLOOKUP(Tabelle32[[#This Row],[Device ID]],BOM!$B$3:$BQ$35,33,FALSE),"")</f>
        <v>5_36_1</v>
      </c>
      <c r="AD574" s="59" t="str">
        <f>IFERROR(VLOOKUP(Tabelle32[[#This Row],[Device ID]],BOM!$B$3:$BQ$35,34,FALSE),"")</f>
        <v>tpco-megw-vgw103.st-net.media.int</v>
      </c>
      <c r="AE574" s="59" t="str">
        <f>IFERROR(VLOOKUP(Tabelle32[[#This Row],[Device ID]],BOM!$B$3:$BQ$35,35,FALSE),"")</f>
        <v>10.120.67.141</v>
      </c>
      <c r="AF574" s="59">
        <f>IFERROR(VLOOKUP(Tabelle32[[#This Row],[Device ID]],BOM!$B$3:$BQ$35,36,FALSE),"")</f>
        <v>0</v>
      </c>
      <c r="AG574" s="59">
        <f>IFERROR(VLOOKUP(Tabelle32[[#This Row],[Device ID]],BOM!$B$3:$BQ$35,37,FALSE),"")</f>
        <v>0</v>
      </c>
      <c r="AH574" s="59"/>
      <c r="AI574" s="59"/>
      <c r="AJ574" s="59"/>
      <c r="AK574" s="59"/>
      <c r="AL574" s="59" t="str">
        <f>IFERROR(VLOOKUP(Tabelle32[[#This Row],[Device ID]],BOM!$B$3:$BQ$35,42,FALSE),"")</f>
        <v>Imagine Communications SNP</v>
      </c>
      <c r="AM574" s="59" t="str">
        <f>IFERROR(VLOOKUP(Tabelle32[[#This Row],[Device ID]],BOM!$B$3:$BQ$35,43,FALSE),"")</f>
        <v>no</v>
      </c>
      <c r="AN574" s="59" t="str">
        <f>IFERROR(VLOOKUP(Tabelle32[[#This Row],[Device ID]],BOM!$B$3:$BQ$35,44,FALSE),"")</f>
        <v>yes</v>
      </c>
      <c r="AO574" s="59" t="str">
        <f>IFERROR(VLOOKUP(Tabelle32[[#This Row],[Device ID]],BOM!$B$3:$BQ$35,45,FALSE),"")</f>
        <v>no</v>
      </c>
      <c r="AP574" s="59" t="str">
        <f>IFERROR(CONCATENATE(Tabelle32[[#This Row],[Family
GFX-Unit]]," | ",Tabelle32[[#This Row],[Label 1
GFX-Unit]]," | ",Tabelle32[[#This Row],[Attached Device if Gateway]]),"")</f>
        <v>M3H InCh PGM | Ingest Ch40-01 | IngSRV-10</v>
      </c>
      <c r="AQ574" s="59"/>
      <c r="AR574" s="92"/>
      <c r="AS574" s="92"/>
      <c r="AT574" s="92"/>
      <c r="AU574" s="92"/>
      <c r="AV574" s="92"/>
      <c r="AW574" s="92" t="s">
        <v>97</v>
      </c>
      <c r="AX574" s="92"/>
      <c r="AY574" s="92"/>
      <c r="AZ574" s="92" t="s">
        <v>97</v>
      </c>
      <c r="BA574" s="92"/>
      <c r="BB574" s="92" t="s">
        <v>97</v>
      </c>
      <c r="BC574" s="92" t="s">
        <v>97</v>
      </c>
      <c r="BD574" s="92"/>
      <c r="BE574" s="92"/>
      <c r="BF574" s="92"/>
      <c r="BG574" s="92"/>
      <c r="BH574" s="73" t="s">
        <v>199</v>
      </c>
      <c r="BI574" s="30" t="str">
        <f>IF(COUNTA(Tabelle32[[#This Row],[Type:Vid_1080i50]:[Type:Anc_Prot]])&gt;0,"x","")</f>
        <v>x</v>
      </c>
      <c r="BJ57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74" s="59"/>
      <c r="BL574" s="59"/>
      <c r="BM574" s="63"/>
      <c r="BN574" s="63"/>
      <c r="BO574" s="97" t="s">
        <v>2684</v>
      </c>
      <c r="BP574" s="97" t="s">
        <v>2725</v>
      </c>
      <c r="BQ574" s="75">
        <f>LEN(Tabelle32[[#This Row],[Label 1
GFX-Unit]])</f>
        <v>14</v>
      </c>
      <c r="BR574" s="63"/>
      <c r="BS574" s="63"/>
      <c r="BT574" s="59"/>
      <c r="BU574" s="59"/>
      <c r="BV574" s="59" t="s">
        <v>214</v>
      </c>
      <c r="BW574" s="59" t="s">
        <v>215</v>
      </c>
      <c r="BX574" s="59" t="s">
        <v>1064</v>
      </c>
      <c r="BY574" s="59">
        <v>28</v>
      </c>
    </row>
    <row r="575" spans="1:77" x14ac:dyDescent="0.2">
      <c r="A575" s="58" t="str">
        <f>CONCATENATE(Tabelle32[[#This Row],[Device ID]],".",Tabelle32[[#This Row],[Streamcounter]])</f>
        <v>405.28202</v>
      </c>
      <c r="B57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VGW-103_SDI28_AUDrec_0002</v>
      </c>
      <c r="C575" s="67"/>
      <c r="D575" s="61"/>
      <c r="E575" s="67"/>
      <c r="F575" s="59" t="str">
        <f>IFERROR(VLOOKUP(Tabelle32[[#This Row],[Device ID]],BOM!$B$3:$BQ$35,16,FALSE),"")</f>
        <v>IngSRV-10</v>
      </c>
      <c r="G575" s="63">
        <f>VLOOKUP(Tabelle32[[#This Row],[SDI Interface]],BOM!$A$4:$B$35,2,FALSE)</f>
        <v>405</v>
      </c>
      <c r="H575" s="59" t="str">
        <f>BOM!$C$4</f>
        <v>VGW-103</v>
      </c>
      <c r="I575" s="59" t="str">
        <f>IFERROR(VLOOKUP(Tabelle32[[#This Row],[Device ID]],BOM!$B$3:$BQ$35,12,FALSE),"")</f>
        <v>Videoserver</v>
      </c>
      <c r="J575" s="59" t="str">
        <f>IFERROR(VLOOKUP(Tabelle32[[#This Row],[Device ID]],BOM!$B$3:$BQ$35,13,FALSE),"")</f>
        <v>TC.U1.223 | MDC</v>
      </c>
      <c r="K575" s="59" t="str">
        <f>IFERROR(VLOOKUP(Tabelle32[[#This Row],[Device ID]],BOM!$B$3:$BQ$35,14,FALSE),"")</f>
        <v>Imagine Comunications</v>
      </c>
      <c r="L575" s="59" t="str">
        <f>IFERROR(VLOOKUP(Tabelle32[[#This Row],[Device ID]],BOM!$B$3:$BQ$35,16,FALSE),"")</f>
        <v>IngSRV-10</v>
      </c>
      <c r="M575" s="63" t="str">
        <f>IFERROR(VLOOKUP(Tabelle32[[#This Row],[Device ID]],BOM!$B$3:$BQ$35,17,FALSE),"")</f>
        <v>M3H</v>
      </c>
      <c r="N575" s="59" t="str">
        <f>IFERROR(VLOOKUP(Tabelle32[[#This Row],[Device ID]],BOM!$B$3:$BQ$35,18,FALSE),"")</f>
        <v>TC.03.225 | M3H</v>
      </c>
      <c r="O575" s="64"/>
      <c r="P575" s="64">
        <f>IFERROR(VLOOKUP(Tabelle32[[#This Row],[Device ID]],BOM!$B$3:$BO$50,20,FALSE),"")</f>
        <v>0</v>
      </c>
      <c r="Q575" s="64">
        <f>IFERROR(VLOOKUP(Tabelle32[[#This Row],[Device ID]],BOM!$B$3:$BO$50,21,FALSE),"")</f>
        <v>1</v>
      </c>
      <c r="R575" s="64">
        <f>IFERROR(VLOOKUP(Tabelle32[[#This Row],[Device ID]],BOM!$B$3:$BO$50,22,FALSE),"")</f>
        <v>0</v>
      </c>
      <c r="S575" s="64"/>
      <c r="T575" s="64"/>
      <c r="U575" s="59" t="str">
        <f>IFERROR(VLOOKUP(Tabelle32[[#This Row],[Device ID]],BOM!$B$3:$BQ$35,25,FALSE),"")</f>
        <v>Luis/Ivo</v>
      </c>
      <c r="V575" s="59" t="str">
        <f>IFERROR(VLOOKUP(Tabelle32[[#This Row],[Device ID]],BOM!$B$3:$BQ$35,26,FALSE),"")</f>
        <v>tpco-megw-vgw103.rta.st-net.media.int</v>
      </c>
      <c r="W575" s="59" t="str">
        <f>IFERROR(VLOOKUP(Tabelle32[[#This Row],[Device ID]],BOM!$B$3:$BQ$35,27,FALSE),"")</f>
        <v>10.120.236.50</v>
      </c>
      <c r="X575" s="59" t="str">
        <f>IFERROR(VLOOKUP(Tabelle32[[#This Row],[Device ID]],BOM!$B$3:$BQ$35,28,FALSE),"")</f>
        <v>AVCoreA</v>
      </c>
      <c r="Y575" s="59" t="str">
        <f>IFERROR(VLOOKUP(Tabelle32[[#This Row],[Device ID]],BOM!$B$3:$BQ$35,29,FALSE),"")</f>
        <v>5_36_1</v>
      </c>
      <c r="Z575" s="59" t="str">
        <f>IFERROR(VLOOKUP(Tabelle32[[#This Row],[Device ID]],BOM!$B$3:$BQ$35,30,FALSE),"")</f>
        <v>tpco-megw-vgw103.rtb.st-net.media.int</v>
      </c>
      <c r="AA575" s="59" t="str">
        <f>IFERROR(VLOOKUP(Tabelle32[[#This Row],[Device ID]],BOM!$B$3:$BQ$35,31,FALSE),"")</f>
        <v>10.120.236.54</v>
      </c>
      <c r="AB575" s="59" t="str">
        <f>IFERROR(VLOOKUP(Tabelle32[[#This Row],[Device ID]],BOM!$B$3:$BQ$35,32,FALSE),"")</f>
        <v>AVCoreB</v>
      </c>
      <c r="AC575" s="59" t="str">
        <f>IFERROR(VLOOKUP(Tabelle32[[#This Row],[Device ID]],BOM!$B$3:$BQ$35,33,FALSE),"")</f>
        <v>5_36_1</v>
      </c>
      <c r="AD575" s="59" t="str">
        <f>IFERROR(VLOOKUP(Tabelle32[[#This Row],[Device ID]],BOM!$B$3:$BQ$35,34,FALSE),"")</f>
        <v>tpco-megw-vgw103.st-net.media.int</v>
      </c>
      <c r="AE575" s="59" t="str">
        <f>IFERROR(VLOOKUP(Tabelle32[[#This Row],[Device ID]],BOM!$B$3:$BQ$35,35,FALSE),"")</f>
        <v>10.120.67.141</v>
      </c>
      <c r="AF575" s="59">
        <f>IFERROR(VLOOKUP(Tabelle32[[#This Row],[Device ID]],BOM!$B$3:$BQ$35,36,FALSE),"")</f>
        <v>0</v>
      </c>
      <c r="AG575" s="59">
        <f>IFERROR(VLOOKUP(Tabelle32[[#This Row],[Device ID]],BOM!$B$3:$BQ$35,37,FALSE),"")</f>
        <v>0</v>
      </c>
      <c r="AH575" s="59"/>
      <c r="AI575" s="59"/>
      <c r="AJ575" s="59"/>
      <c r="AK575" s="59"/>
      <c r="AL575" s="59" t="str">
        <f>IFERROR(VLOOKUP(Tabelle32[[#This Row],[Device ID]],BOM!$B$3:$BQ$35,42,FALSE),"")</f>
        <v>Imagine Communications SNP</v>
      </c>
      <c r="AM575" s="59" t="str">
        <f>IFERROR(VLOOKUP(Tabelle32[[#This Row],[Device ID]],BOM!$B$3:$BQ$35,43,FALSE),"")</f>
        <v>no</v>
      </c>
      <c r="AN575" s="59" t="str">
        <f>IFERROR(VLOOKUP(Tabelle32[[#This Row],[Device ID]],BOM!$B$3:$BQ$35,44,FALSE),"")</f>
        <v>yes</v>
      </c>
      <c r="AO575" s="59" t="str">
        <f>IFERROR(VLOOKUP(Tabelle32[[#This Row],[Device ID]],BOM!$B$3:$BQ$35,45,FALSE),"")</f>
        <v>no</v>
      </c>
      <c r="AP575" s="59" t="str">
        <f>IFERROR(CONCATENATE(Tabelle32[[#This Row],[Family
GFX-Unit]]," | ",Tabelle32[[#This Row],[Label 1
GFX-Unit]]," | ",Tabelle32[[#This Row],[Attached Device if Gateway]]),"")</f>
        <v>M3H InCh PGM | Ingest Ch40-02 | IngSRV-10</v>
      </c>
      <c r="AQ575" s="59"/>
      <c r="AR575" s="92"/>
      <c r="AS575" s="92"/>
      <c r="AT575" s="92"/>
      <c r="AU575" s="92"/>
      <c r="AV575" s="92"/>
      <c r="AW575" s="92" t="s">
        <v>97</v>
      </c>
      <c r="AX575" s="92"/>
      <c r="AY575" s="92"/>
      <c r="AZ575" s="92" t="s">
        <v>97</v>
      </c>
      <c r="BA575" s="92"/>
      <c r="BB575" s="92" t="s">
        <v>97</v>
      </c>
      <c r="BC575" s="92" t="s">
        <v>97</v>
      </c>
      <c r="BD575" s="92"/>
      <c r="BE575" s="92"/>
      <c r="BF575" s="92"/>
      <c r="BG575" s="92"/>
      <c r="BH575" s="73" t="s">
        <v>199</v>
      </c>
      <c r="BI575" s="30" t="str">
        <f>IF(COUNTA(Tabelle32[[#This Row],[Type:Vid_1080i50]:[Type:Anc_Prot]])&gt;0,"x","")</f>
        <v>x</v>
      </c>
      <c r="BJ57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75" s="59"/>
      <c r="BL575" s="59"/>
      <c r="BM575" s="63"/>
      <c r="BN575" s="63"/>
      <c r="BO575" s="93" t="s">
        <v>2684</v>
      </c>
      <c r="BP575" s="97" t="s">
        <v>2726</v>
      </c>
      <c r="BQ575" s="75">
        <f>LEN(Tabelle32[[#This Row],[Label 1
GFX-Unit]])</f>
        <v>14</v>
      </c>
      <c r="BR575" s="63"/>
      <c r="BS575" s="63"/>
      <c r="BT575" s="59"/>
      <c r="BU575" s="59"/>
      <c r="BV575" s="59" t="s">
        <v>218</v>
      </c>
      <c r="BW575" s="59" t="s">
        <v>219</v>
      </c>
      <c r="BX575" s="59" t="s">
        <v>1065</v>
      </c>
      <c r="BY575" s="59">
        <v>28</v>
      </c>
    </row>
    <row r="576" spans="1:77" x14ac:dyDescent="0.2">
      <c r="A576" s="58" t="str">
        <f>CONCATENATE(Tabelle32[[#This Row],[Device ID]],".",Tabelle32[[#This Row],[Streamcounter]])</f>
        <v>405.28203</v>
      </c>
      <c r="B57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VGW-103_SDI28_AUDrec_0003</v>
      </c>
      <c r="C576" s="67"/>
      <c r="D576" s="61"/>
      <c r="E576" s="67"/>
      <c r="F576" s="59" t="str">
        <f>IFERROR(VLOOKUP(Tabelle32[[#This Row],[Device ID]],BOM!$B$3:$BQ$35,16,FALSE),"")</f>
        <v>IngSRV-10</v>
      </c>
      <c r="G576" s="63">
        <f>VLOOKUP(Tabelle32[[#This Row],[SDI Interface]],BOM!$A$4:$B$35,2,FALSE)</f>
        <v>405</v>
      </c>
      <c r="H576" s="59" t="str">
        <f>BOM!$C$4</f>
        <v>VGW-103</v>
      </c>
      <c r="I576" s="59" t="str">
        <f>IFERROR(VLOOKUP(Tabelle32[[#This Row],[Device ID]],BOM!$B$3:$BQ$35,12,FALSE),"")</f>
        <v>Videoserver</v>
      </c>
      <c r="J576" s="59" t="str">
        <f>IFERROR(VLOOKUP(Tabelle32[[#This Row],[Device ID]],BOM!$B$3:$BQ$35,13,FALSE),"")</f>
        <v>TC.U1.223 | MDC</v>
      </c>
      <c r="K576" s="59" t="str">
        <f>IFERROR(VLOOKUP(Tabelle32[[#This Row],[Device ID]],BOM!$B$3:$BQ$35,14,FALSE),"")</f>
        <v>Imagine Comunications</v>
      </c>
      <c r="L576" s="59" t="str">
        <f>IFERROR(VLOOKUP(Tabelle32[[#This Row],[Device ID]],BOM!$B$3:$BQ$35,16,FALSE),"")</f>
        <v>IngSRV-10</v>
      </c>
      <c r="M576" s="63" t="str">
        <f>IFERROR(VLOOKUP(Tabelle32[[#This Row],[Device ID]],BOM!$B$3:$BQ$35,17,FALSE),"")</f>
        <v>M3H</v>
      </c>
      <c r="N576" s="59" t="str">
        <f>IFERROR(VLOOKUP(Tabelle32[[#This Row],[Device ID]],BOM!$B$3:$BQ$35,18,FALSE),"")</f>
        <v>TC.03.225 | M3H</v>
      </c>
      <c r="O576" s="64"/>
      <c r="P576" s="64">
        <f>IFERROR(VLOOKUP(Tabelle32[[#This Row],[Device ID]],BOM!$B$3:$BO$50,20,FALSE),"")</f>
        <v>0</v>
      </c>
      <c r="Q576" s="64">
        <f>IFERROR(VLOOKUP(Tabelle32[[#This Row],[Device ID]],BOM!$B$3:$BO$50,21,FALSE),"")</f>
        <v>1</v>
      </c>
      <c r="R576" s="64">
        <f>IFERROR(VLOOKUP(Tabelle32[[#This Row],[Device ID]],BOM!$B$3:$BO$50,22,FALSE),"")</f>
        <v>0</v>
      </c>
      <c r="S576" s="64"/>
      <c r="T576" s="64"/>
      <c r="U576" s="59" t="str">
        <f>IFERROR(VLOOKUP(Tabelle32[[#This Row],[Device ID]],BOM!$B$3:$BQ$35,25,FALSE),"")</f>
        <v>Luis/Ivo</v>
      </c>
      <c r="V576" s="59" t="str">
        <f>IFERROR(VLOOKUP(Tabelle32[[#This Row],[Device ID]],BOM!$B$3:$BQ$35,26,FALSE),"")</f>
        <v>tpco-megw-vgw103.rta.st-net.media.int</v>
      </c>
      <c r="W576" s="59" t="str">
        <f>IFERROR(VLOOKUP(Tabelle32[[#This Row],[Device ID]],BOM!$B$3:$BQ$35,27,FALSE),"")</f>
        <v>10.120.236.50</v>
      </c>
      <c r="X576" s="59" t="str">
        <f>IFERROR(VLOOKUP(Tabelle32[[#This Row],[Device ID]],BOM!$B$3:$BQ$35,28,FALSE),"")</f>
        <v>AVCoreA</v>
      </c>
      <c r="Y576" s="59" t="str">
        <f>IFERROR(VLOOKUP(Tabelle32[[#This Row],[Device ID]],BOM!$B$3:$BQ$35,29,FALSE),"")</f>
        <v>5_36_1</v>
      </c>
      <c r="Z576" s="59" t="str">
        <f>IFERROR(VLOOKUP(Tabelle32[[#This Row],[Device ID]],BOM!$B$3:$BQ$35,30,FALSE),"")</f>
        <v>tpco-megw-vgw103.rtb.st-net.media.int</v>
      </c>
      <c r="AA576" s="59" t="str">
        <f>IFERROR(VLOOKUP(Tabelle32[[#This Row],[Device ID]],BOM!$B$3:$BQ$35,31,FALSE),"")</f>
        <v>10.120.236.54</v>
      </c>
      <c r="AB576" s="59" t="str">
        <f>IFERROR(VLOOKUP(Tabelle32[[#This Row],[Device ID]],BOM!$B$3:$BQ$35,32,FALSE),"")</f>
        <v>AVCoreB</v>
      </c>
      <c r="AC576" s="59" t="str">
        <f>IFERROR(VLOOKUP(Tabelle32[[#This Row],[Device ID]],BOM!$B$3:$BQ$35,33,FALSE),"")</f>
        <v>5_36_1</v>
      </c>
      <c r="AD576" s="59" t="str">
        <f>IFERROR(VLOOKUP(Tabelle32[[#This Row],[Device ID]],BOM!$B$3:$BQ$35,34,FALSE),"")</f>
        <v>tpco-megw-vgw103.st-net.media.int</v>
      </c>
      <c r="AE576" s="59" t="str">
        <f>IFERROR(VLOOKUP(Tabelle32[[#This Row],[Device ID]],BOM!$B$3:$BQ$35,35,FALSE),"")</f>
        <v>10.120.67.141</v>
      </c>
      <c r="AF576" s="59">
        <f>IFERROR(VLOOKUP(Tabelle32[[#This Row],[Device ID]],BOM!$B$3:$BQ$35,36,FALSE),"")</f>
        <v>0</v>
      </c>
      <c r="AG576" s="59">
        <f>IFERROR(VLOOKUP(Tabelle32[[#This Row],[Device ID]],BOM!$B$3:$BQ$35,37,FALSE),"")</f>
        <v>0</v>
      </c>
      <c r="AH576" s="59"/>
      <c r="AI576" s="59"/>
      <c r="AJ576" s="59"/>
      <c r="AK576" s="59"/>
      <c r="AL576" s="59" t="str">
        <f>IFERROR(VLOOKUP(Tabelle32[[#This Row],[Device ID]],BOM!$B$3:$BQ$35,42,FALSE),"")</f>
        <v>Imagine Communications SNP</v>
      </c>
      <c r="AM576" s="59" t="str">
        <f>IFERROR(VLOOKUP(Tabelle32[[#This Row],[Device ID]],BOM!$B$3:$BQ$35,43,FALSE),"")</f>
        <v>no</v>
      </c>
      <c r="AN576" s="59" t="str">
        <f>IFERROR(VLOOKUP(Tabelle32[[#This Row],[Device ID]],BOM!$B$3:$BQ$35,44,FALSE),"")</f>
        <v>yes</v>
      </c>
      <c r="AO576" s="59" t="str">
        <f>IFERROR(VLOOKUP(Tabelle32[[#This Row],[Device ID]],BOM!$B$3:$BQ$35,45,FALSE),"")</f>
        <v>no</v>
      </c>
      <c r="AP576" s="59" t="str">
        <f>IFERROR(CONCATENATE(Tabelle32[[#This Row],[Family
GFX-Unit]]," | ",Tabelle32[[#This Row],[Label 1
GFX-Unit]]," | ",Tabelle32[[#This Row],[Attached Device if Gateway]]),"")</f>
        <v>M3H InCh PGM | Ingest Ch40-03 | IngSRV-10</v>
      </c>
      <c r="AQ576" s="59"/>
      <c r="AR576" s="92"/>
      <c r="AS576" s="92"/>
      <c r="AT576" s="92"/>
      <c r="AU576" s="92"/>
      <c r="AV576" s="92"/>
      <c r="AW576" s="92" t="s">
        <v>97</v>
      </c>
      <c r="AX576" s="92"/>
      <c r="AY576" s="92"/>
      <c r="AZ576" s="92" t="s">
        <v>97</v>
      </c>
      <c r="BA576" s="92"/>
      <c r="BB576" s="92" t="s">
        <v>97</v>
      </c>
      <c r="BC576" s="92" t="s">
        <v>97</v>
      </c>
      <c r="BD576" s="92"/>
      <c r="BE576" s="92"/>
      <c r="BF576" s="92"/>
      <c r="BG576" s="92"/>
      <c r="BH576" s="73" t="s">
        <v>199</v>
      </c>
      <c r="BI576" s="30" t="str">
        <f>IF(COUNTA(Tabelle32[[#This Row],[Type:Vid_1080i50]:[Type:Anc_Prot]])&gt;0,"x","")</f>
        <v>x</v>
      </c>
      <c r="BJ57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76" s="59"/>
      <c r="BL576" s="59"/>
      <c r="BM576" s="63"/>
      <c r="BN576" s="63"/>
      <c r="BO576" s="93" t="s">
        <v>2684</v>
      </c>
      <c r="BP576" s="97" t="s">
        <v>2727</v>
      </c>
      <c r="BQ576" s="75">
        <f>LEN(Tabelle32[[#This Row],[Label 1
GFX-Unit]])</f>
        <v>14</v>
      </c>
      <c r="BR576" s="63"/>
      <c r="BS576" s="63"/>
      <c r="BT576" s="59"/>
      <c r="BU576" s="59"/>
      <c r="BV576" s="59" t="s">
        <v>222</v>
      </c>
      <c r="BW576" s="59" t="s">
        <v>223</v>
      </c>
      <c r="BX576" s="59" t="s">
        <v>1066</v>
      </c>
      <c r="BY576" s="59">
        <v>28</v>
      </c>
    </row>
    <row r="577" spans="1:77" x14ac:dyDescent="0.2">
      <c r="A577" s="58" t="str">
        <f>CONCATENATE(Tabelle32[[#This Row],[Device ID]],".",Tabelle32[[#This Row],[Streamcounter]])</f>
        <v>405.28204</v>
      </c>
      <c r="B57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VGW-103_SDI28_AUDrec_0004</v>
      </c>
      <c r="C577" s="60"/>
      <c r="D577" s="61"/>
      <c r="E577" s="62"/>
      <c r="F577" s="59" t="str">
        <f>IFERROR(VLOOKUP(Tabelle32[[#This Row],[Device ID]],BOM!$B$3:$BQ$35,16,FALSE),"")</f>
        <v>IngSRV-10</v>
      </c>
      <c r="G577" s="63">
        <f>VLOOKUP(Tabelle32[[#This Row],[SDI Interface]],BOM!$A$4:$B$35,2,FALSE)</f>
        <v>405</v>
      </c>
      <c r="H577" s="59" t="str">
        <f>BOM!$C$4</f>
        <v>VGW-103</v>
      </c>
      <c r="I577" s="59" t="str">
        <f>IFERROR(VLOOKUP(Tabelle32[[#This Row],[Device ID]],BOM!$B$3:$BQ$35,12,FALSE),"")</f>
        <v>Videoserver</v>
      </c>
      <c r="J577" s="59" t="str">
        <f>IFERROR(VLOOKUP(Tabelle32[[#This Row],[Device ID]],BOM!$B$3:$BQ$35,13,FALSE),"")</f>
        <v>TC.U1.223 | MDC</v>
      </c>
      <c r="K577" s="59" t="str">
        <f>IFERROR(VLOOKUP(Tabelle32[[#This Row],[Device ID]],BOM!$B$3:$BQ$35,14,FALSE),"")</f>
        <v>Imagine Comunications</v>
      </c>
      <c r="L577" s="59" t="str">
        <f>IFERROR(VLOOKUP(Tabelle32[[#This Row],[Device ID]],BOM!$B$3:$BQ$35,16,FALSE),"")</f>
        <v>IngSRV-10</v>
      </c>
      <c r="M577" s="63" t="str">
        <f>IFERROR(VLOOKUP(Tabelle32[[#This Row],[Device ID]],BOM!$B$3:$BQ$35,17,FALSE),"")</f>
        <v>M3H</v>
      </c>
      <c r="N577" s="59" t="str">
        <f>IFERROR(VLOOKUP(Tabelle32[[#This Row],[Device ID]],BOM!$B$3:$BQ$35,18,FALSE),"")</f>
        <v>TC.03.225 | M3H</v>
      </c>
      <c r="O577" s="64"/>
      <c r="P577" s="64">
        <f>IFERROR(VLOOKUP(Tabelle32[[#This Row],[Device ID]],BOM!$B$3:$BO$50,20,FALSE),"")</f>
        <v>0</v>
      </c>
      <c r="Q577" s="64">
        <f>IFERROR(VLOOKUP(Tabelle32[[#This Row],[Device ID]],BOM!$B$3:$BO$50,21,FALSE),"")</f>
        <v>1</v>
      </c>
      <c r="R577" s="64">
        <f>IFERROR(VLOOKUP(Tabelle32[[#This Row],[Device ID]],BOM!$B$3:$BO$50,22,FALSE),"")</f>
        <v>0</v>
      </c>
      <c r="S577" s="64"/>
      <c r="T577" s="64"/>
      <c r="U577" s="59" t="str">
        <f>IFERROR(VLOOKUP(Tabelle32[[#This Row],[Device ID]],BOM!$B$3:$BQ$35,25,FALSE),"")</f>
        <v>Luis/Ivo</v>
      </c>
      <c r="V577" s="59" t="str">
        <f>IFERROR(VLOOKUP(Tabelle32[[#This Row],[Device ID]],BOM!$B$3:$BQ$35,26,FALSE),"")</f>
        <v>tpco-megw-vgw103.rta.st-net.media.int</v>
      </c>
      <c r="W577" s="59" t="str">
        <f>IFERROR(VLOOKUP(Tabelle32[[#This Row],[Device ID]],BOM!$B$3:$BQ$35,27,FALSE),"")</f>
        <v>10.120.236.50</v>
      </c>
      <c r="X577" s="59" t="str">
        <f>IFERROR(VLOOKUP(Tabelle32[[#This Row],[Device ID]],BOM!$B$3:$BQ$35,28,FALSE),"")</f>
        <v>AVCoreA</v>
      </c>
      <c r="Y577" s="59" t="str">
        <f>IFERROR(VLOOKUP(Tabelle32[[#This Row],[Device ID]],BOM!$B$3:$BQ$35,29,FALSE),"")</f>
        <v>5_36_1</v>
      </c>
      <c r="Z577" s="59" t="str">
        <f>IFERROR(VLOOKUP(Tabelle32[[#This Row],[Device ID]],BOM!$B$3:$BQ$35,30,FALSE),"")</f>
        <v>tpco-megw-vgw103.rtb.st-net.media.int</v>
      </c>
      <c r="AA577" s="59" t="str">
        <f>IFERROR(VLOOKUP(Tabelle32[[#This Row],[Device ID]],BOM!$B$3:$BQ$35,31,FALSE),"")</f>
        <v>10.120.236.54</v>
      </c>
      <c r="AB577" s="59" t="str">
        <f>IFERROR(VLOOKUP(Tabelle32[[#This Row],[Device ID]],BOM!$B$3:$BQ$35,32,FALSE),"")</f>
        <v>AVCoreB</v>
      </c>
      <c r="AC577" s="59" t="str">
        <f>IFERROR(VLOOKUP(Tabelle32[[#This Row],[Device ID]],BOM!$B$3:$BQ$35,33,FALSE),"")</f>
        <v>5_36_1</v>
      </c>
      <c r="AD577" s="59" t="str">
        <f>IFERROR(VLOOKUP(Tabelle32[[#This Row],[Device ID]],BOM!$B$3:$BQ$35,34,FALSE),"")</f>
        <v>tpco-megw-vgw103.st-net.media.int</v>
      </c>
      <c r="AE577" s="59" t="str">
        <f>IFERROR(VLOOKUP(Tabelle32[[#This Row],[Device ID]],BOM!$B$3:$BQ$35,35,FALSE),"")</f>
        <v>10.120.67.141</v>
      </c>
      <c r="AF577" s="59">
        <f>IFERROR(VLOOKUP(Tabelle32[[#This Row],[Device ID]],BOM!$B$3:$BQ$35,36,FALSE),"")</f>
        <v>0</v>
      </c>
      <c r="AG577" s="59">
        <f>IFERROR(VLOOKUP(Tabelle32[[#This Row],[Device ID]],BOM!$B$3:$BQ$35,37,FALSE),"")</f>
        <v>0</v>
      </c>
      <c r="AH577" s="59"/>
      <c r="AI577" s="59"/>
      <c r="AJ577" s="59"/>
      <c r="AK577" s="59"/>
      <c r="AL577" s="59" t="str">
        <f>IFERROR(VLOOKUP(Tabelle32[[#This Row],[Device ID]],BOM!$B$3:$BQ$35,42,FALSE),"")</f>
        <v>Imagine Communications SNP</v>
      </c>
      <c r="AM577" s="59" t="str">
        <f>IFERROR(VLOOKUP(Tabelle32[[#This Row],[Device ID]],BOM!$B$3:$BQ$35,43,FALSE),"")</f>
        <v>no</v>
      </c>
      <c r="AN577" s="59" t="str">
        <f>IFERROR(VLOOKUP(Tabelle32[[#This Row],[Device ID]],BOM!$B$3:$BQ$35,44,FALSE),"")</f>
        <v>yes</v>
      </c>
      <c r="AO577" s="59" t="str">
        <f>IFERROR(VLOOKUP(Tabelle32[[#This Row],[Device ID]],BOM!$B$3:$BQ$35,45,FALSE),"")</f>
        <v>no</v>
      </c>
      <c r="AP577" s="59" t="str">
        <f>IFERROR(CONCATENATE(Tabelle32[[#This Row],[Family
GFX-Unit]]," | ",Tabelle32[[#This Row],[Label 1
GFX-Unit]]," | ",Tabelle32[[#This Row],[Attached Device if Gateway]]),"")</f>
        <v>M3H InCh PGM | Ingest Ch40-04 | IngSRV-10</v>
      </c>
      <c r="AQ577" s="59"/>
      <c r="AR577" s="92"/>
      <c r="AS577" s="92"/>
      <c r="AT577" s="92"/>
      <c r="AU577" s="92"/>
      <c r="AV577" s="92"/>
      <c r="AW577" s="92" t="s">
        <v>97</v>
      </c>
      <c r="AX577" s="92"/>
      <c r="AY577" s="92"/>
      <c r="AZ577" s="92" t="s">
        <v>97</v>
      </c>
      <c r="BA577" s="92"/>
      <c r="BB577" s="92" t="s">
        <v>97</v>
      </c>
      <c r="BC577" s="92" t="s">
        <v>97</v>
      </c>
      <c r="BD577" s="92"/>
      <c r="BE577" s="92"/>
      <c r="BF577" s="92"/>
      <c r="BG577" s="92"/>
      <c r="BH577" s="73" t="s">
        <v>199</v>
      </c>
      <c r="BI577" s="30" t="str">
        <f>IF(COUNTA(Tabelle32[[#This Row],[Type:Vid_1080i50]:[Type:Anc_Prot]])&gt;0,"x","")</f>
        <v>x</v>
      </c>
      <c r="BJ57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77" s="59"/>
      <c r="BL577" s="59"/>
      <c r="BM577" s="63"/>
      <c r="BN577" s="63"/>
      <c r="BO577" s="93" t="s">
        <v>2684</v>
      </c>
      <c r="BP577" s="97" t="s">
        <v>2728</v>
      </c>
      <c r="BQ577" s="75">
        <f>LEN(Tabelle32[[#This Row],[Label 1
GFX-Unit]])</f>
        <v>14</v>
      </c>
      <c r="BR577" s="63"/>
      <c r="BS577" s="63"/>
      <c r="BT577" s="59"/>
      <c r="BU577" s="59"/>
      <c r="BV577" s="59" t="s">
        <v>226</v>
      </c>
      <c r="BW577" s="59" t="s">
        <v>227</v>
      </c>
      <c r="BX577" s="59" t="s">
        <v>1067</v>
      </c>
      <c r="BY577" s="59">
        <v>28</v>
      </c>
    </row>
    <row r="578" spans="1:77" x14ac:dyDescent="0.2">
      <c r="A578" s="58" t="str">
        <f>CONCATENATE(Tabelle32[[#This Row],[Device ID]],".",Tabelle32[[#This Row],[Streamcounter]])</f>
        <v>405.28205</v>
      </c>
      <c r="B57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VGW-103_SDI28_AUDrec_0005</v>
      </c>
      <c r="C578" s="60"/>
      <c r="D578" s="61"/>
      <c r="E578" s="62"/>
      <c r="F578" s="59" t="str">
        <f>IFERROR(VLOOKUP(Tabelle32[[#This Row],[Device ID]],BOM!$B$3:$BQ$35,16,FALSE),"")</f>
        <v>IngSRV-10</v>
      </c>
      <c r="G578" s="63">
        <f>VLOOKUP(Tabelle32[[#This Row],[SDI Interface]],BOM!$A$4:$B$35,2,FALSE)</f>
        <v>405</v>
      </c>
      <c r="H578" s="59" t="str">
        <f>BOM!$C$4</f>
        <v>VGW-103</v>
      </c>
      <c r="I578" s="59" t="str">
        <f>IFERROR(VLOOKUP(Tabelle32[[#This Row],[Device ID]],BOM!$B$3:$BQ$35,12,FALSE),"")</f>
        <v>Videoserver</v>
      </c>
      <c r="J578" s="59" t="str">
        <f>IFERROR(VLOOKUP(Tabelle32[[#This Row],[Device ID]],BOM!$B$3:$BQ$35,13,FALSE),"")</f>
        <v>TC.U1.223 | MDC</v>
      </c>
      <c r="K578" s="59" t="str">
        <f>IFERROR(VLOOKUP(Tabelle32[[#This Row],[Device ID]],BOM!$B$3:$BQ$35,14,FALSE),"")</f>
        <v>Imagine Comunications</v>
      </c>
      <c r="L578" s="59" t="str">
        <f>IFERROR(VLOOKUP(Tabelle32[[#This Row],[Device ID]],BOM!$B$3:$BQ$35,16,FALSE),"")</f>
        <v>IngSRV-10</v>
      </c>
      <c r="M578" s="63" t="str">
        <f>IFERROR(VLOOKUP(Tabelle32[[#This Row],[Device ID]],BOM!$B$3:$BQ$35,17,FALSE),"")</f>
        <v>M3H</v>
      </c>
      <c r="N578" s="59" t="str">
        <f>IFERROR(VLOOKUP(Tabelle32[[#This Row],[Device ID]],BOM!$B$3:$BQ$35,18,FALSE),"")</f>
        <v>TC.03.225 | M3H</v>
      </c>
      <c r="O578" s="64"/>
      <c r="P578" s="64">
        <f>IFERROR(VLOOKUP(Tabelle32[[#This Row],[Device ID]],BOM!$B$3:$BO$50,20,FALSE),"")</f>
        <v>0</v>
      </c>
      <c r="Q578" s="64">
        <f>IFERROR(VLOOKUP(Tabelle32[[#This Row],[Device ID]],BOM!$B$3:$BO$50,21,FALSE),"")</f>
        <v>1</v>
      </c>
      <c r="R578" s="64">
        <f>IFERROR(VLOOKUP(Tabelle32[[#This Row],[Device ID]],BOM!$B$3:$BO$50,22,FALSE),"")</f>
        <v>0</v>
      </c>
      <c r="S578" s="64"/>
      <c r="T578" s="64"/>
      <c r="U578" s="59" t="str">
        <f>IFERROR(VLOOKUP(Tabelle32[[#This Row],[Device ID]],BOM!$B$3:$BQ$35,25,FALSE),"")</f>
        <v>Luis/Ivo</v>
      </c>
      <c r="V578" s="59" t="str">
        <f>IFERROR(VLOOKUP(Tabelle32[[#This Row],[Device ID]],BOM!$B$3:$BQ$35,26,FALSE),"")</f>
        <v>tpco-megw-vgw103.rta.st-net.media.int</v>
      </c>
      <c r="W578" s="59" t="str">
        <f>IFERROR(VLOOKUP(Tabelle32[[#This Row],[Device ID]],BOM!$B$3:$BQ$35,27,FALSE),"")</f>
        <v>10.120.236.50</v>
      </c>
      <c r="X578" s="59" t="str">
        <f>IFERROR(VLOOKUP(Tabelle32[[#This Row],[Device ID]],BOM!$B$3:$BQ$35,28,FALSE),"")</f>
        <v>AVCoreA</v>
      </c>
      <c r="Y578" s="59" t="str">
        <f>IFERROR(VLOOKUP(Tabelle32[[#This Row],[Device ID]],BOM!$B$3:$BQ$35,29,FALSE),"")</f>
        <v>5_36_1</v>
      </c>
      <c r="Z578" s="59" t="str">
        <f>IFERROR(VLOOKUP(Tabelle32[[#This Row],[Device ID]],BOM!$B$3:$BQ$35,30,FALSE),"")</f>
        <v>tpco-megw-vgw103.rtb.st-net.media.int</v>
      </c>
      <c r="AA578" s="59" t="str">
        <f>IFERROR(VLOOKUP(Tabelle32[[#This Row],[Device ID]],BOM!$B$3:$BQ$35,31,FALSE),"")</f>
        <v>10.120.236.54</v>
      </c>
      <c r="AB578" s="59" t="str">
        <f>IFERROR(VLOOKUP(Tabelle32[[#This Row],[Device ID]],BOM!$B$3:$BQ$35,32,FALSE),"")</f>
        <v>AVCoreB</v>
      </c>
      <c r="AC578" s="59" t="str">
        <f>IFERROR(VLOOKUP(Tabelle32[[#This Row],[Device ID]],BOM!$B$3:$BQ$35,33,FALSE),"")</f>
        <v>5_36_1</v>
      </c>
      <c r="AD578" s="59" t="str">
        <f>IFERROR(VLOOKUP(Tabelle32[[#This Row],[Device ID]],BOM!$B$3:$BQ$35,34,FALSE),"")</f>
        <v>tpco-megw-vgw103.st-net.media.int</v>
      </c>
      <c r="AE578" s="59" t="str">
        <f>IFERROR(VLOOKUP(Tabelle32[[#This Row],[Device ID]],BOM!$B$3:$BQ$35,35,FALSE),"")</f>
        <v>10.120.67.141</v>
      </c>
      <c r="AF578" s="59">
        <f>IFERROR(VLOOKUP(Tabelle32[[#This Row],[Device ID]],BOM!$B$3:$BQ$35,36,FALSE),"")</f>
        <v>0</v>
      </c>
      <c r="AG578" s="59">
        <f>IFERROR(VLOOKUP(Tabelle32[[#This Row],[Device ID]],BOM!$B$3:$BQ$35,37,FALSE),"")</f>
        <v>0</v>
      </c>
      <c r="AH578" s="59"/>
      <c r="AI578" s="59"/>
      <c r="AJ578" s="59"/>
      <c r="AK578" s="59"/>
      <c r="AL578" s="59" t="str">
        <f>IFERROR(VLOOKUP(Tabelle32[[#This Row],[Device ID]],BOM!$B$3:$BQ$35,42,FALSE),"")</f>
        <v>Imagine Communications SNP</v>
      </c>
      <c r="AM578" s="59" t="str">
        <f>IFERROR(VLOOKUP(Tabelle32[[#This Row],[Device ID]],BOM!$B$3:$BQ$35,43,FALSE),"")</f>
        <v>no</v>
      </c>
      <c r="AN578" s="59" t="str">
        <f>IFERROR(VLOOKUP(Tabelle32[[#This Row],[Device ID]],BOM!$B$3:$BQ$35,44,FALSE),"")</f>
        <v>yes</v>
      </c>
      <c r="AO578" s="59" t="str">
        <f>IFERROR(VLOOKUP(Tabelle32[[#This Row],[Device ID]],BOM!$B$3:$BQ$35,45,FALSE),"")</f>
        <v>no</v>
      </c>
      <c r="AP578" s="59" t="str">
        <f>IFERROR(CONCATENATE(Tabelle32[[#This Row],[Family
GFX-Unit]]," | ",Tabelle32[[#This Row],[Label 1
GFX-Unit]]," | ",Tabelle32[[#This Row],[Attached Device if Gateway]]),"")</f>
        <v>M3H InCh PGM | Ingest Ch40-05 | IngSRV-10</v>
      </c>
      <c r="AQ578" s="59"/>
      <c r="AR578" s="92"/>
      <c r="AS578" s="92"/>
      <c r="AT578" s="92"/>
      <c r="AU578" s="92"/>
      <c r="AV578" s="92"/>
      <c r="AW578" s="92" t="s">
        <v>97</v>
      </c>
      <c r="AX578" s="92"/>
      <c r="AY578" s="92"/>
      <c r="AZ578" s="92" t="s">
        <v>97</v>
      </c>
      <c r="BA578" s="92"/>
      <c r="BB578" s="92" t="s">
        <v>97</v>
      </c>
      <c r="BC578" s="92" t="s">
        <v>97</v>
      </c>
      <c r="BD578" s="92"/>
      <c r="BE578" s="92"/>
      <c r="BF578" s="92"/>
      <c r="BG578" s="92"/>
      <c r="BH578" s="73" t="s">
        <v>199</v>
      </c>
      <c r="BI578" s="30" t="str">
        <f>IF(COUNTA(Tabelle32[[#This Row],[Type:Vid_1080i50]:[Type:Anc_Prot]])&gt;0,"x","")</f>
        <v>x</v>
      </c>
      <c r="BJ57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78" s="59"/>
      <c r="BL578" s="59"/>
      <c r="BM578" s="63"/>
      <c r="BN578" s="63"/>
      <c r="BO578" s="93" t="s">
        <v>2684</v>
      </c>
      <c r="BP578" s="97" t="s">
        <v>2729</v>
      </c>
      <c r="BQ578" s="75">
        <f>LEN(Tabelle32[[#This Row],[Label 1
GFX-Unit]])</f>
        <v>14</v>
      </c>
      <c r="BR578" s="63"/>
      <c r="BS578" s="63"/>
      <c r="BT578" s="59"/>
      <c r="BU578" s="59"/>
      <c r="BV578" s="59" t="s">
        <v>230</v>
      </c>
      <c r="BW578" s="59" t="s">
        <v>231</v>
      </c>
      <c r="BX578" s="59" t="s">
        <v>1068</v>
      </c>
      <c r="BY578" s="59">
        <v>28</v>
      </c>
    </row>
    <row r="579" spans="1:77" x14ac:dyDescent="0.2">
      <c r="A579" s="58" t="str">
        <f>CONCATENATE(Tabelle32[[#This Row],[Device ID]],".",Tabelle32[[#This Row],[Streamcounter]])</f>
        <v>405.28206</v>
      </c>
      <c r="B57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VGW-103_SDI28_AUDrec_0006</v>
      </c>
      <c r="C579" s="60"/>
      <c r="D579" s="61"/>
      <c r="E579" s="62"/>
      <c r="F579" s="59" t="str">
        <f>IFERROR(VLOOKUP(Tabelle32[[#This Row],[Device ID]],BOM!$B$3:$BQ$35,16,FALSE),"")</f>
        <v>IngSRV-10</v>
      </c>
      <c r="G579" s="63">
        <f>VLOOKUP(Tabelle32[[#This Row],[SDI Interface]],BOM!$A$4:$B$35,2,FALSE)</f>
        <v>405</v>
      </c>
      <c r="H579" s="59" t="str">
        <f>BOM!$C$4</f>
        <v>VGW-103</v>
      </c>
      <c r="I579" s="59" t="str">
        <f>IFERROR(VLOOKUP(Tabelle32[[#This Row],[Device ID]],BOM!$B$3:$BQ$35,12,FALSE),"")</f>
        <v>Videoserver</v>
      </c>
      <c r="J579" s="59" t="str">
        <f>IFERROR(VLOOKUP(Tabelle32[[#This Row],[Device ID]],BOM!$B$3:$BQ$35,13,FALSE),"")</f>
        <v>TC.U1.223 | MDC</v>
      </c>
      <c r="K579" s="59" t="str">
        <f>IFERROR(VLOOKUP(Tabelle32[[#This Row],[Device ID]],BOM!$B$3:$BQ$35,14,FALSE),"")</f>
        <v>Imagine Comunications</v>
      </c>
      <c r="L579" s="59" t="str">
        <f>IFERROR(VLOOKUP(Tabelle32[[#This Row],[Device ID]],BOM!$B$3:$BQ$35,16,FALSE),"")</f>
        <v>IngSRV-10</v>
      </c>
      <c r="M579" s="63" t="str">
        <f>IFERROR(VLOOKUP(Tabelle32[[#This Row],[Device ID]],BOM!$B$3:$BQ$35,17,FALSE),"")</f>
        <v>M3H</v>
      </c>
      <c r="N579" s="59" t="str">
        <f>IFERROR(VLOOKUP(Tabelle32[[#This Row],[Device ID]],BOM!$B$3:$BQ$35,18,FALSE),"")</f>
        <v>TC.03.225 | M3H</v>
      </c>
      <c r="O579" s="64"/>
      <c r="P579" s="64">
        <f>IFERROR(VLOOKUP(Tabelle32[[#This Row],[Device ID]],BOM!$B$3:$BO$50,20,FALSE),"")</f>
        <v>0</v>
      </c>
      <c r="Q579" s="64">
        <f>IFERROR(VLOOKUP(Tabelle32[[#This Row],[Device ID]],BOM!$B$3:$BO$50,21,FALSE),"")</f>
        <v>1</v>
      </c>
      <c r="R579" s="64">
        <f>IFERROR(VLOOKUP(Tabelle32[[#This Row],[Device ID]],BOM!$B$3:$BO$50,22,FALSE),"")</f>
        <v>0</v>
      </c>
      <c r="S579" s="64"/>
      <c r="T579" s="64"/>
      <c r="U579" s="59" t="str">
        <f>IFERROR(VLOOKUP(Tabelle32[[#This Row],[Device ID]],BOM!$B$3:$BQ$35,25,FALSE),"")</f>
        <v>Luis/Ivo</v>
      </c>
      <c r="V579" s="59" t="str">
        <f>IFERROR(VLOOKUP(Tabelle32[[#This Row],[Device ID]],BOM!$B$3:$BQ$35,26,FALSE),"")</f>
        <v>tpco-megw-vgw103.rta.st-net.media.int</v>
      </c>
      <c r="W579" s="59" t="str">
        <f>IFERROR(VLOOKUP(Tabelle32[[#This Row],[Device ID]],BOM!$B$3:$BQ$35,27,FALSE),"")</f>
        <v>10.120.236.50</v>
      </c>
      <c r="X579" s="59" t="str">
        <f>IFERROR(VLOOKUP(Tabelle32[[#This Row],[Device ID]],BOM!$B$3:$BQ$35,28,FALSE),"")</f>
        <v>AVCoreA</v>
      </c>
      <c r="Y579" s="59" t="str">
        <f>IFERROR(VLOOKUP(Tabelle32[[#This Row],[Device ID]],BOM!$B$3:$BQ$35,29,FALSE),"")</f>
        <v>5_36_1</v>
      </c>
      <c r="Z579" s="59" t="str">
        <f>IFERROR(VLOOKUP(Tabelle32[[#This Row],[Device ID]],BOM!$B$3:$BQ$35,30,FALSE),"")</f>
        <v>tpco-megw-vgw103.rtb.st-net.media.int</v>
      </c>
      <c r="AA579" s="59" t="str">
        <f>IFERROR(VLOOKUP(Tabelle32[[#This Row],[Device ID]],BOM!$B$3:$BQ$35,31,FALSE),"")</f>
        <v>10.120.236.54</v>
      </c>
      <c r="AB579" s="59" t="str">
        <f>IFERROR(VLOOKUP(Tabelle32[[#This Row],[Device ID]],BOM!$B$3:$BQ$35,32,FALSE),"")</f>
        <v>AVCoreB</v>
      </c>
      <c r="AC579" s="59" t="str">
        <f>IFERROR(VLOOKUP(Tabelle32[[#This Row],[Device ID]],BOM!$B$3:$BQ$35,33,FALSE),"")</f>
        <v>5_36_1</v>
      </c>
      <c r="AD579" s="59" t="str">
        <f>IFERROR(VLOOKUP(Tabelle32[[#This Row],[Device ID]],BOM!$B$3:$BQ$35,34,FALSE),"")</f>
        <v>tpco-megw-vgw103.st-net.media.int</v>
      </c>
      <c r="AE579" s="59" t="str">
        <f>IFERROR(VLOOKUP(Tabelle32[[#This Row],[Device ID]],BOM!$B$3:$BQ$35,35,FALSE),"")</f>
        <v>10.120.67.141</v>
      </c>
      <c r="AF579" s="59">
        <f>IFERROR(VLOOKUP(Tabelle32[[#This Row],[Device ID]],BOM!$B$3:$BQ$35,36,FALSE),"")</f>
        <v>0</v>
      </c>
      <c r="AG579" s="59">
        <f>IFERROR(VLOOKUP(Tabelle32[[#This Row],[Device ID]],BOM!$B$3:$BQ$35,37,FALSE),"")</f>
        <v>0</v>
      </c>
      <c r="AH579" s="59"/>
      <c r="AI579" s="59"/>
      <c r="AJ579" s="59"/>
      <c r="AK579" s="59"/>
      <c r="AL579" s="59" t="str">
        <f>IFERROR(VLOOKUP(Tabelle32[[#This Row],[Device ID]],BOM!$B$3:$BQ$35,42,FALSE),"")</f>
        <v>Imagine Communications SNP</v>
      </c>
      <c r="AM579" s="59" t="str">
        <f>IFERROR(VLOOKUP(Tabelle32[[#This Row],[Device ID]],BOM!$B$3:$BQ$35,43,FALSE),"")</f>
        <v>no</v>
      </c>
      <c r="AN579" s="59" t="str">
        <f>IFERROR(VLOOKUP(Tabelle32[[#This Row],[Device ID]],BOM!$B$3:$BQ$35,44,FALSE),"")</f>
        <v>yes</v>
      </c>
      <c r="AO579" s="59" t="str">
        <f>IFERROR(VLOOKUP(Tabelle32[[#This Row],[Device ID]],BOM!$B$3:$BQ$35,45,FALSE),"")</f>
        <v>no</v>
      </c>
      <c r="AP579" s="59" t="str">
        <f>IFERROR(CONCATENATE(Tabelle32[[#This Row],[Family
GFX-Unit]]," | ",Tabelle32[[#This Row],[Label 1
GFX-Unit]]," | ",Tabelle32[[#This Row],[Attached Device if Gateway]]),"")</f>
        <v>M3H InCh PGM | Ingest Ch40-06 | IngSRV-10</v>
      </c>
      <c r="AQ579" s="59"/>
      <c r="AR579" s="92"/>
      <c r="AS579" s="92"/>
      <c r="AT579" s="92"/>
      <c r="AU579" s="92"/>
      <c r="AV579" s="92"/>
      <c r="AW579" s="92" t="s">
        <v>97</v>
      </c>
      <c r="AX579" s="92"/>
      <c r="AY579" s="92"/>
      <c r="AZ579" s="92" t="s">
        <v>97</v>
      </c>
      <c r="BA579" s="92"/>
      <c r="BB579" s="92" t="s">
        <v>97</v>
      </c>
      <c r="BC579" s="92" t="s">
        <v>97</v>
      </c>
      <c r="BD579" s="92"/>
      <c r="BE579" s="92"/>
      <c r="BF579" s="92"/>
      <c r="BG579" s="92"/>
      <c r="BH579" s="73" t="s">
        <v>199</v>
      </c>
      <c r="BI579" s="30" t="str">
        <f>IF(COUNTA(Tabelle32[[#This Row],[Type:Vid_1080i50]:[Type:Anc_Prot]])&gt;0,"x","")</f>
        <v>x</v>
      </c>
      <c r="BJ57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79" s="59"/>
      <c r="BL579" s="59"/>
      <c r="BM579" s="63"/>
      <c r="BN579" s="63"/>
      <c r="BO579" s="93" t="s">
        <v>2684</v>
      </c>
      <c r="BP579" s="97" t="s">
        <v>2730</v>
      </c>
      <c r="BQ579" s="75">
        <f>LEN(Tabelle32[[#This Row],[Label 1
GFX-Unit]])</f>
        <v>14</v>
      </c>
      <c r="BR579" s="63"/>
      <c r="BS579" s="63"/>
      <c r="BT579" s="59"/>
      <c r="BU579" s="59"/>
      <c r="BV579" s="59" t="s">
        <v>234</v>
      </c>
      <c r="BW579" s="59" t="s">
        <v>235</v>
      </c>
      <c r="BX579" s="59" t="s">
        <v>1069</v>
      </c>
      <c r="BY579" s="59">
        <v>28</v>
      </c>
    </row>
    <row r="580" spans="1:77" x14ac:dyDescent="0.2">
      <c r="A580" s="58" t="str">
        <f>CONCATENATE(Tabelle32[[#This Row],[Device ID]],".",Tabelle32[[#This Row],[Streamcounter]])</f>
        <v>405.28207</v>
      </c>
      <c r="B58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VGW-103_SDI28_AUDrec_0007</v>
      </c>
      <c r="C580" s="60"/>
      <c r="D580" s="61"/>
      <c r="E580" s="62"/>
      <c r="F580" s="59" t="str">
        <f>IFERROR(VLOOKUP(Tabelle32[[#This Row],[Device ID]],BOM!$B$3:$BQ$35,16,FALSE),"")</f>
        <v>IngSRV-10</v>
      </c>
      <c r="G580" s="63">
        <f>VLOOKUP(Tabelle32[[#This Row],[SDI Interface]],BOM!$A$4:$B$35,2,FALSE)</f>
        <v>405</v>
      </c>
      <c r="H580" s="59" t="str">
        <f>BOM!$C$4</f>
        <v>VGW-103</v>
      </c>
      <c r="I580" s="59" t="str">
        <f>IFERROR(VLOOKUP(Tabelle32[[#This Row],[Device ID]],BOM!$B$3:$BQ$35,12,FALSE),"")</f>
        <v>Videoserver</v>
      </c>
      <c r="J580" s="59" t="str">
        <f>IFERROR(VLOOKUP(Tabelle32[[#This Row],[Device ID]],BOM!$B$3:$BQ$35,13,FALSE),"")</f>
        <v>TC.U1.223 | MDC</v>
      </c>
      <c r="K580" s="59" t="str">
        <f>IFERROR(VLOOKUP(Tabelle32[[#This Row],[Device ID]],BOM!$B$3:$BQ$35,14,FALSE),"")</f>
        <v>Imagine Comunications</v>
      </c>
      <c r="L580" s="59" t="str">
        <f>IFERROR(VLOOKUP(Tabelle32[[#This Row],[Device ID]],BOM!$B$3:$BQ$35,16,FALSE),"")</f>
        <v>IngSRV-10</v>
      </c>
      <c r="M580" s="63" t="str">
        <f>IFERROR(VLOOKUP(Tabelle32[[#This Row],[Device ID]],BOM!$B$3:$BQ$35,17,FALSE),"")</f>
        <v>M3H</v>
      </c>
      <c r="N580" s="59" t="str">
        <f>IFERROR(VLOOKUP(Tabelle32[[#This Row],[Device ID]],BOM!$B$3:$BQ$35,18,FALSE),"")</f>
        <v>TC.03.225 | M3H</v>
      </c>
      <c r="O580" s="64"/>
      <c r="P580" s="64">
        <f>IFERROR(VLOOKUP(Tabelle32[[#This Row],[Device ID]],BOM!$B$3:$BO$50,20,FALSE),"")</f>
        <v>0</v>
      </c>
      <c r="Q580" s="64">
        <f>IFERROR(VLOOKUP(Tabelle32[[#This Row],[Device ID]],BOM!$B$3:$BO$50,21,FALSE),"")</f>
        <v>1</v>
      </c>
      <c r="R580" s="64">
        <f>IFERROR(VLOOKUP(Tabelle32[[#This Row],[Device ID]],BOM!$B$3:$BO$50,22,FALSE),"")</f>
        <v>0</v>
      </c>
      <c r="S580" s="64"/>
      <c r="T580" s="64"/>
      <c r="U580" s="59" t="str">
        <f>IFERROR(VLOOKUP(Tabelle32[[#This Row],[Device ID]],BOM!$B$3:$BQ$35,25,FALSE),"")</f>
        <v>Luis/Ivo</v>
      </c>
      <c r="V580" s="59" t="str">
        <f>IFERROR(VLOOKUP(Tabelle32[[#This Row],[Device ID]],BOM!$B$3:$BQ$35,26,FALSE),"")</f>
        <v>tpco-megw-vgw103.rta.st-net.media.int</v>
      </c>
      <c r="W580" s="59" t="str">
        <f>IFERROR(VLOOKUP(Tabelle32[[#This Row],[Device ID]],BOM!$B$3:$BQ$35,27,FALSE),"")</f>
        <v>10.120.236.50</v>
      </c>
      <c r="X580" s="59" t="str">
        <f>IFERROR(VLOOKUP(Tabelle32[[#This Row],[Device ID]],BOM!$B$3:$BQ$35,28,FALSE),"")</f>
        <v>AVCoreA</v>
      </c>
      <c r="Y580" s="59" t="str">
        <f>IFERROR(VLOOKUP(Tabelle32[[#This Row],[Device ID]],BOM!$B$3:$BQ$35,29,FALSE),"")</f>
        <v>5_36_1</v>
      </c>
      <c r="Z580" s="59" t="str">
        <f>IFERROR(VLOOKUP(Tabelle32[[#This Row],[Device ID]],BOM!$B$3:$BQ$35,30,FALSE),"")</f>
        <v>tpco-megw-vgw103.rtb.st-net.media.int</v>
      </c>
      <c r="AA580" s="59" t="str">
        <f>IFERROR(VLOOKUP(Tabelle32[[#This Row],[Device ID]],BOM!$B$3:$BQ$35,31,FALSE),"")</f>
        <v>10.120.236.54</v>
      </c>
      <c r="AB580" s="59" t="str">
        <f>IFERROR(VLOOKUP(Tabelle32[[#This Row],[Device ID]],BOM!$B$3:$BQ$35,32,FALSE),"")</f>
        <v>AVCoreB</v>
      </c>
      <c r="AC580" s="59" t="str">
        <f>IFERROR(VLOOKUP(Tabelle32[[#This Row],[Device ID]],BOM!$B$3:$BQ$35,33,FALSE),"")</f>
        <v>5_36_1</v>
      </c>
      <c r="AD580" s="59" t="str">
        <f>IFERROR(VLOOKUP(Tabelle32[[#This Row],[Device ID]],BOM!$B$3:$BQ$35,34,FALSE),"")</f>
        <v>tpco-megw-vgw103.st-net.media.int</v>
      </c>
      <c r="AE580" s="59" t="str">
        <f>IFERROR(VLOOKUP(Tabelle32[[#This Row],[Device ID]],BOM!$B$3:$BQ$35,35,FALSE),"")</f>
        <v>10.120.67.141</v>
      </c>
      <c r="AF580" s="59">
        <f>IFERROR(VLOOKUP(Tabelle32[[#This Row],[Device ID]],BOM!$B$3:$BQ$35,36,FALSE),"")</f>
        <v>0</v>
      </c>
      <c r="AG580" s="59">
        <f>IFERROR(VLOOKUP(Tabelle32[[#This Row],[Device ID]],BOM!$B$3:$BQ$35,37,FALSE),"")</f>
        <v>0</v>
      </c>
      <c r="AH580" s="59"/>
      <c r="AI580" s="59"/>
      <c r="AJ580" s="59"/>
      <c r="AK580" s="59"/>
      <c r="AL580" s="59" t="str">
        <f>IFERROR(VLOOKUP(Tabelle32[[#This Row],[Device ID]],BOM!$B$3:$BQ$35,42,FALSE),"")</f>
        <v>Imagine Communications SNP</v>
      </c>
      <c r="AM580" s="59" t="str">
        <f>IFERROR(VLOOKUP(Tabelle32[[#This Row],[Device ID]],BOM!$B$3:$BQ$35,43,FALSE),"")</f>
        <v>no</v>
      </c>
      <c r="AN580" s="59" t="str">
        <f>IFERROR(VLOOKUP(Tabelle32[[#This Row],[Device ID]],BOM!$B$3:$BQ$35,44,FALSE),"")</f>
        <v>yes</v>
      </c>
      <c r="AO580" s="59" t="str">
        <f>IFERROR(VLOOKUP(Tabelle32[[#This Row],[Device ID]],BOM!$B$3:$BQ$35,45,FALSE),"")</f>
        <v>no</v>
      </c>
      <c r="AP580" s="59" t="str">
        <f>IFERROR(CONCATENATE(Tabelle32[[#This Row],[Family
GFX-Unit]]," | ",Tabelle32[[#This Row],[Label 1
GFX-Unit]]," | ",Tabelle32[[#This Row],[Attached Device if Gateway]]),"")</f>
        <v>M3H InCh PGM | Ingest Ch40-07 | IngSRV-10</v>
      </c>
      <c r="AQ580" s="59"/>
      <c r="AR580" s="92"/>
      <c r="AS580" s="92"/>
      <c r="AT580" s="92"/>
      <c r="AU580" s="92"/>
      <c r="AV580" s="92"/>
      <c r="AW580" s="92" t="s">
        <v>97</v>
      </c>
      <c r="AX580" s="92"/>
      <c r="AY580" s="92"/>
      <c r="AZ580" s="92" t="s">
        <v>97</v>
      </c>
      <c r="BA580" s="92"/>
      <c r="BB580" s="92" t="s">
        <v>97</v>
      </c>
      <c r="BC580" s="92" t="s">
        <v>97</v>
      </c>
      <c r="BD580" s="92"/>
      <c r="BE580" s="92"/>
      <c r="BF580" s="92"/>
      <c r="BG580" s="92"/>
      <c r="BH580" s="73" t="s">
        <v>199</v>
      </c>
      <c r="BI580" s="30" t="str">
        <f>IF(COUNTA(Tabelle32[[#This Row],[Type:Vid_1080i50]:[Type:Anc_Prot]])&gt;0,"x","")</f>
        <v>x</v>
      </c>
      <c r="BJ58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80" s="59"/>
      <c r="BL580" s="59"/>
      <c r="BM580" s="63"/>
      <c r="BN580" s="63"/>
      <c r="BO580" s="93" t="s">
        <v>2684</v>
      </c>
      <c r="BP580" s="97" t="s">
        <v>2731</v>
      </c>
      <c r="BQ580" s="75">
        <f>LEN(Tabelle32[[#This Row],[Label 1
GFX-Unit]])</f>
        <v>14</v>
      </c>
      <c r="BR580" s="63"/>
      <c r="BS580" s="63"/>
      <c r="BT580" s="59"/>
      <c r="BU580" s="59"/>
      <c r="BV580" s="59" t="s">
        <v>238</v>
      </c>
      <c r="BW580" s="59" t="s">
        <v>239</v>
      </c>
      <c r="BX580" s="59" t="s">
        <v>1070</v>
      </c>
      <c r="BY580" s="59">
        <v>28</v>
      </c>
    </row>
    <row r="581" spans="1:77" x14ac:dyDescent="0.2">
      <c r="A581" s="58" t="str">
        <f>CONCATENATE(Tabelle32[[#This Row],[Device ID]],".",Tabelle32[[#This Row],[Streamcounter]])</f>
        <v>405.28208</v>
      </c>
      <c r="B58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VGW-103_SDI28_AUDrec_0008</v>
      </c>
      <c r="C581" s="60"/>
      <c r="D581" s="61"/>
      <c r="E581" s="62"/>
      <c r="F581" s="59" t="str">
        <f>IFERROR(VLOOKUP(Tabelle32[[#This Row],[Device ID]],BOM!$B$3:$BQ$35,16,FALSE),"")</f>
        <v>IngSRV-10</v>
      </c>
      <c r="G581" s="63">
        <f>VLOOKUP(Tabelle32[[#This Row],[SDI Interface]],BOM!$A$4:$B$35,2,FALSE)</f>
        <v>405</v>
      </c>
      <c r="H581" s="59" t="str">
        <f>BOM!$C$4</f>
        <v>VGW-103</v>
      </c>
      <c r="I581" s="59" t="str">
        <f>IFERROR(VLOOKUP(Tabelle32[[#This Row],[Device ID]],BOM!$B$3:$BQ$35,12,FALSE),"")</f>
        <v>Videoserver</v>
      </c>
      <c r="J581" s="59" t="str">
        <f>IFERROR(VLOOKUP(Tabelle32[[#This Row],[Device ID]],BOM!$B$3:$BQ$35,13,FALSE),"")</f>
        <v>TC.U1.223 | MDC</v>
      </c>
      <c r="K581" s="59" t="str">
        <f>IFERROR(VLOOKUP(Tabelle32[[#This Row],[Device ID]],BOM!$B$3:$BQ$35,14,FALSE),"")</f>
        <v>Imagine Comunications</v>
      </c>
      <c r="L581" s="59" t="str">
        <f>IFERROR(VLOOKUP(Tabelle32[[#This Row],[Device ID]],BOM!$B$3:$BQ$35,16,FALSE),"")</f>
        <v>IngSRV-10</v>
      </c>
      <c r="M581" s="63" t="str">
        <f>IFERROR(VLOOKUP(Tabelle32[[#This Row],[Device ID]],BOM!$B$3:$BQ$35,17,FALSE),"")</f>
        <v>M3H</v>
      </c>
      <c r="N581" s="59" t="str">
        <f>IFERROR(VLOOKUP(Tabelle32[[#This Row],[Device ID]],BOM!$B$3:$BQ$35,18,FALSE),"")</f>
        <v>TC.03.225 | M3H</v>
      </c>
      <c r="O581" s="64"/>
      <c r="P581" s="64">
        <f>IFERROR(VLOOKUP(Tabelle32[[#This Row],[Device ID]],BOM!$B$3:$BO$50,20,FALSE),"")</f>
        <v>0</v>
      </c>
      <c r="Q581" s="64">
        <f>IFERROR(VLOOKUP(Tabelle32[[#This Row],[Device ID]],BOM!$B$3:$BO$50,21,FALSE),"")</f>
        <v>1</v>
      </c>
      <c r="R581" s="64">
        <f>IFERROR(VLOOKUP(Tabelle32[[#This Row],[Device ID]],BOM!$B$3:$BO$50,22,FALSE),"")</f>
        <v>0</v>
      </c>
      <c r="S581" s="64"/>
      <c r="T581" s="64"/>
      <c r="U581" s="59" t="str">
        <f>IFERROR(VLOOKUP(Tabelle32[[#This Row],[Device ID]],BOM!$B$3:$BQ$35,25,FALSE),"")</f>
        <v>Luis/Ivo</v>
      </c>
      <c r="V581" s="59" t="str">
        <f>IFERROR(VLOOKUP(Tabelle32[[#This Row],[Device ID]],BOM!$B$3:$BQ$35,26,FALSE),"")</f>
        <v>tpco-megw-vgw103.rta.st-net.media.int</v>
      </c>
      <c r="W581" s="59" t="str">
        <f>IFERROR(VLOOKUP(Tabelle32[[#This Row],[Device ID]],BOM!$B$3:$BQ$35,27,FALSE),"")</f>
        <v>10.120.236.50</v>
      </c>
      <c r="X581" s="59" t="str">
        <f>IFERROR(VLOOKUP(Tabelle32[[#This Row],[Device ID]],BOM!$B$3:$BQ$35,28,FALSE),"")</f>
        <v>AVCoreA</v>
      </c>
      <c r="Y581" s="59" t="str">
        <f>IFERROR(VLOOKUP(Tabelle32[[#This Row],[Device ID]],BOM!$B$3:$BQ$35,29,FALSE),"")</f>
        <v>5_36_1</v>
      </c>
      <c r="Z581" s="59" t="str">
        <f>IFERROR(VLOOKUP(Tabelle32[[#This Row],[Device ID]],BOM!$B$3:$BQ$35,30,FALSE),"")</f>
        <v>tpco-megw-vgw103.rtb.st-net.media.int</v>
      </c>
      <c r="AA581" s="59" t="str">
        <f>IFERROR(VLOOKUP(Tabelle32[[#This Row],[Device ID]],BOM!$B$3:$BQ$35,31,FALSE),"")</f>
        <v>10.120.236.54</v>
      </c>
      <c r="AB581" s="59" t="str">
        <f>IFERROR(VLOOKUP(Tabelle32[[#This Row],[Device ID]],BOM!$B$3:$BQ$35,32,FALSE),"")</f>
        <v>AVCoreB</v>
      </c>
      <c r="AC581" s="59" t="str">
        <f>IFERROR(VLOOKUP(Tabelle32[[#This Row],[Device ID]],BOM!$B$3:$BQ$35,33,FALSE),"")</f>
        <v>5_36_1</v>
      </c>
      <c r="AD581" s="59" t="str">
        <f>IFERROR(VLOOKUP(Tabelle32[[#This Row],[Device ID]],BOM!$B$3:$BQ$35,34,FALSE),"")</f>
        <v>tpco-megw-vgw103.st-net.media.int</v>
      </c>
      <c r="AE581" s="59" t="str">
        <f>IFERROR(VLOOKUP(Tabelle32[[#This Row],[Device ID]],BOM!$B$3:$BQ$35,35,FALSE),"")</f>
        <v>10.120.67.141</v>
      </c>
      <c r="AF581" s="59">
        <f>IFERROR(VLOOKUP(Tabelle32[[#This Row],[Device ID]],BOM!$B$3:$BQ$35,36,FALSE),"")</f>
        <v>0</v>
      </c>
      <c r="AG581" s="59">
        <f>IFERROR(VLOOKUP(Tabelle32[[#This Row],[Device ID]],BOM!$B$3:$BQ$35,37,FALSE),"")</f>
        <v>0</v>
      </c>
      <c r="AH581" s="59"/>
      <c r="AI581" s="59"/>
      <c r="AJ581" s="59"/>
      <c r="AK581" s="59"/>
      <c r="AL581" s="59" t="str">
        <f>IFERROR(VLOOKUP(Tabelle32[[#This Row],[Device ID]],BOM!$B$3:$BQ$35,42,FALSE),"")</f>
        <v>Imagine Communications SNP</v>
      </c>
      <c r="AM581" s="59" t="str">
        <f>IFERROR(VLOOKUP(Tabelle32[[#This Row],[Device ID]],BOM!$B$3:$BQ$35,43,FALSE),"")</f>
        <v>no</v>
      </c>
      <c r="AN581" s="59" t="str">
        <f>IFERROR(VLOOKUP(Tabelle32[[#This Row],[Device ID]],BOM!$B$3:$BQ$35,44,FALSE),"")</f>
        <v>yes</v>
      </c>
      <c r="AO581" s="59" t="str">
        <f>IFERROR(VLOOKUP(Tabelle32[[#This Row],[Device ID]],BOM!$B$3:$BQ$35,45,FALSE),"")</f>
        <v>no</v>
      </c>
      <c r="AP581" s="59" t="str">
        <f>IFERROR(CONCATENATE(Tabelle32[[#This Row],[Family
GFX-Unit]]," | ",Tabelle32[[#This Row],[Label 1
GFX-Unit]]," | ",Tabelle32[[#This Row],[Attached Device if Gateway]]),"")</f>
        <v>M3H InCh PGM | Ingest Ch40-08 | IngSRV-10</v>
      </c>
      <c r="AQ581" s="59"/>
      <c r="AR581" s="92"/>
      <c r="AS581" s="92"/>
      <c r="AT581" s="92"/>
      <c r="AU581" s="92"/>
      <c r="AV581" s="92"/>
      <c r="AW581" s="92" t="s">
        <v>97</v>
      </c>
      <c r="AX581" s="92"/>
      <c r="AY581" s="92"/>
      <c r="AZ581" s="92" t="s">
        <v>97</v>
      </c>
      <c r="BA581" s="92"/>
      <c r="BB581" s="92" t="s">
        <v>97</v>
      </c>
      <c r="BC581" s="92" t="s">
        <v>97</v>
      </c>
      <c r="BD581" s="92"/>
      <c r="BE581" s="92"/>
      <c r="BF581" s="92"/>
      <c r="BG581" s="92"/>
      <c r="BH581" s="73" t="s">
        <v>199</v>
      </c>
      <c r="BI581" s="30" t="str">
        <f>IF(COUNTA(Tabelle32[[#This Row],[Type:Vid_1080i50]:[Type:Anc_Prot]])&gt;0,"x","")</f>
        <v>x</v>
      </c>
      <c r="BJ58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81" s="59"/>
      <c r="BL581" s="59"/>
      <c r="BM581" s="63"/>
      <c r="BN581" s="63"/>
      <c r="BO581" s="93" t="s">
        <v>2684</v>
      </c>
      <c r="BP581" s="97" t="s">
        <v>2732</v>
      </c>
      <c r="BQ581" s="75">
        <f>LEN(Tabelle32[[#This Row],[Label 1
GFX-Unit]])</f>
        <v>14</v>
      </c>
      <c r="BR581" s="63"/>
      <c r="BS581" s="63"/>
      <c r="BT581" s="59"/>
      <c r="BU581" s="59"/>
      <c r="BV581" s="59" t="s">
        <v>242</v>
      </c>
      <c r="BW581" s="59" t="s">
        <v>243</v>
      </c>
      <c r="BX581" s="59" t="s">
        <v>1071</v>
      </c>
      <c r="BY581" s="59">
        <v>28</v>
      </c>
    </row>
    <row r="582" spans="1:77" x14ac:dyDescent="0.2">
      <c r="A582" s="58" t="str">
        <f>CONCATENATE(Tabelle32[[#This Row],[Device ID]],".",Tabelle32[[#This Row],[Streamcounter]])</f>
        <v>405.28209</v>
      </c>
      <c r="B58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VGW-103_SDI28_AUDrec_0009</v>
      </c>
      <c r="C582" s="60"/>
      <c r="D582" s="61"/>
      <c r="E582" s="62"/>
      <c r="F582" s="59" t="str">
        <f>IFERROR(VLOOKUP(Tabelle32[[#This Row],[Device ID]],BOM!$B$3:$BQ$35,16,FALSE),"")</f>
        <v>IngSRV-10</v>
      </c>
      <c r="G582" s="63">
        <f>VLOOKUP(Tabelle32[[#This Row],[SDI Interface]],BOM!$A$4:$B$35,2,FALSE)</f>
        <v>405</v>
      </c>
      <c r="H582" s="59" t="str">
        <f>BOM!$C$4</f>
        <v>VGW-103</v>
      </c>
      <c r="I582" s="59" t="str">
        <f>IFERROR(VLOOKUP(Tabelle32[[#This Row],[Device ID]],BOM!$B$3:$BQ$35,12,FALSE),"")</f>
        <v>Videoserver</v>
      </c>
      <c r="J582" s="59" t="str">
        <f>IFERROR(VLOOKUP(Tabelle32[[#This Row],[Device ID]],BOM!$B$3:$BQ$35,13,FALSE),"")</f>
        <v>TC.U1.223 | MDC</v>
      </c>
      <c r="K582" s="59" t="str">
        <f>IFERROR(VLOOKUP(Tabelle32[[#This Row],[Device ID]],BOM!$B$3:$BQ$35,14,FALSE),"")</f>
        <v>Imagine Comunications</v>
      </c>
      <c r="L582" s="59" t="str">
        <f>IFERROR(VLOOKUP(Tabelle32[[#This Row],[Device ID]],BOM!$B$3:$BQ$35,16,FALSE),"")</f>
        <v>IngSRV-10</v>
      </c>
      <c r="M582" s="63" t="str">
        <f>IFERROR(VLOOKUP(Tabelle32[[#This Row],[Device ID]],BOM!$B$3:$BQ$35,17,FALSE),"")</f>
        <v>M3H</v>
      </c>
      <c r="N582" s="59" t="str">
        <f>IFERROR(VLOOKUP(Tabelle32[[#This Row],[Device ID]],BOM!$B$3:$BQ$35,18,FALSE),"")</f>
        <v>TC.03.225 | M3H</v>
      </c>
      <c r="O582" s="64"/>
      <c r="P582" s="64">
        <f>IFERROR(VLOOKUP(Tabelle32[[#This Row],[Device ID]],BOM!$B$3:$BO$50,20,FALSE),"")</f>
        <v>0</v>
      </c>
      <c r="Q582" s="64">
        <f>IFERROR(VLOOKUP(Tabelle32[[#This Row],[Device ID]],BOM!$B$3:$BO$50,21,FALSE),"")</f>
        <v>1</v>
      </c>
      <c r="R582" s="64">
        <f>IFERROR(VLOOKUP(Tabelle32[[#This Row],[Device ID]],BOM!$B$3:$BO$50,22,FALSE),"")</f>
        <v>0</v>
      </c>
      <c r="S582" s="64"/>
      <c r="T582" s="64"/>
      <c r="U582" s="59" t="str">
        <f>IFERROR(VLOOKUP(Tabelle32[[#This Row],[Device ID]],BOM!$B$3:$BQ$35,25,FALSE),"")</f>
        <v>Luis/Ivo</v>
      </c>
      <c r="V582" s="59" t="str">
        <f>IFERROR(VLOOKUP(Tabelle32[[#This Row],[Device ID]],BOM!$B$3:$BQ$35,26,FALSE),"")</f>
        <v>tpco-megw-vgw103.rta.st-net.media.int</v>
      </c>
      <c r="W582" s="59" t="str">
        <f>IFERROR(VLOOKUP(Tabelle32[[#This Row],[Device ID]],BOM!$B$3:$BQ$35,27,FALSE),"")</f>
        <v>10.120.236.50</v>
      </c>
      <c r="X582" s="59" t="str">
        <f>IFERROR(VLOOKUP(Tabelle32[[#This Row],[Device ID]],BOM!$B$3:$BQ$35,28,FALSE),"")</f>
        <v>AVCoreA</v>
      </c>
      <c r="Y582" s="59" t="str">
        <f>IFERROR(VLOOKUP(Tabelle32[[#This Row],[Device ID]],BOM!$B$3:$BQ$35,29,FALSE),"")</f>
        <v>5_36_1</v>
      </c>
      <c r="Z582" s="59" t="str">
        <f>IFERROR(VLOOKUP(Tabelle32[[#This Row],[Device ID]],BOM!$B$3:$BQ$35,30,FALSE),"")</f>
        <v>tpco-megw-vgw103.rtb.st-net.media.int</v>
      </c>
      <c r="AA582" s="59" t="str">
        <f>IFERROR(VLOOKUP(Tabelle32[[#This Row],[Device ID]],BOM!$B$3:$BQ$35,31,FALSE),"")</f>
        <v>10.120.236.54</v>
      </c>
      <c r="AB582" s="59" t="str">
        <f>IFERROR(VLOOKUP(Tabelle32[[#This Row],[Device ID]],BOM!$B$3:$BQ$35,32,FALSE),"")</f>
        <v>AVCoreB</v>
      </c>
      <c r="AC582" s="59" t="str">
        <f>IFERROR(VLOOKUP(Tabelle32[[#This Row],[Device ID]],BOM!$B$3:$BQ$35,33,FALSE),"")</f>
        <v>5_36_1</v>
      </c>
      <c r="AD582" s="59" t="str">
        <f>IFERROR(VLOOKUP(Tabelle32[[#This Row],[Device ID]],BOM!$B$3:$BQ$35,34,FALSE),"")</f>
        <v>tpco-megw-vgw103.st-net.media.int</v>
      </c>
      <c r="AE582" s="59" t="str">
        <f>IFERROR(VLOOKUP(Tabelle32[[#This Row],[Device ID]],BOM!$B$3:$BQ$35,35,FALSE),"")</f>
        <v>10.120.67.141</v>
      </c>
      <c r="AF582" s="59">
        <f>IFERROR(VLOOKUP(Tabelle32[[#This Row],[Device ID]],BOM!$B$3:$BQ$35,36,FALSE),"")</f>
        <v>0</v>
      </c>
      <c r="AG582" s="59">
        <f>IFERROR(VLOOKUP(Tabelle32[[#This Row],[Device ID]],BOM!$B$3:$BQ$35,37,FALSE),"")</f>
        <v>0</v>
      </c>
      <c r="AH582" s="59"/>
      <c r="AI582" s="59"/>
      <c r="AJ582" s="59"/>
      <c r="AK582" s="59"/>
      <c r="AL582" s="59" t="str">
        <f>IFERROR(VLOOKUP(Tabelle32[[#This Row],[Device ID]],BOM!$B$3:$BQ$35,42,FALSE),"")</f>
        <v>Imagine Communications SNP</v>
      </c>
      <c r="AM582" s="59" t="str">
        <f>IFERROR(VLOOKUP(Tabelle32[[#This Row],[Device ID]],BOM!$B$3:$BQ$35,43,FALSE),"")</f>
        <v>no</v>
      </c>
      <c r="AN582" s="59" t="str">
        <f>IFERROR(VLOOKUP(Tabelle32[[#This Row],[Device ID]],BOM!$B$3:$BQ$35,44,FALSE),"")</f>
        <v>yes</v>
      </c>
      <c r="AO582" s="59" t="str">
        <f>IFERROR(VLOOKUP(Tabelle32[[#This Row],[Device ID]],BOM!$B$3:$BQ$35,45,FALSE),"")</f>
        <v>no</v>
      </c>
      <c r="AP582" s="59" t="str">
        <f>IFERROR(CONCATENATE(Tabelle32[[#This Row],[Family
GFX-Unit]]," | ",Tabelle32[[#This Row],[Label 1
GFX-Unit]]," | ",Tabelle32[[#This Row],[Attached Device if Gateway]]),"")</f>
        <v>M3H InCh PGM | Ingest Ch40-09 | IngSRV-10</v>
      </c>
      <c r="AQ582" s="59"/>
      <c r="AR582" s="92"/>
      <c r="AS582" s="92"/>
      <c r="AT582" s="92"/>
      <c r="AU582" s="92"/>
      <c r="AV582" s="92"/>
      <c r="AW582" s="92" t="s">
        <v>97</v>
      </c>
      <c r="AX582" s="92"/>
      <c r="AY582" s="92"/>
      <c r="AZ582" s="92" t="s">
        <v>97</v>
      </c>
      <c r="BA582" s="92"/>
      <c r="BB582" s="92" t="s">
        <v>97</v>
      </c>
      <c r="BC582" s="92" t="s">
        <v>97</v>
      </c>
      <c r="BD582" s="92"/>
      <c r="BE582" s="92"/>
      <c r="BF582" s="92"/>
      <c r="BG582" s="92"/>
      <c r="BH582" s="73" t="s">
        <v>199</v>
      </c>
      <c r="BI582" s="30" t="str">
        <f>IF(COUNTA(Tabelle32[[#This Row],[Type:Vid_1080i50]:[Type:Anc_Prot]])&gt;0,"x","")</f>
        <v>x</v>
      </c>
      <c r="BJ58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Type:Aud_1CH_M,Type:Aud_2CH_LR,Type:Aud_3CH_LRC,Type:Aud_6CH_5.1,#SNP</v>
      </c>
      <c r="BK582" s="59"/>
      <c r="BL582" s="59"/>
      <c r="BM582" s="63"/>
      <c r="BN582" s="63"/>
      <c r="BO582" s="93" t="s">
        <v>2684</v>
      </c>
      <c r="BP582" s="97" t="s">
        <v>2733</v>
      </c>
      <c r="BQ582" s="75">
        <f>LEN(Tabelle32[[#This Row],[Label 1
GFX-Unit]])</f>
        <v>14</v>
      </c>
      <c r="BR582" s="63"/>
      <c r="BS582" s="63"/>
      <c r="BT582" s="59"/>
      <c r="BU582" s="59"/>
      <c r="BV582" s="59" t="s">
        <v>245</v>
      </c>
      <c r="BW582" s="59" t="s">
        <v>246</v>
      </c>
      <c r="BX582" s="59" t="s">
        <v>1072</v>
      </c>
      <c r="BY582" s="59">
        <v>28</v>
      </c>
    </row>
    <row r="583" spans="1:77" hidden="1" x14ac:dyDescent="0.2">
      <c r="A583" s="58" t="str">
        <f>CONCATENATE(Tabelle32[[#This Row],[Device ID]],".",Tabelle32[[#This Row],[Streamcounter]])</f>
        <v>405.28210</v>
      </c>
      <c r="B58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VGW-103_SDI28_AUDrec_0010</v>
      </c>
      <c r="C583" s="60"/>
      <c r="D583" s="61"/>
      <c r="E583" s="62"/>
      <c r="F583" s="59" t="str">
        <f>IFERROR(VLOOKUP(Tabelle32[[#This Row],[Device ID]],BOM!$B$3:$BQ$35,16,FALSE),"")</f>
        <v>IngSRV-10</v>
      </c>
      <c r="G583" s="63">
        <f>VLOOKUP(Tabelle32[[#This Row],[SDI Interface]],BOM!$A$4:$B$35,2,FALSE)</f>
        <v>405</v>
      </c>
      <c r="H583" s="59" t="str">
        <f>BOM!$C$4</f>
        <v>VGW-103</v>
      </c>
      <c r="I583" s="59" t="str">
        <f>IFERROR(VLOOKUP(Tabelle32[[#This Row],[Device ID]],BOM!$B$3:$BQ$35,12,FALSE),"")</f>
        <v>Videoserver</v>
      </c>
      <c r="J583" s="59" t="str">
        <f>IFERROR(VLOOKUP(Tabelle32[[#This Row],[Device ID]],BOM!$B$3:$BQ$35,13,FALSE),"")</f>
        <v>TC.U1.223 | MDC</v>
      </c>
      <c r="K583" s="59" t="str">
        <f>IFERROR(VLOOKUP(Tabelle32[[#This Row],[Device ID]],BOM!$B$3:$BQ$35,14,FALSE),"")</f>
        <v>Imagine Comunications</v>
      </c>
      <c r="L583" s="59" t="str">
        <f>IFERROR(VLOOKUP(Tabelle32[[#This Row],[Device ID]],BOM!$B$3:$BQ$35,16,FALSE),"")</f>
        <v>IngSRV-10</v>
      </c>
      <c r="M583" s="63" t="str">
        <f>IFERROR(VLOOKUP(Tabelle32[[#This Row],[Device ID]],BOM!$B$3:$BQ$35,17,FALSE),"")</f>
        <v>M3H</v>
      </c>
      <c r="N583" s="59" t="str">
        <f>IFERROR(VLOOKUP(Tabelle32[[#This Row],[Device ID]],BOM!$B$3:$BQ$35,18,FALSE),"")</f>
        <v>TC.03.225 | M3H</v>
      </c>
      <c r="O583" s="64"/>
      <c r="P583" s="64">
        <f>IFERROR(VLOOKUP(Tabelle32[[#This Row],[Device ID]],BOM!$B$3:$BO$50,20,FALSE),"")</f>
        <v>0</v>
      </c>
      <c r="Q583" s="64">
        <f>IFERROR(VLOOKUP(Tabelle32[[#This Row],[Device ID]],BOM!$B$3:$BO$50,21,FALSE),"")</f>
        <v>1</v>
      </c>
      <c r="R583" s="64">
        <f>IFERROR(VLOOKUP(Tabelle32[[#This Row],[Device ID]],BOM!$B$3:$BO$50,22,FALSE),"")</f>
        <v>0</v>
      </c>
      <c r="S583" s="64"/>
      <c r="T583" s="64"/>
      <c r="U583" s="59" t="str">
        <f>IFERROR(VLOOKUP(Tabelle32[[#This Row],[Device ID]],BOM!$B$3:$BQ$35,25,FALSE),"")</f>
        <v>Luis/Ivo</v>
      </c>
      <c r="V583" s="59" t="str">
        <f>IFERROR(VLOOKUP(Tabelle32[[#This Row],[Device ID]],BOM!$B$3:$BQ$35,26,FALSE),"")</f>
        <v>tpco-megw-vgw103.rta.st-net.media.int</v>
      </c>
      <c r="W583" s="59" t="str">
        <f>IFERROR(VLOOKUP(Tabelle32[[#This Row],[Device ID]],BOM!$B$3:$BQ$35,27,FALSE),"")</f>
        <v>10.120.236.50</v>
      </c>
      <c r="X583" s="59" t="str">
        <f>IFERROR(VLOOKUP(Tabelle32[[#This Row],[Device ID]],BOM!$B$3:$BQ$35,28,FALSE),"")</f>
        <v>AVCoreA</v>
      </c>
      <c r="Y583" s="59" t="str">
        <f>IFERROR(VLOOKUP(Tabelle32[[#This Row],[Device ID]],BOM!$B$3:$BQ$35,29,FALSE),"")</f>
        <v>5_36_1</v>
      </c>
      <c r="Z583" s="59" t="str">
        <f>IFERROR(VLOOKUP(Tabelle32[[#This Row],[Device ID]],BOM!$B$3:$BQ$35,30,FALSE),"")</f>
        <v>tpco-megw-vgw103.rtb.st-net.media.int</v>
      </c>
      <c r="AA583" s="59" t="str">
        <f>IFERROR(VLOOKUP(Tabelle32[[#This Row],[Device ID]],BOM!$B$3:$BQ$35,31,FALSE),"")</f>
        <v>10.120.236.54</v>
      </c>
      <c r="AB583" s="59" t="str">
        <f>IFERROR(VLOOKUP(Tabelle32[[#This Row],[Device ID]],BOM!$B$3:$BQ$35,32,FALSE),"")</f>
        <v>AVCoreB</v>
      </c>
      <c r="AC583" s="59" t="str">
        <f>IFERROR(VLOOKUP(Tabelle32[[#This Row],[Device ID]],BOM!$B$3:$BQ$35,33,FALSE),"")</f>
        <v>5_36_1</v>
      </c>
      <c r="AD583" s="59" t="str">
        <f>IFERROR(VLOOKUP(Tabelle32[[#This Row],[Device ID]],BOM!$B$3:$BQ$35,34,FALSE),"")</f>
        <v>tpco-megw-vgw103.st-net.media.int</v>
      </c>
      <c r="AE583" s="59" t="str">
        <f>IFERROR(VLOOKUP(Tabelle32[[#This Row],[Device ID]],BOM!$B$3:$BQ$35,35,FALSE),"")</f>
        <v>10.120.67.141</v>
      </c>
      <c r="AF583" s="59">
        <f>IFERROR(VLOOKUP(Tabelle32[[#This Row],[Device ID]],BOM!$B$3:$BQ$35,36,FALSE),"")</f>
        <v>0</v>
      </c>
      <c r="AG583" s="59">
        <f>IFERROR(VLOOKUP(Tabelle32[[#This Row],[Device ID]],BOM!$B$3:$BQ$35,37,FALSE),"")</f>
        <v>0</v>
      </c>
      <c r="AH583" s="59"/>
      <c r="AI583" s="59"/>
      <c r="AJ583" s="59"/>
      <c r="AK583" s="59"/>
      <c r="AL583" s="59" t="str">
        <f>IFERROR(VLOOKUP(Tabelle32[[#This Row],[Device ID]],BOM!$B$3:$BQ$35,42,FALSE),"")</f>
        <v>Imagine Communications SNP</v>
      </c>
      <c r="AM583" s="59" t="str">
        <f>IFERROR(VLOOKUP(Tabelle32[[#This Row],[Device ID]],BOM!$B$3:$BQ$35,43,FALSE),"")</f>
        <v>no</v>
      </c>
      <c r="AN583" s="59" t="str">
        <f>IFERROR(VLOOKUP(Tabelle32[[#This Row],[Device ID]],BOM!$B$3:$BQ$35,44,FALSE),"")</f>
        <v>yes</v>
      </c>
      <c r="AO583" s="59" t="str">
        <f>IFERROR(VLOOKUP(Tabelle32[[#This Row],[Device ID]],BOM!$B$3:$BQ$35,45,FALSE),"")</f>
        <v>no</v>
      </c>
      <c r="AP583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83" s="59"/>
      <c r="AR583" s="92"/>
      <c r="AS583" s="92"/>
      <c r="AT583" s="92"/>
      <c r="AU583" s="92"/>
      <c r="AV583" s="92"/>
      <c r="AW583" s="92"/>
      <c r="AX583" s="92"/>
      <c r="AY583" s="92"/>
      <c r="AZ583" s="92"/>
      <c r="BA583" s="92"/>
      <c r="BB583" s="92"/>
      <c r="BC583" s="92"/>
      <c r="BD583" s="92"/>
      <c r="BE583" s="92"/>
      <c r="BF583" s="92"/>
      <c r="BG583" s="92"/>
      <c r="BH583" s="73" t="s">
        <v>199</v>
      </c>
      <c r="BI583" s="30" t="str">
        <f>IF(COUNTA(Tabelle32[[#This Row],[Type:Vid_1080i50]:[Type:Anc_Prot]])&gt;0,"x","")</f>
        <v/>
      </c>
      <c r="BJ58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83" s="59"/>
      <c r="BL583" s="59"/>
      <c r="BM583" s="63"/>
      <c r="BN583" s="63"/>
      <c r="BO583" s="96"/>
      <c r="BP583" s="96"/>
      <c r="BQ583" s="75">
        <f>LEN(Tabelle32[[#This Row],[Label 1
GFX-Unit]])</f>
        <v>0</v>
      </c>
      <c r="BR583" s="63"/>
      <c r="BS583" s="63"/>
      <c r="BT583" s="59"/>
      <c r="BU583" s="59"/>
      <c r="BV583" s="59" t="s">
        <v>248</v>
      </c>
      <c r="BW583" s="59" t="s">
        <v>249</v>
      </c>
      <c r="BX583" s="59" t="s">
        <v>1073</v>
      </c>
      <c r="BY583" s="59">
        <v>28</v>
      </c>
    </row>
    <row r="584" spans="1:77" hidden="1" x14ac:dyDescent="0.2">
      <c r="A584" s="58" t="str">
        <f>CONCATENATE(Tabelle32[[#This Row],[Device ID]],".",Tabelle32[[#This Row],[Streamcounter]])</f>
        <v>405.28211</v>
      </c>
      <c r="B58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VGW-103_SDI28_AUDrec_0011</v>
      </c>
      <c r="C584" s="60"/>
      <c r="D584" s="61"/>
      <c r="E584" s="62"/>
      <c r="F584" s="59" t="str">
        <f>IFERROR(VLOOKUP(Tabelle32[[#This Row],[Device ID]],BOM!$B$3:$BQ$35,16,FALSE),"")</f>
        <v>IngSRV-10</v>
      </c>
      <c r="G584" s="63">
        <f>VLOOKUP(Tabelle32[[#This Row],[SDI Interface]],BOM!$A$4:$B$35,2,FALSE)</f>
        <v>405</v>
      </c>
      <c r="H584" s="59" t="str">
        <f>BOM!$C$4</f>
        <v>VGW-103</v>
      </c>
      <c r="I584" s="59" t="str">
        <f>IFERROR(VLOOKUP(Tabelle32[[#This Row],[Device ID]],BOM!$B$3:$BQ$35,12,FALSE),"")</f>
        <v>Videoserver</v>
      </c>
      <c r="J584" s="59" t="str">
        <f>IFERROR(VLOOKUP(Tabelle32[[#This Row],[Device ID]],BOM!$B$3:$BQ$35,13,FALSE),"")</f>
        <v>TC.U1.223 | MDC</v>
      </c>
      <c r="K584" s="59" t="str">
        <f>IFERROR(VLOOKUP(Tabelle32[[#This Row],[Device ID]],BOM!$B$3:$BQ$35,14,FALSE),"")</f>
        <v>Imagine Comunications</v>
      </c>
      <c r="L584" s="59" t="str">
        <f>IFERROR(VLOOKUP(Tabelle32[[#This Row],[Device ID]],BOM!$B$3:$BQ$35,16,FALSE),"")</f>
        <v>IngSRV-10</v>
      </c>
      <c r="M584" s="63" t="str">
        <f>IFERROR(VLOOKUP(Tabelle32[[#This Row],[Device ID]],BOM!$B$3:$BQ$35,17,FALSE),"")</f>
        <v>M3H</v>
      </c>
      <c r="N584" s="59" t="str">
        <f>IFERROR(VLOOKUP(Tabelle32[[#This Row],[Device ID]],BOM!$B$3:$BQ$35,18,FALSE),"")</f>
        <v>TC.03.225 | M3H</v>
      </c>
      <c r="O584" s="64"/>
      <c r="P584" s="64">
        <f>IFERROR(VLOOKUP(Tabelle32[[#This Row],[Device ID]],BOM!$B$3:$BO$50,20,FALSE),"")</f>
        <v>0</v>
      </c>
      <c r="Q584" s="64">
        <f>IFERROR(VLOOKUP(Tabelle32[[#This Row],[Device ID]],BOM!$B$3:$BO$50,21,FALSE),"")</f>
        <v>1</v>
      </c>
      <c r="R584" s="64">
        <f>IFERROR(VLOOKUP(Tabelle32[[#This Row],[Device ID]],BOM!$B$3:$BO$50,22,FALSE),"")</f>
        <v>0</v>
      </c>
      <c r="S584" s="64"/>
      <c r="T584" s="64"/>
      <c r="U584" s="59" t="str">
        <f>IFERROR(VLOOKUP(Tabelle32[[#This Row],[Device ID]],BOM!$B$3:$BQ$35,25,FALSE),"")</f>
        <v>Luis/Ivo</v>
      </c>
      <c r="V584" s="59" t="str">
        <f>IFERROR(VLOOKUP(Tabelle32[[#This Row],[Device ID]],BOM!$B$3:$BQ$35,26,FALSE),"")</f>
        <v>tpco-megw-vgw103.rta.st-net.media.int</v>
      </c>
      <c r="W584" s="59" t="str">
        <f>IFERROR(VLOOKUP(Tabelle32[[#This Row],[Device ID]],BOM!$B$3:$BQ$35,27,FALSE),"")</f>
        <v>10.120.236.50</v>
      </c>
      <c r="X584" s="59" t="str">
        <f>IFERROR(VLOOKUP(Tabelle32[[#This Row],[Device ID]],BOM!$B$3:$BQ$35,28,FALSE),"")</f>
        <v>AVCoreA</v>
      </c>
      <c r="Y584" s="59" t="str">
        <f>IFERROR(VLOOKUP(Tabelle32[[#This Row],[Device ID]],BOM!$B$3:$BQ$35,29,FALSE),"")</f>
        <v>5_36_1</v>
      </c>
      <c r="Z584" s="59" t="str">
        <f>IFERROR(VLOOKUP(Tabelle32[[#This Row],[Device ID]],BOM!$B$3:$BQ$35,30,FALSE),"")</f>
        <v>tpco-megw-vgw103.rtb.st-net.media.int</v>
      </c>
      <c r="AA584" s="59" t="str">
        <f>IFERROR(VLOOKUP(Tabelle32[[#This Row],[Device ID]],BOM!$B$3:$BQ$35,31,FALSE),"")</f>
        <v>10.120.236.54</v>
      </c>
      <c r="AB584" s="59" t="str">
        <f>IFERROR(VLOOKUP(Tabelle32[[#This Row],[Device ID]],BOM!$B$3:$BQ$35,32,FALSE),"")</f>
        <v>AVCoreB</v>
      </c>
      <c r="AC584" s="59" t="str">
        <f>IFERROR(VLOOKUP(Tabelle32[[#This Row],[Device ID]],BOM!$B$3:$BQ$35,33,FALSE),"")</f>
        <v>5_36_1</v>
      </c>
      <c r="AD584" s="59" t="str">
        <f>IFERROR(VLOOKUP(Tabelle32[[#This Row],[Device ID]],BOM!$B$3:$BQ$35,34,FALSE),"")</f>
        <v>tpco-megw-vgw103.st-net.media.int</v>
      </c>
      <c r="AE584" s="59" t="str">
        <f>IFERROR(VLOOKUP(Tabelle32[[#This Row],[Device ID]],BOM!$B$3:$BQ$35,35,FALSE),"")</f>
        <v>10.120.67.141</v>
      </c>
      <c r="AF584" s="59">
        <f>IFERROR(VLOOKUP(Tabelle32[[#This Row],[Device ID]],BOM!$B$3:$BQ$35,36,FALSE),"")</f>
        <v>0</v>
      </c>
      <c r="AG584" s="59">
        <f>IFERROR(VLOOKUP(Tabelle32[[#This Row],[Device ID]],BOM!$B$3:$BQ$35,37,FALSE),"")</f>
        <v>0</v>
      </c>
      <c r="AH584" s="59"/>
      <c r="AI584" s="59"/>
      <c r="AJ584" s="59"/>
      <c r="AK584" s="59"/>
      <c r="AL584" s="59" t="str">
        <f>IFERROR(VLOOKUP(Tabelle32[[#This Row],[Device ID]],BOM!$B$3:$BQ$35,42,FALSE),"")</f>
        <v>Imagine Communications SNP</v>
      </c>
      <c r="AM584" s="59" t="str">
        <f>IFERROR(VLOOKUP(Tabelle32[[#This Row],[Device ID]],BOM!$B$3:$BQ$35,43,FALSE),"")</f>
        <v>no</v>
      </c>
      <c r="AN584" s="59" t="str">
        <f>IFERROR(VLOOKUP(Tabelle32[[#This Row],[Device ID]],BOM!$B$3:$BQ$35,44,FALSE),"")</f>
        <v>yes</v>
      </c>
      <c r="AO584" s="59" t="str">
        <f>IFERROR(VLOOKUP(Tabelle32[[#This Row],[Device ID]],BOM!$B$3:$BQ$35,45,FALSE),"")</f>
        <v>no</v>
      </c>
      <c r="AP584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84" s="59"/>
      <c r="AR584" s="92"/>
      <c r="AS584" s="92"/>
      <c r="AT584" s="92"/>
      <c r="AU584" s="92"/>
      <c r="AV584" s="92"/>
      <c r="AW584" s="92"/>
      <c r="AX584" s="92"/>
      <c r="AY584" s="92"/>
      <c r="AZ584" s="92"/>
      <c r="BA584" s="92"/>
      <c r="BB584" s="92"/>
      <c r="BC584" s="92"/>
      <c r="BD584" s="92"/>
      <c r="BE584" s="92"/>
      <c r="BF584" s="92"/>
      <c r="BG584" s="92"/>
      <c r="BH584" s="73" t="s">
        <v>199</v>
      </c>
      <c r="BI584" s="30" t="str">
        <f>IF(COUNTA(Tabelle32[[#This Row],[Type:Vid_1080i50]:[Type:Anc_Prot]])&gt;0,"x","")</f>
        <v/>
      </c>
      <c r="BJ58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84" s="59"/>
      <c r="BL584" s="59"/>
      <c r="BM584" s="63"/>
      <c r="BN584" s="63"/>
      <c r="BO584" s="96"/>
      <c r="BP584" s="96"/>
      <c r="BQ584" s="75">
        <f>LEN(Tabelle32[[#This Row],[Label 1
GFX-Unit]])</f>
        <v>0</v>
      </c>
      <c r="BR584" s="63"/>
      <c r="BS584" s="63"/>
      <c r="BT584" s="59"/>
      <c r="BU584" s="59"/>
      <c r="BV584" s="59" t="s">
        <v>251</v>
      </c>
      <c r="BW584" s="59" t="s">
        <v>252</v>
      </c>
      <c r="BX584" s="59" t="s">
        <v>1074</v>
      </c>
      <c r="BY584" s="59">
        <v>28</v>
      </c>
    </row>
    <row r="585" spans="1:77" hidden="1" x14ac:dyDescent="0.2">
      <c r="A585" s="58" t="str">
        <f>CONCATENATE(Tabelle32[[#This Row],[Device ID]],".",Tabelle32[[#This Row],[Streamcounter]])</f>
        <v>405.28212</v>
      </c>
      <c r="B58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VGW-103_SDI28_AUDrec_0012</v>
      </c>
      <c r="C585" s="60"/>
      <c r="D585" s="61"/>
      <c r="E585" s="62"/>
      <c r="F585" s="59" t="str">
        <f>IFERROR(VLOOKUP(Tabelle32[[#This Row],[Device ID]],BOM!$B$3:$BQ$35,16,FALSE),"")</f>
        <v>IngSRV-10</v>
      </c>
      <c r="G585" s="63">
        <f>VLOOKUP(Tabelle32[[#This Row],[SDI Interface]],BOM!$A$4:$B$35,2,FALSE)</f>
        <v>405</v>
      </c>
      <c r="H585" s="59" t="str">
        <f>BOM!$C$4</f>
        <v>VGW-103</v>
      </c>
      <c r="I585" s="59" t="str">
        <f>IFERROR(VLOOKUP(Tabelle32[[#This Row],[Device ID]],BOM!$B$3:$BQ$35,12,FALSE),"")</f>
        <v>Videoserver</v>
      </c>
      <c r="J585" s="59" t="str">
        <f>IFERROR(VLOOKUP(Tabelle32[[#This Row],[Device ID]],BOM!$B$3:$BQ$35,13,FALSE),"")</f>
        <v>TC.U1.223 | MDC</v>
      </c>
      <c r="K585" s="59" t="str">
        <f>IFERROR(VLOOKUP(Tabelle32[[#This Row],[Device ID]],BOM!$B$3:$BQ$35,14,FALSE),"")</f>
        <v>Imagine Comunications</v>
      </c>
      <c r="L585" s="59" t="str">
        <f>IFERROR(VLOOKUP(Tabelle32[[#This Row],[Device ID]],BOM!$B$3:$BQ$35,16,FALSE),"")</f>
        <v>IngSRV-10</v>
      </c>
      <c r="M585" s="63" t="str">
        <f>IFERROR(VLOOKUP(Tabelle32[[#This Row],[Device ID]],BOM!$B$3:$BQ$35,17,FALSE),"")</f>
        <v>M3H</v>
      </c>
      <c r="N585" s="59" t="str">
        <f>IFERROR(VLOOKUP(Tabelle32[[#This Row],[Device ID]],BOM!$B$3:$BQ$35,18,FALSE),"")</f>
        <v>TC.03.225 | M3H</v>
      </c>
      <c r="O585" s="64"/>
      <c r="P585" s="64">
        <f>IFERROR(VLOOKUP(Tabelle32[[#This Row],[Device ID]],BOM!$B$3:$BO$50,20,FALSE),"")</f>
        <v>0</v>
      </c>
      <c r="Q585" s="64">
        <f>IFERROR(VLOOKUP(Tabelle32[[#This Row],[Device ID]],BOM!$B$3:$BO$50,21,FALSE),"")</f>
        <v>1</v>
      </c>
      <c r="R585" s="64">
        <f>IFERROR(VLOOKUP(Tabelle32[[#This Row],[Device ID]],BOM!$B$3:$BO$50,22,FALSE),"")</f>
        <v>0</v>
      </c>
      <c r="S585" s="64"/>
      <c r="T585" s="64"/>
      <c r="U585" s="59" t="str">
        <f>IFERROR(VLOOKUP(Tabelle32[[#This Row],[Device ID]],BOM!$B$3:$BQ$35,25,FALSE),"")</f>
        <v>Luis/Ivo</v>
      </c>
      <c r="V585" s="59" t="str">
        <f>IFERROR(VLOOKUP(Tabelle32[[#This Row],[Device ID]],BOM!$B$3:$BQ$35,26,FALSE),"")</f>
        <v>tpco-megw-vgw103.rta.st-net.media.int</v>
      </c>
      <c r="W585" s="59" t="str">
        <f>IFERROR(VLOOKUP(Tabelle32[[#This Row],[Device ID]],BOM!$B$3:$BQ$35,27,FALSE),"")</f>
        <v>10.120.236.50</v>
      </c>
      <c r="X585" s="59" t="str">
        <f>IFERROR(VLOOKUP(Tabelle32[[#This Row],[Device ID]],BOM!$B$3:$BQ$35,28,FALSE),"")</f>
        <v>AVCoreA</v>
      </c>
      <c r="Y585" s="59" t="str">
        <f>IFERROR(VLOOKUP(Tabelle32[[#This Row],[Device ID]],BOM!$B$3:$BQ$35,29,FALSE),"")</f>
        <v>5_36_1</v>
      </c>
      <c r="Z585" s="59" t="str">
        <f>IFERROR(VLOOKUP(Tabelle32[[#This Row],[Device ID]],BOM!$B$3:$BQ$35,30,FALSE),"")</f>
        <v>tpco-megw-vgw103.rtb.st-net.media.int</v>
      </c>
      <c r="AA585" s="59" t="str">
        <f>IFERROR(VLOOKUP(Tabelle32[[#This Row],[Device ID]],BOM!$B$3:$BQ$35,31,FALSE),"")</f>
        <v>10.120.236.54</v>
      </c>
      <c r="AB585" s="59" t="str">
        <f>IFERROR(VLOOKUP(Tabelle32[[#This Row],[Device ID]],BOM!$B$3:$BQ$35,32,FALSE),"")</f>
        <v>AVCoreB</v>
      </c>
      <c r="AC585" s="59" t="str">
        <f>IFERROR(VLOOKUP(Tabelle32[[#This Row],[Device ID]],BOM!$B$3:$BQ$35,33,FALSE),"")</f>
        <v>5_36_1</v>
      </c>
      <c r="AD585" s="59" t="str">
        <f>IFERROR(VLOOKUP(Tabelle32[[#This Row],[Device ID]],BOM!$B$3:$BQ$35,34,FALSE),"")</f>
        <v>tpco-megw-vgw103.st-net.media.int</v>
      </c>
      <c r="AE585" s="59" t="str">
        <f>IFERROR(VLOOKUP(Tabelle32[[#This Row],[Device ID]],BOM!$B$3:$BQ$35,35,FALSE),"")</f>
        <v>10.120.67.141</v>
      </c>
      <c r="AF585" s="59">
        <f>IFERROR(VLOOKUP(Tabelle32[[#This Row],[Device ID]],BOM!$B$3:$BQ$35,36,FALSE),"")</f>
        <v>0</v>
      </c>
      <c r="AG585" s="59">
        <f>IFERROR(VLOOKUP(Tabelle32[[#This Row],[Device ID]],BOM!$B$3:$BQ$35,37,FALSE),"")</f>
        <v>0</v>
      </c>
      <c r="AH585" s="59"/>
      <c r="AI585" s="59"/>
      <c r="AJ585" s="59"/>
      <c r="AK585" s="59"/>
      <c r="AL585" s="59" t="str">
        <f>IFERROR(VLOOKUP(Tabelle32[[#This Row],[Device ID]],BOM!$B$3:$BQ$35,42,FALSE),"")</f>
        <v>Imagine Communications SNP</v>
      </c>
      <c r="AM585" s="59" t="str">
        <f>IFERROR(VLOOKUP(Tabelle32[[#This Row],[Device ID]],BOM!$B$3:$BQ$35,43,FALSE),"")</f>
        <v>no</v>
      </c>
      <c r="AN585" s="59" t="str">
        <f>IFERROR(VLOOKUP(Tabelle32[[#This Row],[Device ID]],BOM!$B$3:$BQ$35,44,FALSE),"")</f>
        <v>yes</v>
      </c>
      <c r="AO585" s="59" t="str">
        <f>IFERROR(VLOOKUP(Tabelle32[[#This Row],[Device ID]],BOM!$B$3:$BQ$35,45,FALSE),"")</f>
        <v>no</v>
      </c>
      <c r="AP585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85" s="59"/>
      <c r="AR585" s="92"/>
      <c r="AS585" s="92"/>
      <c r="AT585" s="92"/>
      <c r="AU585" s="92"/>
      <c r="AV585" s="92"/>
      <c r="AW585" s="92"/>
      <c r="AX585" s="92"/>
      <c r="AY585" s="92"/>
      <c r="AZ585" s="92"/>
      <c r="BA585" s="92"/>
      <c r="BB585" s="92"/>
      <c r="BC585" s="92"/>
      <c r="BD585" s="92"/>
      <c r="BE585" s="92"/>
      <c r="BF585" s="92"/>
      <c r="BG585" s="92"/>
      <c r="BH585" s="73" t="s">
        <v>199</v>
      </c>
      <c r="BI585" s="30" t="str">
        <f>IF(COUNTA(Tabelle32[[#This Row],[Type:Vid_1080i50]:[Type:Anc_Prot]])&gt;0,"x","")</f>
        <v/>
      </c>
      <c r="BJ58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85" s="59"/>
      <c r="BL585" s="59"/>
      <c r="BM585" s="63"/>
      <c r="BN585" s="63"/>
      <c r="BO585" s="96"/>
      <c r="BP585" s="96"/>
      <c r="BQ585" s="75">
        <f>LEN(Tabelle32[[#This Row],[Label 1
GFX-Unit]])</f>
        <v>0</v>
      </c>
      <c r="BR585" s="63"/>
      <c r="BS585" s="63"/>
      <c r="BT585" s="59"/>
      <c r="BU585" s="59"/>
      <c r="BV585" s="59" t="s">
        <v>254</v>
      </c>
      <c r="BW585" s="59" t="s">
        <v>255</v>
      </c>
      <c r="BX585" s="59" t="s">
        <v>1075</v>
      </c>
      <c r="BY585" s="59">
        <v>28</v>
      </c>
    </row>
    <row r="586" spans="1:77" hidden="1" x14ac:dyDescent="0.2">
      <c r="A586" s="58" t="str">
        <f>CONCATENATE(Tabelle32[[#This Row],[Device ID]],".",Tabelle32[[#This Row],[Streamcounter]])</f>
        <v>405.28213</v>
      </c>
      <c r="B58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VGW-103_SDI28_AUDrec_0013</v>
      </c>
      <c r="C586" s="60"/>
      <c r="D586" s="61"/>
      <c r="E586" s="62"/>
      <c r="F586" s="59" t="str">
        <f>IFERROR(VLOOKUP(Tabelle32[[#This Row],[Device ID]],BOM!$B$3:$BQ$35,16,FALSE),"")</f>
        <v>IngSRV-10</v>
      </c>
      <c r="G586" s="63">
        <f>VLOOKUP(Tabelle32[[#This Row],[SDI Interface]],BOM!$A$4:$B$35,2,FALSE)</f>
        <v>405</v>
      </c>
      <c r="H586" s="59" t="str">
        <f>BOM!$C$4</f>
        <v>VGW-103</v>
      </c>
      <c r="I586" s="59" t="str">
        <f>IFERROR(VLOOKUP(Tabelle32[[#This Row],[Device ID]],BOM!$B$3:$BQ$35,12,FALSE),"")</f>
        <v>Videoserver</v>
      </c>
      <c r="J586" s="59" t="str">
        <f>IFERROR(VLOOKUP(Tabelle32[[#This Row],[Device ID]],BOM!$B$3:$BQ$35,13,FALSE),"")</f>
        <v>TC.U1.223 | MDC</v>
      </c>
      <c r="K586" s="59" t="str">
        <f>IFERROR(VLOOKUP(Tabelle32[[#This Row],[Device ID]],BOM!$B$3:$BQ$35,14,FALSE),"")</f>
        <v>Imagine Comunications</v>
      </c>
      <c r="L586" s="59" t="str">
        <f>IFERROR(VLOOKUP(Tabelle32[[#This Row],[Device ID]],BOM!$B$3:$BQ$35,16,FALSE),"")</f>
        <v>IngSRV-10</v>
      </c>
      <c r="M586" s="63" t="str">
        <f>IFERROR(VLOOKUP(Tabelle32[[#This Row],[Device ID]],BOM!$B$3:$BQ$35,17,FALSE),"")</f>
        <v>M3H</v>
      </c>
      <c r="N586" s="59" t="str">
        <f>IFERROR(VLOOKUP(Tabelle32[[#This Row],[Device ID]],BOM!$B$3:$BQ$35,18,FALSE),"")</f>
        <v>TC.03.225 | M3H</v>
      </c>
      <c r="O586" s="64"/>
      <c r="P586" s="64">
        <f>IFERROR(VLOOKUP(Tabelle32[[#This Row],[Device ID]],BOM!$B$3:$BO$50,20,FALSE),"")</f>
        <v>0</v>
      </c>
      <c r="Q586" s="64">
        <f>IFERROR(VLOOKUP(Tabelle32[[#This Row],[Device ID]],BOM!$B$3:$BO$50,21,FALSE),"")</f>
        <v>1</v>
      </c>
      <c r="R586" s="64">
        <f>IFERROR(VLOOKUP(Tabelle32[[#This Row],[Device ID]],BOM!$B$3:$BO$50,22,FALSE),"")</f>
        <v>0</v>
      </c>
      <c r="S586" s="64"/>
      <c r="T586" s="64"/>
      <c r="U586" s="59" t="str">
        <f>IFERROR(VLOOKUP(Tabelle32[[#This Row],[Device ID]],BOM!$B$3:$BQ$35,25,FALSE),"")</f>
        <v>Luis/Ivo</v>
      </c>
      <c r="V586" s="59" t="str">
        <f>IFERROR(VLOOKUP(Tabelle32[[#This Row],[Device ID]],BOM!$B$3:$BQ$35,26,FALSE),"")</f>
        <v>tpco-megw-vgw103.rta.st-net.media.int</v>
      </c>
      <c r="W586" s="59" t="str">
        <f>IFERROR(VLOOKUP(Tabelle32[[#This Row],[Device ID]],BOM!$B$3:$BQ$35,27,FALSE),"")</f>
        <v>10.120.236.50</v>
      </c>
      <c r="X586" s="59" t="str">
        <f>IFERROR(VLOOKUP(Tabelle32[[#This Row],[Device ID]],BOM!$B$3:$BQ$35,28,FALSE),"")</f>
        <v>AVCoreA</v>
      </c>
      <c r="Y586" s="59" t="str">
        <f>IFERROR(VLOOKUP(Tabelle32[[#This Row],[Device ID]],BOM!$B$3:$BQ$35,29,FALSE),"")</f>
        <v>5_36_1</v>
      </c>
      <c r="Z586" s="59" t="str">
        <f>IFERROR(VLOOKUP(Tabelle32[[#This Row],[Device ID]],BOM!$B$3:$BQ$35,30,FALSE),"")</f>
        <v>tpco-megw-vgw103.rtb.st-net.media.int</v>
      </c>
      <c r="AA586" s="59" t="str">
        <f>IFERROR(VLOOKUP(Tabelle32[[#This Row],[Device ID]],BOM!$B$3:$BQ$35,31,FALSE),"")</f>
        <v>10.120.236.54</v>
      </c>
      <c r="AB586" s="59" t="str">
        <f>IFERROR(VLOOKUP(Tabelle32[[#This Row],[Device ID]],BOM!$B$3:$BQ$35,32,FALSE),"")</f>
        <v>AVCoreB</v>
      </c>
      <c r="AC586" s="59" t="str">
        <f>IFERROR(VLOOKUP(Tabelle32[[#This Row],[Device ID]],BOM!$B$3:$BQ$35,33,FALSE),"")</f>
        <v>5_36_1</v>
      </c>
      <c r="AD586" s="59" t="str">
        <f>IFERROR(VLOOKUP(Tabelle32[[#This Row],[Device ID]],BOM!$B$3:$BQ$35,34,FALSE),"")</f>
        <v>tpco-megw-vgw103.st-net.media.int</v>
      </c>
      <c r="AE586" s="59" t="str">
        <f>IFERROR(VLOOKUP(Tabelle32[[#This Row],[Device ID]],BOM!$B$3:$BQ$35,35,FALSE),"")</f>
        <v>10.120.67.141</v>
      </c>
      <c r="AF586" s="59">
        <f>IFERROR(VLOOKUP(Tabelle32[[#This Row],[Device ID]],BOM!$B$3:$BQ$35,36,FALSE),"")</f>
        <v>0</v>
      </c>
      <c r="AG586" s="59">
        <f>IFERROR(VLOOKUP(Tabelle32[[#This Row],[Device ID]],BOM!$B$3:$BQ$35,37,FALSE),"")</f>
        <v>0</v>
      </c>
      <c r="AH586" s="59"/>
      <c r="AI586" s="59"/>
      <c r="AJ586" s="59"/>
      <c r="AK586" s="59"/>
      <c r="AL586" s="59" t="str">
        <f>IFERROR(VLOOKUP(Tabelle32[[#This Row],[Device ID]],BOM!$B$3:$BQ$35,42,FALSE),"")</f>
        <v>Imagine Communications SNP</v>
      </c>
      <c r="AM586" s="59" t="str">
        <f>IFERROR(VLOOKUP(Tabelle32[[#This Row],[Device ID]],BOM!$B$3:$BQ$35,43,FALSE),"")</f>
        <v>no</v>
      </c>
      <c r="AN586" s="59" t="str">
        <f>IFERROR(VLOOKUP(Tabelle32[[#This Row],[Device ID]],BOM!$B$3:$BQ$35,44,FALSE),"")</f>
        <v>yes</v>
      </c>
      <c r="AO586" s="59" t="str">
        <f>IFERROR(VLOOKUP(Tabelle32[[#This Row],[Device ID]],BOM!$B$3:$BQ$35,45,FALSE),"")</f>
        <v>no</v>
      </c>
      <c r="AP586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86" s="59"/>
      <c r="AR586" s="92"/>
      <c r="AS586" s="92"/>
      <c r="AT586" s="92"/>
      <c r="AU586" s="92"/>
      <c r="AV586" s="92"/>
      <c r="AW586" s="92"/>
      <c r="AX586" s="92"/>
      <c r="AY586" s="92"/>
      <c r="AZ586" s="92"/>
      <c r="BA586" s="92"/>
      <c r="BB586" s="92"/>
      <c r="BC586" s="92"/>
      <c r="BD586" s="92"/>
      <c r="BE586" s="92"/>
      <c r="BF586" s="92"/>
      <c r="BG586" s="92"/>
      <c r="BH586" s="73" t="s">
        <v>199</v>
      </c>
      <c r="BI586" s="30" t="str">
        <f>IF(COUNTA(Tabelle32[[#This Row],[Type:Vid_1080i50]:[Type:Anc_Prot]])&gt;0,"x","")</f>
        <v/>
      </c>
      <c r="BJ58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86" s="59"/>
      <c r="BL586" s="59"/>
      <c r="BM586" s="63"/>
      <c r="BN586" s="63"/>
      <c r="BO586" s="96"/>
      <c r="BP586" s="96"/>
      <c r="BQ586" s="75">
        <f>LEN(Tabelle32[[#This Row],[Label 1
GFX-Unit]])</f>
        <v>0</v>
      </c>
      <c r="BR586" s="63"/>
      <c r="BS586" s="63"/>
      <c r="BT586" s="59"/>
      <c r="BU586" s="59"/>
      <c r="BV586" s="59" t="s">
        <v>257</v>
      </c>
      <c r="BW586" s="59" t="s">
        <v>258</v>
      </c>
      <c r="BX586" s="59" t="s">
        <v>1076</v>
      </c>
      <c r="BY586" s="59">
        <v>28</v>
      </c>
    </row>
    <row r="587" spans="1:77" hidden="1" x14ac:dyDescent="0.2">
      <c r="A587" s="58" t="str">
        <f>CONCATENATE(Tabelle32[[#This Row],[Device ID]],".",Tabelle32[[#This Row],[Streamcounter]])</f>
        <v>405.28214</v>
      </c>
      <c r="B58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VGW-103_SDI28_AUDrec_0014</v>
      </c>
      <c r="C587" s="60"/>
      <c r="D587" s="61"/>
      <c r="E587" s="62"/>
      <c r="F587" s="59" t="str">
        <f>IFERROR(VLOOKUP(Tabelle32[[#This Row],[Device ID]],BOM!$B$3:$BQ$35,16,FALSE),"")</f>
        <v>IngSRV-10</v>
      </c>
      <c r="G587" s="63">
        <f>VLOOKUP(Tabelle32[[#This Row],[SDI Interface]],BOM!$A$4:$B$35,2,FALSE)</f>
        <v>405</v>
      </c>
      <c r="H587" s="59" t="str">
        <f>BOM!$C$4</f>
        <v>VGW-103</v>
      </c>
      <c r="I587" s="59" t="str">
        <f>IFERROR(VLOOKUP(Tabelle32[[#This Row],[Device ID]],BOM!$B$3:$BQ$35,12,FALSE),"")</f>
        <v>Videoserver</v>
      </c>
      <c r="J587" s="59" t="str">
        <f>IFERROR(VLOOKUP(Tabelle32[[#This Row],[Device ID]],BOM!$B$3:$BQ$35,13,FALSE),"")</f>
        <v>TC.U1.223 | MDC</v>
      </c>
      <c r="K587" s="59" t="str">
        <f>IFERROR(VLOOKUP(Tabelle32[[#This Row],[Device ID]],BOM!$B$3:$BQ$35,14,FALSE),"")</f>
        <v>Imagine Comunications</v>
      </c>
      <c r="L587" s="59" t="str">
        <f>IFERROR(VLOOKUP(Tabelle32[[#This Row],[Device ID]],BOM!$B$3:$BQ$35,16,FALSE),"")</f>
        <v>IngSRV-10</v>
      </c>
      <c r="M587" s="63" t="str">
        <f>IFERROR(VLOOKUP(Tabelle32[[#This Row],[Device ID]],BOM!$B$3:$BQ$35,17,FALSE),"")</f>
        <v>M3H</v>
      </c>
      <c r="N587" s="59" t="str">
        <f>IFERROR(VLOOKUP(Tabelle32[[#This Row],[Device ID]],BOM!$B$3:$BQ$35,18,FALSE),"")</f>
        <v>TC.03.225 | M3H</v>
      </c>
      <c r="O587" s="64"/>
      <c r="P587" s="64">
        <f>IFERROR(VLOOKUP(Tabelle32[[#This Row],[Device ID]],BOM!$B$3:$BO$50,20,FALSE),"")</f>
        <v>0</v>
      </c>
      <c r="Q587" s="64">
        <f>IFERROR(VLOOKUP(Tabelle32[[#This Row],[Device ID]],BOM!$B$3:$BO$50,21,FALSE),"")</f>
        <v>1</v>
      </c>
      <c r="R587" s="64">
        <f>IFERROR(VLOOKUP(Tabelle32[[#This Row],[Device ID]],BOM!$B$3:$BO$50,22,FALSE),"")</f>
        <v>0</v>
      </c>
      <c r="S587" s="64"/>
      <c r="T587" s="64"/>
      <c r="U587" s="59" t="str">
        <f>IFERROR(VLOOKUP(Tabelle32[[#This Row],[Device ID]],BOM!$B$3:$BQ$35,25,FALSE),"")</f>
        <v>Luis/Ivo</v>
      </c>
      <c r="V587" s="59" t="str">
        <f>IFERROR(VLOOKUP(Tabelle32[[#This Row],[Device ID]],BOM!$B$3:$BQ$35,26,FALSE),"")</f>
        <v>tpco-megw-vgw103.rta.st-net.media.int</v>
      </c>
      <c r="W587" s="59" t="str">
        <f>IFERROR(VLOOKUP(Tabelle32[[#This Row],[Device ID]],BOM!$B$3:$BQ$35,27,FALSE),"")</f>
        <v>10.120.236.50</v>
      </c>
      <c r="X587" s="59" t="str">
        <f>IFERROR(VLOOKUP(Tabelle32[[#This Row],[Device ID]],BOM!$B$3:$BQ$35,28,FALSE),"")</f>
        <v>AVCoreA</v>
      </c>
      <c r="Y587" s="59" t="str">
        <f>IFERROR(VLOOKUP(Tabelle32[[#This Row],[Device ID]],BOM!$B$3:$BQ$35,29,FALSE),"")</f>
        <v>5_36_1</v>
      </c>
      <c r="Z587" s="59" t="str">
        <f>IFERROR(VLOOKUP(Tabelle32[[#This Row],[Device ID]],BOM!$B$3:$BQ$35,30,FALSE),"")</f>
        <v>tpco-megw-vgw103.rtb.st-net.media.int</v>
      </c>
      <c r="AA587" s="59" t="str">
        <f>IFERROR(VLOOKUP(Tabelle32[[#This Row],[Device ID]],BOM!$B$3:$BQ$35,31,FALSE),"")</f>
        <v>10.120.236.54</v>
      </c>
      <c r="AB587" s="59" t="str">
        <f>IFERROR(VLOOKUP(Tabelle32[[#This Row],[Device ID]],BOM!$B$3:$BQ$35,32,FALSE),"")</f>
        <v>AVCoreB</v>
      </c>
      <c r="AC587" s="59" t="str">
        <f>IFERROR(VLOOKUP(Tabelle32[[#This Row],[Device ID]],BOM!$B$3:$BQ$35,33,FALSE),"")</f>
        <v>5_36_1</v>
      </c>
      <c r="AD587" s="59" t="str">
        <f>IFERROR(VLOOKUP(Tabelle32[[#This Row],[Device ID]],BOM!$B$3:$BQ$35,34,FALSE),"")</f>
        <v>tpco-megw-vgw103.st-net.media.int</v>
      </c>
      <c r="AE587" s="59" t="str">
        <f>IFERROR(VLOOKUP(Tabelle32[[#This Row],[Device ID]],BOM!$B$3:$BQ$35,35,FALSE),"")</f>
        <v>10.120.67.141</v>
      </c>
      <c r="AF587" s="59">
        <f>IFERROR(VLOOKUP(Tabelle32[[#This Row],[Device ID]],BOM!$B$3:$BQ$35,36,FALSE),"")</f>
        <v>0</v>
      </c>
      <c r="AG587" s="59">
        <f>IFERROR(VLOOKUP(Tabelle32[[#This Row],[Device ID]],BOM!$B$3:$BQ$35,37,FALSE),"")</f>
        <v>0</v>
      </c>
      <c r="AH587" s="59"/>
      <c r="AI587" s="59"/>
      <c r="AJ587" s="59"/>
      <c r="AK587" s="59"/>
      <c r="AL587" s="59" t="str">
        <f>IFERROR(VLOOKUP(Tabelle32[[#This Row],[Device ID]],BOM!$B$3:$BQ$35,42,FALSE),"")</f>
        <v>Imagine Communications SNP</v>
      </c>
      <c r="AM587" s="59" t="str">
        <f>IFERROR(VLOOKUP(Tabelle32[[#This Row],[Device ID]],BOM!$B$3:$BQ$35,43,FALSE),"")</f>
        <v>no</v>
      </c>
      <c r="AN587" s="59" t="str">
        <f>IFERROR(VLOOKUP(Tabelle32[[#This Row],[Device ID]],BOM!$B$3:$BQ$35,44,FALSE),"")</f>
        <v>yes</v>
      </c>
      <c r="AO587" s="59" t="str">
        <f>IFERROR(VLOOKUP(Tabelle32[[#This Row],[Device ID]],BOM!$B$3:$BQ$35,45,FALSE),"")</f>
        <v>no</v>
      </c>
      <c r="AP587" s="59" t="str">
        <f>IFERROR(CONCATENATE(Tabelle32[[#This Row],[Family
GFX-Unit]]," | ",Tabelle32[[#This Row],[Label 1
GFX-Unit]]," | ",Tabelle32[[#This Row],[Attached Device if Gateway]]),"")</f>
        <v xml:space="preserve"> |  | IngSRV-10</v>
      </c>
      <c r="AQ587" s="59"/>
      <c r="AR587" s="92"/>
      <c r="AS587" s="92"/>
      <c r="AT587" s="92"/>
      <c r="AU587" s="92"/>
      <c r="AV587" s="92"/>
      <c r="AW587" s="92"/>
      <c r="AX587" s="92"/>
      <c r="AY587" s="92"/>
      <c r="AZ587" s="92"/>
      <c r="BA587" s="92"/>
      <c r="BB587" s="92"/>
      <c r="BC587" s="92"/>
      <c r="BD587" s="92"/>
      <c r="BE587" s="92"/>
      <c r="BF587" s="92"/>
      <c r="BG587" s="92"/>
      <c r="BH587" s="73" t="s">
        <v>199</v>
      </c>
      <c r="BI587" s="30" t="str">
        <f>IF(COUNTA(Tabelle32[[#This Row],[Type:Vid_1080i50]:[Type:Anc_Prot]])&gt;0,"x","")</f>
        <v/>
      </c>
      <c r="BJ58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87" s="59"/>
      <c r="BL587" s="59"/>
      <c r="BM587" s="63"/>
      <c r="BN587" s="63"/>
      <c r="BO587" s="96"/>
      <c r="BP587" s="96"/>
      <c r="BQ587" s="75">
        <f>LEN(Tabelle32[[#This Row],[Label 1
GFX-Unit]])</f>
        <v>0</v>
      </c>
      <c r="BR587" s="63"/>
      <c r="BS587" s="63"/>
      <c r="BT587" s="59"/>
      <c r="BU587" s="59"/>
      <c r="BV587" s="59" t="s">
        <v>260</v>
      </c>
      <c r="BW587" s="59" t="s">
        <v>261</v>
      </c>
      <c r="BX587" s="59" t="s">
        <v>1077</v>
      </c>
      <c r="BY587" s="59">
        <v>28</v>
      </c>
    </row>
    <row r="588" spans="1:77" x14ac:dyDescent="0.2">
      <c r="A588" s="58" t="str">
        <f>CONCATENATE(Tabelle32[[#This Row],[Device ID]],".",Tabelle32[[#This Row],[Streamcounter]])</f>
        <v>405.28215</v>
      </c>
      <c r="B58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VGW-103_SDI28_AUDrec_0015</v>
      </c>
      <c r="C588" s="60"/>
      <c r="D588" s="61"/>
      <c r="E588" s="62"/>
      <c r="F588" s="59" t="str">
        <f>IFERROR(VLOOKUP(Tabelle32[[#This Row],[Device ID]],BOM!$B$3:$BQ$35,16,FALSE),"")</f>
        <v>IngSRV-10</v>
      </c>
      <c r="G588" s="63">
        <f>VLOOKUP(Tabelle32[[#This Row],[SDI Interface]],BOM!$A$4:$B$35,2,FALSE)</f>
        <v>405</v>
      </c>
      <c r="H588" s="59" t="str">
        <f>BOM!$C$4</f>
        <v>VGW-103</v>
      </c>
      <c r="I588" s="59" t="str">
        <f>IFERROR(VLOOKUP(Tabelle32[[#This Row],[Device ID]],BOM!$B$3:$BQ$35,12,FALSE),"")</f>
        <v>Videoserver</v>
      </c>
      <c r="J588" s="59" t="str">
        <f>IFERROR(VLOOKUP(Tabelle32[[#This Row],[Device ID]],BOM!$B$3:$BQ$35,13,FALSE),"")</f>
        <v>TC.U1.223 | MDC</v>
      </c>
      <c r="K588" s="59" t="str">
        <f>IFERROR(VLOOKUP(Tabelle32[[#This Row],[Device ID]],BOM!$B$3:$BQ$35,14,FALSE),"")</f>
        <v>Imagine Comunications</v>
      </c>
      <c r="L588" s="59" t="str">
        <f>IFERROR(VLOOKUP(Tabelle32[[#This Row],[Device ID]],BOM!$B$3:$BQ$35,16,FALSE),"")</f>
        <v>IngSRV-10</v>
      </c>
      <c r="M588" s="63" t="str">
        <f>IFERROR(VLOOKUP(Tabelle32[[#This Row],[Device ID]],BOM!$B$3:$BQ$35,17,FALSE),"")</f>
        <v>M3H</v>
      </c>
      <c r="N588" s="59" t="str">
        <f>IFERROR(VLOOKUP(Tabelle32[[#This Row],[Device ID]],BOM!$B$3:$BQ$35,18,FALSE),"")</f>
        <v>TC.03.225 | M3H</v>
      </c>
      <c r="O588" s="64"/>
      <c r="P588" s="64">
        <f>IFERROR(VLOOKUP(Tabelle32[[#This Row],[Device ID]],BOM!$B$3:$BO$50,20,FALSE),"")</f>
        <v>0</v>
      </c>
      <c r="Q588" s="64">
        <f>IFERROR(VLOOKUP(Tabelle32[[#This Row],[Device ID]],BOM!$B$3:$BO$50,21,FALSE),"")</f>
        <v>1</v>
      </c>
      <c r="R588" s="64">
        <f>IFERROR(VLOOKUP(Tabelle32[[#This Row],[Device ID]],BOM!$B$3:$BO$50,22,FALSE),"")</f>
        <v>0</v>
      </c>
      <c r="S588" s="64"/>
      <c r="T588" s="64"/>
      <c r="U588" s="59" t="str">
        <f>IFERROR(VLOOKUP(Tabelle32[[#This Row],[Device ID]],BOM!$B$3:$BQ$35,25,FALSE),"")</f>
        <v>Luis/Ivo</v>
      </c>
      <c r="V588" s="59" t="str">
        <f>IFERROR(VLOOKUP(Tabelle32[[#This Row],[Device ID]],BOM!$B$3:$BQ$35,26,FALSE),"")</f>
        <v>tpco-megw-vgw103.rta.st-net.media.int</v>
      </c>
      <c r="W588" s="59" t="str">
        <f>IFERROR(VLOOKUP(Tabelle32[[#This Row],[Device ID]],BOM!$B$3:$BQ$35,27,FALSE),"")</f>
        <v>10.120.236.50</v>
      </c>
      <c r="X588" s="59" t="str">
        <f>IFERROR(VLOOKUP(Tabelle32[[#This Row],[Device ID]],BOM!$B$3:$BQ$35,28,FALSE),"")</f>
        <v>AVCoreA</v>
      </c>
      <c r="Y588" s="59" t="str">
        <f>IFERROR(VLOOKUP(Tabelle32[[#This Row],[Device ID]],BOM!$B$3:$BQ$35,29,FALSE),"")</f>
        <v>5_36_1</v>
      </c>
      <c r="Z588" s="59" t="str">
        <f>IFERROR(VLOOKUP(Tabelle32[[#This Row],[Device ID]],BOM!$B$3:$BQ$35,30,FALSE),"")</f>
        <v>tpco-megw-vgw103.rtb.st-net.media.int</v>
      </c>
      <c r="AA588" s="59" t="str">
        <f>IFERROR(VLOOKUP(Tabelle32[[#This Row],[Device ID]],BOM!$B$3:$BQ$35,31,FALSE),"")</f>
        <v>10.120.236.54</v>
      </c>
      <c r="AB588" s="59" t="str">
        <f>IFERROR(VLOOKUP(Tabelle32[[#This Row],[Device ID]],BOM!$B$3:$BQ$35,32,FALSE),"")</f>
        <v>AVCoreB</v>
      </c>
      <c r="AC588" s="59" t="str">
        <f>IFERROR(VLOOKUP(Tabelle32[[#This Row],[Device ID]],BOM!$B$3:$BQ$35,33,FALSE),"")</f>
        <v>5_36_1</v>
      </c>
      <c r="AD588" s="59" t="str">
        <f>IFERROR(VLOOKUP(Tabelle32[[#This Row],[Device ID]],BOM!$B$3:$BQ$35,34,FALSE),"")</f>
        <v>tpco-megw-vgw103.st-net.media.int</v>
      </c>
      <c r="AE588" s="59" t="str">
        <f>IFERROR(VLOOKUP(Tabelle32[[#This Row],[Device ID]],BOM!$B$3:$BQ$35,35,FALSE),"")</f>
        <v>10.120.67.141</v>
      </c>
      <c r="AF588" s="59">
        <f>IFERROR(VLOOKUP(Tabelle32[[#This Row],[Device ID]],BOM!$B$3:$BQ$35,36,FALSE),"")</f>
        <v>0</v>
      </c>
      <c r="AG588" s="59">
        <f>IFERROR(VLOOKUP(Tabelle32[[#This Row],[Device ID]],BOM!$B$3:$BQ$35,37,FALSE),"")</f>
        <v>0</v>
      </c>
      <c r="AH588" s="59"/>
      <c r="AI588" s="59"/>
      <c r="AJ588" s="59"/>
      <c r="AK588" s="59"/>
      <c r="AL588" s="59" t="str">
        <f>IFERROR(VLOOKUP(Tabelle32[[#This Row],[Device ID]],BOM!$B$3:$BQ$35,42,FALSE),"")</f>
        <v>Imagine Communications SNP</v>
      </c>
      <c r="AM588" s="59" t="str">
        <f>IFERROR(VLOOKUP(Tabelle32[[#This Row],[Device ID]],BOM!$B$3:$BQ$35,43,FALSE),"")</f>
        <v>no</v>
      </c>
      <c r="AN588" s="59" t="str">
        <f>IFERROR(VLOOKUP(Tabelle32[[#This Row],[Device ID]],BOM!$B$3:$BQ$35,44,FALSE),"")</f>
        <v>yes</v>
      </c>
      <c r="AO588" s="59" t="str">
        <f>IFERROR(VLOOKUP(Tabelle32[[#This Row],[Device ID]],BOM!$B$3:$BQ$35,45,FALSE),"")</f>
        <v>no</v>
      </c>
      <c r="AP588" s="59" t="str">
        <f>IFERROR(CONCATENATE(Tabelle32[[#This Row],[Family
GFX-Unit]]," | ",Tabelle32[[#This Row],[Label 1
GFX-Unit]]," | ",Tabelle32[[#This Row],[Attached Device if Gateway]]),"")</f>
        <v>M3H InCh PGM | Ingest Ch40-15 | IngSRV-10</v>
      </c>
      <c r="AQ588" s="59"/>
      <c r="AR588" s="92"/>
      <c r="AS588" s="92"/>
      <c r="AT588" s="92"/>
      <c r="AU588" s="92"/>
      <c r="AV588" s="92"/>
      <c r="AW588" s="92" t="s">
        <v>97</v>
      </c>
      <c r="AX588" s="92"/>
      <c r="AY588" s="92"/>
      <c r="AZ588" s="92" t="s">
        <v>97</v>
      </c>
      <c r="BA588" s="92"/>
      <c r="BB588" s="92" t="s">
        <v>97</v>
      </c>
      <c r="BC588" s="92" t="s">
        <v>97</v>
      </c>
      <c r="BD588" s="92" t="s">
        <v>97</v>
      </c>
      <c r="BE588" s="92"/>
      <c r="BF588" s="92"/>
      <c r="BG588" s="92"/>
      <c r="BH588" s="73" t="s">
        <v>199</v>
      </c>
      <c r="BI588" s="30" t="str">
        <f>IF(COUNTA(Tabelle32[[#This Row],[Type:Vid_1080i50]:[Type:Anc_Prot]])&gt;0,"x","")</f>
        <v>x</v>
      </c>
      <c r="BJ58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588" s="59"/>
      <c r="BL588" s="59"/>
      <c r="BM588" s="63"/>
      <c r="BN588" s="63"/>
      <c r="BO588" s="97" t="s">
        <v>2684</v>
      </c>
      <c r="BP588" s="97" t="s">
        <v>2734</v>
      </c>
      <c r="BQ588" s="75">
        <f>LEN(Tabelle32[[#This Row],[Label 1
GFX-Unit]])</f>
        <v>14</v>
      </c>
      <c r="BR588" s="63"/>
      <c r="BS588" s="63"/>
      <c r="BT588" s="59"/>
      <c r="BU588" s="59"/>
      <c r="BV588" s="59" t="s">
        <v>264</v>
      </c>
      <c r="BW588" s="59" t="s">
        <v>265</v>
      </c>
      <c r="BX588" s="59" t="s">
        <v>1078</v>
      </c>
      <c r="BY588" s="59">
        <v>28</v>
      </c>
    </row>
    <row r="589" spans="1:77" x14ac:dyDescent="0.2">
      <c r="A589" s="58" t="str">
        <f>CONCATENATE(Tabelle32[[#This Row],[Device ID]],".",Tabelle32[[#This Row],[Streamcounter]])</f>
        <v>405.28216</v>
      </c>
      <c r="B58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VGW-103_SDI28_AUDrec_0016</v>
      </c>
      <c r="C589" s="60"/>
      <c r="D589" s="61"/>
      <c r="E589" s="62"/>
      <c r="F589" s="59" t="str">
        <f>IFERROR(VLOOKUP(Tabelle32[[#This Row],[Device ID]],BOM!$B$3:$BQ$35,16,FALSE),"")</f>
        <v>IngSRV-10</v>
      </c>
      <c r="G589" s="63">
        <f>VLOOKUP(Tabelle32[[#This Row],[SDI Interface]],BOM!$A$4:$B$35,2,FALSE)</f>
        <v>405</v>
      </c>
      <c r="H589" s="59" t="str">
        <f>BOM!$C$4</f>
        <v>VGW-103</v>
      </c>
      <c r="I589" s="59" t="str">
        <f>IFERROR(VLOOKUP(Tabelle32[[#This Row],[Device ID]],BOM!$B$3:$BQ$35,12,FALSE),"")</f>
        <v>Videoserver</v>
      </c>
      <c r="J589" s="59" t="str">
        <f>IFERROR(VLOOKUP(Tabelle32[[#This Row],[Device ID]],BOM!$B$3:$BQ$35,13,FALSE),"")</f>
        <v>TC.U1.223 | MDC</v>
      </c>
      <c r="K589" s="59" t="str">
        <f>IFERROR(VLOOKUP(Tabelle32[[#This Row],[Device ID]],BOM!$B$3:$BQ$35,14,FALSE),"")</f>
        <v>Imagine Comunications</v>
      </c>
      <c r="L589" s="59" t="str">
        <f>IFERROR(VLOOKUP(Tabelle32[[#This Row],[Device ID]],BOM!$B$3:$BQ$35,16,FALSE),"")</f>
        <v>IngSRV-10</v>
      </c>
      <c r="M589" s="63" t="str">
        <f>IFERROR(VLOOKUP(Tabelle32[[#This Row],[Device ID]],BOM!$B$3:$BQ$35,17,FALSE),"")</f>
        <v>M3H</v>
      </c>
      <c r="N589" s="59" t="str">
        <f>IFERROR(VLOOKUP(Tabelle32[[#This Row],[Device ID]],BOM!$B$3:$BQ$35,18,FALSE),"")</f>
        <v>TC.03.225 | M3H</v>
      </c>
      <c r="O589" s="64"/>
      <c r="P589" s="64">
        <f>IFERROR(VLOOKUP(Tabelle32[[#This Row],[Device ID]],BOM!$B$3:$BO$50,20,FALSE),"")</f>
        <v>0</v>
      </c>
      <c r="Q589" s="64">
        <f>IFERROR(VLOOKUP(Tabelle32[[#This Row],[Device ID]],BOM!$B$3:$BO$50,21,FALSE),"")</f>
        <v>1</v>
      </c>
      <c r="R589" s="64">
        <f>IFERROR(VLOOKUP(Tabelle32[[#This Row],[Device ID]],BOM!$B$3:$BO$50,22,FALSE),"")</f>
        <v>0</v>
      </c>
      <c r="S589" s="64"/>
      <c r="T589" s="64"/>
      <c r="U589" s="59" t="str">
        <f>IFERROR(VLOOKUP(Tabelle32[[#This Row],[Device ID]],BOM!$B$3:$BQ$35,25,FALSE),"")</f>
        <v>Luis/Ivo</v>
      </c>
      <c r="V589" s="59" t="str">
        <f>IFERROR(VLOOKUP(Tabelle32[[#This Row],[Device ID]],BOM!$B$3:$BQ$35,26,FALSE),"")</f>
        <v>tpco-megw-vgw103.rta.st-net.media.int</v>
      </c>
      <c r="W589" s="59" t="str">
        <f>IFERROR(VLOOKUP(Tabelle32[[#This Row],[Device ID]],BOM!$B$3:$BQ$35,27,FALSE),"")</f>
        <v>10.120.236.50</v>
      </c>
      <c r="X589" s="59" t="str">
        <f>IFERROR(VLOOKUP(Tabelle32[[#This Row],[Device ID]],BOM!$B$3:$BQ$35,28,FALSE),"")</f>
        <v>AVCoreA</v>
      </c>
      <c r="Y589" s="59" t="str">
        <f>IFERROR(VLOOKUP(Tabelle32[[#This Row],[Device ID]],BOM!$B$3:$BQ$35,29,FALSE),"")</f>
        <v>5_36_1</v>
      </c>
      <c r="Z589" s="59" t="str">
        <f>IFERROR(VLOOKUP(Tabelle32[[#This Row],[Device ID]],BOM!$B$3:$BQ$35,30,FALSE),"")</f>
        <v>tpco-megw-vgw103.rtb.st-net.media.int</v>
      </c>
      <c r="AA589" s="59" t="str">
        <f>IFERROR(VLOOKUP(Tabelle32[[#This Row],[Device ID]],BOM!$B$3:$BQ$35,31,FALSE),"")</f>
        <v>10.120.236.54</v>
      </c>
      <c r="AB589" s="59" t="str">
        <f>IFERROR(VLOOKUP(Tabelle32[[#This Row],[Device ID]],BOM!$B$3:$BQ$35,32,FALSE),"")</f>
        <v>AVCoreB</v>
      </c>
      <c r="AC589" s="59" t="str">
        <f>IFERROR(VLOOKUP(Tabelle32[[#This Row],[Device ID]],BOM!$B$3:$BQ$35,33,FALSE),"")</f>
        <v>5_36_1</v>
      </c>
      <c r="AD589" s="59" t="str">
        <f>IFERROR(VLOOKUP(Tabelle32[[#This Row],[Device ID]],BOM!$B$3:$BQ$35,34,FALSE),"")</f>
        <v>tpco-megw-vgw103.st-net.media.int</v>
      </c>
      <c r="AE589" s="59" t="str">
        <f>IFERROR(VLOOKUP(Tabelle32[[#This Row],[Device ID]],BOM!$B$3:$BQ$35,35,FALSE),"")</f>
        <v>10.120.67.141</v>
      </c>
      <c r="AF589" s="59">
        <f>IFERROR(VLOOKUP(Tabelle32[[#This Row],[Device ID]],BOM!$B$3:$BQ$35,36,FALSE),"")</f>
        <v>0</v>
      </c>
      <c r="AG589" s="59">
        <f>IFERROR(VLOOKUP(Tabelle32[[#This Row],[Device ID]],BOM!$B$3:$BQ$35,37,FALSE),"")</f>
        <v>0</v>
      </c>
      <c r="AH589" s="59"/>
      <c r="AI589" s="59"/>
      <c r="AJ589" s="59"/>
      <c r="AK589" s="59"/>
      <c r="AL589" s="59" t="str">
        <f>IFERROR(VLOOKUP(Tabelle32[[#This Row],[Device ID]],BOM!$B$3:$BQ$35,42,FALSE),"")</f>
        <v>Imagine Communications SNP</v>
      </c>
      <c r="AM589" s="59" t="str">
        <f>IFERROR(VLOOKUP(Tabelle32[[#This Row],[Device ID]],BOM!$B$3:$BQ$35,43,FALSE),"")</f>
        <v>no</v>
      </c>
      <c r="AN589" s="59" t="str">
        <f>IFERROR(VLOOKUP(Tabelle32[[#This Row],[Device ID]],BOM!$B$3:$BQ$35,44,FALSE),"")</f>
        <v>yes</v>
      </c>
      <c r="AO589" s="59" t="str">
        <f>IFERROR(VLOOKUP(Tabelle32[[#This Row],[Device ID]],BOM!$B$3:$BQ$35,45,FALSE),"")</f>
        <v>no</v>
      </c>
      <c r="AP589" s="59" t="str">
        <f>IFERROR(CONCATENATE(Tabelle32[[#This Row],[Family
GFX-Unit]]," | ",Tabelle32[[#This Row],[Label 1
GFX-Unit]]," | ",Tabelle32[[#This Row],[Attached Device if Gateway]]),"")</f>
        <v>M3H InCh PGM | Ingest Ch40-16 | IngSRV-10</v>
      </c>
      <c r="AQ589" s="59"/>
      <c r="AR589" s="92"/>
      <c r="AS589" s="92"/>
      <c r="AT589" s="92"/>
      <c r="AU589" s="92"/>
      <c r="AV589" s="92"/>
      <c r="AW589" s="92" t="s">
        <v>97</v>
      </c>
      <c r="AX589" s="92"/>
      <c r="AY589" s="92"/>
      <c r="AZ589" s="92" t="s">
        <v>97</v>
      </c>
      <c r="BA589" s="92"/>
      <c r="BB589" s="92" t="s">
        <v>97</v>
      </c>
      <c r="BC589" s="92" t="s">
        <v>97</v>
      </c>
      <c r="BD589" s="92" t="s">
        <v>97</v>
      </c>
      <c r="BE589" s="92"/>
      <c r="BF589" s="92"/>
      <c r="BG589" s="92"/>
      <c r="BH589" s="73" t="s">
        <v>199</v>
      </c>
      <c r="BI589" s="30" t="str">
        <f>IF(COUNTA(Tabelle32[[#This Row],[Type:Vid_1080i50]:[Type:Anc_Prot]])&gt;0,"x","")</f>
        <v>x</v>
      </c>
      <c r="BJ58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Type:Aud_1CH_M,Type:Aud_2CH_LR,Type:Aud_3CH_LRC,Type:Aud_6CH_5.1,Type:Aud_8CH_RAW,#SNP</v>
      </c>
      <c r="BK589" s="59"/>
      <c r="BL589" s="59"/>
      <c r="BM589" s="63"/>
      <c r="BN589" s="63"/>
      <c r="BO589" s="97" t="s">
        <v>2684</v>
      </c>
      <c r="BP589" s="97" t="s">
        <v>2735</v>
      </c>
      <c r="BQ589" s="75">
        <f>LEN(Tabelle32[[#This Row],[Label 1
GFX-Unit]])</f>
        <v>14</v>
      </c>
      <c r="BR589" s="63"/>
      <c r="BS589" s="63"/>
      <c r="BT589" s="59"/>
      <c r="BU589" s="59"/>
      <c r="BV589" s="59" t="s">
        <v>268</v>
      </c>
      <c r="BW589" s="59" t="s">
        <v>269</v>
      </c>
      <c r="BX589" s="59" t="s">
        <v>1079</v>
      </c>
      <c r="BY589" s="59">
        <v>28</v>
      </c>
    </row>
    <row r="590" spans="1:77" x14ac:dyDescent="0.2">
      <c r="A590" s="58" t="str">
        <f>CONCATENATE(Tabelle32[[#This Row],[Device ID]],".",Tabelle32[[#This Row],[Streamcounter]])</f>
        <v>405.28101</v>
      </c>
      <c r="B59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VGW-103_SDI28_VIDrec_0001</v>
      </c>
      <c r="C590" s="60"/>
      <c r="D590" s="61"/>
      <c r="E590" s="62"/>
      <c r="F590" s="59" t="str">
        <f>IFERROR(VLOOKUP(Tabelle32[[#This Row],[Device ID]],BOM!$B$3:$BQ$35,16,FALSE),"")</f>
        <v>IngSRV-10</v>
      </c>
      <c r="G590" s="63">
        <f>VLOOKUP(Tabelle32[[#This Row],[SDI Interface]],BOM!$A$4:$B$35,2,FALSE)</f>
        <v>405</v>
      </c>
      <c r="H590" s="59" t="str">
        <f>BOM!$C$4</f>
        <v>VGW-103</v>
      </c>
      <c r="I590" s="59" t="str">
        <f>IFERROR(VLOOKUP(Tabelle32[[#This Row],[Device ID]],BOM!$B$3:$BQ$35,12,FALSE),"")</f>
        <v>Videoserver</v>
      </c>
      <c r="J590" s="59" t="str">
        <f>IFERROR(VLOOKUP(Tabelle32[[#This Row],[Device ID]],BOM!$B$3:$BQ$35,13,FALSE),"")</f>
        <v>TC.U1.223 | MDC</v>
      </c>
      <c r="K590" s="59" t="str">
        <f>IFERROR(VLOOKUP(Tabelle32[[#This Row],[Device ID]],BOM!$B$3:$BQ$35,14,FALSE),"")</f>
        <v>Imagine Comunications</v>
      </c>
      <c r="L590" s="59" t="str">
        <f>IFERROR(VLOOKUP(Tabelle32[[#This Row],[Device ID]],BOM!$B$3:$BQ$35,16,FALSE),"")</f>
        <v>IngSRV-10</v>
      </c>
      <c r="M590" s="63" t="str">
        <f>IFERROR(VLOOKUP(Tabelle32[[#This Row],[Device ID]],BOM!$B$3:$BQ$35,17,FALSE),"")</f>
        <v>M3H</v>
      </c>
      <c r="N590" s="59" t="str">
        <f>IFERROR(VLOOKUP(Tabelle32[[#This Row],[Device ID]],BOM!$B$3:$BQ$35,18,FALSE),"")</f>
        <v>TC.03.225 | M3H</v>
      </c>
      <c r="O590" s="64"/>
      <c r="P590" s="64">
        <f>IFERROR(VLOOKUP(Tabelle32[[#This Row],[Device ID]],BOM!$B$3:$BO$50,20,FALSE),"")</f>
        <v>0</v>
      </c>
      <c r="Q590" s="64">
        <f>IFERROR(VLOOKUP(Tabelle32[[#This Row],[Device ID]],BOM!$B$3:$BO$50,21,FALSE),"")</f>
        <v>1</v>
      </c>
      <c r="R590" s="64">
        <f>IFERROR(VLOOKUP(Tabelle32[[#This Row],[Device ID]],BOM!$B$3:$BO$50,22,FALSE),"")</f>
        <v>0</v>
      </c>
      <c r="S590" s="64"/>
      <c r="T590" s="64"/>
      <c r="U590" s="59" t="str">
        <f>IFERROR(VLOOKUP(Tabelle32[[#This Row],[Device ID]],BOM!$B$3:$BQ$35,25,FALSE),"")</f>
        <v>Luis/Ivo</v>
      </c>
      <c r="V590" s="59" t="str">
        <f>IFERROR(VLOOKUP(Tabelle32[[#This Row],[Device ID]],BOM!$B$3:$BQ$35,26,FALSE),"")</f>
        <v>tpco-megw-vgw103.rta.st-net.media.int</v>
      </c>
      <c r="W590" s="59" t="str">
        <f>IFERROR(VLOOKUP(Tabelle32[[#This Row],[Device ID]],BOM!$B$3:$BQ$35,27,FALSE),"")</f>
        <v>10.120.236.50</v>
      </c>
      <c r="X590" s="59" t="str">
        <f>IFERROR(VLOOKUP(Tabelle32[[#This Row],[Device ID]],BOM!$B$3:$BQ$35,28,FALSE),"")</f>
        <v>AVCoreA</v>
      </c>
      <c r="Y590" s="59" t="str">
        <f>IFERROR(VLOOKUP(Tabelle32[[#This Row],[Device ID]],BOM!$B$3:$BQ$35,29,FALSE),"")</f>
        <v>5_36_1</v>
      </c>
      <c r="Z590" s="59" t="str">
        <f>IFERROR(VLOOKUP(Tabelle32[[#This Row],[Device ID]],BOM!$B$3:$BQ$35,30,FALSE),"")</f>
        <v>tpco-megw-vgw103.rtb.st-net.media.int</v>
      </c>
      <c r="AA590" s="59" t="str">
        <f>IFERROR(VLOOKUP(Tabelle32[[#This Row],[Device ID]],BOM!$B$3:$BQ$35,31,FALSE),"")</f>
        <v>10.120.236.54</v>
      </c>
      <c r="AB590" s="59" t="str">
        <f>IFERROR(VLOOKUP(Tabelle32[[#This Row],[Device ID]],BOM!$B$3:$BQ$35,32,FALSE),"")</f>
        <v>AVCoreB</v>
      </c>
      <c r="AC590" s="59" t="str">
        <f>IFERROR(VLOOKUP(Tabelle32[[#This Row],[Device ID]],BOM!$B$3:$BQ$35,33,FALSE),"")</f>
        <v>5_36_1</v>
      </c>
      <c r="AD590" s="59" t="str">
        <f>IFERROR(VLOOKUP(Tabelle32[[#This Row],[Device ID]],BOM!$B$3:$BQ$35,34,FALSE),"")</f>
        <v>tpco-megw-vgw103.st-net.media.int</v>
      </c>
      <c r="AE590" s="59" t="str">
        <f>IFERROR(VLOOKUP(Tabelle32[[#This Row],[Device ID]],BOM!$B$3:$BQ$35,35,FALSE),"")</f>
        <v>10.120.67.141</v>
      </c>
      <c r="AF590" s="59">
        <f>IFERROR(VLOOKUP(Tabelle32[[#This Row],[Device ID]],BOM!$B$3:$BQ$35,36,FALSE),"")</f>
        <v>0</v>
      </c>
      <c r="AG590" s="59">
        <f>IFERROR(VLOOKUP(Tabelle32[[#This Row],[Device ID]],BOM!$B$3:$BQ$35,37,FALSE),"")</f>
        <v>0</v>
      </c>
      <c r="AH590" s="59"/>
      <c r="AI590" s="59"/>
      <c r="AJ590" s="59"/>
      <c r="AK590" s="59"/>
      <c r="AL590" s="59" t="str">
        <f>IFERROR(VLOOKUP(Tabelle32[[#This Row],[Device ID]],BOM!$B$3:$BQ$35,42,FALSE),"")</f>
        <v>Imagine Communications SNP</v>
      </c>
      <c r="AM590" s="59" t="str">
        <f>IFERROR(VLOOKUP(Tabelle32[[#This Row],[Device ID]],BOM!$B$3:$BQ$35,43,FALSE),"")</f>
        <v>no</v>
      </c>
      <c r="AN590" s="59" t="str">
        <f>IFERROR(VLOOKUP(Tabelle32[[#This Row],[Device ID]],BOM!$B$3:$BQ$35,44,FALSE),"")</f>
        <v>yes</v>
      </c>
      <c r="AO590" s="59" t="str">
        <f>IFERROR(VLOOKUP(Tabelle32[[#This Row],[Device ID]],BOM!$B$3:$BQ$35,45,FALSE),"")</f>
        <v>no</v>
      </c>
      <c r="AP590" s="59" t="str">
        <f>IFERROR(CONCATENATE(Tabelle32[[#This Row],[Family
GFX-Unit]]," | ",Tabelle32[[#This Row],[Label 1
GFX-Unit]]," | ",Tabelle32[[#This Row],[Attached Device if Gateway]]),"")</f>
        <v>M3H InCh PGM | Ingest Ch40 | IngSRV-10</v>
      </c>
      <c r="AQ590" s="59"/>
      <c r="AR590" s="92" t="s">
        <v>97</v>
      </c>
      <c r="AS590" s="92" t="s">
        <v>97</v>
      </c>
      <c r="AT590" s="92" t="s">
        <v>97</v>
      </c>
      <c r="AU590" s="92"/>
      <c r="AV590" s="92" t="s">
        <v>97</v>
      </c>
      <c r="AW590" s="92"/>
      <c r="AX590" s="92"/>
      <c r="AY590" s="92"/>
      <c r="AZ590" s="92"/>
      <c r="BA590" s="92"/>
      <c r="BB590" s="92"/>
      <c r="BC590" s="92"/>
      <c r="BD590" s="92"/>
      <c r="BE590" s="92"/>
      <c r="BF590" s="92"/>
      <c r="BG590" s="92"/>
      <c r="BH590" s="73" t="s">
        <v>199</v>
      </c>
      <c r="BI590" s="30" t="str">
        <f>IF(COUNTA(Tabelle32[[#This Row],[Type:Vid_1080i50]:[Type:Anc_Prot]])&gt;0,"x","")</f>
        <v>x</v>
      </c>
      <c r="BJ59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Type:Vid_1080i50,Type:Vid_1080p25,Type:Vid_1080p50,Type:Vid_1080p60,#SNP</v>
      </c>
      <c r="BK590" s="59"/>
      <c r="BL590" s="59"/>
      <c r="BM590" s="63"/>
      <c r="BN590" s="63"/>
      <c r="BO590" s="93" t="s">
        <v>2684</v>
      </c>
      <c r="BP590" s="93" t="s">
        <v>2736</v>
      </c>
      <c r="BQ590" s="75">
        <f>LEN(Tabelle32[[#This Row],[Label 1
GFX-Unit]])</f>
        <v>11</v>
      </c>
      <c r="BR590" s="63"/>
      <c r="BS590" s="63"/>
      <c r="BT590" s="59"/>
      <c r="BU590" s="59"/>
      <c r="BV590" s="59" t="s">
        <v>272</v>
      </c>
      <c r="BW590" s="59" t="s">
        <v>273</v>
      </c>
      <c r="BX590" s="59" t="s">
        <v>1080</v>
      </c>
      <c r="BY590" s="59">
        <v>28</v>
      </c>
    </row>
    <row r="591" spans="1:77" x14ac:dyDescent="0.2">
      <c r="A591" s="58" t="str">
        <f>CONCATENATE(Tabelle32[[#This Row],[Device ID]],".",Tabelle32[[#This Row],[Streamcounter]])</f>
        <v>2154.29301</v>
      </c>
      <c r="B59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VGW-103_SDI29_ANCsend_0001</v>
      </c>
      <c r="C591" s="67"/>
      <c r="D591" s="61"/>
      <c r="E591" s="67"/>
      <c r="F591" s="59" t="str">
        <f>IFERROR(VLOOKUP(Tabelle32[[#This Row],[Device ID]],BOM!$B$3:$BQ$35,16,FALSE),"")</f>
        <v>EditPC-21</v>
      </c>
      <c r="G591" s="63">
        <f>VLOOKUP(Tabelle32[[#This Row],[SDI Interface]],BOM!$A$4:$B$35,2,FALSE)</f>
        <v>2154</v>
      </c>
      <c r="H591" s="59" t="str">
        <f>BOM!$C$4</f>
        <v>VGW-103</v>
      </c>
      <c r="I591" s="59" t="str">
        <f>IFERROR(VLOOKUP(Tabelle32[[#This Row],[Device ID]],BOM!$B$3:$BQ$35,12,FALSE),"")</f>
        <v>Edit Suite</v>
      </c>
      <c r="J591" s="59" t="str">
        <f>IFERROR(VLOOKUP(Tabelle32[[#This Row],[Device ID]],BOM!$B$3:$BQ$35,13,FALSE),"")</f>
        <v>TC.U1.223 | MDC</v>
      </c>
      <c r="K591" s="59" t="str">
        <f>IFERROR(VLOOKUP(Tabelle32[[#This Row],[Device ID]],BOM!$B$3:$BQ$35,14,FALSE),"")</f>
        <v>Imagine Comunications</v>
      </c>
      <c r="L591" s="59" t="str">
        <f>IFERROR(VLOOKUP(Tabelle32[[#This Row],[Device ID]],BOM!$B$3:$BQ$35,16,FALSE),"")</f>
        <v>EditPC-21</v>
      </c>
      <c r="M591" s="63" t="str">
        <f>IFERROR(VLOOKUP(Tabelle32[[#This Row],[Device ID]],BOM!$B$3:$BQ$35,17,FALSE),"")</f>
        <v>EDIT SUITE 21</v>
      </c>
      <c r="N591" s="59" t="str">
        <f>IFERROR(VLOOKUP(Tabelle32[[#This Row],[Device ID]],BOM!$B$3:$BQ$35,18,FALSE),"")</f>
        <v>NEBEZ.V3.17 | Edit 21</v>
      </c>
      <c r="O591" s="64"/>
      <c r="P591" s="64">
        <f>IFERROR(VLOOKUP(Tabelle32[[#This Row],[Device ID]],BOM!$B$3:$BO$50,20,FALSE),"")</f>
        <v>0</v>
      </c>
      <c r="Q591" s="64">
        <f>IFERROR(VLOOKUP(Tabelle32[[#This Row],[Device ID]],BOM!$B$3:$BO$50,21,FALSE),"")</f>
        <v>1</v>
      </c>
      <c r="R591" s="64">
        <f>IFERROR(VLOOKUP(Tabelle32[[#This Row],[Device ID]],BOM!$B$3:$BO$50,22,FALSE),"")</f>
        <v>0</v>
      </c>
      <c r="S591" s="64"/>
      <c r="T591" s="64"/>
      <c r="U591" s="59" t="str">
        <f>IFERROR(VLOOKUP(Tabelle32[[#This Row],[Device ID]],BOM!$B$3:$BQ$35,25,FALSE),"")</f>
        <v>Luis/Ivo</v>
      </c>
      <c r="V591" s="59" t="str">
        <f>IFERROR(VLOOKUP(Tabelle32[[#This Row],[Device ID]],BOM!$B$3:$BQ$35,26,FALSE),"")</f>
        <v>tpco-megw-vgw103.rta.st-net.media.int</v>
      </c>
      <c r="W591" s="59" t="str">
        <f>IFERROR(VLOOKUP(Tabelle32[[#This Row],[Device ID]],BOM!$B$3:$BQ$35,27,FALSE),"")</f>
        <v>10.120.236.50</v>
      </c>
      <c r="X591" s="59" t="str">
        <f>IFERROR(VLOOKUP(Tabelle32[[#This Row],[Device ID]],BOM!$B$3:$BQ$35,28,FALSE),"")</f>
        <v>AVCoreA</v>
      </c>
      <c r="Y591" s="59" t="str">
        <f>IFERROR(VLOOKUP(Tabelle32[[#This Row],[Device ID]],BOM!$B$3:$BQ$35,29,FALSE),"")</f>
        <v>5_36_1</v>
      </c>
      <c r="Z591" s="59" t="str">
        <f>IFERROR(VLOOKUP(Tabelle32[[#This Row],[Device ID]],BOM!$B$3:$BQ$35,30,FALSE),"")</f>
        <v>tpco-megw-vgw103.rtb.st-net.media.int</v>
      </c>
      <c r="AA591" s="59" t="str">
        <f>IFERROR(VLOOKUP(Tabelle32[[#This Row],[Device ID]],BOM!$B$3:$BQ$35,31,FALSE),"")</f>
        <v>10.120.236.54</v>
      </c>
      <c r="AB591" s="59" t="str">
        <f>IFERROR(VLOOKUP(Tabelle32[[#This Row],[Device ID]],BOM!$B$3:$BQ$35,32,FALSE),"")</f>
        <v>AVCoreB</v>
      </c>
      <c r="AC591" s="59" t="str">
        <f>IFERROR(VLOOKUP(Tabelle32[[#This Row],[Device ID]],BOM!$B$3:$BQ$35,33,FALSE),"")</f>
        <v>5_36_1</v>
      </c>
      <c r="AD591" s="59" t="str">
        <f>IFERROR(VLOOKUP(Tabelle32[[#This Row],[Device ID]],BOM!$B$3:$BQ$35,34,FALSE),"")</f>
        <v>tpco-megw-vgw103.st-net.media.int</v>
      </c>
      <c r="AE591" s="59" t="str">
        <f>IFERROR(VLOOKUP(Tabelle32[[#This Row],[Device ID]],BOM!$B$3:$BQ$35,35,FALSE),"")</f>
        <v>10.120.67.141</v>
      </c>
      <c r="AF591" s="59">
        <f>IFERROR(VLOOKUP(Tabelle32[[#This Row],[Device ID]],BOM!$B$3:$BQ$35,36,FALSE),"")</f>
        <v>0</v>
      </c>
      <c r="AG591" s="59">
        <f>IFERROR(VLOOKUP(Tabelle32[[#This Row],[Device ID]],BOM!$B$3:$BQ$35,37,FALSE),"")</f>
        <v>0</v>
      </c>
      <c r="AH591" s="59"/>
      <c r="AI591" s="59"/>
      <c r="AJ591" s="59"/>
      <c r="AK591" s="59"/>
      <c r="AL591" s="59" t="str">
        <f>IFERROR(VLOOKUP(Tabelle32[[#This Row],[Device ID]],BOM!$B$3:$BQ$35,42,FALSE),"")</f>
        <v>Imagine Communications SNP</v>
      </c>
      <c r="AM591" s="59" t="str">
        <f>IFERROR(VLOOKUP(Tabelle32[[#This Row],[Device ID]],BOM!$B$3:$BQ$35,43,FALSE),"")</f>
        <v>no</v>
      </c>
      <c r="AN591" s="59" t="str">
        <f>IFERROR(VLOOKUP(Tabelle32[[#This Row],[Device ID]],BOM!$B$3:$BQ$35,44,FALSE),"")</f>
        <v>yes</v>
      </c>
      <c r="AO591" s="59" t="str">
        <f>IFERROR(VLOOKUP(Tabelle32[[#This Row],[Device ID]],BOM!$B$3:$BQ$35,45,FALSE),"")</f>
        <v>no</v>
      </c>
      <c r="AP591" s="59" t="str">
        <f>IFERROR(CONCATENATE(Tabelle32[[#This Row],[Family
GFX-Unit]]," | ",Tabelle32[[#This Row],[Label 1
GFX-Unit]]," | ",Tabelle32[[#This Row],[Attached Device if Gateway]]),"")</f>
        <v>MEDEM Edits Out | Out Edit21-ANC1 | EditPC-21</v>
      </c>
      <c r="AQ591" s="59"/>
      <c r="AR591" s="91"/>
      <c r="AS591" s="91"/>
      <c r="AT591" s="91"/>
      <c r="AU591" s="91"/>
      <c r="AV591" s="91"/>
      <c r="AW591" s="91"/>
      <c r="AX591" s="91"/>
      <c r="AY591" s="91"/>
      <c r="AZ591" s="91"/>
      <c r="BA591" s="91"/>
      <c r="BB591" s="91"/>
      <c r="BC591" s="91"/>
      <c r="BD591" s="91"/>
      <c r="BE591" s="91"/>
      <c r="BF591" s="91"/>
      <c r="BG591" s="91" t="s">
        <v>97</v>
      </c>
      <c r="BH591" s="73" t="s">
        <v>199</v>
      </c>
      <c r="BI591" s="30" t="str">
        <f>IF(COUNTA(Tabelle32[[#This Row],[Type:Vid_1080i50]:[Type:Anc_Prot]])&gt;0,"x","")</f>
        <v>x</v>
      </c>
      <c r="BJ59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591" s="59"/>
      <c r="BL591" s="59"/>
      <c r="BM591" s="63"/>
      <c r="BN591" s="63"/>
      <c r="BO591" s="97" t="s">
        <v>732</v>
      </c>
      <c r="BP591" s="97" t="s">
        <v>1081</v>
      </c>
      <c r="BQ591" s="75">
        <f>LEN(Tabelle32[[#This Row],[Label 1
GFX-Unit]])</f>
        <v>15</v>
      </c>
      <c r="BR591" s="63"/>
      <c r="BS591" s="63"/>
      <c r="BT591" s="59"/>
      <c r="BU591" s="59"/>
      <c r="BV591" s="59" t="s">
        <v>202</v>
      </c>
      <c r="BW591" s="59" t="s">
        <v>203</v>
      </c>
      <c r="BX591" s="59" t="s">
        <v>1082</v>
      </c>
      <c r="BY591" s="59">
        <v>29</v>
      </c>
    </row>
    <row r="592" spans="1:77" hidden="1" x14ac:dyDescent="0.2">
      <c r="A592" s="58" t="str">
        <f>CONCATENATE(Tabelle32[[#This Row],[Device ID]],".",Tabelle32[[#This Row],[Streamcounter]])</f>
        <v>2154.29302</v>
      </c>
      <c r="B59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VGW-103_SDI29_ANCsend_0002</v>
      </c>
      <c r="C592" s="67"/>
      <c r="D592" s="61"/>
      <c r="E592" s="67"/>
      <c r="F592" s="59" t="str">
        <f>IFERROR(VLOOKUP(Tabelle32[[#This Row],[Device ID]],BOM!$B$3:$BQ$35,16,FALSE),"")</f>
        <v>EditPC-21</v>
      </c>
      <c r="G592" s="63">
        <f>VLOOKUP(Tabelle32[[#This Row],[SDI Interface]],BOM!$A$4:$B$35,2,FALSE)</f>
        <v>2154</v>
      </c>
      <c r="H592" s="59" t="str">
        <f>BOM!$C$4</f>
        <v>VGW-103</v>
      </c>
      <c r="I592" s="59" t="str">
        <f>IFERROR(VLOOKUP(Tabelle32[[#This Row],[Device ID]],BOM!$B$3:$BQ$35,12,FALSE),"")</f>
        <v>Edit Suite</v>
      </c>
      <c r="J592" s="59" t="str">
        <f>IFERROR(VLOOKUP(Tabelle32[[#This Row],[Device ID]],BOM!$B$3:$BQ$35,13,FALSE),"")</f>
        <v>TC.U1.223 | MDC</v>
      </c>
      <c r="K592" s="59" t="str">
        <f>IFERROR(VLOOKUP(Tabelle32[[#This Row],[Device ID]],BOM!$B$3:$BQ$35,14,FALSE),"")</f>
        <v>Imagine Comunications</v>
      </c>
      <c r="L592" s="59" t="str">
        <f>IFERROR(VLOOKUP(Tabelle32[[#This Row],[Device ID]],BOM!$B$3:$BQ$35,16,FALSE),"")</f>
        <v>EditPC-21</v>
      </c>
      <c r="M592" s="63" t="str">
        <f>IFERROR(VLOOKUP(Tabelle32[[#This Row],[Device ID]],BOM!$B$3:$BQ$35,17,FALSE),"")</f>
        <v>EDIT SUITE 21</v>
      </c>
      <c r="N592" s="59" t="str">
        <f>IFERROR(VLOOKUP(Tabelle32[[#This Row],[Device ID]],BOM!$B$3:$BQ$35,18,FALSE),"")</f>
        <v>NEBEZ.V3.17 | Edit 21</v>
      </c>
      <c r="O592" s="64"/>
      <c r="P592" s="64">
        <f>IFERROR(VLOOKUP(Tabelle32[[#This Row],[Device ID]],BOM!$B$3:$BO$50,20,FALSE),"")</f>
        <v>0</v>
      </c>
      <c r="Q592" s="64">
        <f>IFERROR(VLOOKUP(Tabelle32[[#This Row],[Device ID]],BOM!$B$3:$BO$50,21,FALSE),"")</f>
        <v>1</v>
      </c>
      <c r="R592" s="64">
        <f>IFERROR(VLOOKUP(Tabelle32[[#This Row],[Device ID]],BOM!$B$3:$BO$50,22,FALSE),"")</f>
        <v>0</v>
      </c>
      <c r="S592" s="64"/>
      <c r="T592" s="64"/>
      <c r="U592" s="59" t="str">
        <f>IFERROR(VLOOKUP(Tabelle32[[#This Row],[Device ID]],BOM!$B$3:$BQ$35,25,FALSE),"")</f>
        <v>Luis/Ivo</v>
      </c>
      <c r="V592" s="59" t="str">
        <f>IFERROR(VLOOKUP(Tabelle32[[#This Row],[Device ID]],BOM!$B$3:$BQ$35,26,FALSE),"")</f>
        <v>tpco-megw-vgw103.rta.st-net.media.int</v>
      </c>
      <c r="W592" s="59" t="str">
        <f>IFERROR(VLOOKUP(Tabelle32[[#This Row],[Device ID]],BOM!$B$3:$BQ$35,27,FALSE),"")</f>
        <v>10.120.236.50</v>
      </c>
      <c r="X592" s="59" t="str">
        <f>IFERROR(VLOOKUP(Tabelle32[[#This Row],[Device ID]],BOM!$B$3:$BQ$35,28,FALSE),"")</f>
        <v>AVCoreA</v>
      </c>
      <c r="Y592" s="59" t="str">
        <f>IFERROR(VLOOKUP(Tabelle32[[#This Row],[Device ID]],BOM!$B$3:$BQ$35,29,FALSE),"")</f>
        <v>5_36_1</v>
      </c>
      <c r="Z592" s="59" t="str">
        <f>IFERROR(VLOOKUP(Tabelle32[[#This Row],[Device ID]],BOM!$B$3:$BQ$35,30,FALSE),"")</f>
        <v>tpco-megw-vgw103.rtb.st-net.media.int</v>
      </c>
      <c r="AA592" s="59" t="str">
        <f>IFERROR(VLOOKUP(Tabelle32[[#This Row],[Device ID]],BOM!$B$3:$BQ$35,31,FALSE),"")</f>
        <v>10.120.236.54</v>
      </c>
      <c r="AB592" s="59" t="str">
        <f>IFERROR(VLOOKUP(Tabelle32[[#This Row],[Device ID]],BOM!$B$3:$BQ$35,32,FALSE),"")</f>
        <v>AVCoreB</v>
      </c>
      <c r="AC592" s="59" t="str">
        <f>IFERROR(VLOOKUP(Tabelle32[[#This Row],[Device ID]],BOM!$B$3:$BQ$35,33,FALSE),"")</f>
        <v>5_36_1</v>
      </c>
      <c r="AD592" s="59" t="str">
        <f>IFERROR(VLOOKUP(Tabelle32[[#This Row],[Device ID]],BOM!$B$3:$BQ$35,34,FALSE),"")</f>
        <v>tpco-megw-vgw103.st-net.media.int</v>
      </c>
      <c r="AE592" s="59" t="str">
        <f>IFERROR(VLOOKUP(Tabelle32[[#This Row],[Device ID]],BOM!$B$3:$BQ$35,35,FALSE),"")</f>
        <v>10.120.67.141</v>
      </c>
      <c r="AF592" s="59">
        <f>IFERROR(VLOOKUP(Tabelle32[[#This Row],[Device ID]],BOM!$B$3:$BQ$35,36,FALSE),"")</f>
        <v>0</v>
      </c>
      <c r="AG592" s="59">
        <f>IFERROR(VLOOKUP(Tabelle32[[#This Row],[Device ID]],BOM!$B$3:$BQ$35,37,FALSE),"")</f>
        <v>0</v>
      </c>
      <c r="AH592" s="59"/>
      <c r="AI592" s="59"/>
      <c r="AJ592" s="59"/>
      <c r="AK592" s="59"/>
      <c r="AL592" s="59" t="str">
        <f>IFERROR(VLOOKUP(Tabelle32[[#This Row],[Device ID]],BOM!$B$3:$BQ$35,42,FALSE),"")</f>
        <v>Imagine Communications SNP</v>
      </c>
      <c r="AM592" s="59" t="str">
        <f>IFERROR(VLOOKUP(Tabelle32[[#This Row],[Device ID]],BOM!$B$3:$BQ$35,43,FALSE),"")</f>
        <v>no</v>
      </c>
      <c r="AN592" s="59" t="str">
        <f>IFERROR(VLOOKUP(Tabelle32[[#This Row],[Device ID]],BOM!$B$3:$BQ$35,44,FALSE),"")</f>
        <v>yes</v>
      </c>
      <c r="AO592" s="59" t="str">
        <f>IFERROR(VLOOKUP(Tabelle32[[#This Row],[Device ID]],BOM!$B$3:$BQ$35,45,FALSE),"")</f>
        <v>no</v>
      </c>
      <c r="AP592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592" s="59"/>
      <c r="AR592" s="90"/>
      <c r="AS592" s="90"/>
      <c r="AT592" s="90"/>
      <c r="AU592" s="90"/>
      <c r="AV592" s="90"/>
      <c r="AW592" s="90"/>
      <c r="AX592" s="90"/>
      <c r="AY592" s="90"/>
      <c r="AZ592" s="90"/>
      <c r="BA592" s="90"/>
      <c r="BB592" s="90"/>
      <c r="BC592" s="90"/>
      <c r="BD592" s="90"/>
      <c r="BE592" s="90"/>
      <c r="BF592" s="90"/>
      <c r="BG592" s="90"/>
      <c r="BH592" s="73" t="s">
        <v>199</v>
      </c>
      <c r="BI592" s="30" t="str">
        <f>IF(COUNTA(Tabelle32[[#This Row],[Type:Vid_1080i50]:[Type:Anc_Prot]])&gt;0,"x","")</f>
        <v/>
      </c>
      <c r="BJ59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92" s="59"/>
      <c r="BL592" s="59"/>
      <c r="BM592" s="63"/>
      <c r="BN592" s="63"/>
      <c r="BO592" s="96"/>
      <c r="BP592" s="96"/>
      <c r="BQ592" s="75">
        <f>LEN(Tabelle32[[#This Row],[Label 1
GFX-Unit]])</f>
        <v>0</v>
      </c>
      <c r="BR592" s="63"/>
      <c r="BS592" s="63"/>
      <c r="BT592" s="59"/>
      <c r="BU592" s="59"/>
      <c r="BV592" s="59" t="s">
        <v>205</v>
      </c>
      <c r="BW592" s="59" t="s">
        <v>206</v>
      </c>
      <c r="BX592" s="59" t="s">
        <v>1083</v>
      </c>
      <c r="BY592" s="59">
        <v>29</v>
      </c>
    </row>
    <row r="593" spans="1:77" hidden="1" x14ac:dyDescent="0.2">
      <c r="A593" s="58" t="str">
        <f>CONCATENATE(Tabelle32[[#This Row],[Device ID]],".",Tabelle32[[#This Row],[Streamcounter]])</f>
        <v>2154.29303</v>
      </c>
      <c r="B59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VGW-103_SDI29_ANCsend_0003</v>
      </c>
      <c r="C593" s="67"/>
      <c r="D593" s="61"/>
      <c r="E593" s="67"/>
      <c r="F593" s="59" t="str">
        <f>IFERROR(VLOOKUP(Tabelle32[[#This Row],[Device ID]],BOM!$B$3:$BQ$35,16,FALSE),"")</f>
        <v>EditPC-21</v>
      </c>
      <c r="G593" s="63">
        <f>VLOOKUP(Tabelle32[[#This Row],[SDI Interface]],BOM!$A$4:$B$35,2,FALSE)</f>
        <v>2154</v>
      </c>
      <c r="H593" s="59" t="str">
        <f>BOM!$C$4</f>
        <v>VGW-103</v>
      </c>
      <c r="I593" s="59" t="str">
        <f>IFERROR(VLOOKUP(Tabelle32[[#This Row],[Device ID]],BOM!$B$3:$BQ$35,12,FALSE),"")</f>
        <v>Edit Suite</v>
      </c>
      <c r="J593" s="59" t="str">
        <f>IFERROR(VLOOKUP(Tabelle32[[#This Row],[Device ID]],BOM!$B$3:$BQ$35,13,FALSE),"")</f>
        <v>TC.U1.223 | MDC</v>
      </c>
      <c r="K593" s="59" t="str">
        <f>IFERROR(VLOOKUP(Tabelle32[[#This Row],[Device ID]],BOM!$B$3:$BQ$35,14,FALSE),"")</f>
        <v>Imagine Comunications</v>
      </c>
      <c r="L593" s="59" t="str">
        <f>IFERROR(VLOOKUP(Tabelle32[[#This Row],[Device ID]],BOM!$B$3:$BQ$35,16,FALSE),"")</f>
        <v>EditPC-21</v>
      </c>
      <c r="M593" s="63" t="str">
        <f>IFERROR(VLOOKUP(Tabelle32[[#This Row],[Device ID]],BOM!$B$3:$BQ$35,17,FALSE),"")</f>
        <v>EDIT SUITE 21</v>
      </c>
      <c r="N593" s="59" t="str">
        <f>IFERROR(VLOOKUP(Tabelle32[[#This Row],[Device ID]],BOM!$B$3:$BQ$35,18,FALSE),"")</f>
        <v>NEBEZ.V3.17 | Edit 21</v>
      </c>
      <c r="O593" s="64"/>
      <c r="P593" s="64">
        <f>IFERROR(VLOOKUP(Tabelle32[[#This Row],[Device ID]],BOM!$B$3:$BO$50,20,FALSE),"")</f>
        <v>0</v>
      </c>
      <c r="Q593" s="64">
        <f>IFERROR(VLOOKUP(Tabelle32[[#This Row],[Device ID]],BOM!$B$3:$BO$50,21,FALSE),"")</f>
        <v>1</v>
      </c>
      <c r="R593" s="64">
        <f>IFERROR(VLOOKUP(Tabelle32[[#This Row],[Device ID]],BOM!$B$3:$BO$50,22,FALSE),"")</f>
        <v>0</v>
      </c>
      <c r="S593" s="64"/>
      <c r="T593" s="64"/>
      <c r="U593" s="59" t="str">
        <f>IFERROR(VLOOKUP(Tabelle32[[#This Row],[Device ID]],BOM!$B$3:$BQ$35,25,FALSE),"")</f>
        <v>Luis/Ivo</v>
      </c>
      <c r="V593" s="59" t="str">
        <f>IFERROR(VLOOKUP(Tabelle32[[#This Row],[Device ID]],BOM!$B$3:$BQ$35,26,FALSE),"")</f>
        <v>tpco-megw-vgw103.rta.st-net.media.int</v>
      </c>
      <c r="W593" s="59" t="str">
        <f>IFERROR(VLOOKUP(Tabelle32[[#This Row],[Device ID]],BOM!$B$3:$BQ$35,27,FALSE),"")</f>
        <v>10.120.236.50</v>
      </c>
      <c r="X593" s="59" t="str">
        <f>IFERROR(VLOOKUP(Tabelle32[[#This Row],[Device ID]],BOM!$B$3:$BQ$35,28,FALSE),"")</f>
        <v>AVCoreA</v>
      </c>
      <c r="Y593" s="59" t="str">
        <f>IFERROR(VLOOKUP(Tabelle32[[#This Row],[Device ID]],BOM!$B$3:$BQ$35,29,FALSE),"")</f>
        <v>5_36_1</v>
      </c>
      <c r="Z593" s="59" t="str">
        <f>IFERROR(VLOOKUP(Tabelle32[[#This Row],[Device ID]],BOM!$B$3:$BQ$35,30,FALSE),"")</f>
        <v>tpco-megw-vgw103.rtb.st-net.media.int</v>
      </c>
      <c r="AA593" s="59" t="str">
        <f>IFERROR(VLOOKUP(Tabelle32[[#This Row],[Device ID]],BOM!$B$3:$BQ$35,31,FALSE),"")</f>
        <v>10.120.236.54</v>
      </c>
      <c r="AB593" s="59" t="str">
        <f>IFERROR(VLOOKUP(Tabelle32[[#This Row],[Device ID]],BOM!$B$3:$BQ$35,32,FALSE),"")</f>
        <v>AVCoreB</v>
      </c>
      <c r="AC593" s="59" t="str">
        <f>IFERROR(VLOOKUP(Tabelle32[[#This Row],[Device ID]],BOM!$B$3:$BQ$35,33,FALSE),"")</f>
        <v>5_36_1</v>
      </c>
      <c r="AD593" s="59" t="str">
        <f>IFERROR(VLOOKUP(Tabelle32[[#This Row],[Device ID]],BOM!$B$3:$BQ$35,34,FALSE),"")</f>
        <v>tpco-megw-vgw103.st-net.media.int</v>
      </c>
      <c r="AE593" s="59" t="str">
        <f>IFERROR(VLOOKUP(Tabelle32[[#This Row],[Device ID]],BOM!$B$3:$BQ$35,35,FALSE),"")</f>
        <v>10.120.67.141</v>
      </c>
      <c r="AF593" s="59">
        <f>IFERROR(VLOOKUP(Tabelle32[[#This Row],[Device ID]],BOM!$B$3:$BQ$35,36,FALSE),"")</f>
        <v>0</v>
      </c>
      <c r="AG593" s="59">
        <f>IFERROR(VLOOKUP(Tabelle32[[#This Row],[Device ID]],BOM!$B$3:$BQ$35,37,FALSE),"")</f>
        <v>0</v>
      </c>
      <c r="AH593" s="59"/>
      <c r="AI593" s="59"/>
      <c r="AJ593" s="59"/>
      <c r="AK593" s="59"/>
      <c r="AL593" s="59" t="str">
        <f>IFERROR(VLOOKUP(Tabelle32[[#This Row],[Device ID]],BOM!$B$3:$BQ$35,42,FALSE),"")</f>
        <v>Imagine Communications SNP</v>
      </c>
      <c r="AM593" s="59" t="str">
        <f>IFERROR(VLOOKUP(Tabelle32[[#This Row],[Device ID]],BOM!$B$3:$BQ$35,43,FALSE),"")</f>
        <v>no</v>
      </c>
      <c r="AN593" s="59" t="str">
        <f>IFERROR(VLOOKUP(Tabelle32[[#This Row],[Device ID]],BOM!$B$3:$BQ$35,44,FALSE),"")</f>
        <v>yes</v>
      </c>
      <c r="AO593" s="59" t="str">
        <f>IFERROR(VLOOKUP(Tabelle32[[#This Row],[Device ID]],BOM!$B$3:$BQ$35,45,FALSE),"")</f>
        <v>no</v>
      </c>
      <c r="AP593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593" s="59"/>
      <c r="AR593" s="90"/>
      <c r="AS593" s="90"/>
      <c r="AT593" s="90"/>
      <c r="AU593" s="90"/>
      <c r="AV593" s="90"/>
      <c r="AW593" s="90"/>
      <c r="AX593" s="90"/>
      <c r="AY593" s="90"/>
      <c r="AZ593" s="90"/>
      <c r="BA593" s="90"/>
      <c r="BB593" s="90"/>
      <c r="BC593" s="90"/>
      <c r="BD593" s="90"/>
      <c r="BE593" s="90"/>
      <c r="BF593" s="90"/>
      <c r="BG593" s="90"/>
      <c r="BH593" s="73" t="s">
        <v>199</v>
      </c>
      <c r="BI593" s="30" t="str">
        <f>IF(COUNTA(Tabelle32[[#This Row],[Type:Vid_1080i50]:[Type:Anc_Prot]])&gt;0,"x","")</f>
        <v/>
      </c>
      <c r="BJ59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93" s="59"/>
      <c r="BL593" s="59"/>
      <c r="BM593" s="63"/>
      <c r="BN593" s="63"/>
      <c r="BO593" s="96"/>
      <c r="BP593" s="96"/>
      <c r="BQ593" s="75">
        <f>LEN(Tabelle32[[#This Row],[Label 1
GFX-Unit]])</f>
        <v>0</v>
      </c>
      <c r="BR593" s="63"/>
      <c r="BS593" s="63"/>
      <c r="BT593" s="59"/>
      <c r="BU593" s="59"/>
      <c r="BV593" s="59" t="s">
        <v>208</v>
      </c>
      <c r="BW593" s="59" t="s">
        <v>209</v>
      </c>
      <c r="BX593" s="59" t="s">
        <v>1084</v>
      </c>
      <c r="BY593" s="59">
        <v>29</v>
      </c>
    </row>
    <row r="594" spans="1:77" hidden="1" x14ac:dyDescent="0.2">
      <c r="A594" s="58" t="str">
        <f>CONCATENATE(Tabelle32[[#This Row],[Device ID]],".",Tabelle32[[#This Row],[Streamcounter]])</f>
        <v>2154.29304</v>
      </c>
      <c r="B59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VGW-103_SDI29_ANCsend_0004</v>
      </c>
      <c r="C594" s="67"/>
      <c r="D594" s="61"/>
      <c r="E594" s="67"/>
      <c r="F594" s="59" t="str">
        <f>IFERROR(VLOOKUP(Tabelle32[[#This Row],[Device ID]],BOM!$B$3:$BQ$35,16,FALSE),"")</f>
        <v>EditPC-21</v>
      </c>
      <c r="G594" s="63">
        <f>VLOOKUP(Tabelle32[[#This Row],[SDI Interface]],BOM!$A$4:$B$35,2,FALSE)</f>
        <v>2154</v>
      </c>
      <c r="H594" s="59" t="str">
        <f>BOM!$C$4</f>
        <v>VGW-103</v>
      </c>
      <c r="I594" s="59" t="str">
        <f>IFERROR(VLOOKUP(Tabelle32[[#This Row],[Device ID]],BOM!$B$3:$BQ$35,12,FALSE),"")</f>
        <v>Edit Suite</v>
      </c>
      <c r="J594" s="59" t="str">
        <f>IFERROR(VLOOKUP(Tabelle32[[#This Row],[Device ID]],BOM!$B$3:$BQ$35,13,FALSE),"")</f>
        <v>TC.U1.223 | MDC</v>
      </c>
      <c r="K594" s="59" t="str">
        <f>IFERROR(VLOOKUP(Tabelle32[[#This Row],[Device ID]],BOM!$B$3:$BQ$35,14,FALSE),"")</f>
        <v>Imagine Comunications</v>
      </c>
      <c r="L594" s="59" t="str">
        <f>IFERROR(VLOOKUP(Tabelle32[[#This Row],[Device ID]],BOM!$B$3:$BQ$35,16,FALSE),"")</f>
        <v>EditPC-21</v>
      </c>
      <c r="M594" s="63" t="str">
        <f>IFERROR(VLOOKUP(Tabelle32[[#This Row],[Device ID]],BOM!$B$3:$BQ$35,17,FALSE),"")</f>
        <v>EDIT SUITE 21</v>
      </c>
      <c r="N594" s="59" t="str">
        <f>IFERROR(VLOOKUP(Tabelle32[[#This Row],[Device ID]],BOM!$B$3:$BQ$35,18,FALSE),"")</f>
        <v>NEBEZ.V3.17 | Edit 21</v>
      </c>
      <c r="O594" s="64"/>
      <c r="P594" s="64">
        <f>IFERROR(VLOOKUP(Tabelle32[[#This Row],[Device ID]],BOM!$B$3:$BO$50,20,FALSE),"")</f>
        <v>0</v>
      </c>
      <c r="Q594" s="64">
        <f>IFERROR(VLOOKUP(Tabelle32[[#This Row],[Device ID]],BOM!$B$3:$BO$50,21,FALSE),"")</f>
        <v>1</v>
      </c>
      <c r="R594" s="64">
        <f>IFERROR(VLOOKUP(Tabelle32[[#This Row],[Device ID]],BOM!$B$3:$BO$50,22,FALSE),"")</f>
        <v>0</v>
      </c>
      <c r="S594" s="64"/>
      <c r="T594" s="64"/>
      <c r="U594" s="59" t="str">
        <f>IFERROR(VLOOKUP(Tabelle32[[#This Row],[Device ID]],BOM!$B$3:$BQ$35,25,FALSE),"")</f>
        <v>Luis/Ivo</v>
      </c>
      <c r="V594" s="59" t="str">
        <f>IFERROR(VLOOKUP(Tabelle32[[#This Row],[Device ID]],BOM!$B$3:$BQ$35,26,FALSE),"")</f>
        <v>tpco-megw-vgw103.rta.st-net.media.int</v>
      </c>
      <c r="W594" s="59" t="str">
        <f>IFERROR(VLOOKUP(Tabelle32[[#This Row],[Device ID]],BOM!$B$3:$BQ$35,27,FALSE),"")</f>
        <v>10.120.236.50</v>
      </c>
      <c r="X594" s="59" t="str">
        <f>IFERROR(VLOOKUP(Tabelle32[[#This Row],[Device ID]],BOM!$B$3:$BQ$35,28,FALSE),"")</f>
        <v>AVCoreA</v>
      </c>
      <c r="Y594" s="59" t="str">
        <f>IFERROR(VLOOKUP(Tabelle32[[#This Row],[Device ID]],BOM!$B$3:$BQ$35,29,FALSE),"")</f>
        <v>5_36_1</v>
      </c>
      <c r="Z594" s="59" t="str">
        <f>IFERROR(VLOOKUP(Tabelle32[[#This Row],[Device ID]],BOM!$B$3:$BQ$35,30,FALSE),"")</f>
        <v>tpco-megw-vgw103.rtb.st-net.media.int</v>
      </c>
      <c r="AA594" s="59" t="str">
        <f>IFERROR(VLOOKUP(Tabelle32[[#This Row],[Device ID]],BOM!$B$3:$BQ$35,31,FALSE),"")</f>
        <v>10.120.236.54</v>
      </c>
      <c r="AB594" s="59" t="str">
        <f>IFERROR(VLOOKUP(Tabelle32[[#This Row],[Device ID]],BOM!$B$3:$BQ$35,32,FALSE),"")</f>
        <v>AVCoreB</v>
      </c>
      <c r="AC594" s="59" t="str">
        <f>IFERROR(VLOOKUP(Tabelle32[[#This Row],[Device ID]],BOM!$B$3:$BQ$35,33,FALSE),"")</f>
        <v>5_36_1</v>
      </c>
      <c r="AD594" s="59" t="str">
        <f>IFERROR(VLOOKUP(Tabelle32[[#This Row],[Device ID]],BOM!$B$3:$BQ$35,34,FALSE),"")</f>
        <v>tpco-megw-vgw103.st-net.media.int</v>
      </c>
      <c r="AE594" s="59" t="str">
        <f>IFERROR(VLOOKUP(Tabelle32[[#This Row],[Device ID]],BOM!$B$3:$BQ$35,35,FALSE),"")</f>
        <v>10.120.67.141</v>
      </c>
      <c r="AF594" s="59">
        <f>IFERROR(VLOOKUP(Tabelle32[[#This Row],[Device ID]],BOM!$B$3:$BQ$35,36,FALSE),"")</f>
        <v>0</v>
      </c>
      <c r="AG594" s="59">
        <f>IFERROR(VLOOKUP(Tabelle32[[#This Row],[Device ID]],BOM!$B$3:$BQ$35,37,FALSE),"")</f>
        <v>0</v>
      </c>
      <c r="AH594" s="59"/>
      <c r="AI594" s="59"/>
      <c r="AJ594" s="59"/>
      <c r="AK594" s="59"/>
      <c r="AL594" s="59" t="str">
        <f>IFERROR(VLOOKUP(Tabelle32[[#This Row],[Device ID]],BOM!$B$3:$BQ$35,42,FALSE),"")</f>
        <v>Imagine Communications SNP</v>
      </c>
      <c r="AM594" s="59" t="str">
        <f>IFERROR(VLOOKUP(Tabelle32[[#This Row],[Device ID]],BOM!$B$3:$BQ$35,43,FALSE),"")</f>
        <v>no</v>
      </c>
      <c r="AN594" s="59" t="str">
        <f>IFERROR(VLOOKUP(Tabelle32[[#This Row],[Device ID]],BOM!$B$3:$BQ$35,44,FALSE),"")</f>
        <v>yes</v>
      </c>
      <c r="AO594" s="59" t="str">
        <f>IFERROR(VLOOKUP(Tabelle32[[#This Row],[Device ID]],BOM!$B$3:$BQ$35,45,FALSE),"")</f>
        <v>no</v>
      </c>
      <c r="AP594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594" s="59"/>
      <c r="AR594" s="90"/>
      <c r="AS594" s="90"/>
      <c r="AT594" s="90"/>
      <c r="AU594" s="90"/>
      <c r="AV594" s="90"/>
      <c r="AW594" s="90"/>
      <c r="AX594" s="90"/>
      <c r="AY594" s="90"/>
      <c r="AZ594" s="90"/>
      <c r="BA594" s="90"/>
      <c r="BB594" s="90"/>
      <c r="BC594" s="90"/>
      <c r="BD594" s="90"/>
      <c r="BE594" s="90"/>
      <c r="BF594" s="90"/>
      <c r="BG594" s="90"/>
      <c r="BH594" s="73" t="s">
        <v>199</v>
      </c>
      <c r="BI594" s="30" t="str">
        <f>IF(COUNTA(Tabelle32[[#This Row],[Type:Vid_1080i50]:[Type:Anc_Prot]])&gt;0,"x","")</f>
        <v/>
      </c>
      <c r="BJ59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594" s="59"/>
      <c r="BL594" s="59"/>
      <c r="BM594" s="63"/>
      <c r="BN594" s="63"/>
      <c r="BO594" s="96"/>
      <c r="BP594" s="96"/>
      <c r="BQ594" s="75">
        <f>LEN(Tabelle32[[#This Row],[Label 1
GFX-Unit]])</f>
        <v>0</v>
      </c>
      <c r="BR594" s="63"/>
      <c r="BS594" s="63"/>
      <c r="BT594" s="59"/>
      <c r="BU594" s="59"/>
      <c r="BV594" s="59" t="s">
        <v>211</v>
      </c>
      <c r="BW594" s="59" t="s">
        <v>212</v>
      </c>
      <c r="BX594" s="59" t="s">
        <v>1085</v>
      </c>
      <c r="BY594" s="59">
        <v>29</v>
      </c>
    </row>
    <row r="595" spans="1:77" x14ac:dyDescent="0.2">
      <c r="A595" s="58" t="str">
        <f>CONCATENATE(Tabelle32[[#This Row],[Device ID]],".",Tabelle32[[#This Row],[Streamcounter]])</f>
        <v>2154.29201</v>
      </c>
      <c r="B59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VGW-103_SDI29_AUDsend_0001</v>
      </c>
      <c r="C595" s="67"/>
      <c r="D595" s="61"/>
      <c r="E595" s="67"/>
      <c r="F595" s="59" t="str">
        <f>IFERROR(VLOOKUP(Tabelle32[[#This Row],[Device ID]],BOM!$B$3:$BQ$35,16,FALSE),"")</f>
        <v>EditPC-21</v>
      </c>
      <c r="G595" s="63">
        <f>VLOOKUP(Tabelle32[[#This Row],[SDI Interface]],BOM!$A$4:$B$35,2,FALSE)</f>
        <v>2154</v>
      </c>
      <c r="H595" s="59" t="str">
        <f>BOM!$C$4</f>
        <v>VGW-103</v>
      </c>
      <c r="I595" s="59" t="str">
        <f>IFERROR(VLOOKUP(Tabelle32[[#This Row],[Device ID]],BOM!$B$3:$BQ$35,12,FALSE),"")</f>
        <v>Edit Suite</v>
      </c>
      <c r="J595" s="59" t="str">
        <f>IFERROR(VLOOKUP(Tabelle32[[#This Row],[Device ID]],BOM!$B$3:$BQ$35,13,FALSE),"")</f>
        <v>TC.U1.223 | MDC</v>
      </c>
      <c r="K595" s="59" t="str">
        <f>IFERROR(VLOOKUP(Tabelle32[[#This Row],[Device ID]],BOM!$B$3:$BQ$35,14,FALSE),"")</f>
        <v>Imagine Comunications</v>
      </c>
      <c r="L595" s="59" t="str">
        <f>IFERROR(VLOOKUP(Tabelle32[[#This Row],[Device ID]],BOM!$B$3:$BQ$35,16,FALSE),"")</f>
        <v>EditPC-21</v>
      </c>
      <c r="M595" s="63" t="str">
        <f>IFERROR(VLOOKUP(Tabelle32[[#This Row],[Device ID]],BOM!$B$3:$BQ$35,17,FALSE),"")</f>
        <v>EDIT SUITE 21</v>
      </c>
      <c r="N595" s="59" t="str">
        <f>IFERROR(VLOOKUP(Tabelle32[[#This Row],[Device ID]],BOM!$B$3:$BQ$35,18,FALSE),"")</f>
        <v>NEBEZ.V3.17 | Edit 21</v>
      </c>
      <c r="O595" s="64"/>
      <c r="P595" s="64">
        <f>IFERROR(VLOOKUP(Tabelle32[[#This Row],[Device ID]],BOM!$B$3:$BO$50,20,FALSE),"")</f>
        <v>0</v>
      </c>
      <c r="Q595" s="64">
        <f>IFERROR(VLOOKUP(Tabelle32[[#This Row],[Device ID]],BOM!$B$3:$BO$50,21,FALSE),"")</f>
        <v>1</v>
      </c>
      <c r="R595" s="64">
        <f>IFERROR(VLOOKUP(Tabelle32[[#This Row],[Device ID]],BOM!$B$3:$BO$50,22,FALSE),"")</f>
        <v>0</v>
      </c>
      <c r="S595" s="64"/>
      <c r="T595" s="64"/>
      <c r="U595" s="59" t="str">
        <f>IFERROR(VLOOKUP(Tabelle32[[#This Row],[Device ID]],BOM!$B$3:$BQ$35,25,FALSE),"")</f>
        <v>Luis/Ivo</v>
      </c>
      <c r="V595" s="59" t="str">
        <f>IFERROR(VLOOKUP(Tabelle32[[#This Row],[Device ID]],BOM!$B$3:$BQ$35,26,FALSE),"")</f>
        <v>tpco-megw-vgw103.rta.st-net.media.int</v>
      </c>
      <c r="W595" s="59" t="str">
        <f>IFERROR(VLOOKUP(Tabelle32[[#This Row],[Device ID]],BOM!$B$3:$BQ$35,27,FALSE),"")</f>
        <v>10.120.236.50</v>
      </c>
      <c r="X595" s="59" t="str">
        <f>IFERROR(VLOOKUP(Tabelle32[[#This Row],[Device ID]],BOM!$B$3:$BQ$35,28,FALSE),"")</f>
        <v>AVCoreA</v>
      </c>
      <c r="Y595" s="59" t="str">
        <f>IFERROR(VLOOKUP(Tabelle32[[#This Row],[Device ID]],BOM!$B$3:$BQ$35,29,FALSE),"")</f>
        <v>5_36_1</v>
      </c>
      <c r="Z595" s="59" t="str">
        <f>IFERROR(VLOOKUP(Tabelle32[[#This Row],[Device ID]],BOM!$B$3:$BQ$35,30,FALSE),"")</f>
        <v>tpco-megw-vgw103.rtb.st-net.media.int</v>
      </c>
      <c r="AA595" s="59" t="str">
        <f>IFERROR(VLOOKUP(Tabelle32[[#This Row],[Device ID]],BOM!$B$3:$BQ$35,31,FALSE),"")</f>
        <v>10.120.236.54</v>
      </c>
      <c r="AB595" s="59" t="str">
        <f>IFERROR(VLOOKUP(Tabelle32[[#This Row],[Device ID]],BOM!$B$3:$BQ$35,32,FALSE),"")</f>
        <v>AVCoreB</v>
      </c>
      <c r="AC595" s="59" t="str">
        <f>IFERROR(VLOOKUP(Tabelle32[[#This Row],[Device ID]],BOM!$B$3:$BQ$35,33,FALSE),"")</f>
        <v>5_36_1</v>
      </c>
      <c r="AD595" s="59" t="str">
        <f>IFERROR(VLOOKUP(Tabelle32[[#This Row],[Device ID]],BOM!$B$3:$BQ$35,34,FALSE),"")</f>
        <v>tpco-megw-vgw103.st-net.media.int</v>
      </c>
      <c r="AE595" s="59" t="str">
        <f>IFERROR(VLOOKUP(Tabelle32[[#This Row],[Device ID]],BOM!$B$3:$BQ$35,35,FALSE),"")</f>
        <v>10.120.67.141</v>
      </c>
      <c r="AF595" s="59">
        <f>IFERROR(VLOOKUP(Tabelle32[[#This Row],[Device ID]],BOM!$B$3:$BQ$35,36,FALSE),"")</f>
        <v>0</v>
      </c>
      <c r="AG595" s="59">
        <f>IFERROR(VLOOKUP(Tabelle32[[#This Row],[Device ID]],BOM!$B$3:$BQ$35,37,FALSE),"")</f>
        <v>0</v>
      </c>
      <c r="AH595" s="59"/>
      <c r="AI595" s="59"/>
      <c r="AJ595" s="59"/>
      <c r="AK595" s="59"/>
      <c r="AL595" s="59" t="str">
        <f>IFERROR(VLOOKUP(Tabelle32[[#This Row],[Device ID]],BOM!$B$3:$BQ$35,42,FALSE),"")</f>
        <v>Imagine Communications SNP</v>
      </c>
      <c r="AM595" s="59" t="str">
        <f>IFERROR(VLOOKUP(Tabelle32[[#This Row],[Device ID]],BOM!$B$3:$BQ$35,43,FALSE),"")</f>
        <v>no</v>
      </c>
      <c r="AN595" s="59" t="str">
        <f>IFERROR(VLOOKUP(Tabelle32[[#This Row],[Device ID]],BOM!$B$3:$BQ$35,44,FALSE),"")</f>
        <v>yes</v>
      </c>
      <c r="AO595" s="59" t="str">
        <f>IFERROR(VLOOKUP(Tabelle32[[#This Row],[Device ID]],BOM!$B$3:$BQ$35,45,FALSE),"")</f>
        <v>no</v>
      </c>
      <c r="AP595" s="59" t="str">
        <f>IFERROR(CONCATENATE(Tabelle32[[#This Row],[Family
GFX-Unit]]," | ",Tabelle32[[#This Row],[Label 1
GFX-Unit]]," | ",Tabelle32[[#This Row],[Attached Device if Gateway]]),"")</f>
        <v>MEDEM Edits Out | Out Edit21-01 | EditPC-21</v>
      </c>
      <c r="AQ595" s="59"/>
      <c r="AR595" s="92"/>
      <c r="AS595" s="92"/>
      <c r="AT595" s="92"/>
      <c r="AU595" s="92"/>
      <c r="AV595" s="92"/>
      <c r="AW595" s="92"/>
      <c r="AX595" s="92" t="s">
        <v>199</v>
      </c>
      <c r="AY595" s="92" t="s">
        <v>199</v>
      </c>
      <c r="AZ595" s="92" t="s">
        <v>97</v>
      </c>
      <c r="BA595" s="92"/>
      <c r="BB595" s="92"/>
      <c r="BC595" s="92"/>
      <c r="BD595" s="92"/>
      <c r="BE595" s="92"/>
      <c r="BF595" s="92"/>
      <c r="BG595" s="92"/>
      <c r="BH595" s="73" t="s">
        <v>199</v>
      </c>
      <c r="BI595" s="30" t="str">
        <f>IF(COUNTA(Tabelle32[[#This Row],[Type:Vid_1080i50]:[Type:Anc_Prot]])&gt;0,"x","")</f>
        <v>x</v>
      </c>
      <c r="BJ59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595" s="59"/>
      <c r="BL595" s="59"/>
      <c r="BM595" s="63"/>
      <c r="BN595" s="63"/>
      <c r="BO595" s="97" t="s">
        <v>732</v>
      </c>
      <c r="BP595" s="97" t="s">
        <v>1086</v>
      </c>
      <c r="BQ595" s="75">
        <f>LEN(Tabelle32[[#This Row],[Label 1
GFX-Unit]])</f>
        <v>13</v>
      </c>
      <c r="BR595" s="63"/>
      <c r="BS595" s="63"/>
      <c r="BT595" s="59"/>
      <c r="BU595" s="59"/>
      <c r="BV595" s="59" t="s">
        <v>214</v>
      </c>
      <c r="BW595" s="59" t="s">
        <v>215</v>
      </c>
      <c r="BX595" s="59" t="s">
        <v>1087</v>
      </c>
      <c r="BY595" s="59">
        <v>29</v>
      </c>
    </row>
    <row r="596" spans="1:77" x14ac:dyDescent="0.2">
      <c r="A596" s="58" t="str">
        <f>CONCATENATE(Tabelle32[[#This Row],[Device ID]],".",Tabelle32[[#This Row],[Streamcounter]])</f>
        <v>2154.29202</v>
      </c>
      <c r="B59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VGW-103_SDI29_AUDsend_0002</v>
      </c>
      <c r="C596" s="67"/>
      <c r="D596" s="61"/>
      <c r="E596" s="67"/>
      <c r="F596" s="59" t="str">
        <f>IFERROR(VLOOKUP(Tabelle32[[#This Row],[Device ID]],BOM!$B$3:$BQ$35,16,FALSE),"")</f>
        <v>EditPC-21</v>
      </c>
      <c r="G596" s="63">
        <f>VLOOKUP(Tabelle32[[#This Row],[SDI Interface]],BOM!$A$4:$B$35,2,FALSE)</f>
        <v>2154</v>
      </c>
      <c r="H596" s="59" t="str">
        <f>BOM!$C$4</f>
        <v>VGW-103</v>
      </c>
      <c r="I596" s="59" t="str">
        <f>IFERROR(VLOOKUP(Tabelle32[[#This Row],[Device ID]],BOM!$B$3:$BQ$35,12,FALSE),"")</f>
        <v>Edit Suite</v>
      </c>
      <c r="J596" s="59" t="str">
        <f>IFERROR(VLOOKUP(Tabelle32[[#This Row],[Device ID]],BOM!$B$3:$BQ$35,13,FALSE),"")</f>
        <v>TC.U1.223 | MDC</v>
      </c>
      <c r="K596" s="59" t="str">
        <f>IFERROR(VLOOKUP(Tabelle32[[#This Row],[Device ID]],BOM!$B$3:$BQ$35,14,FALSE),"")</f>
        <v>Imagine Comunications</v>
      </c>
      <c r="L596" s="59" t="str">
        <f>IFERROR(VLOOKUP(Tabelle32[[#This Row],[Device ID]],BOM!$B$3:$BQ$35,16,FALSE),"")</f>
        <v>EditPC-21</v>
      </c>
      <c r="M596" s="63" t="str">
        <f>IFERROR(VLOOKUP(Tabelle32[[#This Row],[Device ID]],BOM!$B$3:$BQ$35,17,FALSE),"")</f>
        <v>EDIT SUITE 21</v>
      </c>
      <c r="N596" s="59" t="str">
        <f>IFERROR(VLOOKUP(Tabelle32[[#This Row],[Device ID]],BOM!$B$3:$BQ$35,18,FALSE),"")</f>
        <v>NEBEZ.V3.17 | Edit 21</v>
      </c>
      <c r="O596" s="64"/>
      <c r="P596" s="64">
        <f>IFERROR(VLOOKUP(Tabelle32[[#This Row],[Device ID]],BOM!$B$3:$BO$50,20,FALSE),"")</f>
        <v>0</v>
      </c>
      <c r="Q596" s="64">
        <f>IFERROR(VLOOKUP(Tabelle32[[#This Row],[Device ID]],BOM!$B$3:$BO$50,21,FALSE),"")</f>
        <v>1</v>
      </c>
      <c r="R596" s="64">
        <f>IFERROR(VLOOKUP(Tabelle32[[#This Row],[Device ID]],BOM!$B$3:$BO$50,22,FALSE),"")</f>
        <v>0</v>
      </c>
      <c r="S596" s="64"/>
      <c r="T596" s="64"/>
      <c r="U596" s="59" t="str">
        <f>IFERROR(VLOOKUP(Tabelle32[[#This Row],[Device ID]],BOM!$B$3:$BQ$35,25,FALSE),"")</f>
        <v>Luis/Ivo</v>
      </c>
      <c r="V596" s="59" t="str">
        <f>IFERROR(VLOOKUP(Tabelle32[[#This Row],[Device ID]],BOM!$B$3:$BQ$35,26,FALSE),"")</f>
        <v>tpco-megw-vgw103.rta.st-net.media.int</v>
      </c>
      <c r="W596" s="59" t="str">
        <f>IFERROR(VLOOKUP(Tabelle32[[#This Row],[Device ID]],BOM!$B$3:$BQ$35,27,FALSE),"")</f>
        <v>10.120.236.50</v>
      </c>
      <c r="X596" s="59" t="str">
        <f>IFERROR(VLOOKUP(Tabelle32[[#This Row],[Device ID]],BOM!$B$3:$BQ$35,28,FALSE),"")</f>
        <v>AVCoreA</v>
      </c>
      <c r="Y596" s="59" t="str">
        <f>IFERROR(VLOOKUP(Tabelle32[[#This Row],[Device ID]],BOM!$B$3:$BQ$35,29,FALSE),"")</f>
        <v>5_36_1</v>
      </c>
      <c r="Z596" s="59" t="str">
        <f>IFERROR(VLOOKUP(Tabelle32[[#This Row],[Device ID]],BOM!$B$3:$BQ$35,30,FALSE),"")</f>
        <v>tpco-megw-vgw103.rtb.st-net.media.int</v>
      </c>
      <c r="AA596" s="59" t="str">
        <f>IFERROR(VLOOKUP(Tabelle32[[#This Row],[Device ID]],BOM!$B$3:$BQ$35,31,FALSE),"")</f>
        <v>10.120.236.54</v>
      </c>
      <c r="AB596" s="59" t="str">
        <f>IFERROR(VLOOKUP(Tabelle32[[#This Row],[Device ID]],BOM!$B$3:$BQ$35,32,FALSE),"")</f>
        <v>AVCoreB</v>
      </c>
      <c r="AC596" s="59" t="str">
        <f>IFERROR(VLOOKUP(Tabelle32[[#This Row],[Device ID]],BOM!$B$3:$BQ$35,33,FALSE),"")</f>
        <v>5_36_1</v>
      </c>
      <c r="AD596" s="59" t="str">
        <f>IFERROR(VLOOKUP(Tabelle32[[#This Row],[Device ID]],BOM!$B$3:$BQ$35,34,FALSE),"")</f>
        <v>tpco-megw-vgw103.st-net.media.int</v>
      </c>
      <c r="AE596" s="59" t="str">
        <f>IFERROR(VLOOKUP(Tabelle32[[#This Row],[Device ID]],BOM!$B$3:$BQ$35,35,FALSE),"")</f>
        <v>10.120.67.141</v>
      </c>
      <c r="AF596" s="59">
        <f>IFERROR(VLOOKUP(Tabelle32[[#This Row],[Device ID]],BOM!$B$3:$BQ$35,36,FALSE),"")</f>
        <v>0</v>
      </c>
      <c r="AG596" s="59">
        <f>IFERROR(VLOOKUP(Tabelle32[[#This Row],[Device ID]],BOM!$B$3:$BQ$35,37,FALSE),"")</f>
        <v>0</v>
      </c>
      <c r="AH596" s="59"/>
      <c r="AI596" s="59"/>
      <c r="AJ596" s="59"/>
      <c r="AK596" s="59"/>
      <c r="AL596" s="59" t="str">
        <f>IFERROR(VLOOKUP(Tabelle32[[#This Row],[Device ID]],BOM!$B$3:$BQ$35,42,FALSE),"")</f>
        <v>Imagine Communications SNP</v>
      </c>
      <c r="AM596" s="59" t="str">
        <f>IFERROR(VLOOKUP(Tabelle32[[#This Row],[Device ID]],BOM!$B$3:$BQ$35,43,FALSE),"")</f>
        <v>no</v>
      </c>
      <c r="AN596" s="59" t="str">
        <f>IFERROR(VLOOKUP(Tabelle32[[#This Row],[Device ID]],BOM!$B$3:$BQ$35,44,FALSE),"")</f>
        <v>yes</v>
      </c>
      <c r="AO596" s="59" t="str">
        <f>IFERROR(VLOOKUP(Tabelle32[[#This Row],[Device ID]],BOM!$B$3:$BQ$35,45,FALSE),"")</f>
        <v>no</v>
      </c>
      <c r="AP596" s="59" t="str">
        <f>IFERROR(CONCATENATE(Tabelle32[[#This Row],[Family
GFX-Unit]]," | ",Tabelle32[[#This Row],[Label 1
GFX-Unit]]," | ",Tabelle32[[#This Row],[Attached Device if Gateway]]),"")</f>
        <v>MEDEM Edits Out | Out Edit21-02 | EditPC-21</v>
      </c>
      <c r="AQ596" s="59"/>
      <c r="AR596" s="92"/>
      <c r="AS596" s="92"/>
      <c r="AT596" s="92"/>
      <c r="AU596" s="92"/>
      <c r="AV596" s="92"/>
      <c r="AW596" s="92" t="s">
        <v>97</v>
      </c>
      <c r="AX596" s="92" t="s">
        <v>199</v>
      </c>
      <c r="AY596" s="92" t="s">
        <v>199</v>
      </c>
      <c r="AZ596" s="92"/>
      <c r="BA596" s="92"/>
      <c r="BB596" s="92"/>
      <c r="BC596" s="92"/>
      <c r="BD596" s="92"/>
      <c r="BE596" s="92"/>
      <c r="BF596" s="92"/>
      <c r="BG596" s="92"/>
      <c r="BH596" s="73" t="s">
        <v>199</v>
      </c>
      <c r="BI596" s="30" t="str">
        <f>IF(COUNTA(Tabelle32[[#This Row],[Type:Vid_1080i50]:[Type:Anc_Prot]])&gt;0,"x","")</f>
        <v>x</v>
      </c>
      <c r="BJ59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596" s="59"/>
      <c r="BL596" s="59"/>
      <c r="BM596" s="63"/>
      <c r="BN596" s="63"/>
      <c r="BO596" s="97" t="s">
        <v>732</v>
      </c>
      <c r="BP596" s="97" t="s">
        <v>1088</v>
      </c>
      <c r="BQ596" s="75">
        <f>LEN(Tabelle32[[#This Row],[Label 1
GFX-Unit]])</f>
        <v>13</v>
      </c>
      <c r="BR596" s="63"/>
      <c r="BS596" s="63"/>
      <c r="BT596" s="59"/>
      <c r="BU596" s="59"/>
      <c r="BV596" s="59" t="s">
        <v>218</v>
      </c>
      <c r="BW596" s="59" t="s">
        <v>219</v>
      </c>
      <c r="BX596" s="59" t="s">
        <v>1089</v>
      </c>
      <c r="BY596" s="59">
        <v>29</v>
      </c>
    </row>
    <row r="597" spans="1:77" x14ac:dyDescent="0.2">
      <c r="A597" s="58" t="str">
        <f>CONCATENATE(Tabelle32[[#This Row],[Device ID]],".",Tabelle32[[#This Row],[Streamcounter]])</f>
        <v>2154.29203</v>
      </c>
      <c r="B59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VGW-103_SDI29_AUDsend_0003</v>
      </c>
      <c r="C597" s="67"/>
      <c r="D597" s="61"/>
      <c r="E597" s="67"/>
      <c r="F597" s="59" t="str">
        <f>IFERROR(VLOOKUP(Tabelle32[[#This Row],[Device ID]],BOM!$B$3:$BQ$35,16,FALSE),"")</f>
        <v>EditPC-21</v>
      </c>
      <c r="G597" s="63">
        <f>VLOOKUP(Tabelle32[[#This Row],[SDI Interface]],BOM!$A$4:$B$35,2,FALSE)</f>
        <v>2154</v>
      </c>
      <c r="H597" s="59" t="str">
        <f>BOM!$C$4</f>
        <v>VGW-103</v>
      </c>
      <c r="I597" s="59" t="str">
        <f>IFERROR(VLOOKUP(Tabelle32[[#This Row],[Device ID]],BOM!$B$3:$BQ$35,12,FALSE),"")</f>
        <v>Edit Suite</v>
      </c>
      <c r="J597" s="59" t="str">
        <f>IFERROR(VLOOKUP(Tabelle32[[#This Row],[Device ID]],BOM!$B$3:$BQ$35,13,FALSE),"")</f>
        <v>TC.U1.223 | MDC</v>
      </c>
      <c r="K597" s="59" t="str">
        <f>IFERROR(VLOOKUP(Tabelle32[[#This Row],[Device ID]],BOM!$B$3:$BQ$35,14,FALSE),"")</f>
        <v>Imagine Comunications</v>
      </c>
      <c r="L597" s="59" t="str">
        <f>IFERROR(VLOOKUP(Tabelle32[[#This Row],[Device ID]],BOM!$B$3:$BQ$35,16,FALSE),"")</f>
        <v>EditPC-21</v>
      </c>
      <c r="M597" s="63" t="str">
        <f>IFERROR(VLOOKUP(Tabelle32[[#This Row],[Device ID]],BOM!$B$3:$BQ$35,17,FALSE),"")</f>
        <v>EDIT SUITE 21</v>
      </c>
      <c r="N597" s="59" t="str">
        <f>IFERROR(VLOOKUP(Tabelle32[[#This Row],[Device ID]],BOM!$B$3:$BQ$35,18,FALSE),"")</f>
        <v>NEBEZ.V3.17 | Edit 21</v>
      </c>
      <c r="O597" s="64"/>
      <c r="P597" s="64">
        <f>IFERROR(VLOOKUP(Tabelle32[[#This Row],[Device ID]],BOM!$B$3:$BO$50,20,FALSE),"")</f>
        <v>0</v>
      </c>
      <c r="Q597" s="64">
        <f>IFERROR(VLOOKUP(Tabelle32[[#This Row],[Device ID]],BOM!$B$3:$BO$50,21,FALSE),"")</f>
        <v>1</v>
      </c>
      <c r="R597" s="64">
        <f>IFERROR(VLOOKUP(Tabelle32[[#This Row],[Device ID]],BOM!$B$3:$BO$50,22,FALSE),"")</f>
        <v>0</v>
      </c>
      <c r="S597" s="64"/>
      <c r="T597" s="64"/>
      <c r="U597" s="59" t="str">
        <f>IFERROR(VLOOKUP(Tabelle32[[#This Row],[Device ID]],BOM!$B$3:$BQ$35,25,FALSE),"")</f>
        <v>Luis/Ivo</v>
      </c>
      <c r="V597" s="59" t="str">
        <f>IFERROR(VLOOKUP(Tabelle32[[#This Row],[Device ID]],BOM!$B$3:$BQ$35,26,FALSE),"")</f>
        <v>tpco-megw-vgw103.rta.st-net.media.int</v>
      </c>
      <c r="W597" s="59" t="str">
        <f>IFERROR(VLOOKUP(Tabelle32[[#This Row],[Device ID]],BOM!$B$3:$BQ$35,27,FALSE),"")</f>
        <v>10.120.236.50</v>
      </c>
      <c r="X597" s="59" t="str">
        <f>IFERROR(VLOOKUP(Tabelle32[[#This Row],[Device ID]],BOM!$B$3:$BQ$35,28,FALSE),"")</f>
        <v>AVCoreA</v>
      </c>
      <c r="Y597" s="59" t="str">
        <f>IFERROR(VLOOKUP(Tabelle32[[#This Row],[Device ID]],BOM!$B$3:$BQ$35,29,FALSE),"")</f>
        <v>5_36_1</v>
      </c>
      <c r="Z597" s="59" t="str">
        <f>IFERROR(VLOOKUP(Tabelle32[[#This Row],[Device ID]],BOM!$B$3:$BQ$35,30,FALSE),"")</f>
        <v>tpco-megw-vgw103.rtb.st-net.media.int</v>
      </c>
      <c r="AA597" s="59" t="str">
        <f>IFERROR(VLOOKUP(Tabelle32[[#This Row],[Device ID]],BOM!$B$3:$BQ$35,31,FALSE),"")</f>
        <v>10.120.236.54</v>
      </c>
      <c r="AB597" s="59" t="str">
        <f>IFERROR(VLOOKUP(Tabelle32[[#This Row],[Device ID]],BOM!$B$3:$BQ$35,32,FALSE),"")</f>
        <v>AVCoreB</v>
      </c>
      <c r="AC597" s="59" t="str">
        <f>IFERROR(VLOOKUP(Tabelle32[[#This Row],[Device ID]],BOM!$B$3:$BQ$35,33,FALSE),"")</f>
        <v>5_36_1</v>
      </c>
      <c r="AD597" s="59" t="str">
        <f>IFERROR(VLOOKUP(Tabelle32[[#This Row],[Device ID]],BOM!$B$3:$BQ$35,34,FALSE),"")</f>
        <v>tpco-megw-vgw103.st-net.media.int</v>
      </c>
      <c r="AE597" s="59" t="str">
        <f>IFERROR(VLOOKUP(Tabelle32[[#This Row],[Device ID]],BOM!$B$3:$BQ$35,35,FALSE),"")</f>
        <v>10.120.67.141</v>
      </c>
      <c r="AF597" s="59">
        <f>IFERROR(VLOOKUP(Tabelle32[[#This Row],[Device ID]],BOM!$B$3:$BQ$35,36,FALSE),"")</f>
        <v>0</v>
      </c>
      <c r="AG597" s="59">
        <f>IFERROR(VLOOKUP(Tabelle32[[#This Row],[Device ID]],BOM!$B$3:$BQ$35,37,FALSE),"")</f>
        <v>0</v>
      </c>
      <c r="AH597" s="59"/>
      <c r="AI597" s="59"/>
      <c r="AJ597" s="59"/>
      <c r="AK597" s="59"/>
      <c r="AL597" s="59" t="str">
        <f>IFERROR(VLOOKUP(Tabelle32[[#This Row],[Device ID]],BOM!$B$3:$BQ$35,42,FALSE),"")</f>
        <v>Imagine Communications SNP</v>
      </c>
      <c r="AM597" s="59" t="str">
        <f>IFERROR(VLOOKUP(Tabelle32[[#This Row],[Device ID]],BOM!$B$3:$BQ$35,43,FALSE),"")</f>
        <v>no</v>
      </c>
      <c r="AN597" s="59" t="str">
        <f>IFERROR(VLOOKUP(Tabelle32[[#This Row],[Device ID]],BOM!$B$3:$BQ$35,44,FALSE),"")</f>
        <v>yes</v>
      </c>
      <c r="AO597" s="59" t="str">
        <f>IFERROR(VLOOKUP(Tabelle32[[#This Row],[Device ID]],BOM!$B$3:$BQ$35,45,FALSE),"")</f>
        <v>no</v>
      </c>
      <c r="AP597" s="59" t="str">
        <f>IFERROR(CONCATENATE(Tabelle32[[#This Row],[Family
GFX-Unit]]," | ",Tabelle32[[#This Row],[Label 1
GFX-Unit]]," | ",Tabelle32[[#This Row],[Attached Device if Gateway]]),"")</f>
        <v>MEDEM Edits Out | Out Edit21-03 | EditPC-21</v>
      </c>
      <c r="AQ597" s="59"/>
      <c r="AR597" s="92"/>
      <c r="AS597" s="92"/>
      <c r="AT597" s="92"/>
      <c r="AU597" s="92"/>
      <c r="AV597" s="92"/>
      <c r="AW597" s="92" t="s">
        <v>97</v>
      </c>
      <c r="AX597" s="92" t="s">
        <v>199</v>
      </c>
      <c r="AY597" s="92" t="s">
        <v>199</v>
      </c>
      <c r="AZ597" s="92"/>
      <c r="BA597" s="92"/>
      <c r="BB597" s="92"/>
      <c r="BC597" s="92"/>
      <c r="BD597" s="92"/>
      <c r="BE597" s="92"/>
      <c r="BF597" s="92"/>
      <c r="BG597" s="92"/>
      <c r="BH597" s="73" t="s">
        <v>199</v>
      </c>
      <c r="BI597" s="30" t="str">
        <f>IF(COUNTA(Tabelle32[[#This Row],[Type:Vid_1080i50]:[Type:Anc_Prot]])&gt;0,"x","")</f>
        <v>x</v>
      </c>
      <c r="BJ59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597" s="59"/>
      <c r="BL597" s="59"/>
      <c r="BM597" s="63"/>
      <c r="BN597" s="63"/>
      <c r="BO597" s="97" t="s">
        <v>732</v>
      </c>
      <c r="BP597" s="97" t="s">
        <v>1090</v>
      </c>
      <c r="BQ597" s="75">
        <f>LEN(Tabelle32[[#This Row],[Label 1
GFX-Unit]])</f>
        <v>13</v>
      </c>
      <c r="BR597" s="63"/>
      <c r="BS597" s="63"/>
      <c r="BT597" s="59"/>
      <c r="BU597" s="59"/>
      <c r="BV597" s="59" t="s">
        <v>222</v>
      </c>
      <c r="BW597" s="59" t="s">
        <v>223</v>
      </c>
      <c r="BX597" s="59" t="s">
        <v>1091</v>
      </c>
      <c r="BY597" s="59">
        <v>29</v>
      </c>
    </row>
    <row r="598" spans="1:77" x14ac:dyDescent="0.2">
      <c r="A598" s="58" t="str">
        <f>CONCATENATE(Tabelle32[[#This Row],[Device ID]],".",Tabelle32[[#This Row],[Streamcounter]])</f>
        <v>2154.29204</v>
      </c>
      <c r="B59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VGW-103_SDI29_AUDsend_0004</v>
      </c>
      <c r="C598" s="67"/>
      <c r="D598" s="61"/>
      <c r="E598" s="67"/>
      <c r="F598" s="59" t="str">
        <f>IFERROR(VLOOKUP(Tabelle32[[#This Row],[Device ID]],BOM!$B$3:$BQ$35,16,FALSE),"")</f>
        <v>EditPC-21</v>
      </c>
      <c r="G598" s="63">
        <f>VLOOKUP(Tabelle32[[#This Row],[SDI Interface]],BOM!$A$4:$B$35,2,FALSE)</f>
        <v>2154</v>
      </c>
      <c r="H598" s="59" t="str">
        <f>BOM!$C$4</f>
        <v>VGW-103</v>
      </c>
      <c r="I598" s="59" t="str">
        <f>IFERROR(VLOOKUP(Tabelle32[[#This Row],[Device ID]],BOM!$B$3:$BQ$35,12,FALSE),"")</f>
        <v>Edit Suite</v>
      </c>
      <c r="J598" s="59" t="str">
        <f>IFERROR(VLOOKUP(Tabelle32[[#This Row],[Device ID]],BOM!$B$3:$BQ$35,13,FALSE),"")</f>
        <v>TC.U1.223 | MDC</v>
      </c>
      <c r="K598" s="59" t="str">
        <f>IFERROR(VLOOKUP(Tabelle32[[#This Row],[Device ID]],BOM!$B$3:$BQ$35,14,FALSE),"")</f>
        <v>Imagine Comunications</v>
      </c>
      <c r="L598" s="59" t="str">
        <f>IFERROR(VLOOKUP(Tabelle32[[#This Row],[Device ID]],BOM!$B$3:$BQ$35,16,FALSE),"")</f>
        <v>EditPC-21</v>
      </c>
      <c r="M598" s="63" t="str">
        <f>IFERROR(VLOOKUP(Tabelle32[[#This Row],[Device ID]],BOM!$B$3:$BQ$35,17,FALSE),"")</f>
        <v>EDIT SUITE 21</v>
      </c>
      <c r="N598" s="59" t="str">
        <f>IFERROR(VLOOKUP(Tabelle32[[#This Row],[Device ID]],BOM!$B$3:$BQ$35,18,FALSE),"")</f>
        <v>NEBEZ.V3.17 | Edit 21</v>
      </c>
      <c r="O598" s="64"/>
      <c r="P598" s="64">
        <f>IFERROR(VLOOKUP(Tabelle32[[#This Row],[Device ID]],BOM!$B$3:$BO$50,20,FALSE),"")</f>
        <v>0</v>
      </c>
      <c r="Q598" s="64">
        <f>IFERROR(VLOOKUP(Tabelle32[[#This Row],[Device ID]],BOM!$B$3:$BO$50,21,FALSE),"")</f>
        <v>1</v>
      </c>
      <c r="R598" s="64">
        <f>IFERROR(VLOOKUP(Tabelle32[[#This Row],[Device ID]],BOM!$B$3:$BO$50,22,FALSE),"")</f>
        <v>0</v>
      </c>
      <c r="S598" s="64"/>
      <c r="T598" s="64"/>
      <c r="U598" s="59" t="str">
        <f>IFERROR(VLOOKUP(Tabelle32[[#This Row],[Device ID]],BOM!$B$3:$BQ$35,25,FALSE),"")</f>
        <v>Luis/Ivo</v>
      </c>
      <c r="V598" s="59" t="str">
        <f>IFERROR(VLOOKUP(Tabelle32[[#This Row],[Device ID]],BOM!$B$3:$BQ$35,26,FALSE),"")</f>
        <v>tpco-megw-vgw103.rta.st-net.media.int</v>
      </c>
      <c r="W598" s="59" t="str">
        <f>IFERROR(VLOOKUP(Tabelle32[[#This Row],[Device ID]],BOM!$B$3:$BQ$35,27,FALSE),"")</f>
        <v>10.120.236.50</v>
      </c>
      <c r="X598" s="59" t="str">
        <f>IFERROR(VLOOKUP(Tabelle32[[#This Row],[Device ID]],BOM!$B$3:$BQ$35,28,FALSE),"")</f>
        <v>AVCoreA</v>
      </c>
      <c r="Y598" s="59" t="str">
        <f>IFERROR(VLOOKUP(Tabelle32[[#This Row],[Device ID]],BOM!$B$3:$BQ$35,29,FALSE),"")</f>
        <v>5_36_1</v>
      </c>
      <c r="Z598" s="59" t="str">
        <f>IFERROR(VLOOKUP(Tabelle32[[#This Row],[Device ID]],BOM!$B$3:$BQ$35,30,FALSE),"")</f>
        <v>tpco-megw-vgw103.rtb.st-net.media.int</v>
      </c>
      <c r="AA598" s="59" t="str">
        <f>IFERROR(VLOOKUP(Tabelle32[[#This Row],[Device ID]],BOM!$B$3:$BQ$35,31,FALSE),"")</f>
        <v>10.120.236.54</v>
      </c>
      <c r="AB598" s="59" t="str">
        <f>IFERROR(VLOOKUP(Tabelle32[[#This Row],[Device ID]],BOM!$B$3:$BQ$35,32,FALSE),"")</f>
        <v>AVCoreB</v>
      </c>
      <c r="AC598" s="59" t="str">
        <f>IFERROR(VLOOKUP(Tabelle32[[#This Row],[Device ID]],BOM!$B$3:$BQ$35,33,FALSE),"")</f>
        <v>5_36_1</v>
      </c>
      <c r="AD598" s="59" t="str">
        <f>IFERROR(VLOOKUP(Tabelle32[[#This Row],[Device ID]],BOM!$B$3:$BQ$35,34,FALSE),"")</f>
        <v>tpco-megw-vgw103.st-net.media.int</v>
      </c>
      <c r="AE598" s="59" t="str">
        <f>IFERROR(VLOOKUP(Tabelle32[[#This Row],[Device ID]],BOM!$B$3:$BQ$35,35,FALSE),"")</f>
        <v>10.120.67.141</v>
      </c>
      <c r="AF598" s="59">
        <f>IFERROR(VLOOKUP(Tabelle32[[#This Row],[Device ID]],BOM!$B$3:$BQ$35,36,FALSE),"")</f>
        <v>0</v>
      </c>
      <c r="AG598" s="59">
        <f>IFERROR(VLOOKUP(Tabelle32[[#This Row],[Device ID]],BOM!$B$3:$BQ$35,37,FALSE),"")</f>
        <v>0</v>
      </c>
      <c r="AH598" s="59"/>
      <c r="AI598" s="59"/>
      <c r="AJ598" s="59"/>
      <c r="AK598" s="59"/>
      <c r="AL598" s="59" t="str">
        <f>IFERROR(VLOOKUP(Tabelle32[[#This Row],[Device ID]],BOM!$B$3:$BQ$35,42,FALSE),"")</f>
        <v>Imagine Communications SNP</v>
      </c>
      <c r="AM598" s="59" t="str">
        <f>IFERROR(VLOOKUP(Tabelle32[[#This Row],[Device ID]],BOM!$B$3:$BQ$35,43,FALSE),"")</f>
        <v>no</v>
      </c>
      <c r="AN598" s="59" t="str">
        <f>IFERROR(VLOOKUP(Tabelle32[[#This Row],[Device ID]],BOM!$B$3:$BQ$35,44,FALSE),"")</f>
        <v>yes</v>
      </c>
      <c r="AO598" s="59" t="str">
        <f>IFERROR(VLOOKUP(Tabelle32[[#This Row],[Device ID]],BOM!$B$3:$BQ$35,45,FALSE),"")</f>
        <v>no</v>
      </c>
      <c r="AP598" s="59" t="str">
        <f>IFERROR(CONCATENATE(Tabelle32[[#This Row],[Family
GFX-Unit]]," | ",Tabelle32[[#This Row],[Label 1
GFX-Unit]]," | ",Tabelle32[[#This Row],[Attached Device if Gateway]]),"")</f>
        <v>MEDEM Edits Out | Out Edit21-04 | EditPC-21</v>
      </c>
      <c r="AQ598" s="59"/>
      <c r="AR598" s="92"/>
      <c r="AS598" s="92"/>
      <c r="AT598" s="92"/>
      <c r="AU598" s="92"/>
      <c r="AV598" s="92"/>
      <c r="AW598" s="92"/>
      <c r="AX598" s="92" t="s">
        <v>199</v>
      </c>
      <c r="AY598" s="92" t="s">
        <v>199</v>
      </c>
      <c r="AZ598" s="92" t="s">
        <v>97</v>
      </c>
      <c r="BA598" s="92"/>
      <c r="BB598" s="92"/>
      <c r="BC598" s="92"/>
      <c r="BD598" s="92"/>
      <c r="BE598" s="92"/>
      <c r="BF598" s="92"/>
      <c r="BG598" s="92"/>
      <c r="BH598" s="73" t="s">
        <v>199</v>
      </c>
      <c r="BI598" s="30" t="str">
        <f>IF(COUNTA(Tabelle32[[#This Row],[Type:Vid_1080i50]:[Type:Anc_Prot]])&gt;0,"x","")</f>
        <v>x</v>
      </c>
      <c r="BJ59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598" s="59"/>
      <c r="BL598" s="59"/>
      <c r="BM598" s="63"/>
      <c r="BN598" s="63"/>
      <c r="BO598" s="97" t="s">
        <v>732</v>
      </c>
      <c r="BP598" s="97" t="s">
        <v>1092</v>
      </c>
      <c r="BQ598" s="75">
        <f>LEN(Tabelle32[[#This Row],[Label 1
GFX-Unit]])</f>
        <v>13</v>
      </c>
      <c r="BR598" s="63"/>
      <c r="BS598" s="63"/>
      <c r="BT598" s="59"/>
      <c r="BU598" s="59"/>
      <c r="BV598" s="59" t="s">
        <v>226</v>
      </c>
      <c r="BW598" s="59" t="s">
        <v>227</v>
      </c>
      <c r="BX598" s="59" t="s">
        <v>1093</v>
      </c>
      <c r="BY598" s="59">
        <v>29</v>
      </c>
    </row>
    <row r="599" spans="1:77" x14ac:dyDescent="0.2">
      <c r="A599" s="58" t="str">
        <f>CONCATENATE(Tabelle32[[#This Row],[Device ID]],".",Tabelle32[[#This Row],[Streamcounter]])</f>
        <v>2154.29205</v>
      </c>
      <c r="B59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VGW-103_SDI29_AUDsend_0005</v>
      </c>
      <c r="C599" s="67"/>
      <c r="D599" s="61"/>
      <c r="E599" s="67"/>
      <c r="F599" s="59" t="str">
        <f>IFERROR(VLOOKUP(Tabelle32[[#This Row],[Device ID]],BOM!$B$3:$BQ$35,16,FALSE),"")</f>
        <v>EditPC-21</v>
      </c>
      <c r="G599" s="63">
        <f>VLOOKUP(Tabelle32[[#This Row],[SDI Interface]],BOM!$A$4:$B$35,2,FALSE)</f>
        <v>2154</v>
      </c>
      <c r="H599" s="59" t="str">
        <f>BOM!$C$4</f>
        <v>VGW-103</v>
      </c>
      <c r="I599" s="59" t="str">
        <f>IFERROR(VLOOKUP(Tabelle32[[#This Row],[Device ID]],BOM!$B$3:$BQ$35,12,FALSE),"")</f>
        <v>Edit Suite</v>
      </c>
      <c r="J599" s="59" t="str">
        <f>IFERROR(VLOOKUP(Tabelle32[[#This Row],[Device ID]],BOM!$B$3:$BQ$35,13,FALSE),"")</f>
        <v>TC.U1.223 | MDC</v>
      </c>
      <c r="K599" s="59" t="str">
        <f>IFERROR(VLOOKUP(Tabelle32[[#This Row],[Device ID]],BOM!$B$3:$BQ$35,14,FALSE),"")</f>
        <v>Imagine Comunications</v>
      </c>
      <c r="L599" s="59" t="str">
        <f>IFERROR(VLOOKUP(Tabelle32[[#This Row],[Device ID]],BOM!$B$3:$BQ$35,16,FALSE),"")</f>
        <v>EditPC-21</v>
      </c>
      <c r="M599" s="63" t="str">
        <f>IFERROR(VLOOKUP(Tabelle32[[#This Row],[Device ID]],BOM!$B$3:$BQ$35,17,FALSE),"")</f>
        <v>EDIT SUITE 21</v>
      </c>
      <c r="N599" s="59" t="str">
        <f>IFERROR(VLOOKUP(Tabelle32[[#This Row],[Device ID]],BOM!$B$3:$BQ$35,18,FALSE),"")</f>
        <v>NEBEZ.V3.17 | Edit 21</v>
      </c>
      <c r="O599" s="64"/>
      <c r="P599" s="64">
        <f>IFERROR(VLOOKUP(Tabelle32[[#This Row],[Device ID]],BOM!$B$3:$BO$50,20,FALSE),"")</f>
        <v>0</v>
      </c>
      <c r="Q599" s="64">
        <f>IFERROR(VLOOKUP(Tabelle32[[#This Row],[Device ID]],BOM!$B$3:$BO$50,21,FALSE),"")</f>
        <v>1</v>
      </c>
      <c r="R599" s="64">
        <f>IFERROR(VLOOKUP(Tabelle32[[#This Row],[Device ID]],BOM!$B$3:$BO$50,22,FALSE),"")</f>
        <v>0</v>
      </c>
      <c r="S599" s="64"/>
      <c r="T599" s="64"/>
      <c r="U599" s="59" t="str">
        <f>IFERROR(VLOOKUP(Tabelle32[[#This Row],[Device ID]],BOM!$B$3:$BQ$35,25,FALSE),"")</f>
        <v>Luis/Ivo</v>
      </c>
      <c r="V599" s="59" t="str">
        <f>IFERROR(VLOOKUP(Tabelle32[[#This Row],[Device ID]],BOM!$B$3:$BQ$35,26,FALSE),"")</f>
        <v>tpco-megw-vgw103.rta.st-net.media.int</v>
      </c>
      <c r="W599" s="59" t="str">
        <f>IFERROR(VLOOKUP(Tabelle32[[#This Row],[Device ID]],BOM!$B$3:$BQ$35,27,FALSE),"")</f>
        <v>10.120.236.50</v>
      </c>
      <c r="X599" s="59" t="str">
        <f>IFERROR(VLOOKUP(Tabelle32[[#This Row],[Device ID]],BOM!$B$3:$BQ$35,28,FALSE),"")</f>
        <v>AVCoreA</v>
      </c>
      <c r="Y599" s="59" t="str">
        <f>IFERROR(VLOOKUP(Tabelle32[[#This Row],[Device ID]],BOM!$B$3:$BQ$35,29,FALSE),"")</f>
        <v>5_36_1</v>
      </c>
      <c r="Z599" s="59" t="str">
        <f>IFERROR(VLOOKUP(Tabelle32[[#This Row],[Device ID]],BOM!$B$3:$BQ$35,30,FALSE),"")</f>
        <v>tpco-megw-vgw103.rtb.st-net.media.int</v>
      </c>
      <c r="AA599" s="59" t="str">
        <f>IFERROR(VLOOKUP(Tabelle32[[#This Row],[Device ID]],BOM!$B$3:$BQ$35,31,FALSE),"")</f>
        <v>10.120.236.54</v>
      </c>
      <c r="AB599" s="59" t="str">
        <f>IFERROR(VLOOKUP(Tabelle32[[#This Row],[Device ID]],BOM!$B$3:$BQ$35,32,FALSE),"")</f>
        <v>AVCoreB</v>
      </c>
      <c r="AC599" s="59" t="str">
        <f>IFERROR(VLOOKUP(Tabelle32[[#This Row],[Device ID]],BOM!$B$3:$BQ$35,33,FALSE),"")</f>
        <v>5_36_1</v>
      </c>
      <c r="AD599" s="59" t="str">
        <f>IFERROR(VLOOKUP(Tabelle32[[#This Row],[Device ID]],BOM!$B$3:$BQ$35,34,FALSE),"")</f>
        <v>tpco-megw-vgw103.st-net.media.int</v>
      </c>
      <c r="AE599" s="59" t="str">
        <f>IFERROR(VLOOKUP(Tabelle32[[#This Row],[Device ID]],BOM!$B$3:$BQ$35,35,FALSE),"")</f>
        <v>10.120.67.141</v>
      </c>
      <c r="AF599" s="59">
        <f>IFERROR(VLOOKUP(Tabelle32[[#This Row],[Device ID]],BOM!$B$3:$BQ$35,36,FALSE),"")</f>
        <v>0</v>
      </c>
      <c r="AG599" s="59">
        <f>IFERROR(VLOOKUP(Tabelle32[[#This Row],[Device ID]],BOM!$B$3:$BQ$35,37,FALSE),"")</f>
        <v>0</v>
      </c>
      <c r="AH599" s="59"/>
      <c r="AI599" s="59"/>
      <c r="AJ599" s="59"/>
      <c r="AK599" s="59"/>
      <c r="AL599" s="59" t="str">
        <f>IFERROR(VLOOKUP(Tabelle32[[#This Row],[Device ID]],BOM!$B$3:$BQ$35,42,FALSE),"")</f>
        <v>Imagine Communications SNP</v>
      </c>
      <c r="AM599" s="59" t="str">
        <f>IFERROR(VLOOKUP(Tabelle32[[#This Row],[Device ID]],BOM!$B$3:$BQ$35,43,FALSE),"")</f>
        <v>no</v>
      </c>
      <c r="AN599" s="59" t="str">
        <f>IFERROR(VLOOKUP(Tabelle32[[#This Row],[Device ID]],BOM!$B$3:$BQ$35,44,FALSE),"")</f>
        <v>yes</v>
      </c>
      <c r="AO599" s="59" t="str">
        <f>IFERROR(VLOOKUP(Tabelle32[[#This Row],[Device ID]],BOM!$B$3:$BQ$35,45,FALSE),"")</f>
        <v>no</v>
      </c>
      <c r="AP599" s="59" t="str">
        <f>IFERROR(CONCATENATE(Tabelle32[[#This Row],[Family
GFX-Unit]]," | ",Tabelle32[[#This Row],[Label 1
GFX-Unit]]," | ",Tabelle32[[#This Row],[Attached Device if Gateway]]),"")</f>
        <v>MEDEM Edits Out | Out Edit21-05 | EditPC-21</v>
      </c>
      <c r="AQ599" s="59"/>
      <c r="AR599" s="92"/>
      <c r="AS599" s="92"/>
      <c r="AT599" s="92"/>
      <c r="AU599" s="92"/>
      <c r="AV599" s="92"/>
      <c r="AW599" s="92" t="s">
        <v>97</v>
      </c>
      <c r="AX599" s="92" t="s">
        <v>199</v>
      </c>
      <c r="AY599" s="92" t="s">
        <v>199</v>
      </c>
      <c r="AZ599" s="92"/>
      <c r="BA599" s="92"/>
      <c r="BB599" s="92"/>
      <c r="BC599" s="92"/>
      <c r="BD599" s="92"/>
      <c r="BE599" s="92"/>
      <c r="BF599" s="92"/>
      <c r="BG599" s="92"/>
      <c r="BH599" s="73" t="s">
        <v>199</v>
      </c>
      <c r="BI599" s="30" t="str">
        <f>IF(COUNTA(Tabelle32[[#This Row],[Type:Vid_1080i50]:[Type:Anc_Prot]])&gt;0,"x","")</f>
        <v>x</v>
      </c>
      <c r="BJ59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599" s="59"/>
      <c r="BL599" s="59"/>
      <c r="BM599" s="63"/>
      <c r="BN599" s="63"/>
      <c r="BO599" s="97" t="s">
        <v>732</v>
      </c>
      <c r="BP599" s="97" t="s">
        <v>1094</v>
      </c>
      <c r="BQ599" s="75">
        <f>LEN(Tabelle32[[#This Row],[Label 1
GFX-Unit]])</f>
        <v>13</v>
      </c>
      <c r="BR599" s="63"/>
      <c r="BS599" s="63"/>
      <c r="BT599" s="59"/>
      <c r="BU599" s="59"/>
      <c r="BV599" s="59" t="s">
        <v>230</v>
      </c>
      <c r="BW599" s="59" t="s">
        <v>231</v>
      </c>
      <c r="BX599" s="59" t="s">
        <v>1095</v>
      </c>
      <c r="BY599" s="59">
        <v>29</v>
      </c>
    </row>
    <row r="600" spans="1:77" x14ac:dyDescent="0.2">
      <c r="A600" s="58" t="str">
        <f>CONCATENATE(Tabelle32[[#This Row],[Device ID]],".",Tabelle32[[#This Row],[Streamcounter]])</f>
        <v>2154.29206</v>
      </c>
      <c r="B60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VGW-103_SDI29_AUDsend_0006</v>
      </c>
      <c r="C600" s="67"/>
      <c r="D600" s="61"/>
      <c r="E600" s="67"/>
      <c r="F600" s="59" t="str">
        <f>IFERROR(VLOOKUP(Tabelle32[[#This Row],[Device ID]],BOM!$B$3:$BQ$35,16,FALSE),"")</f>
        <v>EditPC-21</v>
      </c>
      <c r="G600" s="63">
        <f>VLOOKUP(Tabelle32[[#This Row],[SDI Interface]],BOM!$A$4:$B$35,2,FALSE)</f>
        <v>2154</v>
      </c>
      <c r="H600" s="59" t="str">
        <f>BOM!$C$4</f>
        <v>VGW-103</v>
      </c>
      <c r="I600" s="59" t="str">
        <f>IFERROR(VLOOKUP(Tabelle32[[#This Row],[Device ID]],BOM!$B$3:$BQ$35,12,FALSE),"")</f>
        <v>Edit Suite</v>
      </c>
      <c r="J600" s="59" t="str">
        <f>IFERROR(VLOOKUP(Tabelle32[[#This Row],[Device ID]],BOM!$B$3:$BQ$35,13,FALSE),"")</f>
        <v>TC.U1.223 | MDC</v>
      </c>
      <c r="K600" s="59" t="str">
        <f>IFERROR(VLOOKUP(Tabelle32[[#This Row],[Device ID]],BOM!$B$3:$BQ$35,14,FALSE),"")</f>
        <v>Imagine Comunications</v>
      </c>
      <c r="L600" s="59" t="str">
        <f>IFERROR(VLOOKUP(Tabelle32[[#This Row],[Device ID]],BOM!$B$3:$BQ$35,16,FALSE),"")</f>
        <v>EditPC-21</v>
      </c>
      <c r="M600" s="63" t="str">
        <f>IFERROR(VLOOKUP(Tabelle32[[#This Row],[Device ID]],BOM!$B$3:$BQ$35,17,FALSE),"")</f>
        <v>EDIT SUITE 21</v>
      </c>
      <c r="N600" s="59" t="str">
        <f>IFERROR(VLOOKUP(Tabelle32[[#This Row],[Device ID]],BOM!$B$3:$BQ$35,18,FALSE),"")</f>
        <v>NEBEZ.V3.17 | Edit 21</v>
      </c>
      <c r="O600" s="64"/>
      <c r="P600" s="64">
        <f>IFERROR(VLOOKUP(Tabelle32[[#This Row],[Device ID]],BOM!$B$3:$BO$50,20,FALSE),"")</f>
        <v>0</v>
      </c>
      <c r="Q600" s="64">
        <f>IFERROR(VLOOKUP(Tabelle32[[#This Row],[Device ID]],BOM!$B$3:$BO$50,21,FALSE),"")</f>
        <v>1</v>
      </c>
      <c r="R600" s="64">
        <f>IFERROR(VLOOKUP(Tabelle32[[#This Row],[Device ID]],BOM!$B$3:$BO$50,22,FALSE),"")</f>
        <v>0</v>
      </c>
      <c r="S600" s="64"/>
      <c r="T600" s="64"/>
      <c r="U600" s="59" t="str">
        <f>IFERROR(VLOOKUP(Tabelle32[[#This Row],[Device ID]],BOM!$B$3:$BQ$35,25,FALSE),"")</f>
        <v>Luis/Ivo</v>
      </c>
      <c r="V600" s="59" t="str">
        <f>IFERROR(VLOOKUP(Tabelle32[[#This Row],[Device ID]],BOM!$B$3:$BQ$35,26,FALSE),"")</f>
        <v>tpco-megw-vgw103.rta.st-net.media.int</v>
      </c>
      <c r="W600" s="59" t="str">
        <f>IFERROR(VLOOKUP(Tabelle32[[#This Row],[Device ID]],BOM!$B$3:$BQ$35,27,FALSE),"")</f>
        <v>10.120.236.50</v>
      </c>
      <c r="X600" s="59" t="str">
        <f>IFERROR(VLOOKUP(Tabelle32[[#This Row],[Device ID]],BOM!$B$3:$BQ$35,28,FALSE),"")</f>
        <v>AVCoreA</v>
      </c>
      <c r="Y600" s="59" t="str">
        <f>IFERROR(VLOOKUP(Tabelle32[[#This Row],[Device ID]],BOM!$B$3:$BQ$35,29,FALSE),"")</f>
        <v>5_36_1</v>
      </c>
      <c r="Z600" s="59" t="str">
        <f>IFERROR(VLOOKUP(Tabelle32[[#This Row],[Device ID]],BOM!$B$3:$BQ$35,30,FALSE),"")</f>
        <v>tpco-megw-vgw103.rtb.st-net.media.int</v>
      </c>
      <c r="AA600" s="59" t="str">
        <f>IFERROR(VLOOKUP(Tabelle32[[#This Row],[Device ID]],BOM!$B$3:$BQ$35,31,FALSE),"")</f>
        <v>10.120.236.54</v>
      </c>
      <c r="AB600" s="59" t="str">
        <f>IFERROR(VLOOKUP(Tabelle32[[#This Row],[Device ID]],BOM!$B$3:$BQ$35,32,FALSE),"")</f>
        <v>AVCoreB</v>
      </c>
      <c r="AC600" s="59" t="str">
        <f>IFERROR(VLOOKUP(Tabelle32[[#This Row],[Device ID]],BOM!$B$3:$BQ$35,33,FALSE),"")</f>
        <v>5_36_1</v>
      </c>
      <c r="AD600" s="59" t="str">
        <f>IFERROR(VLOOKUP(Tabelle32[[#This Row],[Device ID]],BOM!$B$3:$BQ$35,34,FALSE),"")</f>
        <v>tpco-megw-vgw103.st-net.media.int</v>
      </c>
      <c r="AE600" s="59" t="str">
        <f>IFERROR(VLOOKUP(Tabelle32[[#This Row],[Device ID]],BOM!$B$3:$BQ$35,35,FALSE),"")</f>
        <v>10.120.67.141</v>
      </c>
      <c r="AF600" s="59">
        <f>IFERROR(VLOOKUP(Tabelle32[[#This Row],[Device ID]],BOM!$B$3:$BQ$35,36,FALSE),"")</f>
        <v>0</v>
      </c>
      <c r="AG600" s="59">
        <f>IFERROR(VLOOKUP(Tabelle32[[#This Row],[Device ID]],BOM!$B$3:$BQ$35,37,FALSE),"")</f>
        <v>0</v>
      </c>
      <c r="AH600" s="59"/>
      <c r="AI600" s="59"/>
      <c r="AJ600" s="59"/>
      <c r="AK600" s="59"/>
      <c r="AL600" s="59" t="str">
        <f>IFERROR(VLOOKUP(Tabelle32[[#This Row],[Device ID]],BOM!$B$3:$BQ$35,42,FALSE),"")</f>
        <v>Imagine Communications SNP</v>
      </c>
      <c r="AM600" s="59" t="str">
        <f>IFERROR(VLOOKUP(Tabelle32[[#This Row],[Device ID]],BOM!$B$3:$BQ$35,43,FALSE),"")</f>
        <v>no</v>
      </c>
      <c r="AN600" s="59" t="str">
        <f>IFERROR(VLOOKUP(Tabelle32[[#This Row],[Device ID]],BOM!$B$3:$BQ$35,44,FALSE),"")</f>
        <v>yes</v>
      </c>
      <c r="AO600" s="59" t="str">
        <f>IFERROR(VLOOKUP(Tabelle32[[#This Row],[Device ID]],BOM!$B$3:$BQ$35,45,FALSE),"")</f>
        <v>no</v>
      </c>
      <c r="AP600" s="59" t="str">
        <f>IFERROR(CONCATENATE(Tabelle32[[#This Row],[Family
GFX-Unit]]," | ",Tabelle32[[#This Row],[Label 1
GFX-Unit]]," | ",Tabelle32[[#This Row],[Attached Device if Gateway]]),"")</f>
        <v>MEDEM Edits Out | Out Edit21-06 | EditPC-21</v>
      </c>
      <c r="AQ600" s="59"/>
      <c r="AR600" s="92"/>
      <c r="AS600" s="92"/>
      <c r="AT600" s="92"/>
      <c r="AU600" s="92"/>
      <c r="AV600" s="92"/>
      <c r="AW600" s="92" t="s">
        <v>97</v>
      </c>
      <c r="AX600" s="92" t="s">
        <v>199</v>
      </c>
      <c r="AY600" s="92" t="s">
        <v>199</v>
      </c>
      <c r="AZ600" s="92"/>
      <c r="BA600" s="92"/>
      <c r="BB600" s="92"/>
      <c r="BC600" s="92"/>
      <c r="BD600" s="92"/>
      <c r="BE600" s="92"/>
      <c r="BF600" s="92"/>
      <c r="BG600" s="92"/>
      <c r="BH600" s="73" t="s">
        <v>199</v>
      </c>
      <c r="BI600" s="30" t="str">
        <f>IF(COUNTA(Tabelle32[[#This Row],[Type:Vid_1080i50]:[Type:Anc_Prot]])&gt;0,"x","")</f>
        <v>x</v>
      </c>
      <c r="BJ60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00" s="59"/>
      <c r="BL600" s="59"/>
      <c r="BM600" s="63"/>
      <c r="BN600" s="63"/>
      <c r="BO600" s="97" t="s">
        <v>732</v>
      </c>
      <c r="BP600" s="97" t="s">
        <v>1096</v>
      </c>
      <c r="BQ600" s="75">
        <f>LEN(Tabelle32[[#This Row],[Label 1
GFX-Unit]])</f>
        <v>13</v>
      </c>
      <c r="BR600" s="63"/>
      <c r="BS600" s="63"/>
      <c r="BT600" s="59"/>
      <c r="BU600" s="59"/>
      <c r="BV600" s="59" t="s">
        <v>234</v>
      </c>
      <c r="BW600" s="59" t="s">
        <v>235</v>
      </c>
      <c r="BX600" s="59" t="s">
        <v>1097</v>
      </c>
      <c r="BY600" s="59">
        <v>29</v>
      </c>
    </row>
    <row r="601" spans="1:77" x14ac:dyDescent="0.2">
      <c r="A601" s="58" t="str">
        <f>CONCATENATE(Tabelle32[[#This Row],[Device ID]],".",Tabelle32[[#This Row],[Streamcounter]])</f>
        <v>2154.29207</v>
      </c>
      <c r="B60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VGW-103_SDI29_AUDsend_0007</v>
      </c>
      <c r="C601" s="67"/>
      <c r="D601" s="61"/>
      <c r="E601" s="67"/>
      <c r="F601" s="59" t="str">
        <f>IFERROR(VLOOKUP(Tabelle32[[#This Row],[Device ID]],BOM!$B$3:$BQ$35,16,FALSE),"")</f>
        <v>EditPC-21</v>
      </c>
      <c r="G601" s="63">
        <f>VLOOKUP(Tabelle32[[#This Row],[SDI Interface]],BOM!$A$4:$B$35,2,FALSE)</f>
        <v>2154</v>
      </c>
      <c r="H601" s="59" t="str">
        <f>BOM!$C$4</f>
        <v>VGW-103</v>
      </c>
      <c r="I601" s="59" t="str">
        <f>IFERROR(VLOOKUP(Tabelle32[[#This Row],[Device ID]],BOM!$B$3:$BQ$35,12,FALSE),"")</f>
        <v>Edit Suite</v>
      </c>
      <c r="J601" s="59" t="str">
        <f>IFERROR(VLOOKUP(Tabelle32[[#This Row],[Device ID]],BOM!$B$3:$BQ$35,13,FALSE),"")</f>
        <v>TC.U1.223 | MDC</v>
      </c>
      <c r="K601" s="59" t="str">
        <f>IFERROR(VLOOKUP(Tabelle32[[#This Row],[Device ID]],BOM!$B$3:$BQ$35,14,FALSE),"")</f>
        <v>Imagine Comunications</v>
      </c>
      <c r="L601" s="59" t="str">
        <f>IFERROR(VLOOKUP(Tabelle32[[#This Row],[Device ID]],BOM!$B$3:$BQ$35,16,FALSE),"")</f>
        <v>EditPC-21</v>
      </c>
      <c r="M601" s="63" t="str">
        <f>IFERROR(VLOOKUP(Tabelle32[[#This Row],[Device ID]],BOM!$B$3:$BQ$35,17,FALSE),"")</f>
        <v>EDIT SUITE 21</v>
      </c>
      <c r="N601" s="59" t="str">
        <f>IFERROR(VLOOKUP(Tabelle32[[#This Row],[Device ID]],BOM!$B$3:$BQ$35,18,FALSE),"")</f>
        <v>NEBEZ.V3.17 | Edit 21</v>
      </c>
      <c r="O601" s="64"/>
      <c r="P601" s="64">
        <f>IFERROR(VLOOKUP(Tabelle32[[#This Row],[Device ID]],BOM!$B$3:$BO$50,20,FALSE),"")</f>
        <v>0</v>
      </c>
      <c r="Q601" s="64">
        <f>IFERROR(VLOOKUP(Tabelle32[[#This Row],[Device ID]],BOM!$B$3:$BO$50,21,FALSE),"")</f>
        <v>1</v>
      </c>
      <c r="R601" s="64">
        <f>IFERROR(VLOOKUP(Tabelle32[[#This Row],[Device ID]],BOM!$B$3:$BO$50,22,FALSE),"")</f>
        <v>0</v>
      </c>
      <c r="S601" s="64"/>
      <c r="T601" s="64"/>
      <c r="U601" s="59" t="str">
        <f>IFERROR(VLOOKUP(Tabelle32[[#This Row],[Device ID]],BOM!$B$3:$BQ$35,25,FALSE),"")</f>
        <v>Luis/Ivo</v>
      </c>
      <c r="V601" s="59" t="str">
        <f>IFERROR(VLOOKUP(Tabelle32[[#This Row],[Device ID]],BOM!$B$3:$BQ$35,26,FALSE),"")</f>
        <v>tpco-megw-vgw103.rta.st-net.media.int</v>
      </c>
      <c r="W601" s="59" t="str">
        <f>IFERROR(VLOOKUP(Tabelle32[[#This Row],[Device ID]],BOM!$B$3:$BQ$35,27,FALSE),"")</f>
        <v>10.120.236.50</v>
      </c>
      <c r="X601" s="59" t="str">
        <f>IFERROR(VLOOKUP(Tabelle32[[#This Row],[Device ID]],BOM!$B$3:$BQ$35,28,FALSE),"")</f>
        <v>AVCoreA</v>
      </c>
      <c r="Y601" s="59" t="str">
        <f>IFERROR(VLOOKUP(Tabelle32[[#This Row],[Device ID]],BOM!$B$3:$BQ$35,29,FALSE),"")</f>
        <v>5_36_1</v>
      </c>
      <c r="Z601" s="59" t="str">
        <f>IFERROR(VLOOKUP(Tabelle32[[#This Row],[Device ID]],BOM!$B$3:$BQ$35,30,FALSE),"")</f>
        <v>tpco-megw-vgw103.rtb.st-net.media.int</v>
      </c>
      <c r="AA601" s="59" t="str">
        <f>IFERROR(VLOOKUP(Tabelle32[[#This Row],[Device ID]],BOM!$B$3:$BQ$35,31,FALSE),"")</f>
        <v>10.120.236.54</v>
      </c>
      <c r="AB601" s="59" t="str">
        <f>IFERROR(VLOOKUP(Tabelle32[[#This Row],[Device ID]],BOM!$B$3:$BQ$35,32,FALSE),"")</f>
        <v>AVCoreB</v>
      </c>
      <c r="AC601" s="59" t="str">
        <f>IFERROR(VLOOKUP(Tabelle32[[#This Row],[Device ID]],BOM!$B$3:$BQ$35,33,FALSE),"")</f>
        <v>5_36_1</v>
      </c>
      <c r="AD601" s="59" t="str">
        <f>IFERROR(VLOOKUP(Tabelle32[[#This Row],[Device ID]],BOM!$B$3:$BQ$35,34,FALSE),"")</f>
        <v>tpco-megw-vgw103.st-net.media.int</v>
      </c>
      <c r="AE601" s="59" t="str">
        <f>IFERROR(VLOOKUP(Tabelle32[[#This Row],[Device ID]],BOM!$B$3:$BQ$35,35,FALSE),"")</f>
        <v>10.120.67.141</v>
      </c>
      <c r="AF601" s="59">
        <f>IFERROR(VLOOKUP(Tabelle32[[#This Row],[Device ID]],BOM!$B$3:$BQ$35,36,FALSE),"")</f>
        <v>0</v>
      </c>
      <c r="AG601" s="59">
        <f>IFERROR(VLOOKUP(Tabelle32[[#This Row],[Device ID]],BOM!$B$3:$BQ$35,37,FALSE),"")</f>
        <v>0</v>
      </c>
      <c r="AH601" s="59"/>
      <c r="AI601" s="59"/>
      <c r="AJ601" s="59"/>
      <c r="AK601" s="59"/>
      <c r="AL601" s="59" t="str">
        <f>IFERROR(VLOOKUP(Tabelle32[[#This Row],[Device ID]],BOM!$B$3:$BQ$35,42,FALSE),"")</f>
        <v>Imagine Communications SNP</v>
      </c>
      <c r="AM601" s="59" t="str">
        <f>IFERROR(VLOOKUP(Tabelle32[[#This Row],[Device ID]],BOM!$B$3:$BQ$35,43,FALSE),"")</f>
        <v>no</v>
      </c>
      <c r="AN601" s="59" t="str">
        <f>IFERROR(VLOOKUP(Tabelle32[[#This Row],[Device ID]],BOM!$B$3:$BQ$35,44,FALSE),"")</f>
        <v>yes</v>
      </c>
      <c r="AO601" s="59" t="str">
        <f>IFERROR(VLOOKUP(Tabelle32[[#This Row],[Device ID]],BOM!$B$3:$BQ$35,45,FALSE),"")</f>
        <v>no</v>
      </c>
      <c r="AP601" s="59" t="str">
        <f>IFERROR(CONCATENATE(Tabelle32[[#This Row],[Family
GFX-Unit]]," | ",Tabelle32[[#This Row],[Label 1
GFX-Unit]]," | ",Tabelle32[[#This Row],[Attached Device if Gateway]]),"")</f>
        <v>MEDEM Edits Out | Out Edit21-07 | EditPC-21</v>
      </c>
      <c r="AQ601" s="59"/>
      <c r="AR601" s="92"/>
      <c r="AS601" s="92"/>
      <c r="AT601" s="92"/>
      <c r="AU601" s="92"/>
      <c r="AV601" s="92"/>
      <c r="AW601" s="92"/>
      <c r="AX601" s="92" t="s">
        <v>199</v>
      </c>
      <c r="AY601" s="92" t="s">
        <v>199</v>
      </c>
      <c r="AZ601" s="92" t="s">
        <v>97</v>
      </c>
      <c r="BA601" s="92"/>
      <c r="BB601" s="92"/>
      <c r="BC601" s="92"/>
      <c r="BD601" s="92"/>
      <c r="BE601" s="92"/>
      <c r="BF601" s="92"/>
      <c r="BG601" s="92"/>
      <c r="BH601" s="73" t="s">
        <v>199</v>
      </c>
      <c r="BI601" s="30" t="str">
        <f>IF(COUNTA(Tabelle32[[#This Row],[Type:Vid_1080i50]:[Type:Anc_Prot]])&gt;0,"x","")</f>
        <v>x</v>
      </c>
      <c r="BJ60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01" s="59"/>
      <c r="BL601" s="59"/>
      <c r="BM601" s="63"/>
      <c r="BN601" s="63"/>
      <c r="BO601" s="97" t="s">
        <v>732</v>
      </c>
      <c r="BP601" s="97" t="s">
        <v>1098</v>
      </c>
      <c r="BQ601" s="75">
        <f>LEN(Tabelle32[[#This Row],[Label 1
GFX-Unit]])</f>
        <v>13</v>
      </c>
      <c r="BR601" s="63"/>
      <c r="BS601" s="63"/>
      <c r="BT601" s="59"/>
      <c r="BU601" s="59"/>
      <c r="BV601" s="59" t="s">
        <v>238</v>
      </c>
      <c r="BW601" s="59" t="s">
        <v>239</v>
      </c>
      <c r="BX601" s="59" t="s">
        <v>1099</v>
      </c>
      <c r="BY601" s="59">
        <v>29</v>
      </c>
    </row>
    <row r="602" spans="1:77" x14ac:dyDescent="0.2">
      <c r="A602" s="58" t="str">
        <f>CONCATENATE(Tabelle32[[#This Row],[Device ID]],".",Tabelle32[[#This Row],[Streamcounter]])</f>
        <v>2154.29208</v>
      </c>
      <c r="B60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VGW-103_SDI29_AUDsend_0008</v>
      </c>
      <c r="C602" s="67"/>
      <c r="D602" s="61"/>
      <c r="E602" s="67"/>
      <c r="F602" s="59" t="str">
        <f>IFERROR(VLOOKUP(Tabelle32[[#This Row],[Device ID]],BOM!$B$3:$BQ$35,16,FALSE),"")</f>
        <v>EditPC-21</v>
      </c>
      <c r="G602" s="63">
        <f>VLOOKUP(Tabelle32[[#This Row],[SDI Interface]],BOM!$A$4:$B$35,2,FALSE)</f>
        <v>2154</v>
      </c>
      <c r="H602" s="59" t="str">
        <f>BOM!$C$4</f>
        <v>VGW-103</v>
      </c>
      <c r="I602" s="59" t="str">
        <f>IFERROR(VLOOKUP(Tabelle32[[#This Row],[Device ID]],BOM!$B$3:$BQ$35,12,FALSE),"")</f>
        <v>Edit Suite</v>
      </c>
      <c r="J602" s="59" t="str">
        <f>IFERROR(VLOOKUP(Tabelle32[[#This Row],[Device ID]],BOM!$B$3:$BQ$35,13,FALSE),"")</f>
        <v>TC.U1.223 | MDC</v>
      </c>
      <c r="K602" s="59" t="str">
        <f>IFERROR(VLOOKUP(Tabelle32[[#This Row],[Device ID]],BOM!$B$3:$BQ$35,14,FALSE),"")</f>
        <v>Imagine Comunications</v>
      </c>
      <c r="L602" s="59" t="str">
        <f>IFERROR(VLOOKUP(Tabelle32[[#This Row],[Device ID]],BOM!$B$3:$BQ$35,16,FALSE),"")</f>
        <v>EditPC-21</v>
      </c>
      <c r="M602" s="63" t="str">
        <f>IFERROR(VLOOKUP(Tabelle32[[#This Row],[Device ID]],BOM!$B$3:$BQ$35,17,FALSE),"")</f>
        <v>EDIT SUITE 21</v>
      </c>
      <c r="N602" s="59" t="str">
        <f>IFERROR(VLOOKUP(Tabelle32[[#This Row],[Device ID]],BOM!$B$3:$BQ$35,18,FALSE),"")</f>
        <v>NEBEZ.V3.17 | Edit 21</v>
      </c>
      <c r="O602" s="64"/>
      <c r="P602" s="64">
        <f>IFERROR(VLOOKUP(Tabelle32[[#This Row],[Device ID]],BOM!$B$3:$BO$50,20,FALSE),"")</f>
        <v>0</v>
      </c>
      <c r="Q602" s="64">
        <f>IFERROR(VLOOKUP(Tabelle32[[#This Row],[Device ID]],BOM!$B$3:$BO$50,21,FALSE),"")</f>
        <v>1</v>
      </c>
      <c r="R602" s="64">
        <f>IFERROR(VLOOKUP(Tabelle32[[#This Row],[Device ID]],BOM!$B$3:$BO$50,22,FALSE),"")</f>
        <v>0</v>
      </c>
      <c r="S602" s="64"/>
      <c r="T602" s="64"/>
      <c r="U602" s="59" t="str">
        <f>IFERROR(VLOOKUP(Tabelle32[[#This Row],[Device ID]],BOM!$B$3:$BQ$35,25,FALSE),"")</f>
        <v>Luis/Ivo</v>
      </c>
      <c r="V602" s="59" t="str">
        <f>IFERROR(VLOOKUP(Tabelle32[[#This Row],[Device ID]],BOM!$B$3:$BQ$35,26,FALSE),"")</f>
        <v>tpco-megw-vgw103.rta.st-net.media.int</v>
      </c>
      <c r="W602" s="59" t="str">
        <f>IFERROR(VLOOKUP(Tabelle32[[#This Row],[Device ID]],BOM!$B$3:$BQ$35,27,FALSE),"")</f>
        <v>10.120.236.50</v>
      </c>
      <c r="X602" s="59" t="str">
        <f>IFERROR(VLOOKUP(Tabelle32[[#This Row],[Device ID]],BOM!$B$3:$BQ$35,28,FALSE),"")</f>
        <v>AVCoreA</v>
      </c>
      <c r="Y602" s="59" t="str">
        <f>IFERROR(VLOOKUP(Tabelle32[[#This Row],[Device ID]],BOM!$B$3:$BQ$35,29,FALSE),"")</f>
        <v>5_36_1</v>
      </c>
      <c r="Z602" s="59" t="str">
        <f>IFERROR(VLOOKUP(Tabelle32[[#This Row],[Device ID]],BOM!$B$3:$BQ$35,30,FALSE),"")</f>
        <v>tpco-megw-vgw103.rtb.st-net.media.int</v>
      </c>
      <c r="AA602" s="59" t="str">
        <f>IFERROR(VLOOKUP(Tabelle32[[#This Row],[Device ID]],BOM!$B$3:$BQ$35,31,FALSE),"")</f>
        <v>10.120.236.54</v>
      </c>
      <c r="AB602" s="59" t="str">
        <f>IFERROR(VLOOKUP(Tabelle32[[#This Row],[Device ID]],BOM!$B$3:$BQ$35,32,FALSE),"")</f>
        <v>AVCoreB</v>
      </c>
      <c r="AC602" s="59" t="str">
        <f>IFERROR(VLOOKUP(Tabelle32[[#This Row],[Device ID]],BOM!$B$3:$BQ$35,33,FALSE),"")</f>
        <v>5_36_1</v>
      </c>
      <c r="AD602" s="59" t="str">
        <f>IFERROR(VLOOKUP(Tabelle32[[#This Row],[Device ID]],BOM!$B$3:$BQ$35,34,FALSE),"")</f>
        <v>tpco-megw-vgw103.st-net.media.int</v>
      </c>
      <c r="AE602" s="59" t="str">
        <f>IFERROR(VLOOKUP(Tabelle32[[#This Row],[Device ID]],BOM!$B$3:$BQ$35,35,FALSE),"")</f>
        <v>10.120.67.141</v>
      </c>
      <c r="AF602" s="59">
        <f>IFERROR(VLOOKUP(Tabelle32[[#This Row],[Device ID]],BOM!$B$3:$BQ$35,36,FALSE),"")</f>
        <v>0</v>
      </c>
      <c r="AG602" s="59">
        <f>IFERROR(VLOOKUP(Tabelle32[[#This Row],[Device ID]],BOM!$B$3:$BQ$35,37,FALSE),"")</f>
        <v>0</v>
      </c>
      <c r="AH602" s="59"/>
      <c r="AI602" s="59"/>
      <c r="AJ602" s="59"/>
      <c r="AK602" s="59"/>
      <c r="AL602" s="59" t="str">
        <f>IFERROR(VLOOKUP(Tabelle32[[#This Row],[Device ID]],BOM!$B$3:$BQ$35,42,FALSE),"")</f>
        <v>Imagine Communications SNP</v>
      </c>
      <c r="AM602" s="59" t="str">
        <f>IFERROR(VLOOKUP(Tabelle32[[#This Row],[Device ID]],BOM!$B$3:$BQ$35,43,FALSE),"")</f>
        <v>no</v>
      </c>
      <c r="AN602" s="59" t="str">
        <f>IFERROR(VLOOKUP(Tabelle32[[#This Row],[Device ID]],BOM!$B$3:$BQ$35,44,FALSE),"")</f>
        <v>yes</v>
      </c>
      <c r="AO602" s="59" t="str">
        <f>IFERROR(VLOOKUP(Tabelle32[[#This Row],[Device ID]],BOM!$B$3:$BQ$35,45,FALSE),"")</f>
        <v>no</v>
      </c>
      <c r="AP602" s="59" t="str">
        <f>IFERROR(CONCATENATE(Tabelle32[[#This Row],[Family
GFX-Unit]]," | ",Tabelle32[[#This Row],[Label 1
GFX-Unit]]," | ",Tabelle32[[#This Row],[Attached Device if Gateway]]),"")</f>
        <v>MEDEM Edits Out | Out Edit21-08 | EditPC-21</v>
      </c>
      <c r="AQ602" s="59"/>
      <c r="AR602" s="92"/>
      <c r="AS602" s="92"/>
      <c r="AT602" s="92"/>
      <c r="AU602" s="92"/>
      <c r="AV602" s="92"/>
      <c r="AW602" s="92"/>
      <c r="AX602" s="92"/>
      <c r="AY602" s="92"/>
      <c r="AZ602" s="92"/>
      <c r="BA602" s="92"/>
      <c r="BB602" s="92"/>
      <c r="BC602" s="92" t="s">
        <v>97</v>
      </c>
      <c r="BD602" s="92"/>
      <c r="BE602" s="92"/>
      <c r="BF602" s="92"/>
      <c r="BG602" s="92"/>
      <c r="BH602" s="73" t="s">
        <v>199</v>
      </c>
      <c r="BI602" s="30" t="str">
        <f>IF(COUNTA(Tabelle32[[#This Row],[Type:Vid_1080i50]:[Type:Anc_Prot]])&gt;0,"x","")</f>
        <v>x</v>
      </c>
      <c r="BJ60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602" s="59"/>
      <c r="BL602" s="59"/>
      <c r="BM602" s="63"/>
      <c r="BN602" s="63"/>
      <c r="BO602" s="97" t="s">
        <v>732</v>
      </c>
      <c r="BP602" s="97" t="s">
        <v>1100</v>
      </c>
      <c r="BQ602" s="75">
        <f>LEN(Tabelle32[[#This Row],[Label 1
GFX-Unit]])</f>
        <v>13</v>
      </c>
      <c r="BR602" s="63"/>
      <c r="BS602" s="63"/>
      <c r="BT602" s="59"/>
      <c r="BU602" s="59"/>
      <c r="BV602" s="59" t="s">
        <v>242</v>
      </c>
      <c r="BW602" s="59" t="s">
        <v>243</v>
      </c>
      <c r="BX602" s="59" t="s">
        <v>1101</v>
      </c>
      <c r="BY602" s="59">
        <v>29</v>
      </c>
    </row>
    <row r="603" spans="1:77" hidden="1" x14ac:dyDescent="0.2">
      <c r="A603" s="58" t="str">
        <f>CONCATENATE(Tabelle32[[#This Row],[Device ID]],".",Tabelle32[[#This Row],[Streamcounter]])</f>
        <v>2154.29209</v>
      </c>
      <c r="B60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VGW-103_SDI29_AUDsend_0009</v>
      </c>
      <c r="C603" s="67"/>
      <c r="D603" s="61"/>
      <c r="E603" s="67"/>
      <c r="F603" s="59" t="str">
        <f>IFERROR(VLOOKUP(Tabelle32[[#This Row],[Device ID]],BOM!$B$3:$BQ$35,16,FALSE),"")</f>
        <v>EditPC-21</v>
      </c>
      <c r="G603" s="63">
        <f>VLOOKUP(Tabelle32[[#This Row],[SDI Interface]],BOM!$A$4:$B$35,2,FALSE)</f>
        <v>2154</v>
      </c>
      <c r="H603" s="59" t="str">
        <f>BOM!$C$4</f>
        <v>VGW-103</v>
      </c>
      <c r="I603" s="59" t="str">
        <f>IFERROR(VLOOKUP(Tabelle32[[#This Row],[Device ID]],BOM!$B$3:$BQ$35,12,FALSE),"")</f>
        <v>Edit Suite</v>
      </c>
      <c r="J603" s="59" t="str">
        <f>IFERROR(VLOOKUP(Tabelle32[[#This Row],[Device ID]],BOM!$B$3:$BQ$35,13,FALSE),"")</f>
        <v>TC.U1.223 | MDC</v>
      </c>
      <c r="K603" s="59" t="str">
        <f>IFERROR(VLOOKUP(Tabelle32[[#This Row],[Device ID]],BOM!$B$3:$BQ$35,14,FALSE),"")</f>
        <v>Imagine Comunications</v>
      </c>
      <c r="L603" s="59" t="str">
        <f>IFERROR(VLOOKUP(Tabelle32[[#This Row],[Device ID]],BOM!$B$3:$BQ$35,16,FALSE),"")</f>
        <v>EditPC-21</v>
      </c>
      <c r="M603" s="63" t="str">
        <f>IFERROR(VLOOKUP(Tabelle32[[#This Row],[Device ID]],BOM!$B$3:$BQ$35,17,FALSE),"")</f>
        <v>EDIT SUITE 21</v>
      </c>
      <c r="N603" s="59" t="str">
        <f>IFERROR(VLOOKUP(Tabelle32[[#This Row],[Device ID]],BOM!$B$3:$BQ$35,18,FALSE),"")</f>
        <v>NEBEZ.V3.17 | Edit 21</v>
      </c>
      <c r="O603" s="64"/>
      <c r="P603" s="64">
        <f>IFERROR(VLOOKUP(Tabelle32[[#This Row],[Device ID]],BOM!$B$3:$BO$50,20,FALSE),"")</f>
        <v>0</v>
      </c>
      <c r="Q603" s="64">
        <f>IFERROR(VLOOKUP(Tabelle32[[#This Row],[Device ID]],BOM!$B$3:$BO$50,21,FALSE),"")</f>
        <v>1</v>
      </c>
      <c r="R603" s="64">
        <f>IFERROR(VLOOKUP(Tabelle32[[#This Row],[Device ID]],BOM!$B$3:$BO$50,22,FALSE),"")</f>
        <v>0</v>
      </c>
      <c r="S603" s="64"/>
      <c r="T603" s="64"/>
      <c r="U603" s="59" t="str">
        <f>IFERROR(VLOOKUP(Tabelle32[[#This Row],[Device ID]],BOM!$B$3:$BQ$35,25,FALSE),"")</f>
        <v>Luis/Ivo</v>
      </c>
      <c r="V603" s="59" t="str">
        <f>IFERROR(VLOOKUP(Tabelle32[[#This Row],[Device ID]],BOM!$B$3:$BQ$35,26,FALSE),"")</f>
        <v>tpco-megw-vgw103.rta.st-net.media.int</v>
      </c>
      <c r="W603" s="59" t="str">
        <f>IFERROR(VLOOKUP(Tabelle32[[#This Row],[Device ID]],BOM!$B$3:$BQ$35,27,FALSE),"")</f>
        <v>10.120.236.50</v>
      </c>
      <c r="X603" s="59" t="str">
        <f>IFERROR(VLOOKUP(Tabelle32[[#This Row],[Device ID]],BOM!$B$3:$BQ$35,28,FALSE),"")</f>
        <v>AVCoreA</v>
      </c>
      <c r="Y603" s="59" t="str">
        <f>IFERROR(VLOOKUP(Tabelle32[[#This Row],[Device ID]],BOM!$B$3:$BQ$35,29,FALSE),"")</f>
        <v>5_36_1</v>
      </c>
      <c r="Z603" s="59" t="str">
        <f>IFERROR(VLOOKUP(Tabelle32[[#This Row],[Device ID]],BOM!$B$3:$BQ$35,30,FALSE),"")</f>
        <v>tpco-megw-vgw103.rtb.st-net.media.int</v>
      </c>
      <c r="AA603" s="59" t="str">
        <f>IFERROR(VLOOKUP(Tabelle32[[#This Row],[Device ID]],BOM!$B$3:$BQ$35,31,FALSE),"")</f>
        <v>10.120.236.54</v>
      </c>
      <c r="AB603" s="59" t="str">
        <f>IFERROR(VLOOKUP(Tabelle32[[#This Row],[Device ID]],BOM!$B$3:$BQ$35,32,FALSE),"")</f>
        <v>AVCoreB</v>
      </c>
      <c r="AC603" s="59" t="str">
        <f>IFERROR(VLOOKUP(Tabelle32[[#This Row],[Device ID]],BOM!$B$3:$BQ$35,33,FALSE),"")</f>
        <v>5_36_1</v>
      </c>
      <c r="AD603" s="59" t="str">
        <f>IFERROR(VLOOKUP(Tabelle32[[#This Row],[Device ID]],BOM!$B$3:$BQ$35,34,FALSE),"")</f>
        <v>tpco-megw-vgw103.st-net.media.int</v>
      </c>
      <c r="AE603" s="59" t="str">
        <f>IFERROR(VLOOKUP(Tabelle32[[#This Row],[Device ID]],BOM!$B$3:$BQ$35,35,FALSE),"")</f>
        <v>10.120.67.141</v>
      </c>
      <c r="AF603" s="59">
        <f>IFERROR(VLOOKUP(Tabelle32[[#This Row],[Device ID]],BOM!$B$3:$BQ$35,36,FALSE),"")</f>
        <v>0</v>
      </c>
      <c r="AG603" s="59">
        <f>IFERROR(VLOOKUP(Tabelle32[[#This Row],[Device ID]],BOM!$B$3:$BQ$35,37,FALSE),"")</f>
        <v>0</v>
      </c>
      <c r="AH603" s="59"/>
      <c r="AI603" s="59"/>
      <c r="AJ603" s="59"/>
      <c r="AK603" s="59"/>
      <c r="AL603" s="59" t="str">
        <f>IFERROR(VLOOKUP(Tabelle32[[#This Row],[Device ID]],BOM!$B$3:$BQ$35,42,FALSE),"")</f>
        <v>Imagine Communications SNP</v>
      </c>
      <c r="AM603" s="59" t="str">
        <f>IFERROR(VLOOKUP(Tabelle32[[#This Row],[Device ID]],BOM!$B$3:$BQ$35,43,FALSE),"")</f>
        <v>no</v>
      </c>
      <c r="AN603" s="59" t="str">
        <f>IFERROR(VLOOKUP(Tabelle32[[#This Row],[Device ID]],BOM!$B$3:$BQ$35,44,FALSE),"")</f>
        <v>yes</v>
      </c>
      <c r="AO603" s="59" t="str">
        <f>IFERROR(VLOOKUP(Tabelle32[[#This Row],[Device ID]],BOM!$B$3:$BQ$35,45,FALSE),"")</f>
        <v>no</v>
      </c>
      <c r="AP603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603" s="59"/>
      <c r="AR603" s="90"/>
      <c r="AS603" s="90"/>
      <c r="AT603" s="90"/>
      <c r="AU603" s="90"/>
      <c r="AV603" s="90"/>
      <c r="AW603" s="90"/>
      <c r="AX603" s="90"/>
      <c r="AY603" s="90"/>
      <c r="AZ603" s="90"/>
      <c r="BA603" s="90"/>
      <c r="BB603" s="90"/>
      <c r="BC603" s="90"/>
      <c r="BD603" s="90"/>
      <c r="BE603" s="90"/>
      <c r="BF603" s="90"/>
      <c r="BG603" s="90"/>
      <c r="BH603" s="73" t="s">
        <v>199</v>
      </c>
      <c r="BI603" s="30" t="str">
        <f>IF(COUNTA(Tabelle32[[#This Row],[Type:Vid_1080i50]:[Type:Anc_Prot]])&gt;0,"x","")</f>
        <v/>
      </c>
      <c r="BJ60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03" s="59"/>
      <c r="BL603" s="59"/>
      <c r="BM603" s="63"/>
      <c r="BN603" s="63"/>
      <c r="BO603" s="96"/>
      <c r="BP603" s="96"/>
      <c r="BQ603" s="75">
        <f>LEN(Tabelle32[[#This Row],[Label 1
GFX-Unit]])</f>
        <v>0</v>
      </c>
      <c r="BR603" s="63"/>
      <c r="BS603" s="63"/>
      <c r="BT603" s="59"/>
      <c r="BU603" s="59"/>
      <c r="BV603" s="59" t="s">
        <v>245</v>
      </c>
      <c r="BW603" s="59" t="s">
        <v>246</v>
      </c>
      <c r="BX603" s="59" t="s">
        <v>1102</v>
      </c>
      <c r="BY603" s="59">
        <v>29</v>
      </c>
    </row>
    <row r="604" spans="1:77" hidden="1" x14ac:dyDescent="0.2">
      <c r="A604" s="58" t="str">
        <f>CONCATENATE(Tabelle32[[#This Row],[Device ID]],".",Tabelle32[[#This Row],[Streamcounter]])</f>
        <v>2154.29210</v>
      </c>
      <c r="B60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VGW-103_SDI29_AUDsend_0010</v>
      </c>
      <c r="C604" s="67"/>
      <c r="D604" s="61"/>
      <c r="E604" s="67"/>
      <c r="F604" s="59" t="str">
        <f>IFERROR(VLOOKUP(Tabelle32[[#This Row],[Device ID]],BOM!$B$3:$BQ$35,16,FALSE),"")</f>
        <v>EditPC-21</v>
      </c>
      <c r="G604" s="63">
        <f>VLOOKUP(Tabelle32[[#This Row],[SDI Interface]],BOM!$A$4:$B$35,2,FALSE)</f>
        <v>2154</v>
      </c>
      <c r="H604" s="59" t="str">
        <f>BOM!$C$4</f>
        <v>VGW-103</v>
      </c>
      <c r="I604" s="59" t="str">
        <f>IFERROR(VLOOKUP(Tabelle32[[#This Row],[Device ID]],BOM!$B$3:$BQ$35,12,FALSE),"")</f>
        <v>Edit Suite</v>
      </c>
      <c r="J604" s="59" t="str">
        <f>IFERROR(VLOOKUP(Tabelle32[[#This Row],[Device ID]],BOM!$B$3:$BQ$35,13,FALSE),"")</f>
        <v>TC.U1.223 | MDC</v>
      </c>
      <c r="K604" s="59" t="str">
        <f>IFERROR(VLOOKUP(Tabelle32[[#This Row],[Device ID]],BOM!$B$3:$BQ$35,14,FALSE),"")</f>
        <v>Imagine Comunications</v>
      </c>
      <c r="L604" s="59" t="str">
        <f>IFERROR(VLOOKUP(Tabelle32[[#This Row],[Device ID]],BOM!$B$3:$BQ$35,16,FALSE),"")</f>
        <v>EditPC-21</v>
      </c>
      <c r="M604" s="63" t="str">
        <f>IFERROR(VLOOKUP(Tabelle32[[#This Row],[Device ID]],BOM!$B$3:$BQ$35,17,FALSE),"")</f>
        <v>EDIT SUITE 21</v>
      </c>
      <c r="N604" s="59" t="str">
        <f>IFERROR(VLOOKUP(Tabelle32[[#This Row],[Device ID]],BOM!$B$3:$BQ$35,18,FALSE),"")</f>
        <v>NEBEZ.V3.17 | Edit 21</v>
      </c>
      <c r="O604" s="64"/>
      <c r="P604" s="64">
        <f>IFERROR(VLOOKUP(Tabelle32[[#This Row],[Device ID]],BOM!$B$3:$BO$50,20,FALSE),"")</f>
        <v>0</v>
      </c>
      <c r="Q604" s="64">
        <f>IFERROR(VLOOKUP(Tabelle32[[#This Row],[Device ID]],BOM!$B$3:$BO$50,21,FALSE),"")</f>
        <v>1</v>
      </c>
      <c r="R604" s="64">
        <f>IFERROR(VLOOKUP(Tabelle32[[#This Row],[Device ID]],BOM!$B$3:$BO$50,22,FALSE),"")</f>
        <v>0</v>
      </c>
      <c r="S604" s="64"/>
      <c r="T604" s="64"/>
      <c r="U604" s="59" t="str">
        <f>IFERROR(VLOOKUP(Tabelle32[[#This Row],[Device ID]],BOM!$B$3:$BQ$35,25,FALSE),"")</f>
        <v>Luis/Ivo</v>
      </c>
      <c r="V604" s="59" t="str">
        <f>IFERROR(VLOOKUP(Tabelle32[[#This Row],[Device ID]],BOM!$B$3:$BQ$35,26,FALSE),"")</f>
        <v>tpco-megw-vgw103.rta.st-net.media.int</v>
      </c>
      <c r="W604" s="59" t="str">
        <f>IFERROR(VLOOKUP(Tabelle32[[#This Row],[Device ID]],BOM!$B$3:$BQ$35,27,FALSE),"")</f>
        <v>10.120.236.50</v>
      </c>
      <c r="X604" s="59" t="str">
        <f>IFERROR(VLOOKUP(Tabelle32[[#This Row],[Device ID]],BOM!$B$3:$BQ$35,28,FALSE),"")</f>
        <v>AVCoreA</v>
      </c>
      <c r="Y604" s="59" t="str">
        <f>IFERROR(VLOOKUP(Tabelle32[[#This Row],[Device ID]],BOM!$B$3:$BQ$35,29,FALSE),"")</f>
        <v>5_36_1</v>
      </c>
      <c r="Z604" s="59" t="str">
        <f>IFERROR(VLOOKUP(Tabelle32[[#This Row],[Device ID]],BOM!$B$3:$BQ$35,30,FALSE),"")</f>
        <v>tpco-megw-vgw103.rtb.st-net.media.int</v>
      </c>
      <c r="AA604" s="59" t="str">
        <f>IFERROR(VLOOKUP(Tabelle32[[#This Row],[Device ID]],BOM!$B$3:$BQ$35,31,FALSE),"")</f>
        <v>10.120.236.54</v>
      </c>
      <c r="AB604" s="59" t="str">
        <f>IFERROR(VLOOKUP(Tabelle32[[#This Row],[Device ID]],BOM!$B$3:$BQ$35,32,FALSE),"")</f>
        <v>AVCoreB</v>
      </c>
      <c r="AC604" s="59" t="str">
        <f>IFERROR(VLOOKUP(Tabelle32[[#This Row],[Device ID]],BOM!$B$3:$BQ$35,33,FALSE),"")</f>
        <v>5_36_1</v>
      </c>
      <c r="AD604" s="59" t="str">
        <f>IFERROR(VLOOKUP(Tabelle32[[#This Row],[Device ID]],BOM!$B$3:$BQ$35,34,FALSE),"")</f>
        <v>tpco-megw-vgw103.st-net.media.int</v>
      </c>
      <c r="AE604" s="59" t="str">
        <f>IFERROR(VLOOKUP(Tabelle32[[#This Row],[Device ID]],BOM!$B$3:$BQ$35,35,FALSE),"")</f>
        <v>10.120.67.141</v>
      </c>
      <c r="AF604" s="59">
        <f>IFERROR(VLOOKUP(Tabelle32[[#This Row],[Device ID]],BOM!$B$3:$BQ$35,36,FALSE),"")</f>
        <v>0</v>
      </c>
      <c r="AG604" s="59">
        <f>IFERROR(VLOOKUP(Tabelle32[[#This Row],[Device ID]],BOM!$B$3:$BQ$35,37,FALSE),"")</f>
        <v>0</v>
      </c>
      <c r="AH604" s="59"/>
      <c r="AI604" s="59"/>
      <c r="AJ604" s="59"/>
      <c r="AK604" s="59"/>
      <c r="AL604" s="59" t="str">
        <f>IFERROR(VLOOKUP(Tabelle32[[#This Row],[Device ID]],BOM!$B$3:$BQ$35,42,FALSE),"")</f>
        <v>Imagine Communications SNP</v>
      </c>
      <c r="AM604" s="59" t="str">
        <f>IFERROR(VLOOKUP(Tabelle32[[#This Row],[Device ID]],BOM!$B$3:$BQ$35,43,FALSE),"")</f>
        <v>no</v>
      </c>
      <c r="AN604" s="59" t="str">
        <f>IFERROR(VLOOKUP(Tabelle32[[#This Row],[Device ID]],BOM!$B$3:$BQ$35,44,FALSE),"")</f>
        <v>yes</v>
      </c>
      <c r="AO604" s="59" t="str">
        <f>IFERROR(VLOOKUP(Tabelle32[[#This Row],[Device ID]],BOM!$B$3:$BQ$35,45,FALSE),"")</f>
        <v>no</v>
      </c>
      <c r="AP604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604" s="59"/>
      <c r="AR604" s="90"/>
      <c r="AS604" s="90"/>
      <c r="AT604" s="90"/>
      <c r="AU604" s="90"/>
      <c r="AV604" s="90"/>
      <c r="AW604" s="90"/>
      <c r="AX604" s="90"/>
      <c r="AY604" s="90"/>
      <c r="AZ604" s="90"/>
      <c r="BA604" s="90"/>
      <c r="BB604" s="90"/>
      <c r="BC604" s="90"/>
      <c r="BD604" s="90"/>
      <c r="BE604" s="90"/>
      <c r="BF604" s="90"/>
      <c r="BG604" s="90"/>
      <c r="BH604" s="73" t="s">
        <v>199</v>
      </c>
      <c r="BI604" s="30" t="str">
        <f>IF(COUNTA(Tabelle32[[#This Row],[Type:Vid_1080i50]:[Type:Anc_Prot]])&gt;0,"x","")</f>
        <v/>
      </c>
      <c r="BJ60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04" s="59"/>
      <c r="BL604" s="59"/>
      <c r="BM604" s="63"/>
      <c r="BN604" s="63"/>
      <c r="BO604" s="96"/>
      <c r="BP604" s="96"/>
      <c r="BQ604" s="75">
        <f>LEN(Tabelle32[[#This Row],[Label 1
GFX-Unit]])</f>
        <v>0</v>
      </c>
      <c r="BR604" s="63"/>
      <c r="BS604" s="63"/>
      <c r="BT604" s="59"/>
      <c r="BU604" s="59"/>
      <c r="BV604" s="59" t="s">
        <v>248</v>
      </c>
      <c r="BW604" s="59" t="s">
        <v>249</v>
      </c>
      <c r="BX604" s="59" t="s">
        <v>1103</v>
      </c>
      <c r="BY604" s="59">
        <v>29</v>
      </c>
    </row>
    <row r="605" spans="1:77" hidden="1" x14ac:dyDescent="0.2">
      <c r="A605" s="58" t="str">
        <f>CONCATENATE(Tabelle32[[#This Row],[Device ID]],".",Tabelle32[[#This Row],[Streamcounter]])</f>
        <v>2154.29211</v>
      </c>
      <c r="B60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VGW-103_SDI29_AUDsend_0011</v>
      </c>
      <c r="C605" s="67"/>
      <c r="D605" s="61"/>
      <c r="E605" s="67"/>
      <c r="F605" s="59" t="str">
        <f>IFERROR(VLOOKUP(Tabelle32[[#This Row],[Device ID]],BOM!$B$3:$BQ$35,16,FALSE),"")</f>
        <v>EditPC-21</v>
      </c>
      <c r="G605" s="63">
        <f>VLOOKUP(Tabelle32[[#This Row],[SDI Interface]],BOM!$A$4:$B$35,2,FALSE)</f>
        <v>2154</v>
      </c>
      <c r="H605" s="59" t="str">
        <f>BOM!$C$4</f>
        <v>VGW-103</v>
      </c>
      <c r="I605" s="59" t="str">
        <f>IFERROR(VLOOKUP(Tabelle32[[#This Row],[Device ID]],BOM!$B$3:$BQ$35,12,FALSE),"")</f>
        <v>Edit Suite</v>
      </c>
      <c r="J605" s="59" t="str">
        <f>IFERROR(VLOOKUP(Tabelle32[[#This Row],[Device ID]],BOM!$B$3:$BQ$35,13,FALSE),"")</f>
        <v>TC.U1.223 | MDC</v>
      </c>
      <c r="K605" s="59" t="str">
        <f>IFERROR(VLOOKUP(Tabelle32[[#This Row],[Device ID]],BOM!$B$3:$BQ$35,14,FALSE),"")</f>
        <v>Imagine Comunications</v>
      </c>
      <c r="L605" s="59" t="str">
        <f>IFERROR(VLOOKUP(Tabelle32[[#This Row],[Device ID]],BOM!$B$3:$BQ$35,16,FALSE),"")</f>
        <v>EditPC-21</v>
      </c>
      <c r="M605" s="63" t="str">
        <f>IFERROR(VLOOKUP(Tabelle32[[#This Row],[Device ID]],BOM!$B$3:$BQ$35,17,FALSE),"")</f>
        <v>EDIT SUITE 21</v>
      </c>
      <c r="N605" s="59" t="str">
        <f>IFERROR(VLOOKUP(Tabelle32[[#This Row],[Device ID]],BOM!$B$3:$BQ$35,18,FALSE),"")</f>
        <v>NEBEZ.V3.17 | Edit 21</v>
      </c>
      <c r="O605" s="64"/>
      <c r="P605" s="64">
        <f>IFERROR(VLOOKUP(Tabelle32[[#This Row],[Device ID]],BOM!$B$3:$BO$50,20,FALSE),"")</f>
        <v>0</v>
      </c>
      <c r="Q605" s="64">
        <f>IFERROR(VLOOKUP(Tabelle32[[#This Row],[Device ID]],BOM!$B$3:$BO$50,21,FALSE),"")</f>
        <v>1</v>
      </c>
      <c r="R605" s="64">
        <f>IFERROR(VLOOKUP(Tabelle32[[#This Row],[Device ID]],BOM!$B$3:$BO$50,22,FALSE),"")</f>
        <v>0</v>
      </c>
      <c r="S605" s="64"/>
      <c r="T605" s="64"/>
      <c r="U605" s="59" t="str">
        <f>IFERROR(VLOOKUP(Tabelle32[[#This Row],[Device ID]],BOM!$B$3:$BQ$35,25,FALSE),"")</f>
        <v>Luis/Ivo</v>
      </c>
      <c r="V605" s="59" t="str">
        <f>IFERROR(VLOOKUP(Tabelle32[[#This Row],[Device ID]],BOM!$B$3:$BQ$35,26,FALSE),"")</f>
        <v>tpco-megw-vgw103.rta.st-net.media.int</v>
      </c>
      <c r="W605" s="59" t="str">
        <f>IFERROR(VLOOKUP(Tabelle32[[#This Row],[Device ID]],BOM!$B$3:$BQ$35,27,FALSE),"")</f>
        <v>10.120.236.50</v>
      </c>
      <c r="X605" s="59" t="str">
        <f>IFERROR(VLOOKUP(Tabelle32[[#This Row],[Device ID]],BOM!$B$3:$BQ$35,28,FALSE),"")</f>
        <v>AVCoreA</v>
      </c>
      <c r="Y605" s="59" t="str">
        <f>IFERROR(VLOOKUP(Tabelle32[[#This Row],[Device ID]],BOM!$B$3:$BQ$35,29,FALSE),"")</f>
        <v>5_36_1</v>
      </c>
      <c r="Z605" s="59" t="str">
        <f>IFERROR(VLOOKUP(Tabelle32[[#This Row],[Device ID]],BOM!$B$3:$BQ$35,30,FALSE),"")</f>
        <v>tpco-megw-vgw103.rtb.st-net.media.int</v>
      </c>
      <c r="AA605" s="59" t="str">
        <f>IFERROR(VLOOKUP(Tabelle32[[#This Row],[Device ID]],BOM!$B$3:$BQ$35,31,FALSE),"")</f>
        <v>10.120.236.54</v>
      </c>
      <c r="AB605" s="59" t="str">
        <f>IFERROR(VLOOKUP(Tabelle32[[#This Row],[Device ID]],BOM!$B$3:$BQ$35,32,FALSE),"")</f>
        <v>AVCoreB</v>
      </c>
      <c r="AC605" s="59" t="str">
        <f>IFERROR(VLOOKUP(Tabelle32[[#This Row],[Device ID]],BOM!$B$3:$BQ$35,33,FALSE),"")</f>
        <v>5_36_1</v>
      </c>
      <c r="AD605" s="59" t="str">
        <f>IFERROR(VLOOKUP(Tabelle32[[#This Row],[Device ID]],BOM!$B$3:$BQ$35,34,FALSE),"")</f>
        <v>tpco-megw-vgw103.st-net.media.int</v>
      </c>
      <c r="AE605" s="59" t="str">
        <f>IFERROR(VLOOKUP(Tabelle32[[#This Row],[Device ID]],BOM!$B$3:$BQ$35,35,FALSE),"")</f>
        <v>10.120.67.141</v>
      </c>
      <c r="AF605" s="59">
        <f>IFERROR(VLOOKUP(Tabelle32[[#This Row],[Device ID]],BOM!$B$3:$BQ$35,36,FALSE),"")</f>
        <v>0</v>
      </c>
      <c r="AG605" s="59">
        <f>IFERROR(VLOOKUP(Tabelle32[[#This Row],[Device ID]],BOM!$B$3:$BQ$35,37,FALSE),"")</f>
        <v>0</v>
      </c>
      <c r="AH605" s="59"/>
      <c r="AI605" s="59"/>
      <c r="AJ605" s="59"/>
      <c r="AK605" s="59"/>
      <c r="AL605" s="59" t="str">
        <f>IFERROR(VLOOKUP(Tabelle32[[#This Row],[Device ID]],BOM!$B$3:$BQ$35,42,FALSE),"")</f>
        <v>Imagine Communications SNP</v>
      </c>
      <c r="AM605" s="59" t="str">
        <f>IFERROR(VLOOKUP(Tabelle32[[#This Row],[Device ID]],BOM!$B$3:$BQ$35,43,FALSE),"")</f>
        <v>no</v>
      </c>
      <c r="AN605" s="59" t="str">
        <f>IFERROR(VLOOKUP(Tabelle32[[#This Row],[Device ID]],BOM!$B$3:$BQ$35,44,FALSE),"")</f>
        <v>yes</v>
      </c>
      <c r="AO605" s="59" t="str">
        <f>IFERROR(VLOOKUP(Tabelle32[[#This Row],[Device ID]],BOM!$B$3:$BQ$35,45,FALSE),"")</f>
        <v>no</v>
      </c>
      <c r="AP605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605" s="59"/>
      <c r="AR605" s="90"/>
      <c r="AS605" s="90"/>
      <c r="AT605" s="90"/>
      <c r="AU605" s="90"/>
      <c r="AV605" s="90"/>
      <c r="AW605" s="90"/>
      <c r="AX605" s="90"/>
      <c r="AY605" s="90"/>
      <c r="AZ605" s="90"/>
      <c r="BA605" s="90"/>
      <c r="BB605" s="90"/>
      <c r="BC605" s="90"/>
      <c r="BD605" s="90"/>
      <c r="BE605" s="90"/>
      <c r="BF605" s="90"/>
      <c r="BG605" s="90"/>
      <c r="BH605" s="73" t="s">
        <v>199</v>
      </c>
      <c r="BI605" s="30" t="str">
        <f>IF(COUNTA(Tabelle32[[#This Row],[Type:Vid_1080i50]:[Type:Anc_Prot]])&gt;0,"x","")</f>
        <v/>
      </c>
      <c r="BJ60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05" s="59"/>
      <c r="BL605" s="59"/>
      <c r="BM605" s="63"/>
      <c r="BN605" s="63"/>
      <c r="BO605" s="96"/>
      <c r="BP605" s="96"/>
      <c r="BQ605" s="75">
        <f>LEN(Tabelle32[[#This Row],[Label 1
GFX-Unit]])</f>
        <v>0</v>
      </c>
      <c r="BR605" s="63"/>
      <c r="BS605" s="63"/>
      <c r="BT605" s="59"/>
      <c r="BU605" s="59"/>
      <c r="BV605" s="59" t="s">
        <v>251</v>
      </c>
      <c r="BW605" s="59" t="s">
        <v>252</v>
      </c>
      <c r="BX605" s="59" t="s">
        <v>1104</v>
      </c>
      <c r="BY605" s="59">
        <v>29</v>
      </c>
    </row>
    <row r="606" spans="1:77" hidden="1" x14ac:dyDescent="0.2">
      <c r="A606" s="58" t="str">
        <f>CONCATENATE(Tabelle32[[#This Row],[Device ID]],".",Tabelle32[[#This Row],[Streamcounter]])</f>
        <v>2154.29212</v>
      </c>
      <c r="B60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VGW-103_SDI29_AUDsend_0012</v>
      </c>
      <c r="C606" s="67"/>
      <c r="D606" s="61"/>
      <c r="E606" s="67"/>
      <c r="F606" s="59" t="str">
        <f>IFERROR(VLOOKUP(Tabelle32[[#This Row],[Device ID]],BOM!$B$3:$BQ$35,16,FALSE),"")</f>
        <v>EditPC-21</v>
      </c>
      <c r="G606" s="63">
        <f>VLOOKUP(Tabelle32[[#This Row],[SDI Interface]],BOM!$A$4:$B$35,2,FALSE)</f>
        <v>2154</v>
      </c>
      <c r="H606" s="59" t="str">
        <f>BOM!$C$4</f>
        <v>VGW-103</v>
      </c>
      <c r="I606" s="59" t="str">
        <f>IFERROR(VLOOKUP(Tabelle32[[#This Row],[Device ID]],BOM!$B$3:$BQ$35,12,FALSE),"")</f>
        <v>Edit Suite</v>
      </c>
      <c r="J606" s="59" t="str">
        <f>IFERROR(VLOOKUP(Tabelle32[[#This Row],[Device ID]],BOM!$B$3:$BQ$35,13,FALSE),"")</f>
        <v>TC.U1.223 | MDC</v>
      </c>
      <c r="K606" s="59" t="str">
        <f>IFERROR(VLOOKUP(Tabelle32[[#This Row],[Device ID]],BOM!$B$3:$BQ$35,14,FALSE),"")</f>
        <v>Imagine Comunications</v>
      </c>
      <c r="L606" s="59" t="str">
        <f>IFERROR(VLOOKUP(Tabelle32[[#This Row],[Device ID]],BOM!$B$3:$BQ$35,16,FALSE),"")</f>
        <v>EditPC-21</v>
      </c>
      <c r="M606" s="63" t="str">
        <f>IFERROR(VLOOKUP(Tabelle32[[#This Row],[Device ID]],BOM!$B$3:$BQ$35,17,FALSE),"")</f>
        <v>EDIT SUITE 21</v>
      </c>
      <c r="N606" s="59" t="str">
        <f>IFERROR(VLOOKUP(Tabelle32[[#This Row],[Device ID]],BOM!$B$3:$BQ$35,18,FALSE),"")</f>
        <v>NEBEZ.V3.17 | Edit 21</v>
      </c>
      <c r="O606" s="64"/>
      <c r="P606" s="64">
        <f>IFERROR(VLOOKUP(Tabelle32[[#This Row],[Device ID]],BOM!$B$3:$BO$50,20,FALSE),"")</f>
        <v>0</v>
      </c>
      <c r="Q606" s="64">
        <f>IFERROR(VLOOKUP(Tabelle32[[#This Row],[Device ID]],BOM!$B$3:$BO$50,21,FALSE),"")</f>
        <v>1</v>
      </c>
      <c r="R606" s="64">
        <f>IFERROR(VLOOKUP(Tabelle32[[#This Row],[Device ID]],BOM!$B$3:$BO$50,22,FALSE),"")</f>
        <v>0</v>
      </c>
      <c r="S606" s="64"/>
      <c r="T606" s="64"/>
      <c r="U606" s="59" t="str">
        <f>IFERROR(VLOOKUP(Tabelle32[[#This Row],[Device ID]],BOM!$B$3:$BQ$35,25,FALSE),"")</f>
        <v>Luis/Ivo</v>
      </c>
      <c r="V606" s="59" t="str">
        <f>IFERROR(VLOOKUP(Tabelle32[[#This Row],[Device ID]],BOM!$B$3:$BQ$35,26,FALSE),"")</f>
        <v>tpco-megw-vgw103.rta.st-net.media.int</v>
      </c>
      <c r="W606" s="59" t="str">
        <f>IFERROR(VLOOKUP(Tabelle32[[#This Row],[Device ID]],BOM!$B$3:$BQ$35,27,FALSE),"")</f>
        <v>10.120.236.50</v>
      </c>
      <c r="X606" s="59" t="str">
        <f>IFERROR(VLOOKUP(Tabelle32[[#This Row],[Device ID]],BOM!$B$3:$BQ$35,28,FALSE),"")</f>
        <v>AVCoreA</v>
      </c>
      <c r="Y606" s="59" t="str">
        <f>IFERROR(VLOOKUP(Tabelle32[[#This Row],[Device ID]],BOM!$B$3:$BQ$35,29,FALSE),"")</f>
        <v>5_36_1</v>
      </c>
      <c r="Z606" s="59" t="str">
        <f>IFERROR(VLOOKUP(Tabelle32[[#This Row],[Device ID]],BOM!$B$3:$BQ$35,30,FALSE),"")</f>
        <v>tpco-megw-vgw103.rtb.st-net.media.int</v>
      </c>
      <c r="AA606" s="59" t="str">
        <f>IFERROR(VLOOKUP(Tabelle32[[#This Row],[Device ID]],BOM!$B$3:$BQ$35,31,FALSE),"")</f>
        <v>10.120.236.54</v>
      </c>
      <c r="AB606" s="59" t="str">
        <f>IFERROR(VLOOKUP(Tabelle32[[#This Row],[Device ID]],BOM!$B$3:$BQ$35,32,FALSE),"")</f>
        <v>AVCoreB</v>
      </c>
      <c r="AC606" s="59" t="str">
        <f>IFERROR(VLOOKUP(Tabelle32[[#This Row],[Device ID]],BOM!$B$3:$BQ$35,33,FALSE),"")</f>
        <v>5_36_1</v>
      </c>
      <c r="AD606" s="59" t="str">
        <f>IFERROR(VLOOKUP(Tabelle32[[#This Row],[Device ID]],BOM!$B$3:$BQ$35,34,FALSE),"")</f>
        <v>tpco-megw-vgw103.st-net.media.int</v>
      </c>
      <c r="AE606" s="59" t="str">
        <f>IFERROR(VLOOKUP(Tabelle32[[#This Row],[Device ID]],BOM!$B$3:$BQ$35,35,FALSE),"")</f>
        <v>10.120.67.141</v>
      </c>
      <c r="AF606" s="59">
        <f>IFERROR(VLOOKUP(Tabelle32[[#This Row],[Device ID]],BOM!$B$3:$BQ$35,36,FALSE),"")</f>
        <v>0</v>
      </c>
      <c r="AG606" s="59">
        <f>IFERROR(VLOOKUP(Tabelle32[[#This Row],[Device ID]],BOM!$B$3:$BQ$35,37,FALSE),"")</f>
        <v>0</v>
      </c>
      <c r="AH606" s="59"/>
      <c r="AI606" s="59"/>
      <c r="AJ606" s="59"/>
      <c r="AK606" s="59"/>
      <c r="AL606" s="59" t="str">
        <f>IFERROR(VLOOKUP(Tabelle32[[#This Row],[Device ID]],BOM!$B$3:$BQ$35,42,FALSE),"")</f>
        <v>Imagine Communications SNP</v>
      </c>
      <c r="AM606" s="59" t="str">
        <f>IFERROR(VLOOKUP(Tabelle32[[#This Row],[Device ID]],BOM!$B$3:$BQ$35,43,FALSE),"")</f>
        <v>no</v>
      </c>
      <c r="AN606" s="59" t="str">
        <f>IFERROR(VLOOKUP(Tabelle32[[#This Row],[Device ID]],BOM!$B$3:$BQ$35,44,FALSE),"")</f>
        <v>yes</v>
      </c>
      <c r="AO606" s="59" t="str">
        <f>IFERROR(VLOOKUP(Tabelle32[[#This Row],[Device ID]],BOM!$B$3:$BQ$35,45,FALSE),"")</f>
        <v>no</v>
      </c>
      <c r="AP606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606" s="59"/>
      <c r="AR606" s="101"/>
      <c r="AS606" s="101"/>
      <c r="AT606" s="101"/>
      <c r="AU606" s="101"/>
      <c r="AV606" s="101"/>
      <c r="AW606" s="101"/>
      <c r="AX606" s="101"/>
      <c r="AY606" s="101"/>
      <c r="AZ606" s="101"/>
      <c r="BA606" s="101"/>
      <c r="BB606" s="101"/>
      <c r="BC606" s="101"/>
      <c r="BD606" s="101"/>
      <c r="BE606" s="101"/>
      <c r="BF606" s="101"/>
      <c r="BG606" s="101"/>
      <c r="BH606" s="73" t="s">
        <v>199</v>
      </c>
      <c r="BI606" s="30" t="str">
        <f>IF(COUNTA(Tabelle32[[#This Row],[Type:Vid_1080i50]:[Type:Anc_Prot]])&gt;0,"x","")</f>
        <v/>
      </c>
      <c r="BJ60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06" s="59"/>
      <c r="BL606" s="59"/>
      <c r="BM606" s="63"/>
      <c r="BN606" s="63"/>
      <c r="BO606" s="96"/>
      <c r="BP606" s="96"/>
      <c r="BQ606" s="75">
        <f>LEN(Tabelle32[[#This Row],[Label 1
GFX-Unit]])</f>
        <v>0</v>
      </c>
      <c r="BR606" s="63"/>
      <c r="BS606" s="63"/>
      <c r="BT606" s="59"/>
      <c r="BU606" s="59"/>
      <c r="BV606" s="59" t="s">
        <v>254</v>
      </c>
      <c r="BW606" s="59" t="s">
        <v>255</v>
      </c>
      <c r="BX606" s="59" t="s">
        <v>1105</v>
      </c>
      <c r="BY606" s="59">
        <v>29</v>
      </c>
    </row>
    <row r="607" spans="1:77" hidden="1" x14ac:dyDescent="0.2">
      <c r="A607" s="58" t="str">
        <f>CONCATENATE(Tabelle32[[#This Row],[Device ID]],".",Tabelle32[[#This Row],[Streamcounter]])</f>
        <v>2154.29213</v>
      </c>
      <c r="B60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VGW-103_SDI29_AUDsend_0013</v>
      </c>
      <c r="C607" s="67"/>
      <c r="D607" s="61"/>
      <c r="E607" s="67"/>
      <c r="F607" s="59" t="str">
        <f>IFERROR(VLOOKUP(Tabelle32[[#This Row],[Device ID]],BOM!$B$3:$BQ$35,16,FALSE),"")</f>
        <v>EditPC-21</v>
      </c>
      <c r="G607" s="63">
        <f>VLOOKUP(Tabelle32[[#This Row],[SDI Interface]],BOM!$A$4:$B$35,2,FALSE)</f>
        <v>2154</v>
      </c>
      <c r="H607" s="59" t="str">
        <f>BOM!$C$4</f>
        <v>VGW-103</v>
      </c>
      <c r="I607" s="59" t="str">
        <f>IFERROR(VLOOKUP(Tabelle32[[#This Row],[Device ID]],BOM!$B$3:$BQ$35,12,FALSE),"")</f>
        <v>Edit Suite</v>
      </c>
      <c r="J607" s="59" t="str">
        <f>IFERROR(VLOOKUP(Tabelle32[[#This Row],[Device ID]],BOM!$B$3:$BQ$35,13,FALSE),"")</f>
        <v>TC.U1.223 | MDC</v>
      </c>
      <c r="K607" s="59" t="str">
        <f>IFERROR(VLOOKUP(Tabelle32[[#This Row],[Device ID]],BOM!$B$3:$BQ$35,14,FALSE),"")</f>
        <v>Imagine Comunications</v>
      </c>
      <c r="L607" s="59" t="str">
        <f>IFERROR(VLOOKUP(Tabelle32[[#This Row],[Device ID]],BOM!$B$3:$BQ$35,16,FALSE),"")</f>
        <v>EditPC-21</v>
      </c>
      <c r="M607" s="63" t="str">
        <f>IFERROR(VLOOKUP(Tabelle32[[#This Row],[Device ID]],BOM!$B$3:$BQ$35,17,FALSE),"")</f>
        <v>EDIT SUITE 21</v>
      </c>
      <c r="N607" s="59" t="str">
        <f>IFERROR(VLOOKUP(Tabelle32[[#This Row],[Device ID]],BOM!$B$3:$BQ$35,18,FALSE),"")</f>
        <v>NEBEZ.V3.17 | Edit 21</v>
      </c>
      <c r="O607" s="64"/>
      <c r="P607" s="64">
        <f>IFERROR(VLOOKUP(Tabelle32[[#This Row],[Device ID]],BOM!$B$3:$BO$50,20,FALSE),"")</f>
        <v>0</v>
      </c>
      <c r="Q607" s="64">
        <f>IFERROR(VLOOKUP(Tabelle32[[#This Row],[Device ID]],BOM!$B$3:$BO$50,21,FALSE),"")</f>
        <v>1</v>
      </c>
      <c r="R607" s="64">
        <f>IFERROR(VLOOKUP(Tabelle32[[#This Row],[Device ID]],BOM!$B$3:$BO$50,22,FALSE),"")</f>
        <v>0</v>
      </c>
      <c r="S607" s="64"/>
      <c r="T607" s="64"/>
      <c r="U607" s="59" t="str">
        <f>IFERROR(VLOOKUP(Tabelle32[[#This Row],[Device ID]],BOM!$B$3:$BQ$35,25,FALSE),"")</f>
        <v>Luis/Ivo</v>
      </c>
      <c r="V607" s="59" t="str">
        <f>IFERROR(VLOOKUP(Tabelle32[[#This Row],[Device ID]],BOM!$B$3:$BQ$35,26,FALSE),"")</f>
        <v>tpco-megw-vgw103.rta.st-net.media.int</v>
      </c>
      <c r="W607" s="59" t="str">
        <f>IFERROR(VLOOKUP(Tabelle32[[#This Row],[Device ID]],BOM!$B$3:$BQ$35,27,FALSE),"")</f>
        <v>10.120.236.50</v>
      </c>
      <c r="X607" s="59" t="str">
        <f>IFERROR(VLOOKUP(Tabelle32[[#This Row],[Device ID]],BOM!$B$3:$BQ$35,28,FALSE),"")</f>
        <v>AVCoreA</v>
      </c>
      <c r="Y607" s="59" t="str">
        <f>IFERROR(VLOOKUP(Tabelle32[[#This Row],[Device ID]],BOM!$B$3:$BQ$35,29,FALSE),"")</f>
        <v>5_36_1</v>
      </c>
      <c r="Z607" s="59" t="str">
        <f>IFERROR(VLOOKUP(Tabelle32[[#This Row],[Device ID]],BOM!$B$3:$BQ$35,30,FALSE),"")</f>
        <v>tpco-megw-vgw103.rtb.st-net.media.int</v>
      </c>
      <c r="AA607" s="59" t="str">
        <f>IFERROR(VLOOKUP(Tabelle32[[#This Row],[Device ID]],BOM!$B$3:$BQ$35,31,FALSE),"")</f>
        <v>10.120.236.54</v>
      </c>
      <c r="AB607" s="59" t="str">
        <f>IFERROR(VLOOKUP(Tabelle32[[#This Row],[Device ID]],BOM!$B$3:$BQ$35,32,FALSE),"")</f>
        <v>AVCoreB</v>
      </c>
      <c r="AC607" s="59" t="str">
        <f>IFERROR(VLOOKUP(Tabelle32[[#This Row],[Device ID]],BOM!$B$3:$BQ$35,33,FALSE),"")</f>
        <v>5_36_1</v>
      </c>
      <c r="AD607" s="59" t="str">
        <f>IFERROR(VLOOKUP(Tabelle32[[#This Row],[Device ID]],BOM!$B$3:$BQ$35,34,FALSE),"")</f>
        <v>tpco-megw-vgw103.st-net.media.int</v>
      </c>
      <c r="AE607" s="59" t="str">
        <f>IFERROR(VLOOKUP(Tabelle32[[#This Row],[Device ID]],BOM!$B$3:$BQ$35,35,FALSE),"")</f>
        <v>10.120.67.141</v>
      </c>
      <c r="AF607" s="59">
        <f>IFERROR(VLOOKUP(Tabelle32[[#This Row],[Device ID]],BOM!$B$3:$BQ$35,36,FALSE),"")</f>
        <v>0</v>
      </c>
      <c r="AG607" s="59">
        <f>IFERROR(VLOOKUP(Tabelle32[[#This Row],[Device ID]],BOM!$B$3:$BQ$35,37,FALSE),"")</f>
        <v>0</v>
      </c>
      <c r="AH607" s="59"/>
      <c r="AI607" s="59"/>
      <c r="AJ607" s="59"/>
      <c r="AK607" s="59"/>
      <c r="AL607" s="59" t="str">
        <f>IFERROR(VLOOKUP(Tabelle32[[#This Row],[Device ID]],BOM!$B$3:$BQ$35,42,FALSE),"")</f>
        <v>Imagine Communications SNP</v>
      </c>
      <c r="AM607" s="59" t="str">
        <f>IFERROR(VLOOKUP(Tabelle32[[#This Row],[Device ID]],BOM!$B$3:$BQ$35,43,FALSE),"")</f>
        <v>no</v>
      </c>
      <c r="AN607" s="59" t="str">
        <f>IFERROR(VLOOKUP(Tabelle32[[#This Row],[Device ID]],BOM!$B$3:$BQ$35,44,FALSE),"")</f>
        <v>yes</v>
      </c>
      <c r="AO607" s="59" t="str">
        <f>IFERROR(VLOOKUP(Tabelle32[[#This Row],[Device ID]],BOM!$B$3:$BQ$35,45,FALSE),"")</f>
        <v>no</v>
      </c>
      <c r="AP607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607" s="59"/>
      <c r="AR607" s="101"/>
      <c r="AS607" s="101"/>
      <c r="AT607" s="101"/>
      <c r="AU607" s="101"/>
      <c r="AV607" s="101"/>
      <c r="AW607" s="101"/>
      <c r="AX607" s="101"/>
      <c r="AY607" s="101"/>
      <c r="AZ607" s="101"/>
      <c r="BA607" s="101"/>
      <c r="BB607" s="101"/>
      <c r="BC607" s="101"/>
      <c r="BD607" s="101"/>
      <c r="BE607" s="101"/>
      <c r="BF607" s="101"/>
      <c r="BG607" s="101"/>
      <c r="BH607" s="73" t="s">
        <v>199</v>
      </c>
      <c r="BI607" s="30" t="str">
        <f>IF(COUNTA(Tabelle32[[#This Row],[Type:Vid_1080i50]:[Type:Anc_Prot]])&gt;0,"x","")</f>
        <v/>
      </c>
      <c r="BJ60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07" s="59"/>
      <c r="BL607" s="59"/>
      <c r="BM607" s="63"/>
      <c r="BN607" s="63"/>
      <c r="BO607" s="96"/>
      <c r="BP607" s="96"/>
      <c r="BQ607" s="75">
        <f>LEN(Tabelle32[[#This Row],[Label 1
GFX-Unit]])</f>
        <v>0</v>
      </c>
      <c r="BR607" s="63"/>
      <c r="BS607" s="63"/>
      <c r="BT607" s="59"/>
      <c r="BU607" s="59"/>
      <c r="BV607" s="59" t="s">
        <v>257</v>
      </c>
      <c r="BW607" s="59" t="s">
        <v>258</v>
      </c>
      <c r="BX607" s="59" t="s">
        <v>1106</v>
      </c>
      <c r="BY607" s="59">
        <v>29</v>
      </c>
    </row>
    <row r="608" spans="1:77" hidden="1" x14ac:dyDescent="0.2">
      <c r="A608" s="58" t="str">
        <f>CONCATENATE(Tabelle32[[#This Row],[Device ID]],".",Tabelle32[[#This Row],[Streamcounter]])</f>
        <v>2154.29214</v>
      </c>
      <c r="B60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VGW-103_SDI29_AUDsend_0014</v>
      </c>
      <c r="C608" s="67"/>
      <c r="D608" s="61"/>
      <c r="E608" s="67"/>
      <c r="F608" s="59" t="str">
        <f>IFERROR(VLOOKUP(Tabelle32[[#This Row],[Device ID]],BOM!$B$3:$BQ$35,16,FALSE),"")</f>
        <v>EditPC-21</v>
      </c>
      <c r="G608" s="63">
        <f>VLOOKUP(Tabelle32[[#This Row],[SDI Interface]],BOM!$A$4:$B$35,2,FALSE)</f>
        <v>2154</v>
      </c>
      <c r="H608" s="59" t="str">
        <f>BOM!$C$4</f>
        <v>VGW-103</v>
      </c>
      <c r="I608" s="59" t="str">
        <f>IFERROR(VLOOKUP(Tabelle32[[#This Row],[Device ID]],BOM!$B$3:$BQ$35,12,FALSE),"")</f>
        <v>Edit Suite</v>
      </c>
      <c r="J608" s="59" t="str">
        <f>IFERROR(VLOOKUP(Tabelle32[[#This Row],[Device ID]],BOM!$B$3:$BQ$35,13,FALSE),"")</f>
        <v>TC.U1.223 | MDC</v>
      </c>
      <c r="K608" s="59" t="str">
        <f>IFERROR(VLOOKUP(Tabelle32[[#This Row],[Device ID]],BOM!$B$3:$BQ$35,14,FALSE),"")</f>
        <v>Imagine Comunications</v>
      </c>
      <c r="L608" s="59" t="str">
        <f>IFERROR(VLOOKUP(Tabelle32[[#This Row],[Device ID]],BOM!$B$3:$BQ$35,16,FALSE),"")</f>
        <v>EditPC-21</v>
      </c>
      <c r="M608" s="63" t="str">
        <f>IFERROR(VLOOKUP(Tabelle32[[#This Row],[Device ID]],BOM!$B$3:$BQ$35,17,FALSE),"")</f>
        <v>EDIT SUITE 21</v>
      </c>
      <c r="N608" s="59" t="str">
        <f>IFERROR(VLOOKUP(Tabelle32[[#This Row],[Device ID]],BOM!$B$3:$BQ$35,18,FALSE),"")</f>
        <v>NEBEZ.V3.17 | Edit 21</v>
      </c>
      <c r="O608" s="64"/>
      <c r="P608" s="64">
        <f>IFERROR(VLOOKUP(Tabelle32[[#This Row],[Device ID]],BOM!$B$3:$BO$50,20,FALSE),"")</f>
        <v>0</v>
      </c>
      <c r="Q608" s="64">
        <f>IFERROR(VLOOKUP(Tabelle32[[#This Row],[Device ID]],BOM!$B$3:$BO$50,21,FALSE),"")</f>
        <v>1</v>
      </c>
      <c r="R608" s="64">
        <f>IFERROR(VLOOKUP(Tabelle32[[#This Row],[Device ID]],BOM!$B$3:$BO$50,22,FALSE),"")</f>
        <v>0</v>
      </c>
      <c r="S608" s="64"/>
      <c r="T608" s="64"/>
      <c r="U608" s="59" t="str">
        <f>IFERROR(VLOOKUP(Tabelle32[[#This Row],[Device ID]],BOM!$B$3:$BQ$35,25,FALSE),"")</f>
        <v>Luis/Ivo</v>
      </c>
      <c r="V608" s="59" t="str">
        <f>IFERROR(VLOOKUP(Tabelle32[[#This Row],[Device ID]],BOM!$B$3:$BQ$35,26,FALSE),"")</f>
        <v>tpco-megw-vgw103.rta.st-net.media.int</v>
      </c>
      <c r="W608" s="59" t="str">
        <f>IFERROR(VLOOKUP(Tabelle32[[#This Row],[Device ID]],BOM!$B$3:$BQ$35,27,FALSE),"")</f>
        <v>10.120.236.50</v>
      </c>
      <c r="X608" s="59" t="str">
        <f>IFERROR(VLOOKUP(Tabelle32[[#This Row],[Device ID]],BOM!$B$3:$BQ$35,28,FALSE),"")</f>
        <v>AVCoreA</v>
      </c>
      <c r="Y608" s="59" t="str">
        <f>IFERROR(VLOOKUP(Tabelle32[[#This Row],[Device ID]],BOM!$B$3:$BQ$35,29,FALSE),"")</f>
        <v>5_36_1</v>
      </c>
      <c r="Z608" s="59" t="str">
        <f>IFERROR(VLOOKUP(Tabelle32[[#This Row],[Device ID]],BOM!$B$3:$BQ$35,30,FALSE),"")</f>
        <v>tpco-megw-vgw103.rtb.st-net.media.int</v>
      </c>
      <c r="AA608" s="59" t="str">
        <f>IFERROR(VLOOKUP(Tabelle32[[#This Row],[Device ID]],BOM!$B$3:$BQ$35,31,FALSE),"")</f>
        <v>10.120.236.54</v>
      </c>
      <c r="AB608" s="59" t="str">
        <f>IFERROR(VLOOKUP(Tabelle32[[#This Row],[Device ID]],BOM!$B$3:$BQ$35,32,FALSE),"")</f>
        <v>AVCoreB</v>
      </c>
      <c r="AC608" s="59" t="str">
        <f>IFERROR(VLOOKUP(Tabelle32[[#This Row],[Device ID]],BOM!$B$3:$BQ$35,33,FALSE),"")</f>
        <v>5_36_1</v>
      </c>
      <c r="AD608" s="59" t="str">
        <f>IFERROR(VLOOKUP(Tabelle32[[#This Row],[Device ID]],BOM!$B$3:$BQ$35,34,FALSE),"")</f>
        <v>tpco-megw-vgw103.st-net.media.int</v>
      </c>
      <c r="AE608" s="59" t="str">
        <f>IFERROR(VLOOKUP(Tabelle32[[#This Row],[Device ID]],BOM!$B$3:$BQ$35,35,FALSE),"")</f>
        <v>10.120.67.141</v>
      </c>
      <c r="AF608" s="59">
        <f>IFERROR(VLOOKUP(Tabelle32[[#This Row],[Device ID]],BOM!$B$3:$BQ$35,36,FALSE),"")</f>
        <v>0</v>
      </c>
      <c r="AG608" s="59">
        <f>IFERROR(VLOOKUP(Tabelle32[[#This Row],[Device ID]],BOM!$B$3:$BQ$35,37,FALSE),"")</f>
        <v>0</v>
      </c>
      <c r="AH608" s="59"/>
      <c r="AI608" s="59"/>
      <c r="AJ608" s="59"/>
      <c r="AK608" s="59"/>
      <c r="AL608" s="59" t="str">
        <f>IFERROR(VLOOKUP(Tabelle32[[#This Row],[Device ID]],BOM!$B$3:$BQ$35,42,FALSE),"")</f>
        <v>Imagine Communications SNP</v>
      </c>
      <c r="AM608" s="59" t="str">
        <f>IFERROR(VLOOKUP(Tabelle32[[#This Row],[Device ID]],BOM!$B$3:$BQ$35,43,FALSE),"")</f>
        <v>no</v>
      </c>
      <c r="AN608" s="59" t="str">
        <f>IFERROR(VLOOKUP(Tabelle32[[#This Row],[Device ID]],BOM!$B$3:$BQ$35,44,FALSE),"")</f>
        <v>yes</v>
      </c>
      <c r="AO608" s="59" t="str">
        <f>IFERROR(VLOOKUP(Tabelle32[[#This Row],[Device ID]],BOM!$B$3:$BQ$35,45,FALSE),"")</f>
        <v>no</v>
      </c>
      <c r="AP608" s="59" t="str">
        <f>IFERROR(CONCATENATE(Tabelle32[[#This Row],[Family
GFX-Unit]]," | ",Tabelle32[[#This Row],[Label 1
GFX-Unit]]," | ",Tabelle32[[#This Row],[Attached Device if Gateway]]),"")</f>
        <v xml:space="preserve"> |  | EditPC-21</v>
      </c>
      <c r="AQ608" s="59"/>
      <c r="AR608" s="90"/>
      <c r="AS608" s="90"/>
      <c r="AT608" s="90"/>
      <c r="AU608" s="90"/>
      <c r="AV608" s="90"/>
      <c r="AW608" s="90"/>
      <c r="AX608" s="90"/>
      <c r="AY608" s="90"/>
      <c r="AZ608" s="90"/>
      <c r="BA608" s="90"/>
      <c r="BB608" s="90"/>
      <c r="BC608" s="90"/>
      <c r="BD608" s="90"/>
      <c r="BE608" s="90"/>
      <c r="BF608" s="90"/>
      <c r="BG608" s="90"/>
      <c r="BH608" s="73" t="s">
        <v>199</v>
      </c>
      <c r="BI608" s="30" t="str">
        <f>IF(COUNTA(Tabelle32[[#This Row],[Type:Vid_1080i50]:[Type:Anc_Prot]])&gt;0,"x","")</f>
        <v/>
      </c>
      <c r="BJ60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08" s="59"/>
      <c r="BL608" s="59"/>
      <c r="BM608" s="63"/>
      <c r="BN608" s="63"/>
      <c r="BO608" s="96"/>
      <c r="BP608" s="96"/>
      <c r="BQ608" s="75">
        <f>LEN(Tabelle32[[#This Row],[Label 1
GFX-Unit]])</f>
        <v>0</v>
      </c>
      <c r="BR608" s="63"/>
      <c r="BS608" s="63"/>
      <c r="BT608" s="59"/>
      <c r="BU608" s="59"/>
      <c r="BV608" s="59" t="s">
        <v>260</v>
      </c>
      <c r="BW608" s="59" t="s">
        <v>261</v>
      </c>
      <c r="BX608" s="59" t="s">
        <v>1107</v>
      </c>
      <c r="BY608" s="59">
        <v>29</v>
      </c>
    </row>
    <row r="609" spans="1:77" x14ac:dyDescent="0.2">
      <c r="A609" s="58" t="str">
        <f>CONCATENATE(Tabelle32[[#This Row],[Device ID]],".",Tabelle32[[#This Row],[Streamcounter]])</f>
        <v>2154.29215</v>
      </c>
      <c r="B60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VGW-103_SDI29_AUDsend_0015</v>
      </c>
      <c r="C609" s="67"/>
      <c r="D609" s="61"/>
      <c r="E609" s="67"/>
      <c r="F609" s="59" t="str">
        <f>IFERROR(VLOOKUP(Tabelle32[[#This Row],[Device ID]],BOM!$B$3:$BQ$35,16,FALSE),"")</f>
        <v>EditPC-21</v>
      </c>
      <c r="G609" s="63">
        <f>VLOOKUP(Tabelle32[[#This Row],[SDI Interface]],BOM!$A$4:$B$35,2,FALSE)</f>
        <v>2154</v>
      </c>
      <c r="H609" s="59" t="str">
        <f>BOM!$C$4</f>
        <v>VGW-103</v>
      </c>
      <c r="I609" s="59" t="str">
        <f>IFERROR(VLOOKUP(Tabelle32[[#This Row],[Device ID]],BOM!$B$3:$BQ$35,12,FALSE),"")</f>
        <v>Edit Suite</v>
      </c>
      <c r="J609" s="59" t="str">
        <f>IFERROR(VLOOKUP(Tabelle32[[#This Row],[Device ID]],BOM!$B$3:$BQ$35,13,FALSE),"")</f>
        <v>TC.U1.223 | MDC</v>
      </c>
      <c r="K609" s="59" t="str">
        <f>IFERROR(VLOOKUP(Tabelle32[[#This Row],[Device ID]],BOM!$B$3:$BQ$35,14,FALSE),"")</f>
        <v>Imagine Comunications</v>
      </c>
      <c r="L609" s="59" t="str">
        <f>IFERROR(VLOOKUP(Tabelle32[[#This Row],[Device ID]],BOM!$B$3:$BQ$35,16,FALSE),"")</f>
        <v>EditPC-21</v>
      </c>
      <c r="M609" s="63" t="str">
        <f>IFERROR(VLOOKUP(Tabelle32[[#This Row],[Device ID]],BOM!$B$3:$BQ$35,17,FALSE),"")</f>
        <v>EDIT SUITE 21</v>
      </c>
      <c r="N609" s="59" t="str">
        <f>IFERROR(VLOOKUP(Tabelle32[[#This Row],[Device ID]],BOM!$B$3:$BQ$35,18,FALSE),"")</f>
        <v>NEBEZ.V3.17 | Edit 21</v>
      </c>
      <c r="O609" s="64"/>
      <c r="P609" s="64">
        <f>IFERROR(VLOOKUP(Tabelle32[[#This Row],[Device ID]],BOM!$B$3:$BO$50,20,FALSE),"")</f>
        <v>0</v>
      </c>
      <c r="Q609" s="64">
        <f>IFERROR(VLOOKUP(Tabelle32[[#This Row],[Device ID]],BOM!$B$3:$BO$50,21,FALSE),"")</f>
        <v>1</v>
      </c>
      <c r="R609" s="64">
        <f>IFERROR(VLOOKUP(Tabelle32[[#This Row],[Device ID]],BOM!$B$3:$BO$50,22,FALSE),"")</f>
        <v>0</v>
      </c>
      <c r="S609" s="64"/>
      <c r="T609" s="64"/>
      <c r="U609" s="59" t="str">
        <f>IFERROR(VLOOKUP(Tabelle32[[#This Row],[Device ID]],BOM!$B$3:$BQ$35,25,FALSE),"")</f>
        <v>Luis/Ivo</v>
      </c>
      <c r="V609" s="59" t="str">
        <f>IFERROR(VLOOKUP(Tabelle32[[#This Row],[Device ID]],BOM!$B$3:$BQ$35,26,FALSE),"")</f>
        <v>tpco-megw-vgw103.rta.st-net.media.int</v>
      </c>
      <c r="W609" s="59" t="str">
        <f>IFERROR(VLOOKUP(Tabelle32[[#This Row],[Device ID]],BOM!$B$3:$BQ$35,27,FALSE),"")</f>
        <v>10.120.236.50</v>
      </c>
      <c r="X609" s="59" t="str">
        <f>IFERROR(VLOOKUP(Tabelle32[[#This Row],[Device ID]],BOM!$B$3:$BQ$35,28,FALSE),"")</f>
        <v>AVCoreA</v>
      </c>
      <c r="Y609" s="59" t="str">
        <f>IFERROR(VLOOKUP(Tabelle32[[#This Row],[Device ID]],BOM!$B$3:$BQ$35,29,FALSE),"")</f>
        <v>5_36_1</v>
      </c>
      <c r="Z609" s="59" t="str">
        <f>IFERROR(VLOOKUP(Tabelle32[[#This Row],[Device ID]],BOM!$B$3:$BQ$35,30,FALSE),"")</f>
        <v>tpco-megw-vgw103.rtb.st-net.media.int</v>
      </c>
      <c r="AA609" s="59" t="str">
        <f>IFERROR(VLOOKUP(Tabelle32[[#This Row],[Device ID]],BOM!$B$3:$BQ$35,31,FALSE),"")</f>
        <v>10.120.236.54</v>
      </c>
      <c r="AB609" s="59" t="str">
        <f>IFERROR(VLOOKUP(Tabelle32[[#This Row],[Device ID]],BOM!$B$3:$BQ$35,32,FALSE),"")</f>
        <v>AVCoreB</v>
      </c>
      <c r="AC609" s="59" t="str">
        <f>IFERROR(VLOOKUP(Tabelle32[[#This Row],[Device ID]],BOM!$B$3:$BQ$35,33,FALSE),"")</f>
        <v>5_36_1</v>
      </c>
      <c r="AD609" s="59" t="str">
        <f>IFERROR(VLOOKUP(Tabelle32[[#This Row],[Device ID]],BOM!$B$3:$BQ$35,34,FALSE),"")</f>
        <v>tpco-megw-vgw103.st-net.media.int</v>
      </c>
      <c r="AE609" s="59" t="str">
        <f>IFERROR(VLOOKUP(Tabelle32[[#This Row],[Device ID]],BOM!$B$3:$BQ$35,35,FALSE),"")</f>
        <v>10.120.67.141</v>
      </c>
      <c r="AF609" s="59">
        <f>IFERROR(VLOOKUP(Tabelle32[[#This Row],[Device ID]],BOM!$B$3:$BQ$35,36,FALSE),"")</f>
        <v>0</v>
      </c>
      <c r="AG609" s="59">
        <f>IFERROR(VLOOKUP(Tabelle32[[#This Row],[Device ID]],BOM!$B$3:$BQ$35,37,FALSE),"")</f>
        <v>0</v>
      </c>
      <c r="AH609" s="59"/>
      <c r="AI609" s="59"/>
      <c r="AJ609" s="59"/>
      <c r="AK609" s="59"/>
      <c r="AL609" s="59" t="str">
        <f>IFERROR(VLOOKUP(Tabelle32[[#This Row],[Device ID]],BOM!$B$3:$BQ$35,42,FALSE),"")</f>
        <v>Imagine Communications SNP</v>
      </c>
      <c r="AM609" s="59" t="str">
        <f>IFERROR(VLOOKUP(Tabelle32[[#This Row],[Device ID]],BOM!$B$3:$BQ$35,43,FALSE),"")</f>
        <v>no</v>
      </c>
      <c r="AN609" s="59" t="str">
        <f>IFERROR(VLOOKUP(Tabelle32[[#This Row],[Device ID]],BOM!$B$3:$BQ$35,44,FALSE),"")</f>
        <v>yes</v>
      </c>
      <c r="AO609" s="59" t="str">
        <f>IFERROR(VLOOKUP(Tabelle32[[#This Row],[Device ID]],BOM!$B$3:$BQ$35,45,FALSE),"")</f>
        <v>no</v>
      </c>
      <c r="AP609" s="59" t="str">
        <f>IFERROR(CONCATENATE(Tabelle32[[#This Row],[Family
GFX-Unit]]," | ",Tabelle32[[#This Row],[Label 1
GFX-Unit]]," | ",Tabelle32[[#This Row],[Attached Device if Gateway]]),"")</f>
        <v>MEDEM Edits Out | Out Edit21-15 | EditPC-21</v>
      </c>
      <c r="AQ609" s="59"/>
      <c r="AR609" s="92"/>
      <c r="AS609" s="92"/>
      <c r="AT609" s="92"/>
      <c r="AU609" s="92"/>
      <c r="AV609" s="92"/>
      <c r="AW609" s="92"/>
      <c r="AX609" s="92"/>
      <c r="AY609" s="92"/>
      <c r="AZ609" s="92"/>
      <c r="BA609" s="92"/>
      <c r="BB609" s="92"/>
      <c r="BC609" s="92"/>
      <c r="BD609" s="92" t="s">
        <v>97</v>
      </c>
      <c r="BE609" s="92"/>
      <c r="BF609" s="92"/>
      <c r="BG609" s="92"/>
      <c r="BH609" s="73" t="s">
        <v>199</v>
      </c>
      <c r="BI609" s="30" t="str">
        <f>IF(COUNTA(Tabelle32[[#This Row],[Type:Vid_1080i50]:[Type:Anc_Prot]])&gt;0,"x","")</f>
        <v>x</v>
      </c>
      <c r="BJ60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09" s="59"/>
      <c r="BL609" s="59"/>
      <c r="BM609" s="63"/>
      <c r="BN609" s="63"/>
      <c r="BO609" s="97" t="s">
        <v>732</v>
      </c>
      <c r="BP609" s="97" t="s">
        <v>1108</v>
      </c>
      <c r="BQ609" s="75">
        <f>LEN(Tabelle32[[#This Row],[Label 1
GFX-Unit]])</f>
        <v>13</v>
      </c>
      <c r="BR609" s="63"/>
      <c r="BS609" s="63"/>
      <c r="BT609" s="59"/>
      <c r="BU609" s="59"/>
      <c r="BV609" s="59" t="s">
        <v>264</v>
      </c>
      <c r="BW609" s="59" t="s">
        <v>265</v>
      </c>
      <c r="BX609" s="59" t="s">
        <v>1109</v>
      </c>
      <c r="BY609" s="59">
        <v>29</v>
      </c>
    </row>
    <row r="610" spans="1:77" x14ac:dyDescent="0.2">
      <c r="A610" s="58" t="str">
        <f>CONCATENATE(Tabelle32[[#This Row],[Device ID]],".",Tabelle32[[#This Row],[Streamcounter]])</f>
        <v>2154.29216</v>
      </c>
      <c r="B61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VGW-103_SDI29_AUDsend_0016</v>
      </c>
      <c r="C610" s="67"/>
      <c r="D610" s="61"/>
      <c r="E610" s="67"/>
      <c r="F610" s="59" t="str">
        <f>IFERROR(VLOOKUP(Tabelle32[[#This Row],[Device ID]],BOM!$B$3:$BQ$35,16,FALSE),"")</f>
        <v>EditPC-21</v>
      </c>
      <c r="G610" s="63">
        <f>VLOOKUP(Tabelle32[[#This Row],[SDI Interface]],BOM!$A$4:$B$35,2,FALSE)</f>
        <v>2154</v>
      </c>
      <c r="H610" s="59" t="str">
        <f>BOM!$C$4</f>
        <v>VGW-103</v>
      </c>
      <c r="I610" s="59" t="str">
        <f>IFERROR(VLOOKUP(Tabelle32[[#This Row],[Device ID]],BOM!$B$3:$BQ$35,12,FALSE),"")</f>
        <v>Edit Suite</v>
      </c>
      <c r="J610" s="59" t="str">
        <f>IFERROR(VLOOKUP(Tabelle32[[#This Row],[Device ID]],BOM!$B$3:$BQ$35,13,FALSE),"")</f>
        <v>TC.U1.223 | MDC</v>
      </c>
      <c r="K610" s="59" t="str">
        <f>IFERROR(VLOOKUP(Tabelle32[[#This Row],[Device ID]],BOM!$B$3:$BQ$35,14,FALSE),"")</f>
        <v>Imagine Comunications</v>
      </c>
      <c r="L610" s="59" t="str">
        <f>IFERROR(VLOOKUP(Tabelle32[[#This Row],[Device ID]],BOM!$B$3:$BQ$35,16,FALSE),"")</f>
        <v>EditPC-21</v>
      </c>
      <c r="M610" s="63" t="str">
        <f>IFERROR(VLOOKUP(Tabelle32[[#This Row],[Device ID]],BOM!$B$3:$BQ$35,17,FALSE),"")</f>
        <v>EDIT SUITE 21</v>
      </c>
      <c r="N610" s="59" t="str">
        <f>IFERROR(VLOOKUP(Tabelle32[[#This Row],[Device ID]],BOM!$B$3:$BQ$35,18,FALSE),"")</f>
        <v>NEBEZ.V3.17 | Edit 21</v>
      </c>
      <c r="O610" s="64"/>
      <c r="P610" s="64">
        <f>IFERROR(VLOOKUP(Tabelle32[[#This Row],[Device ID]],BOM!$B$3:$BO$50,20,FALSE),"")</f>
        <v>0</v>
      </c>
      <c r="Q610" s="64">
        <f>IFERROR(VLOOKUP(Tabelle32[[#This Row],[Device ID]],BOM!$B$3:$BO$50,21,FALSE),"")</f>
        <v>1</v>
      </c>
      <c r="R610" s="64">
        <f>IFERROR(VLOOKUP(Tabelle32[[#This Row],[Device ID]],BOM!$B$3:$BO$50,22,FALSE),"")</f>
        <v>0</v>
      </c>
      <c r="S610" s="64"/>
      <c r="T610" s="64"/>
      <c r="U610" s="59" t="str">
        <f>IFERROR(VLOOKUP(Tabelle32[[#This Row],[Device ID]],BOM!$B$3:$BQ$35,25,FALSE),"")</f>
        <v>Luis/Ivo</v>
      </c>
      <c r="V610" s="59" t="str">
        <f>IFERROR(VLOOKUP(Tabelle32[[#This Row],[Device ID]],BOM!$B$3:$BQ$35,26,FALSE),"")</f>
        <v>tpco-megw-vgw103.rta.st-net.media.int</v>
      </c>
      <c r="W610" s="59" t="str">
        <f>IFERROR(VLOOKUP(Tabelle32[[#This Row],[Device ID]],BOM!$B$3:$BQ$35,27,FALSE),"")</f>
        <v>10.120.236.50</v>
      </c>
      <c r="X610" s="59" t="str">
        <f>IFERROR(VLOOKUP(Tabelle32[[#This Row],[Device ID]],BOM!$B$3:$BQ$35,28,FALSE),"")</f>
        <v>AVCoreA</v>
      </c>
      <c r="Y610" s="59" t="str">
        <f>IFERROR(VLOOKUP(Tabelle32[[#This Row],[Device ID]],BOM!$B$3:$BQ$35,29,FALSE),"")</f>
        <v>5_36_1</v>
      </c>
      <c r="Z610" s="59" t="str">
        <f>IFERROR(VLOOKUP(Tabelle32[[#This Row],[Device ID]],BOM!$B$3:$BQ$35,30,FALSE),"")</f>
        <v>tpco-megw-vgw103.rtb.st-net.media.int</v>
      </c>
      <c r="AA610" s="59" t="str">
        <f>IFERROR(VLOOKUP(Tabelle32[[#This Row],[Device ID]],BOM!$B$3:$BQ$35,31,FALSE),"")</f>
        <v>10.120.236.54</v>
      </c>
      <c r="AB610" s="59" t="str">
        <f>IFERROR(VLOOKUP(Tabelle32[[#This Row],[Device ID]],BOM!$B$3:$BQ$35,32,FALSE),"")</f>
        <v>AVCoreB</v>
      </c>
      <c r="AC610" s="59" t="str">
        <f>IFERROR(VLOOKUP(Tabelle32[[#This Row],[Device ID]],BOM!$B$3:$BQ$35,33,FALSE),"")</f>
        <v>5_36_1</v>
      </c>
      <c r="AD610" s="59" t="str">
        <f>IFERROR(VLOOKUP(Tabelle32[[#This Row],[Device ID]],BOM!$B$3:$BQ$35,34,FALSE),"")</f>
        <v>tpco-megw-vgw103.st-net.media.int</v>
      </c>
      <c r="AE610" s="59" t="str">
        <f>IFERROR(VLOOKUP(Tabelle32[[#This Row],[Device ID]],BOM!$B$3:$BQ$35,35,FALSE),"")</f>
        <v>10.120.67.141</v>
      </c>
      <c r="AF610" s="59">
        <f>IFERROR(VLOOKUP(Tabelle32[[#This Row],[Device ID]],BOM!$B$3:$BQ$35,36,FALSE),"")</f>
        <v>0</v>
      </c>
      <c r="AG610" s="59">
        <f>IFERROR(VLOOKUP(Tabelle32[[#This Row],[Device ID]],BOM!$B$3:$BQ$35,37,FALSE),"")</f>
        <v>0</v>
      </c>
      <c r="AH610" s="59"/>
      <c r="AI610" s="59"/>
      <c r="AJ610" s="59"/>
      <c r="AK610" s="59"/>
      <c r="AL610" s="59" t="str">
        <f>IFERROR(VLOOKUP(Tabelle32[[#This Row],[Device ID]],BOM!$B$3:$BQ$35,42,FALSE),"")</f>
        <v>Imagine Communications SNP</v>
      </c>
      <c r="AM610" s="59" t="str">
        <f>IFERROR(VLOOKUP(Tabelle32[[#This Row],[Device ID]],BOM!$B$3:$BQ$35,43,FALSE),"")</f>
        <v>no</v>
      </c>
      <c r="AN610" s="59" t="str">
        <f>IFERROR(VLOOKUP(Tabelle32[[#This Row],[Device ID]],BOM!$B$3:$BQ$35,44,FALSE),"")</f>
        <v>yes</v>
      </c>
      <c r="AO610" s="59" t="str">
        <f>IFERROR(VLOOKUP(Tabelle32[[#This Row],[Device ID]],BOM!$B$3:$BQ$35,45,FALSE),"")</f>
        <v>no</v>
      </c>
      <c r="AP610" s="59" t="str">
        <f>IFERROR(CONCATENATE(Tabelle32[[#This Row],[Family
GFX-Unit]]," | ",Tabelle32[[#This Row],[Label 1
GFX-Unit]]," | ",Tabelle32[[#This Row],[Attached Device if Gateway]]),"")</f>
        <v>MEDEM Edits Out | Out Edit21-16 | EditPC-21</v>
      </c>
      <c r="AQ610" s="59"/>
      <c r="AR610" s="92"/>
      <c r="AS610" s="92"/>
      <c r="AT610" s="92"/>
      <c r="AU610" s="92"/>
      <c r="AV610" s="92"/>
      <c r="AW610" s="92"/>
      <c r="AX610" s="92"/>
      <c r="AY610" s="92"/>
      <c r="AZ610" s="92"/>
      <c r="BA610" s="92"/>
      <c r="BB610" s="92"/>
      <c r="BC610" s="92"/>
      <c r="BD610" s="92" t="s">
        <v>97</v>
      </c>
      <c r="BE610" s="92"/>
      <c r="BF610" s="92"/>
      <c r="BG610" s="92"/>
      <c r="BH610" s="73" t="s">
        <v>199</v>
      </c>
      <c r="BI610" s="30" t="str">
        <f>IF(COUNTA(Tabelle32[[#This Row],[Type:Vid_1080i50]:[Type:Anc_Prot]])&gt;0,"x","")</f>
        <v>x</v>
      </c>
      <c r="BJ61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10" s="59"/>
      <c r="BL610" s="59"/>
      <c r="BM610" s="63"/>
      <c r="BN610" s="63"/>
      <c r="BO610" s="97" t="s">
        <v>732</v>
      </c>
      <c r="BP610" s="97" t="s">
        <v>1110</v>
      </c>
      <c r="BQ610" s="75">
        <f>LEN(Tabelle32[[#This Row],[Label 1
GFX-Unit]])</f>
        <v>13</v>
      </c>
      <c r="BR610" s="63"/>
      <c r="BS610" s="63"/>
      <c r="BT610" s="59"/>
      <c r="BU610" s="59"/>
      <c r="BV610" s="59" t="s">
        <v>268</v>
      </c>
      <c r="BW610" s="59" t="s">
        <v>269</v>
      </c>
      <c r="BX610" s="59" t="s">
        <v>1111</v>
      </c>
      <c r="BY610" s="59">
        <v>29</v>
      </c>
    </row>
    <row r="611" spans="1:77" x14ac:dyDescent="0.2">
      <c r="A611" s="58" t="str">
        <f>CONCATENATE(Tabelle32[[#This Row],[Device ID]],".",Tabelle32[[#This Row],[Streamcounter]])</f>
        <v>2154.29101</v>
      </c>
      <c r="B61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VGW-103_SDI29_VIDsend_0001</v>
      </c>
      <c r="C611" s="67"/>
      <c r="D611" s="61"/>
      <c r="E611" s="67"/>
      <c r="F611" s="59" t="str">
        <f>IFERROR(VLOOKUP(Tabelle32[[#This Row],[Device ID]],BOM!$B$3:$BQ$35,16,FALSE),"")</f>
        <v>EditPC-21</v>
      </c>
      <c r="G611" s="63">
        <f>VLOOKUP(Tabelle32[[#This Row],[SDI Interface]],BOM!$A$4:$B$35,2,FALSE)</f>
        <v>2154</v>
      </c>
      <c r="H611" s="59" t="str">
        <f>BOM!$C$4</f>
        <v>VGW-103</v>
      </c>
      <c r="I611" s="59" t="str">
        <f>IFERROR(VLOOKUP(Tabelle32[[#This Row],[Device ID]],BOM!$B$3:$BQ$35,12,FALSE),"")</f>
        <v>Edit Suite</v>
      </c>
      <c r="J611" s="59" t="str">
        <f>IFERROR(VLOOKUP(Tabelle32[[#This Row],[Device ID]],BOM!$B$3:$BQ$35,13,FALSE),"")</f>
        <v>TC.U1.223 | MDC</v>
      </c>
      <c r="K611" s="59" t="str">
        <f>IFERROR(VLOOKUP(Tabelle32[[#This Row],[Device ID]],BOM!$B$3:$BQ$35,14,FALSE),"")</f>
        <v>Imagine Comunications</v>
      </c>
      <c r="L611" s="59" t="str">
        <f>IFERROR(VLOOKUP(Tabelle32[[#This Row],[Device ID]],BOM!$B$3:$BQ$35,16,FALSE),"")</f>
        <v>EditPC-21</v>
      </c>
      <c r="M611" s="63" t="str">
        <f>IFERROR(VLOOKUP(Tabelle32[[#This Row],[Device ID]],BOM!$B$3:$BQ$35,17,FALSE),"")</f>
        <v>EDIT SUITE 21</v>
      </c>
      <c r="N611" s="59" t="str">
        <f>IFERROR(VLOOKUP(Tabelle32[[#This Row],[Device ID]],BOM!$B$3:$BQ$35,18,FALSE),"")</f>
        <v>NEBEZ.V3.17 | Edit 21</v>
      </c>
      <c r="O611" s="64"/>
      <c r="P611" s="64">
        <f>IFERROR(VLOOKUP(Tabelle32[[#This Row],[Device ID]],BOM!$B$3:$BO$50,20,FALSE),"")</f>
        <v>0</v>
      </c>
      <c r="Q611" s="64">
        <f>IFERROR(VLOOKUP(Tabelle32[[#This Row],[Device ID]],BOM!$B$3:$BO$50,21,FALSE),"")</f>
        <v>1</v>
      </c>
      <c r="R611" s="64">
        <f>IFERROR(VLOOKUP(Tabelle32[[#This Row],[Device ID]],BOM!$B$3:$BO$50,22,FALSE),"")</f>
        <v>0</v>
      </c>
      <c r="S611" s="64"/>
      <c r="T611" s="64"/>
      <c r="U611" s="59" t="str">
        <f>IFERROR(VLOOKUP(Tabelle32[[#This Row],[Device ID]],BOM!$B$3:$BQ$35,25,FALSE),"")</f>
        <v>Luis/Ivo</v>
      </c>
      <c r="V611" s="59" t="str">
        <f>IFERROR(VLOOKUP(Tabelle32[[#This Row],[Device ID]],BOM!$B$3:$BQ$35,26,FALSE),"")</f>
        <v>tpco-megw-vgw103.rta.st-net.media.int</v>
      </c>
      <c r="W611" s="59" t="str">
        <f>IFERROR(VLOOKUP(Tabelle32[[#This Row],[Device ID]],BOM!$B$3:$BQ$35,27,FALSE),"")</f>
        <v>10.120.236.50</v>
      </c>
      <c r="X611" s="59" t="str">
        <f>IFERROR(VLOOKUP(Tabelle32[[#This Row],[Device ID]],BOM!$B$3:$BQ$35,28,FALSE),"")</f>
        <v>AVCoreA</v>
      </c>
      <c r="Y611" s="59" t="str">
        <f>IFERROR(VLOOKUP(Tabelle32[[#This Row],[Device ID]],BOM!$B$3:$BQ$35,29,FALSE),"")</f>
        <v>5_36_1</v>
      </c>
      <c r="Z611" s="59" t="str">
        <f>IFERROR(VLOOKUP(Tabelle32[[#This Row],[Device ID]],BOM!$B$3:$BQ$35,30,FALSE),"")</f>
        <v>tpco-megw-vgw103.rtb.st-net.media.int</v>
      </c>
      <c r="AA611" s="59" t="str">
        <f>IFERROR(VLOOKUP(Tabelle32[[#This Row],[Device ID]],BOM!$B$3:$BQ$35,31,FALSE),"")</f>
        <v>10.120.236.54</v>
      </c>
      <c r="AB611" s="59" t="str">
        <f>IFERROR(VLOOKUP(Tabelle32[[#This Row],[Device ID]],BOM!$B$3:$BQ$35,32,FALSE),"")</f>
        <v>AVCoreB</v>
      </c>
      <c r="AC611" s="59" t="str">
        <f>IFERROR(VLOOKUP(Tabelle32[[#This Row],[Device ID]],BOM!$B$3:$BQ$35,33,FALSE),"")</f>
        <v>5_36_1</v>
      </c>
      <c r="AD611" s="59" t="str">
        <f>IFERROR(VLOOKUP(Tabelle32[[#This Row],[Device ID]],BOM!$B$3:$BQ$35,34,FALSE),"")</f>
        <v>tpco-megw-vgw103.st-net.media.int</v>
      </c>
      <c r="AE611" s="59" t="str">
        <f>IFERROR(VLOOKUP(Tabelle32[[#This Row],[Device ID]],BOM!$B$3:$BQ$35,35,FALSE),"")</f>
        <v>10.120.67.141</v>
      </c>
      <c r="AF611" s="59">
        <f>IFERROR(VLOOKUP(Tabelle32[[#This Row],[Device ID]],BOM!$B$3:$BQ$35,36,FALSE),"")</f>
        <v>0</v>
      </c>
      <c r="AG611" s="59">
        <f>IFERROR(VLOOKUP(Tabelle32[[#This Row],[Device ID]],BOM!$B$3:$BQ$35,37,FALSE),"")</f>
        <v>0</v>
      </c>
      <c r="AH611" s="59"/>
      <c r="AI611" s="59"/>
      <c r="AJ611" s="59"/>
      <c r="AK611" s="59"/>
      <c r="AL611" s="59" t="str">
        <f>IFERROR(VLOOKUP(Tabelle32[[#This Row],[Device ID]],BOM!$B$3:$BQ$35,42,FALSE),"")</f>
        <v>Imagine Communications SNP</v>
      </c>
      <c r="AM611" s="59" t="str">
        <f>IFERROR(VLOOKUP(Tabelle32[[#This Row],[Device ID]],BOM!$B$3:$BQ$35,43,FALSE),"")</f>
        <v>no</v>
      </c>
      <c r="AN611" s="59" t="str">
        <f>IFERROR(VLOOKUP(Tabelle32[[#This Row],[Device ID]],BOM!$B$3:$BQ$35,44,FALSE),"")</f>
        <v>yes</v>
      </c>
      <c r="AO611" s="59" t="str">
        <f>IFERROR(VLOOKUP(Tabelle32[[#This Row],[Device ID]],BOM!$B$3:$BQ$35,45,FALSE),"")</f>
        <v>no</v>
      </c>
      <c r="AP611" s="59" t="str">
        <f>IFERROR(CONCATENATE(Tabelle32[[#This Row],[Family
GFX-Unit]]," | ",Tabelle32[[#This Row],[Label 1
GFX-Unit]]," | ",Tabelle32[[#This Row],[Attached Device if Gateway]]),"")</f>
        <v>MEDEM Edits Out | Out Edit21 | EditPC-21</v>
      </c>
      <c r="AQ611" s="59"/>
      <c r="AR611" s="92" t="s">
        <v>97</v>
      </c>
      <c r="AS611" s="92"/>
      <c r="AT611" s="92"/>
      <c r="AU611" s="92"/>
      <c r="AV611" s="92"/>
      <c r="AW611" s="92"/>
      <c r="AX611" s="92"/>
      <c r="AY611" s="92"/>
      <c r="AZ611" s="92"/>
      <c r="BA611" s="92"/>
      <c r="BB611" s="92"/>
      <c r="BC611" s="92"/>
      <c r="BD611" s="92"/>
      <c r="BE611" s="92"/>
      <c r="BF611" s="92"/>
      <c r="BG611" s="92"/>
      <c r="BH611" s="73" t="s">
        <v>199</v>
      </c>
      <c r="BI611" s="30" t="str">
        <f>IF(COUNTA(Tabelle32[[#This Row],[Type:Vid_1080i50]:[Type:Anc_Prot]])&gt;0,"x","")</f>
        <v>x</v>
      </c>
      <c r="BJ61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611" s="59"/>
      <c r="BL611" s="59"/>
      <c r="BM611" s="63"/>
      <c r="BN611" s="63"/>
      <c r="BO611" s="97" t="s">
        <v>732</v>
      </c>
      <c r="BP611" s="97" t="s">
        <v>1112</v>
      </c>
      <c r="BQ611" s="75">
        <f>LEN(Tabelle32[[#This Row],[Label 1
GFX-Unit]])</f>
        <v>10</v>
      </c>
      <c r="BR611" s="63"/>
      <c r="BS611" s="63"/>
      <c r="BT611" s="59"/>
      <c r="BU611" s="59"/>
      <c r="BV611" s="59" t="s">
        <v>272</v>
      </c>
      <c r="BW611" s="59" t="s">
        <v>273</v>
      </c>
      <c r="BX611" s="59" t="s">
        <v>1113</v>
      </c>
      <c r="BY611" s="59">
        <v>29</v>
      </c>
    </row>
    <row r="612" spans="1:77" x14ac:dyDescent="0.2">
      <c r="A612" s="58" t="str">
        <f>CONCATENATE(Tabelle32[[#This Row],[Device ID]],".",Tabelle32[[#This Row],[Streamcounter]])</f>
        <v>2155.30301</v>
      </c>
      <c r="B61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VGW-103_SDI30_ANCsend_0001</v>
      </c>
      <c r="C612" s="67"/>
      <c r="D612" s="61"/>
      <c r="E612" s="67"/>
      <c r="F612" s="59" t="str">
        <f>IFERROR(VLOOKUP(Tabelle32[[#This Row],[Device ID]],BOM!$B$3:$BQ$35,16,FALSE),"")</f>
        <v>EditPC-22</v>
      </c>
      <c r="G612" s="63">
        <f>VLOOKUP(Tabelle32[[#This Row],[SDI Interface]],BOM!$A$4:$B$35,2,FALSE)</f>
        <v>2155</v>
      </c>
      <c r="H612" s="59" t="str">
        <f>BOM!$C$4</f>
        <v>VGW-103</v>
      </c>
      <c r="I612" s="59" t="str">
        <f>IFERROR(VLOOKUP(Tabelle32[[#This Row],[Device ID]],BOM!$B$3:$BQ$35,12,FALSE),"")</f>
        <v>Edit Suite</v>
      </c>
      <c r="J612" s="59" t="str">
        <f>IFERROR(VLOOKUP(Tabelle32[[#This Row],[Device ID]],BOM!$B$3:$BQ$35,13,FALSE),"")</f>
        <v>TC.U1.223 | MDC</v>
      </c>
      <c r="K612" s="59" t="str">
        <f>IFERROR(VLOOKUP(Tabelle32[[#This Row],[Device ID]],BOM!$B$3:$BQ$35,14,FALSE),"")</f>
        <v>Imagine Comunications</v>
      </c>
      <c r="L612" s="59" t="str">
        <f>IFERROR(VLOOKUP(Tabelle32[[#This Row],[Device ID]],BOM!$B$3:$BQ$35,16,FALSE),"")</f>
        <v>EditPC-22</v>
      </c>
      <c r="M612" s="63" t="str">
        <f>IFERROR(VLOOKUP(Tabelle32[[#This Row],[Device ID]],BOM!$B$3:$BQ$35,17,FALSE),"")</f>
        <v>EDIT SUITE 22</v>
      </c>
      <c r="N612" s="59" t="str">
        <f>IFERROR(VLOOKUP(Tabelle32[[#This Row],[Device ID]],BOM!$B$3:$BQ$35,18,FALSE),"")</f>
        <v>NEBEZ.V3.16 | Edit 22</v>
      </c>
      <c r="O612" s="64"/>
      <c r="P612" s="64">
        <f>IFERROR(VLOOKUP(Tabelle32[[#This Row],[Device ID]],BOM!$B$3:$BO$50,20,FALSE),"")</f>
        <v>0</v>
      </c>
      <c r="Q612" s="64">
        <f>IFERROR(VLOOKUP(Tabelle32[[#This Row],[Device ID]],BOM!$B$3:$BO$50,21,FALSE),"")</f>
        <v>1</v>
      </c>
      <c r="R612" s="64">
        <f>IFERROR(VLOOKUP(Tabelle32[[#This Row],[Device ID]],BOM!$B$3:$BO$50,22,FALSE),"")</f>
        <v>0</v>
      </c>
      <c r="S612" s="64"/>
      <c r="T612" s="64"/>
      <c r="U612" s="59" t="str">
        <f>IFERROR(VLOOKUP(Tabelle32[[#This Row],[Device ID]],BOM!$B$3:$BQ$35,25,FALSE),"")</f>
        <v>Luis/Ivo</v>
      </c>
      <c r="V612" s="59" t="str">
        <f>IFERROR(VLOOKUP(Tabelle32[[#This Row],[Device ID]],BOM!$B$3:$BQ$35,26,FALSE),"")</f>
        <v>tpco-megw-vgw103.rta.st-net.media.int</v>
      </c>
      <c r="W612" s="59" t="str">
        <f>IFERROR(VLOOKUP(Tabelle32[[#This Row],[Device ID]],BOM!$B$3:$BQ$35,27,FALSE),"")</f>
        <v>10.120.236.50</v>
      </c>
      <c r="X612" s="59" t="str">
        <f>IFERROR(VLOOKUP(Tabelle32[[#This Row],[Device ID]],BOM!$B$3:$BQ$35,28,FALSE),"")</f>
        <v>AVCoreA</v>
      </c>
      <c r="Y612" s="59" t="str">
        <f>IFERROR(VLOOKUP(Tabelle32[[#This Row],[Device ID]],BOM!$B$3:$BQ$35,29,FALSE),"")</f>
        <v>5_36_1</v>
      </c>
      <c r="Z612" s="59" t="str">
        <f>IFERROR(VLOOKUP(Tabelle32[[#This Row],[Device ID]],BOM!$B$3:$BQ$35,30,FALSE),"")</f>
        <v>tpco-megw-vgw103.rtb.st-net.media.int</v>
      </c>
      <c r="AA612" s="59" t="str">
        <f>IFERROR(VLOOKUP(Tabelle32[[#This Row],[Device ID]],BOM!$B$3:$BQ$35,31,FALSE),"")</f>
        <v>10.120.236.54</v>
      </c>
      <c r="AB612" s="59" t="str">
        <f>IFERROR(VLOOKUP(Tabelle32[[#This Row],[Device ID]],BOM!$B$3:$BQ$35,32,FALSE),"")</f>
        <v>AVCoreB</v>
      </c>
      <c r="AC612" s="59" t="str">
        <f>IFERROR(VLOOKUP(Tabelle32[[#This Row],[Device ID]],BOM!$B$3:$BQ$35,33,FALSE),"")</f>
        <v>5_36_1</v>
      </c>
      <c r="AD612" s="59" t="str">
        <f>IFERROR(VLOOKUP(Tabelle32[[#This Row],[Device ID]],BOM!$B$3:$BQ$35,34,FALSE),"")</f>
        <v>tpco-megw-vgw103.st-net.media.int</v>
      </c>
      <c r="AE612" s="59" t="str">
        <f>IFERROR(VLOOKUP(Tabelle32[[#This Row],[Device ID]],BOM!$B$3:$BQ$35,35,FALSE),"")</f>
        <v>10.120.67.141</v>
      </c>
      <c r="AF612" s="59">
        <f>IFERROR(VLOOKUP(Tabelle32[[#This Row],[Device ID]],BOM!$B$3:$BQ$35,36,FALSE),"")</f>
        <v>0</v>
      </c>
      <c r="AG612" s="59">
        <f>IFERROR(VLOOKUP(Tabelle32[[#This Row],[Device ID]],BOM!$B$3:$BQ$35,37,FALSE),"")</f>
        <v>0</v>
      </c>
      <c r="AH612" s="59"/>
      <c r="AI612" s="59"/>
      <c r="AJ612" s="59"/>
      <c r="AK612" s="59"/>
      <c r="AL612" s="59" t="str">
        <f>IFERROR(VLOOKUP(Tabelle32[[#This Row],[Device ID]],BOM!$B$3:$BQ$35,42,FALSE),"")</f>
        <v>Imagine Communications SNP</v>
      </c>
      <c r="AM612" s="59" t="str">
        <f>IFERROR(VLOOKUP(Tabelle32[[#This Row],[Device ID]],BOM!$B$3:$BQ$35,43,FALSE),"")</f>
        <v>no</v>
      </c>
      <c r="AN612" s="59" t="str">
        <f>IFERROR(VLOOKUP(Tabelle32[[#This Row],[Device ID]],BOM!$B$3:$BQ$35,44,FALSE),"")</f>
        <v>yes</v>
      </c>
      <c r="AO612" s="59" t="str">
        <f>IFERROR(VLOOKUP(Tabelle32[[#This Row],[Device ID]],BOM!$B$3:$BQ$35,45,FALSE),"")</f>
        <v>no</v>
      </c>
      <c r="AP612" s="59" t="str">
        <f>IFERROR(CONCATENATE(Tabelle32[[#This Row],[Family
GFX-Unit]]," | ",Tabelle32[[#This Row],[Label 1
GFX-Unit]]," | ",Tabelle32[[#This Row],[Attached Device if Gateway]]),"")</f>
        <v>MEDEM Edits Out | Out Edit22-ANC1 | EditPC-22</v>
      </c>
      <c r="AQ612" s="59"/>
      <c r="AR612" s="91"/>
      <c r="AS612" s="91"/>
      <c r="AT612" s="91"/>
      <c r="AU612" s="91"/>
      <c r="AV612" s="91"/>
      <c r="AW612" s="91"/>
      <c r="AX612" s="91"/>
      <c r="AY612" s="91"/>
      <c r="AZ612" s="91"/>
      <c r="BA612" s="91"/>
      <c r="BB612" s="91"/>
      <c r="BC612" s="91"/>
      <c r="BD612" s="91"/>
      <c r="BE612" s="91"/>
      <c r="BF612" s="91"/>
      <c r="BG612" s="91" t="s">
        <v>97</v>
      </c>
      <c r="BH612" s="73" t="s">
        <v>199</v>
      </c>
      <c r="BI612" s="30" t="str">
        <f>IF(COUNTA(Tabelle32[[#This Row],[Type:Vid_1080i50]:[Type:Anc_Prot]])&gt;0,"x","")</f>
        <v>x</v>
      </c>
      <c r="BJ61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612" s="59"/>
      <c r="BL612" s="59"/>
      <c r="BM612" s="63"/>
      <c r="BN612" s="63"/>
      <c r="BO612" s="97" t="s">
        <v>732</v>
      </c>
      <c r="BP612" s="97" t="s">
        <v>1114</v>
      </c>
      <c r="BQ612" s="75">
        <f>LEN(Tabelle32[[#This Row],[Label 1
GFX-Unit]])</f>
        <v>15</v>
      </c>
      <c r="BR612" s="63"/>
      <c r="BS612" s="63"/>
      <c r="BT612" s="59"/>
      <c r="BU612" s="59"/>
      <c r="BV612" s="59" t="s">
        <v>202</v>
      </c>
      <c r="BW612" s="59" t="s">
        <v>203</v>
      </c>
      <c r="BX612" s="59" t="s">
        <v>1115</v>
      </c>
      <c r="BY612" s="59">
        <v>30</v>
      </c>
    </row>
    <row r="613" spans="1:77" hidden="1" x14ac:dyDescent="0.2">
      <c r="A613" s="58" t="str">
        <f>CONCATENATE(Tabelle32[[#This Row],[Device ID]],".",Tabelle32[[#This Row],[Streamcounter]])</f>
        <v>2155.30302</v>
      </c>
      <c r="B61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VGW-103_SDI30_ANCsend_0002</v>
      </c>
      <c r="C613" s="67"/>
      <c r="D613" s="61"/>
      <c r="E613" s="67"/>
      <c r="F613" s="59" t="str">
        <f>IFERROR(VLOOKUP(Tabelle32[[#This Row],[Device ID]],BOM!$B$3:$BQ$35,16,FALSE),"")</f>
        <v>EditPC-22</v>
      </c>
      <c r="G613" s="63">
        <f>VLOOKUP(Tabelle32[[#This Row],[SDI Interface]],BOM!$A$4:$B$35,2,FALSE)</f>
        <v>2155</v>
      </c>
      <c r="H613" s="59" t="str">
        <f>BOM!$C$4</f>
        <v>VGW-103</v>
      </c>
      <c r="I613" s="59" t="str">
        <f>IFERROR(VLOOKUP(Tabelle32[[#This Row],[Device ID]],BOM!$B$3:$BQ$35,12,FALSE),"")</f>
        <v>Edit Suite</v>
      </c>
      <c r="J613" s="59" t="str">
        <f>IFERROR(VLOOKUP(Tabelle32[[#This Row],[Device ID]],BOM!$B$3:$BQ$35,13,FALSE),"")</f>
        <v>TC.U1.223 | MDC</v>
      </c>
      <c r="K613" s="59" t="str">
        <f>IFERROR(VLOOKUP(Tabelle32[[#This Row],[Device ID]],BOM!$B$3:$BQ$35,14,FALSE),"")</f>
        <v>Imagine Comunications</v>
      </c>
      <c r="L613" s="59" t="str">
        <f>IFERROR(VLOOKUP(Tabelle32[[#This Row],[Device ID]],BOM!$B$3:$BQ$35,16,FALSE),"")</f>
        <v>EditPC-22</v>
      </c>
      <c r="M613" s="63" t="str">
        <f>IFERROR(VLOOKUP(Tabelle32[[#This Row],[Device ID]],BOM!$B$3:$BQ$35,17,FALSE),"")</f>
        <v>EDIT SUITE 22</v>
      </c>
      <c r="N613" s="59" t="str">
        <f>IFERROR(VLOOKUP(Tabelle32[[#This Row],[Device ID]],BOM!$B$3:$BQ$35,18,FALSE),"")</f>
        <v>NEBEZ.V3.16 | Edit 22</v>
      </c>
      <c r="O613" s="64"/>
      <c r="P613" s="64">
        <f>IFERROR(VLOOKUP(Tabelle32[[#This Row],[Device ID]],BOM!$B$3:$BO$50,20,FALSE),"")</f>
        <v>0</v>
      </c>
      <c r="Q613" s="64">
        <f>IFERROR(VLOOKUP(Tabelle32[[#This Row],[Device ID]],BOM!$B$3:$BO$50,21,FALSE),"")</f>
        <v>1</v>
      </c>
      <c r="R613" s="64">
        <f>IFERROR(VLOOKUP(Tabelle32[[#This Row],[Device ID]],BOM!$B$3:$BO$50,22,FALSE),"")</f>
        <v>0</v>
      </c>
      <c r="S613" s="64"/>
      <c r="T613" s="64"/>
      <c r="U613" s="59" t="str">
        <f>IFERROR(VLOOKUP(Tabelle32[[#This Row],[Device ID]],BOM!$B$3:$BQ$35,25,FALSE),"")</f>
        <v>Luis/Ivo</v>
      </c>
      <c r="V613" s="59" t="str">
        <f>IFERROR(VLOOKUP(Tabelle32[[#This Row],[Device ID]],BOM!$B$3:$BQ$35,26,FALSE),"")</f>
        <v>tpco-megw-vgw103.rta.st-net.media.int</v>
      </c>
      <c r="W613" s="59" t="str">
        <f>IFERROR(VLOOKUP(Tabelle32[[#This Row],[Device ID]],BOM!$B$3:$BQ$35,27,FALSE),"")</f>
        <v>10.120.236.50</v>
      </c>
      <c r="X613" s="59" t="str">
        <f>IFERROR(VLOOKUP(Tabelle32[[#This Row],[Device ID]],BOM!$B$3:$BQ$35,28,FALSE),"")</f>
        <v>AVCoreA</v>
      </c>
      <c r="Y613" s="59" t="str">
        <f>IFERROR(VLOOKUP(Tabelle32[[#This Row],[Device ID]],BOM!$B$3:$BQ$35,29,FALSE),"")</f>
        <v>5_36_1</v>
      </c>
      <c r="Z613" s="59" t="str">
        <f>IFERROR(VLOOKUP(Tabelle32[[#This Row],[Device ID]],BOM!$B$3:$BQ$35,30,FALSE),"")</f>
        <v>tpco-megw-vgw103.rtb.st-net.media.int</v>
      </c>
      <c r="AA613" s="59" t="str">
        <f>IFERROR(VLOOKUP(Tabelle32[[#This Row],[Device ID]],BOM!$B$3:$BQ$35,31,FALSE),"")</f>
        <v>10.120.236.54</v>
      </c>
      <c r="AB613" s="59" t="str">
        <f>IFERROR(VLOOKUP(Tabelle32[[#This Row],[Device ID]],BOM!$B$3:$BQ$35,32,FALSE),"")</f>
        <v>AVCoreB</v>
      </c>
      <c r="AC613" s="59" t="str">
        <f>IFERROR(VLOOKUP(Tabelle32[[#This Row],[Device ID]],BOM!$B$3:$BQ$35,33,FALSE),"")</f>
        <v>5_36_1</v>
      </c>
      <c r="AD613" s="59" t="str">
        <f>IFERROR(VLOOKUP(Tabelle32[[#This Row],[Device ID]],BOM!$B$3:$BQ$35,34,FALSE),"")</f>
        <v>tpco-megw-vgw103.st-net.media.int</v>
      </c>
      <c r="AE613" s="59" t="str">
        <f>IFERROR(VLOOKUP(Tabelle32[[#This Row],[Device ID]],BOM!$B$3:$BQ$35,35,FALSE),"")</f>
        <v>10.120.67.141</v>
      </c>
      <c r="AF613" s="59">
        <f>IFERROR(VLOOKUP(Tabelle32[[#This Row],[Device ID]],BOM!$B$3:$BQ$35,36,FALSE),"")</f>
        <v>0</v>
      </c>
      <c r="AG613" s="59">
        <f>IFERROR(VLOOKUP(Tabelle32[[#This Row],[Device ID]],BOM!$B$3:$BQ$35,37,FALSE),"")</f>
        <v>0</v>
      </c>
      <c r="AH613" s="59"/>
      <c r="AI613" s="59"/>
      <c r="AJ613" s="59"/>
      <c r="AK613" s="59"/>
      <c r="AL613" s="59" t="str">
        <f>IFERROR(VLOOKUP(Tabelle32[[#This Row],[Device ID]],BOM!$B$3:$BQ$35,42,FALSE),"")</f>
        <v>Imagine Communications SNP</v>
      </c>
      <c r="AM613" s="59" t="str">
        <f>IFERROR(VLOOKUP(Tabelle32[[#This Row],[Device ID]],BOM!$B$3:$BQ$35,43,FALSE),"")</f>
        <v>no</v>
      </c>
      <c r="AN613" s="59" t="str">
        <f>IFERROR(VLOOKUP(Tabelle32[[#This Row],[Device ID]],BOM!$B$3:$BQ$35,44,FALSE),"")</f>
        <v>yes</v>
      </c>
      <c r="AO613" s="59" t="str">
        <f>IFERROR(VLOOKUP(Tabelle32[[#This Row],[Device ID]],BOM!$B$3:$BQ$35,45,FALSE),"")</f>
        <v>no</v>
      </c>
      <c r="AP613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13" s="59"/>
      <c r="AR613" s="28"/>
      <c r="AS613" s="28"/>
      <c r="AT613" s="28"/>
      <c r="AU613" s="90"/>
      <c r="AV613" s="90"/>
      <c r="AW613" s="90"/>
      <c r="AX613" s="90"/>
      <c r="AY613" s="90"/>
      <c r="AZ613" s="90"/>
      <c r="BA613" s="90"/>
      <c r="BB613" s="90"/>
      <c r="BC613" s="90"/>
      <c r="BD613" s="90"/>
      <c r="BE613" s="90"/>
      <c r="BF613" s="90"/>
      <c r="BG613" s="90"/>
      <c r="BH613" s="73" t="s">
        <v>199</v>
      </c>
      <c r="BI613" s="30" t="str">
        <f>IF(COUNTA(Tabelle32[[#This Row],[Type:Vid_1080i50]:[Type:Anc_Prot]])&gt;0,"x","")</f>
        <v/>
      </c>
      <c r="BJ61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13" s="59"/>
      <c r="BL613" s="59"/>
      <c r="BM613" s="63"/>
      <c r="BN613" s="63"/>
      <c r="BO613" s="96"/>
      <c r="BP613" s="96"/>
      <c r="BQ613" s="75">
        <f>LEN(Tabelle32[[#This Row],[Label 1
GFX-Unit]])</f>
        <v>0</v>
      </c>
      <c r="BR613" s="63"/>
      <c r="BS613" s="63"/>
      <c r="BT613" s="59"/>
      <c r="BU613" s="59"/>
      <c r="BV613" s="59" t="s">
        <v>205</v>
      </c>
      <c r="BW613" s="59" t="s">
        <v>206</v>
      </c>
      <c r="BX613" s="59" t="s">
        <v>1116</v>
      </c>
      <c r="BY613" s="59">
        <v>30</v>
      </c>
    </row>
    <row r="614" spans="1:77" hidden="1" x14ac:dyDescent="0.2">
      <c r="A614" s="58" t="str">
        <f>CONCATENATE(Tabelle32[[#This Row],[Device ID]],".",Tabelle32[[#This Row],[Streamcounter]])</f>
        <v>2155.30303</v>
      </c>
      <c r="B61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VGW-103_SDI30_ANCsend_0003</v>
      </c>
      <c r="C614" s="67"/>
      <c r="D614" s="61"/>
      <c r="E614" s="67"/>
      <c r="F614" s="59" t="str">
        <f>IFERROR(VLOOKUP(Tabelle32[[#This Row],[Device ID]],BOM!$B$3:$BQ$35,16,FALSE),"")</f>
        <v>EditPC-22</v>
      </c>
      <c r="G614" s="63">
        <f>VLOOKUP(Tabelle32[[#This Row],[SDI Interface]],BOM!$A$4:$B$35,2,FALSE)</f>
        <v>2155</v>
      </c>
      <c r="H614" s="59" t="str">
        <f>BOM!$C$4</f>
        <v>VGW-103</v>
      </c>
      <c r="I614" s="59" t="str">
        <f>IFERROR(VLOOKUP(Tabelle32[[#This Row],[Device ID]],BOM!$B$3:$BQ$35,12,FALSE),"")</f>
        <v>Edit Suite</v>
      </c>
      <c r="J614" s="59" t="str">
        <f>IFERROR(VLOOKUP(Tabelle32[[#This Row],[Device ID]],BOM!$B$3:$BQ$35,13,FALSE),"")</f>
        <v>TC.U1.223 | MDC</v>
      </c>
      <c r="K614" s="59" t="str">
        <f>IFERROR(VLOOKUP(Tabelle32[[#This Row],[Device ID]],BOM!$B$3:$BQ$35,14,FALSE),"")</f>
        <v>Imagine Comunications</v>
      </c>
      <c r="L614" s="59" t="str">
        <f>IFERROR(VLOOKUP(Tabelle32[[#This Row],[Device ID]],BOM!$B$3:$BQ$35,16,FALSE),"")</f>
        <v>EditPC-22</v>
      </c>
      <c r="M614" s="63" t="str">
        <f>IFERROR(VLOOKUP(Tabelle32[[#This Row],[Device ID]],BOM!$B$3:$BQ$35,17,FALSE),"")</f>
        <v>EDIT SUITE 22</v>
      </c>
      <c r="N614" s="59" t="str">
        <f>IFERROR(VLOOKUP(Tabelle32[[#This Row],[Device ID]],BOM!$B$3:$BQ$35,18,FALSE),"")</f>
        <v>NEBEZ.V3.16 | Edit 22</v>
      </c>
      <c r="O614" s="64"/>
      <c r="P614" s="64">
        <f>IFERROR(VLOOKUP(Tabelle32[[#This Row],[Device ID]],BOM!$B$3:$BO$50,20,FALSE),"")</f>
        <v>0</v>
      </c>
      <c r="Q614" s="64">
        <f>IFERROR(VLOOKUP(Tabelle32[[#This Row],[Device ID]],BOM!$B$3:$BO$50,21,FALSE),"")</f>
        <v>1</v>
      </c>
      <c r="R614" s="64">
        <f>IFERROR(VLOOKUP(Tabelle32[[#This Row],[Device ID]],BOM!$B$3:$BO$50,22,FALSE),"")</f>
        <v>0</v>
      </c>
      <c r="S614" s="64"/>
      <c r="T614" s="64"/>
      <c r="U614" s="59" t="str">
        <f>IFERROR(VLOOKUP(Tabelle32[[#This Row],[Device ID]],BOM!$B$3:$BQ$35,25,FALSE),"")</f>
        <v>Luis/Ivo</v>
      </c>
      <c r="V614" s="59" t="str">
        <f>IFERROR(VLOOKUP(Tabelle32[[#This Row],[Device ID]],BOM!$B$3:$BQ$35,26,FALSE),"")</f>
        <v>tpco-megw-vgw103.rta.st-net.media.int</v>
      </c>
      <c r="W614" s="59" t="str">
        <f>IFERROR(VLOOKUP(Tabelle32[[#This Row],[Device ID]],BOM!$B$3:$BQ$35,27,FALSE),"")</f>
        <v>10.120.236.50</v>
      </c>
      <c r="X614" s="59" t="str">
        <f>IFERROR(VLOOKUP(Tabelle32[[#This Row],[Device ID]],BOM!$B$3:$BQ$35,28,FALSE),"")</f>
        <v>AVCoreA</v>
      </c>
      <c r="Y614" s="59" t="str">
        <f>IFERROR(VLOOKUP(Tabelle32[[#This Row],[Device ID]],BOM!$B$3:$BQ$35,29,FALSE),"")</f>
        <v>5_36_1</v>
      </c>
      <c r="Z614" s="59" t="str">
        <f>IFERROR(VLOOKUP(Tabelle32[[#This Row],[Device ID]],BOM!$B$3:$BQ$35,30,FALSE),"")</f>
        <v>tpco-megw-vgw103.rtb.st-net.media.int</v>
      </c>
      <c r="AA614" s="59" t="str">
        <f>IFERROR(VLOOKUP(Tabelle32[[#This Row],[Device ID]],BOM!$B$3:$BQ$35,31,FALSE),"")</f>
        <v>10.120.236.54</v>
      </c>
      <c r="AB614" s="59" t="str">
        <f>IFERROR(VLOOKUP(Tabelle32[[#This Row],[Device ID]],BOM!$B$3:$BQ$35,32,FALSE),"")</f>
        <v>AVCoreB</v>
      </c>
      <c r="AC614" s="59" t="str">
        <f>IFERROR(VLOOKUP(Tabelle32[[#This Row],[Device ID]],BOM!$B$3:$BQ$35,33,FALSE),"")</f>
        <v>5_36_1</v>
      </c>
      <c r="AD614" s="59" t="str">
        <f>IFERROR(VLOOKUP(Tabelle32[[#This Row],[Device ID]],BOM!$B$3:$BQ$35,34,FALSE),"")</f>
        <v>tpco-megw-vgw103.st-net.media.int</v>
      </c>
      <c r="AE614" s="59" t="str">
        <f>IFERROR(VLOOKUP(Tabelle32[[#This Row],[Device ID]],BOM!$B$3:$BQ$35,35,FALSE),"")</f>
        <v>10.120.67.141</v>
      </c>
      <c r="AF614" s="59">
        <f>IFERROR(VLOOKUP(Tabelle32[[#This Row],[Device ID]],BOM!$B$3:$BQ$35,36,FALSE),"")</f>
        <v>0</v>
      </c>
      <c r="AG614" s="59">
        <f>IFERROR(VLOOKUP(Tabelle32[[#This Row],[Device ID]],BOM!$B$3:$BQ$35,37,FALSE),"")</f>
        <v>0</v>
      </c>
      <c r="AH614" s="59"/>
      <c r="AI614" s="59"/>
      <c r="AJ614" s="59"/>
      <c r="AK614" s="59"/>
      <c r="AL614" s="59" t="str">
        <f>IFERROR(VLOOKUP(Tabelle32[[#This Row],[Device ID]],BOM!$B$3:$BQ$35,42,FALSE),"")</f>
        <v>Imagine Communications SNP</v>
      </c>
      <c r="AM614" s="59" t="str">
        <f>IFERROR(VLOOKUP(Tabelle32[[#This Row],[Device ID]],BOM!$B$3:$BQ$35,43,FALSE),"")</f>
        <v>no</v>
      </c>
      <c r="AN614" s="59" t="str">
        <f>IFERROR(VLOOKUP(Tabelle32[[#This Row],[Device ID]],BOM!$B$3:$BQ$35,44,FALSE),"")</f>
        <v>yes</v>
      </c>
      <c r="AO614" s="59" t="str">
        <f>IFERROR(VLOOKUP(Tabelle32[[#This Row],[Device ID]],BOM!$B$3:$BQ$35,45,FALSE),"")</f>
        <v>no</v>
      </c>
      <c r="AP614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14" s="59"/>
      <c r="AR614" s="28"/>
      <c r="AS614" s="28"/>
      <c r="AT614" s="28"/>
      <c r="AU614" s="90"/>
      <c r="AV614" s="90"/>
      <c r="AW614" s="90"/>
      <c r="AX614" s="90"/>
      <c r="AY614" s="90"/>
      <c r="AZ614" s="90"/>
      <c r="BA614" s="90"/>
      <c r="BB614" s="90"/>
      <c r="BC614" s="90"/>
      <c r="BD614" s="90"/>
      <c r="BE614" s="90"/>
      <c r="BF614" s="90"/>
      <c r="BG614" s="90"/>
      <c r="BH614" s="73" t="s">
        <v>199</v>
      </c>
      <c r="BI614" s="30" t="str">
        <f>IF(COUNTA(Tabelle32[[#This Row],[Type:Vid_1080i50]:[Type:Anc_Prot]])&gt;0,"x","")</f>
        <v/>
      </c>
      <c r="BJ61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14" s="59"/>
      <c r="BL614" s="59"/>
      <c r="BM614" s="63"/>
      <c r="BN614" s="63"/>
      <c r="BO614" s="96"/>
      <c r="BP614" s="96"/>
      <c r="BQ614" s="75">
        <f>LEN(Tabelle32[[#This Row],[Label 1
GFX-Unit]])</f>
        <v>0</v>
      </c>
      <c r="BR614" s="63"/>
      <c r="BS614" s="63"/>
      <c r="BT614" s="59"/>
      <c r="BU614" s="59"/>
      <c r="BV614" s="59" t="s">
        <v>208</v>
      </c>
      <c r="BW614" s="59" t="s">
        <v>209</v>
      </c>
      <c r="BX614" s="59" t="s">
        <v>1117</v>
      </c>
      <c r="BY614" s="59">
        <v>30</v>
      </c>
    </row>
    <row r="615" spans="1:77" hidden="1" x14ac:dyDescent="0.2">
      <c r="A615" s="58" t="str">
        <f>CONCATENATE(Tabelle32[[#This Row],[Device ID]],".",Tabelle32[[#This Row],[Streamcounter]])</f>
        <v>2155.30304</v>
      </c>
      <c r="B61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VGW-103_SDI30_ANCsend_0004</v>
      </c>
      <c r="C615" s="67"/>
      <c r="D615" s="61"/>
      <c r="E615" s="67"/>
      <c r="F615" s="59" t="str">
        <f>IFERROR(VLOOKUP(Tabelle32[[#This Row],[Device ID]],BOM!$B$3:$BQ$35,16,FALSE),"")</f>
        <v>EditPC-22</v>
      </c>
      <c r="G615" s="63">
        <f>VLOOKUP(Tabelle32[[#This Row],[SDI Interface]],BOM!$A$4:$B$35,2,FALSE)</f>
        <v>2155</v>
      </c>
      <c r="H615" s="59" t="str">
        <f>BOM!$C$4</f>
        <v>VGW-103</v>
      </c>
      <c r="I615" s="59" t="str">
        <f>IFERROR(VLOOKUP(Tabelle32[[#This Row],[Device ID]],BOM!$B$3:$BQ$35,12,FALSE),"")</f>
        <v>Edit Suite</v>
      </c>
      <c r="J615" s="59" t="str">
        <f>IFERROR(VLOOKUP(Tabelle32[[#This Row],[Device ID]],BOM!$B$3:$BQ$35,13,FALSE),"")</f>
        <v>TC.U1.223 | MDC</v>
      </c>
      <c r="K615" s="59" t="str">
        <f>IFERROR(VLOOKUP(Tabelle32[[#This Row],[Device ID]],BOM!$B$3:$BQ$35,14,FALSE),"")</f>
        <v>Imagine Comunications</v>
      </c>
      <c r="L615" s="59" t="str">
        <f>IFERROR(VLOOKUP(Tabelle32[[#This Row],[Device ID]],BOM!$B$3:$BQ$35,16,FALSE),"")</f>
        <v>EditPC-22</v>
      </c>
      <c r="M615" s="63" t="str">
        <f>IFERROR(VLOOKUP(Tabelle32[[#This Row],[Device ID]],BOM!$B$3:$BQ$35,17,FALSE),"")</f>
        <v>EDIT SUITE 22</v>
      </c>
      <c r="N615" s="59" t="str">
        <f>IFERROR(VLOOKUP(Tabelle32[[#This Row],[Device ID]],BOM!$B$3:$BQ$35,18,FALSE),"")</f>
        <v>NEBEZ.V3.16 | Edit 22</v>
      </c>
      <c r="O615" s="64"/>
      <c r="P615" s="64">
        <f>IFERROR(VLOOKUP(Tabelle32[[#This Row],[Device ID]],BOM!$B$3:$BO$50,20,FALSE),"")</f>
        <v>0</v>
      </c>
      <c r="Q615" s="64">
        <f>IFERROR(VLOOKUP(Tabelle32[[#This Row],[Device ID]],BOM!$B$3:$BO$50,21,FALSE),"")</f>
        <v>1</v>
      </c>
      <c r="R615" s="64">
        <f>IFERROR(VLOOKUP(Tabelle32[[#This Row],[Device ID]],BOM!$B$3:$BO$50,22,FALSE),"")</f>
        <v>0</v>
      </c>
      <c r="S615" s="64"/>
      <c r="T615" s="64"/>
      <c r="U615" s="59" t="str">
        <f>IFERROR(VLOOKUP(Tabelle32[[#This Row],[Device ID]],BOM!$B$3:$BQ$35,25,FALSE),"")</f>
        <v>Luis/Ivo</v>
      </c>
      <c r="V615" s="59" t="str">
        <f>IFERROR(VLOOKUP(Tabelle32[[#This Row],[Device ID]],BOM!$B$3:$BQ$35,26,FALSE),"")</f>
        <v>tpco-megw-vgw103.rta.st-net.media.int</v>
      </c>
      <c r="W615" s="59" t="str">
        <f>IFERROR(VLOOKUP(Tabelle32[[#This Row],[Device ID]],BOM!$B$3:$BQ$35,27,FALSE),"")</f>
        <v>10.120.236.50</v>
      </c>
      <c r="X615" s="59" t="str">
        <f>IFERROR(VLOOKUP(Tabelle32[[#This Row],[Device ID]],BOM!$B$3:$BQ$35,28,FALSE),"")</f>
        <v>AVCoreA</v>
      </c>
      <c r="Y615" s="59" t="str">
        <f>IFERROR(VLOOKUP(Tabelle32[[#This Row],[Device ID]],BOM!$B$3:$BQ$35,29,FALSE),"")</f>
        <v>5_36_1</v>
      </c>
      <c r="Z615" s="59" t="str">
        <f>IFERROR(VLOOKUP(Tabelle32[[#This Row],[Device ID]],BOM!$B$3:$BQ$35,30,FALSE),"")</f>
        <v>tpco-megw-vgw103.rtb.st-net.media.int</v>
      </c>
      <c r="AA615" s="59" t="str">
        <f>IFERROR(VLOOKUP(Tabelle32[[#This Row],[Device ID]],BOM!$B$3:$BQ$35,31,FALSE),"")</f>
        <v>10.120.236.54</v>
      </c>
      <c r="AB615" s="59" t="str">
        <f>IFERROR(VLOOKUP(Tabelle32[[#This Row],[Device ID]],BOM!$B$3:$BQ$35,32,FALSE),"")</f>
        <v>AVCoreB</v>
      </c>
      <c r="AC615" s="59" t="str">
        <f>IFERROR(VLOOKUP(Tabelle32[[#This Row],[Device ID]],BOM!$B$3:$BQ$35,33,FALSE),"")</f>
        <v>5_36_1</v>
      </c>
      <c r="AD615" s="59" t="str">
        <f>IFERROR(VLOOKUP(Tabelle32[[#This Row],[Device ID]],BOM!$B$3:$BQ$35,34,FALSE),"")</f>
        <v>tpco-megw-vgw103.st-net.media.int</v>
      </c>
      <c r="AE615" s="59" t="str">
        <f>IFERROR(VLOOKUP(Tabelle32[[#This Row],[Device ID]],BOM!$B$3:$BQ$35,35,FALSE),"")</f>
        <v>10.120.67.141</v>
      </c>
      <c r="AF615" s="59">
        <f>IFERROR(VLOOKUP(Tabelle32[[#This Row],[Device ID]],BOM!$B$3:$BQ$35,36,FALSE),"")</f>
        <v>0</v>
      </c>
      <c r="AG615" s="59">
        <f>IFERROR(VLOOKUP(Tabelle32[[#This Row],[Device ID]],BOM!$B$3:$BQ$35,37,FALSE),"")</f>
        <v>0</v>
      </c>
      <c r="AH615" s="59"/>
      <c r="AI615" s="59"/>
      <c r="AJ615" s="59"/>
      <c r="AK615" s="59"/>
      <c r="AL615" s="59" t="str">
        <f>IFERROR(VLOOKUP(Tabelle32[[#This Row],[Device ID]],BOM!$B$3:$BQ$35,42,FALSE),"")</f>
        <v>Imagine Communications SNP</v>
      </c>
      <c r="AM615" s="59" t="str">
        <f>IFERROR(VLOOKUP(Tabelle32[[#This Row],[Device ID]],BOM!$B$3:$BQ$35,43,FALSE),"")</f>
        <v>no</v>
      </c>
      <c r="AN615" s="59" t="str">
        <f>IFERROR(VLOOKUP(Tabelle32[[#This Row],[Device ID]],BOM!$B$3:$BQ$35,44,FALSE),"")</f>
        <v>yes</v>
      </c>
      <c r="AO615" s="59" t="str">
        <f>IFERROR(VLOOKUP(Tabelle32[[#This Row],[Device ID]],BOM!$B$3:$BQ$35,45,FALSE),"")</f>
        <v>no</v>
      </c>
      <c r="AP615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15" s="59"/>
      <c r="AR615" s="28"/>
      <c r="AS615" s="28"/>
      <c r="AT615" s="28"/>
      <c r="AU615" s="90"/>
      <c r="AV615" s="90"/>
      <c r="AW615" s="90"/>
      <c r="AX615" s="90"/>
      <c r="AY615" s="90"/>
      <c r="AZ615" s="90"/>
      <c r="BA615" s="90"/>
      <c r="BB615" s="90"/>
      <c r="BC615" s="90"/>
      <c r="BD615" s="90"/>
      <c r="BE615" s="90"/>
      <c r="BF615" s="90"/>
      <c r="BG615" s="90"/>
      <c r="BH615" s="73" t="s">
        <v>199</v>
      </c>
      <c r="BI615" s="30" t="str">
        <f>IF(COUNTA(Tabelle32[[#This Row],[Type:Vid_1080i50]:[Type:Anc_Prot]])&gt;0,"x","")</f>
        <v/>
      </c>
      <c r="BJ61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15" s="59"/>
      <c r="BL615" s="59"/>
      <c r="BM615" s="63"/>
      <c r="BN615" s="63"/>
      <c r="BO615" s="96"/>
      <c r="BP615" s="96"/>
      <c r="BQ615" s="75">
        <f>LEN(Tabelle32[[#This Row],[Label 1
GFX-Unit]])</f>
        <v>0</v>
      </c>
      <c r="BR615" s="63"/>
      <c r="BS615" s="63"/>
      <c r="BT615" s="59"/>
      <c r="BU615" s="59"/>
      <c r="BV615" s="59" t="s">
        <v>211</v>
      </c>
      <c r="BW615" s="59" t="s">
        <v>212</v>
      </c>
      <c r="BX615" s="59" t="s">
        <v>1118</v>
      </c>
      <c r="BY615" s="59">
        <v>30</v>
      </c>
    </row>
    <row r="616" spans="1:77" x14ac:dyDescent="0.2">
      <c r="A616" s="58" t="str">
        <f>CONCATENATE(Tabelle32[[#This Row],[Device ID]],".",Tabelle32[[#This Row],[Streamcounter]])</f>
        <v>2155.30201</v>
      </c>
      <c r="B61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VGW-103_SDI30_AUDsend_0001</v>
      </c>
      <c r="C616" s="67"/>
      <c r="D616" s="61"/>
      <c r="E616" s="67"/>
      <c r="F616" s="59" t="str">
        <f>IFERROR(VLOOKUP(Tabelle32[[#This Row],[Device ID]],BOM!$B$3:$BQ$35,16,FALSE),"")</f>
        <v>EditPC-22</v>
      </c>
      <c r="G616" s="63">
        <f>VLOOKUP(Tabelle32[[#This Row],[SDI Interface]],BOM!$A$4:$B$35,2,FALSE)</f>
        <v>2155</v>
      </c>
      <c r="H616" s="59" t="str">
        <f>BOM!$C$4</f>
        <v>VGW-103</v>
      </c>
      <c r="I616" s="59" t="str">
        <f>IFERROR(VLOOKUP(Tabelle32[[#This Row],[Device ID]],BOM!$B$3:$BQ$35,12,FALSE),"")</f>
        <v>Edit Suite</v>
      </c>
      <c r="J616" s="59" t="str">
        <f>IFERROR(VLOOKUP(Tabelle32[[#This Row],[Device ID]],BOM!$B$3:$BQ$35,13,FALSE),"")</f>
        <v>TC.U1.223 | MDC</v>
      </c>
      <c r="K616" s="59" t="str">
        <f>IFERROR(VLOOKUP(Tabelle32[[#This Row],[Device ID]],BOM!$B$3:$BQ$35,14,FALSE),"")</f>
        <v>Imagine Comunications</v>
      </c>
      <c r="L616" s="59" t="str">
        <f>IFERROR(VLOOKUP(Tabelle32[[#This Row],[Device ID]],BOM!$B$3:$BQ$35,16,FALSE),"")</f>
        <v>EditPC-22</v>
      </c>
      <c r="M616" s="63" t="str">
        <f>IFERROR(VLOOKUP(Tabelle32[[#This Row],[Device ID]],BOM!$B$3:$BQ$35,17,FALSE),"")</f>
        <v>EDIT SUITE 22</v>
      </c>
      <c r="N616" s="59" t="str">
        <f>IFERROR(VLOOKUP(Tabelle32[[#This Row],[Device ID]],BOM!$B$3:$BQ$35,18,FALSE),"")</f>
        <v>NEBEZ.V3.16 | Edit 22</v>
      </c>
      <c r="O616" s="64"/>
      <c r="P616" s="64">
        <f>IFERROR(VLOOKUP(Tabelle32[[#This Row],[Device ID]],BOM!$B$3:$BO$50,20,FALSE),"")</f>
        <v>0</v>
      </c>
      <c r="Q616" s="64">
        <f>IFERROR(VLOOKUP(Tabelle32[[#This Row],[Device ID]],BOM!$B$3:$BO$50,21,FALSE),"")</f>
        <v>1</v>
      </c>
      <c r="R616" s="64">
        <f>IFERROR(VLOOKUP(Tabelle32[[#This Row],[Device ID]],BOM!$B$3:$BO$50,22,FALSE),"")</f>
        <v>0</v>
      </c>
      <c r="S616" s="64"/>
      <c r="T616" s="64"/>
      <c r="U616" s="59" t="str">
        <f>IFERROR(VLOOKUP(Tabelle32[[#This Row],[Device ID]],BOM!$B$3:$BQ$35,25,FALSE),"")</f>
        <v>Luis/Ivo</v>
      </c>
      <c r="V616" s="59" t="str">
        <f>IFERROR(VLOOKUP(Tabelle32[[#This Row],[Device ID]],BOM!$B$3:$BQ$35,26,FALSE),"")</f>
        <v>tpco-megw-vgw103.rta.st-net.media.int</v>
      </c>
      <c r="W616" s="59" t="str">
        <f>IFERROR(VLOOKUP(Tabelle32[[#This Row],[Device ID]],BOM!$B$3:$BQ$35,27,FALSE),"")</f>
        <v>10.120.236.50</v>
      </c>
      <c r="X616" s="59" t="str">
        <f>IFERROR(VLOOKUP(Tabelle32[[#This Row],[Device ID]],BOM!$B$3:$BQ$35,28,FALSE),"")</f>
        <v>AVCoreA</v>
      </c>
      <c r="Y616" s="59" t="str">
        <f>IFERROR(VLOOKUP(Tabelle32[[#This Row],[Device ID]],BOM!$B$3:$BQ$35,29,FALSE),"")</f>
        <v>5_36_1</v>
      </c>
      <c r="Z616" s="59" t="str">
        <f>IFERROR(VLOOKUP(Tabelle32[[#This Row],[Device ID]],BOM!$B$3:$BQ$35,30,FALSE),"")</f>
        <v>tpco-megw-vgw103.rtb.st-net.media.int</v>
      </c>
      <c r="AA616" s="59" t="str">
        <f>IFERROR(VLOOKUP(Tabelle32[[#This Row],[Device ID]],BOM!$B$3:$BQ$35,31,FALSE),"")</f>
        <v>10.120.236.54</v>
      </c>
      <c r="AB616" s="59" t="str">
        <f>IFERROR(VLOOKUP(Tabelle32[[#This Row],[Device ID]],BOM!$B$3:$BQ$35,32,FALSE),"")</f>
        <v>AVCoreB</v>
      </c>
      <c r="AC616" s="59" t="str">
        <f>IFERROR(VLOOKUP(Tabelle32[[#This Row],[Device ID]],BOM!$B$3:$BQ$35,33,FALSE),"")</f>
        <v>5_36_1</v>
      </c>
      <c r="AD616" s="59" t="str">
        <f>IFERROR(VLOOKUP(Tabelle32[[#This Row],[Device ID]],BOM!$B$3:$BQ$35,34,FALSE),"")</f>
        <v>tpco-megw-vgw103.st-net.media.int</v>
      </c>
      <c r="AE616" s="59" t="str">
        <f>IFERROR(VLOOKUP(Tabelle32[[#This Row],[Device ID]],BOM!$B$3:$BQ$35,35,FALSE),"")</f>
        <v>10.120.67.141</v>
      </c>
      <c r="AF616" s="59">
        <f>IFERROR(VLOOKUP(Tabelle32[[#This Row],[Device ID]],BOM!$B$3:$BQ$35,36,FALSE),"")</f>
        <v>0</v>
      </c>
      <c r="AG616" s="59">
        <f>IFERROR(VLOOKUP(Tabelle32[[#This Row],[Device ID]],BOM!$B$3:$BQ$35,37,FALSE),"")</f>
        <v>0</v>
      </c>
      <c r="AH616" s="59"/>
      <c r="AI616" s="59"/>
      <c r="AJ616" s="59"/>
      <c r="AK616" s="59"/>
      <c r="AL616" s="59" t="str">
        <f>IFERROR(VLOOKUP(Tabelle32[[#This Row],[Device ID]],BOM!$B$3:$BQ$35,42,FALSE),"")</f>
        <v>Imagine Communications SNP</v>
      </c>
      <c r="AM616" s="59" t="str">
        <f>IFERROR(VLOOKUP(Tabelle32[[#This Row],[Device ID]],BOM!$B$3:$BQ$35,43,FALSE),"")</f>
        <v>no</v>
      </c>
      <c r="AN616" s="59" t="str">
        <f>IFERROR(VLOOKUP(Tabelle32[[#This Row],[Device ID]],BOM!$B$3:$BQ$35,44,FALSE),"")</f>
        <v>yes</v>
      </c>
      <c r="AO616" s="59" t="str">
        <f>IFERROR(VLOOKUP(Tabelle32[[#This Row],[Device ID]],BOM!$B$3:$BQ$35,45,FALSE),"")</f>
        <v>no</v>
      </c>
      <c r="AP616" s="59" t="str">
        <f>IFERROR(CONCATENATE(Tabelle32[[#This Row],[Family
GFX-Unit]]," | ",Tabelle32[[#This Row],[Label 1
GFX-Unit]]," | ",Tabelle32[[#This Row],[Attached Device if Gateway]]),"")</f>
        <v>MEDEM Edits Out | Out Edit22-01 | EditPC-22</v>
      </c>
      <c r="AQ616" s="59"/>
      <c r="AR616" s="92"/>
      <c r="AS616" s="92"/>
      <c r="AT616" s="92"/>
      <c r="AU616" s="92"/>
      <c r="AV616" s="92"/>
      <c r="AW616" s="92"/>
      <c r="AX616" s="92" t="s">
        <v>199</v>
      </c>
      <c r="AY616" s="92" t="s">
        <v>199</v>
      </c>
      <c r="AZ616" s="92" t="s">
        <v>97</v>
      </c>
      <c r="BA616" s="92"/>
      <c r="BB616" s="92"/>
      <c r="BC616" s="92"/>
      <c r="BD616" s="92"/>
      <c r="BE616" s="92"/>
      <c r="BF616" s="92"/>
      <c r="BG616" s="92"/>
      <c r="BH616" s="73" t="s">
        <v>199</v>
      </c>
      <c r="BI616" s="30" t="str">
        <f>IF(COUNTA(Tabelle32[[#This Row],[Type:Vid_1080i50]:[Type:Anc_Prot]])&gt;0,"x","")</f>
        <v>x</v>
      </c>
      <c r="BJ61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16" s="59"/>
      <c r="BL616" s="59"/>
      <c r="BM616" s="63"/>
      <c r="BN616" s="63"/>
      <c r="BO616" s="97" t="s">
        <v>732</v>
      </c>
      <c r="BP616" s="97" t="s">
        <v>1119</v>
      </c>
      <c r="BQ616" s="75">
        <f>LEN(Tabelle32[[#This Row],[Label 1
GFX-Unit]])</f>
        <v>13</v>
      </c>
      <c r="BR616" s="63"/>
      <c r="BS616" s="63"/>
      <c r="BT616" s="59"/>
      <c r="BU616" s="59"/>
      <c r="BV616" s="59" t="s">
        <v>214</v>
      </c>
      <c r="BW616" s="59" t="s">
        <v>215</v>
      </c>
      <c r="BX616" s="59" t="s">
        <v>1120</v>
      </c>
      <c r="BY616" s="59">
        <v>30</v>
      </c>
    </row>
    <row r="617" spans="1:77" x14ac:dyDescent="0.2">
      <c r="A617" s="58" t="str">
        <f>CONCATENATE(Tabelle32[[#This Row],[Device ID]],".",Tabelle32[[#This Row],[Streamcounter]])</f>
        <v>2155.30202</v>
      </c>
      <c r="B61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VGW-103_SDI30_AUDsend_0002</v>
      </c>
      <c r="C617" s="67"/>
      <c r="D617" s="61"/>
      <c r="E617" s="67"/>
      <c r="F617" s="59" t="str">
        <f>IFERROR(VLOOKUP(Tabelle32[[#This Row],[Device ID]],BOM!$B$3:$BQ$35,16,FALSE),"")</f>
        <v>EditPC-22</v>
      </c>
      <c r="G617" s="63">
        <f>VLOOKUP(Tabelle32[[#This Row],[SDI Interface]],BOM!$A$4:$B$35,2,FALSE)</f>
        <v>2155</v>
      </c>
      <c r="H617" s="59" t="str">
        <f>BOM!$C$4</f>
        <v>VGW-103</v>
      </c>
      <c r="I617" s="59" t="str">
        <f>IFERROR(VLOOKUP(Tabelle32[[#This Row],[Device ID]],BOM!$B$3:$BQ$35,12,FALSE),"")</f>
        <v>Edit Suite</v>
      </c>
      <c r="J617" s="59" t="str">
        <f>IFERROR(VLOOKUP(Tabelle32[[#This Row],[Device ID]],BOM!$B$3:$BQ$35,13,FALSE),"")</f>
        <v>TC.U1.223 | MDC</v>
      </c>
      <c r="K617" s="59" t="str">
        <f>IFERROR(VLOOKUP(Tabelle32[[#This Row],[Device ID]],BOM!$B$3:$BQ$35,14,FALSE),"")</f>
        <v>Imagine Comunications</v>
      </c>
      <c r="L617" s="59" t="str">
        <f>IFERROR(VLOOKUP(Tabelle32[[#This Row],[Device ID]],BOM!$B$3:$BQ$35,16,FALSE),"")</f>
        <v>EditPC-22</v>
      </c>
      <c r="M617" s="63" t="str">
        <f>IFERROR(VLOOKUP(Tabelle32[[#This Row],[Device ID]],BOM!$B$3:$BQ$35,17,FALSE),"")</f>
        <v>EDIT SUITE 22</v>
      </c>
      <c r="N617" s="59" t="str">
        <f>IFERROR(VLOOKUP(Tabelle32[[#This Row],[Device ID]],BOM!$B$3:$BQ$35,18,FALSE),"")</f>
        <v>NEBEZ.V3.16 | Edit 22</v>
      </c>
      <c r="O617" s="64"/>
      <c r="P617" s="64">
        <f>IFERROR(VLOOKUP(Tabelle32[[#This Row],[Device ID]],BOM!$B$3:$BO$50,20,FALSE),"")</f>
        <v>0</v>
      </c>
      <c r="Q617" s="64">
        <f>IFERROR(VLOOKUP(Tabelle32[[#This Row],[Device ID]],BOM!$B$3:$BO$50,21,FALSE),"")</f>
        <v>1</v>
      </c>
      <c r="R617" s="64">
        <f>IFERROR(VLOOKUP(Tabelle32[[#This Row],[Device ID]],BOM!$B$3:$BO$50,22,FALSE),"")</f>
        <v>0</v>
      </c>
      <c r="S617" s="64"/>
      <c r="T617" s="64"/>
      <c r="U617" s="59" t="str">
        <f>IFERROR(VLOOKUP(Tabelle32[[#This Row],[Device ID]],BOM!$B$3:$BQ$35,25,FALSE),"")</f>
        <v>Luis/Ivo</v>
      </c>
      <c r="V617" s="59" t="str">
        <f>IFERROR(VLOOKUP(Tabelle32[[#This Row],[Device ID]],BOM!$B$3:$BQ$35,26,FALSE),"")</f>
        <v>tpco-megw-vgw103.rta.st-net.media.int</v>
      </c>
      <c r="W617" s="59" t="str">
        <f>IFERROR(VLOOKUP(Tabelle32[[#This Row],[Device ID]],BOM!$B$3:$BQ$35,27,FALSE),"")</f>
        <v>10.120.236.50</v>
      </c>
      <c r="X617" s="59" t="str">
        <f>IFERROR(VLOOKUP(Tabelle32[[#This Row],[Device ID]],BOM!$B$3:$BQ$35,28,FALSE),"")</f>
        <v>AVCoreA</v>
      </c>
      <c r="Y617" s="59" t="str">
        <f>IFERROR(VLOOKUP(Tabelle32[[#This Row],[Device ID]],BOM!$B$3:$BQ$35,29,FALSE),"")</f>
        <v>5_36_1</v>
      </c>
      <c r="Z617" s="59" t="str">
        <f>IFERROR(VLOOKUP(Tabelle32[[#This Row],[Device ID]],BOM!$B$3:$BQ$35,30,FALSE),"")</f>
        <v>tpco-megw-vgw103.rtb.st-net.media.int</v>
      </c>
      <c r="AA617" s="59" t="str">
        <f>IFERROR(VLOOKUP(Tabelle32[[#This Row],[Device ID]],BOM!$B$3:$BQ$35,31,FALSE),"")</f>
        <v>10.120.236.54</v>
      </c>
      <c r="AB617" s="59" t="str">
        <f>IFERROR(VLOOKUP(Tabelle32[[#This Row],[Device ID]],BOM!$B$3:$BQ$35,32,FALSE),"")</f>
        <v>AVCoreB</v>
      </c>
      <c r="AC617" s="59" t="str">
        <f>IFERROR(VLOOKUP(Tabelle32[[#This Row],[Device ID]],BOM!$B$3:$BQ$35,33,FALSE),"")</f>
        <v>5_36_1</v>
      </c>
      <c r="AD617" s="59" t="str">
        <f>IFERROR(VLOOKUP(Tabelle32[[#This Row],[Device ID]],BOM!$B$3:$BQ$35,34,FALSE),"")</f>
        <v>tpco-megw-vgw103.st-net.media.int</v>
      </c>
      <c r="AE617" s="59" t="str">
        <f>IFERROR(VLOOKUP(Tabelle32[[#This Row],[Device ID]],BOM!$B$3:$BQ$35,35,FALSE),"")</f>
        <v>10.120.67.141</v>
      </c>
      <c r="AF617" s="59">
        <f>IFERROR(VLOOKUP(Tabelle32[[#This Row],[Device ID]],BOM!$B$3:$BQ$35,36,FALSE),"")</f>
        <v>0</v>
      </c>
      <c r="AG617" s="59">
        <f>IFERROR(VLOOKUP(Tabelle32[[#This Row],[Device ID]],BOM!$B$3:$BQ$35,37,FALSE),"")</f>
        <v>0</v>
      </c>
      <c r="AH617" s="59"/>
      <c r="AI617" s="59"/>
      <c r="AJ617" s="59"/>
      <c r="AK617" s="59"/>
      <c r="AL617" s="59" t="str">
        <f>IFERROR(VLOOKUP(Tabelle32[[#This Row],[Device ID]],BOM!$B$3:$BQ$35,42,FALSE),"")</f>
        <v>Imagine Communications SNP</v>
      </c>
      <c r="AM617" s="59" t="str">
        <f>IFERROR(VLOOKUP(Tabelle32[[#This Row],[Device ID]],BOM!$B$3:$BQ$35,43,FALSE),"")</f>
        <v>no</v>
      </c>
      <c r="AN617" s="59" t="str">
        <f>IFERROR(VLOOKUP(Tabelle32[[#This Row],[Device ID]],BOM!$B$3:$BQ$35,44,FALSE),"")</f>
        <v>yes</v>
      </c>
      <c r="AO617" s="59" t="str">
        <f>IFERROR(VLOOKUP(Tabelle32[[#This Row],[Device ID]],BOM!$B$3:$BQ$35,45,FALSE),"")</f>
        <v>no</v>
      </c>
      <c r="AP617" s="59" t="str">
        <f>IFERROR(CONCATENATE(Tabelle32[[#This Row],[Family
GFX-Unit]]," | ",Tabelle32[[#This Row],[Label 1
GFX-Unit]]," | ",Tabelle32[[#This Row],[Attached Device if Gateway]]),"")</f>
        <v>MEDEM Edits Out | Out Edit22-02 | EditPC-22</v>
      </c>
      <c r="AQ617" s="59"/>
      <c r="AR617" s="92"/>
      <c r="AS617" s="92"/>
      <c r="AT617" s="92"/>
      <c r="AU617" s="92"/>
      <c r="AV617" s="92"/>
      <c r="AW617" s="92" t="s">
        <v>97</v>
      </c>
      <c r="AX617" s="92" t="s">
        <v>199</v>
      </c>
      <c r="AY617" s="92" t="s">
        <v>199</v>
      </c>
      <c r="AZ617" s="92"/>
      <c r="BA617" s="92"/>
      <c r="BB617" s="92"/>
      <c r="BC617" s="92"/>
      <c r="BD617" s="92"/>
      <c r="BE617" s="92"/>
      <c r="BF617" s="92"/>
      <c r="BG617" s="92"/>
      <c r="BH617" s="73" t="s">
        <v>199</v>
      </c>
      <c r="BI617" s="30" t="str">
        <f>IF(COUNTA(Tabelle32[[#This Row],[Type:Vid_1080i50]:[Type:Anc_Prot]])&gt;0,"x","")</f>
        <v>x</v>
      </c>
      <c r="BJ61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17" s="59"/>
      <c r="BL617" s="59"/>
      <c r="BM617" s="63"/>
      <c r="BN617" s="63"/>
      <c r="BO617" s="97" t="s">
        <v>732</v>
      </c>
      <c r="BP617" s="97" t="s">
        <v>1121</v>
      </c>
      <c r="BQ617" s="75">
        <f>LEN(Tabelle32[[#This Row],[Label 1
GFX-Unit]])</f>
        <v>13</v>
      </c>
      <c r="BR617" s="63"/>
      <c r="BS617" s="63"/>
      <c r="BT617" s="59"/>
      <c r="BU617" s="59"/>
      <c r="BV617" s="59" t="s">
        <v>218</v>
      </c>
      <c r="BW617" s="59" t="s">
        <v>219</v>
      </c>
      <c r="BX617" s="59" t="s">
        <v>1122</v>
      </c>
      <c r="BY617" s="59">
        <v>30</v>
      </c>
    </row>
    <row r="618" spans="1:77" x14ac:dyDescent="0.2">
      <c r="A618" s="58" t="str">
        <f>CONCATENATE(Tabelle32[[#This Row],[Device ID]],".",Tabelle32[[#This Row],[Streamcounter]])</f>
        <v>2155.30203</v>
      </c>
      <c r="B61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VGW-103_SDI30_AUDsend_0003</v>
      </c>
      <c r="C618" s="67"/>
      <c r="D618" s="61"/>
      <c r="E618" s="67"/>
      <c r="F618" s="59" t="str">
        <f>IFERROR(VLOOKUP(Tabelle32[[#This Row],[Device ID]],BOM!$B$3:$BQ$35,16,FALSE),"")</f>
        <v>EditPC-22</v>
      </c>
      <c r="G618" s="63">
        <f>VLOOKUP(Tabelle32[[#This Row],[SDI Interface]],BOM!$A$4:$B$35,2,FALSE)</f>
        <v>2155</v>
      </c>
      <c r="H618" s="59" t="str">
        <f>BOM!$C$4</f>
        <v>VGW-103</v>
      </c>
      <c r="I618" s="59" t="str">
        <f>IFERROR(VLOOKUP(Tabelle32[[#This Row],[Device ID]],BOM!$B$3:$BQ$35,12,FALSE),"")</f>
        <v>Edit Suite</v>
      </c>
      <c r="J618" s="59" t="str">
        <f>IFERROR(VLOOKUP(Tabelle32[[#This Row],[Device ID]],BOM!$B$3:$BQ$35,13,FALSE),"")</f>
        <v>TC.U1.223 | MDC</v>
      </c>
      <c r="K618" s="59" t="str">
        <f>IFERROR(VLOOKUP(Tabelle32[[#This Row],[Device ID]],BOM!$B$3:$BQ$35,14,FALSE),"")</f>
        <v>Imagine Comunications</v>
      </c>
      <c r="L618" s="59" t="str">
        <f>IFERROR(VLOOKUP(Tabelle32[[#This Row],[Device ID]],BOM!$B$3:$BQ$35,16,FALSE),"")</f>
        <v>EditPC-22</v>
      </c>
      <c r="M618" s="63" t="str">
        <f>IFERROR(VLOOKUP(Tabelle32[[#This Row],[Device ID]],BOM!$B$3:$BQ$35,17,FALSE),"")</f>
        <v>EDIT SUITE 22</v>
      </c>
      <c r="N618" s="59" t="str">
        <f>IFERROR(VLOOKUP(Tabelle32[[#This Row],[Device ID]],BOM!$B$3:$BQ$35,18,FALSE),"")</f>
        <v>NEBEZ.V3.16 | Edit 22</v>
      </c>
      <c r="O618" s="64"/>
      <c r="P618" s="64">
        <f>IFERROR(VLOOKUP(Tabelle32[[#This Row],[Device ID]],BOM!$B$3:$BO$50,20,FALSE),"")</f>
        <v>0</v>
      </c>
      <c r="Q618" s="64">
        <f>IFERROR(VLOOKUP(Tabelle32[[#This Row],[Device ID]],BOM!$B$3:$BO$50,21,FALSE),"")</f>
        <v>1</v>
      </c>
      <c r="R618" s="64">
        <f>IFERROR(VLOOKUP(Tabelle32[[#This Row],[Device ID]],BOM!$B$3:$BO$50,22,FALSE),"")</f>
        <v>0</v>
      </c>
      <c r="S618" s="64"/>
      <c r="T618" s="64"/>
      <c r="U618" s="59" t="str">
        <f>IFERROR(VLOOKUP(Tabelle32[[#This Row],[Device ID]],BOM!$B$3:$BQ$35,25,FALSE),"")</f>
        <v>Luis/Ivo</v>
      </c>
      <c r="V618" s="59" t="str">
        <f>IFERROR(VLOOKUP(Tabelle32[[#This Row],[Device ID]],BOM!$B$3:$BQ$35,26,FALSE),"")</f>
        <v>tpco-megw-vgw103.rta.st-net.media.int</v>
      </c>
      <c r="W618" s="59" t="str">
        <f>IFERROR(VLOOKUP(Tabelle32[[#This Row],[Device ID]],BOM!$B$3:$BQ$35,27,FALSE),"")</f>
        <v>10.120.236.50</v>
      </c>
      <c r="X618" s="59" t="str">
        <f>IFERROR(VLOOKUP(Tabelle32[[#This Row],[Device ID]],BOM!$B$3:$BQ$35,28,FALSE),"")</f>
        <v>AVCoreA</v>
      </c>
      <c r="Y618" s="59" t="str">
        <f>IFERROR(VLOOKUP(Tabelle32[[#This Row],[Device ID]],BOM!$B$3:$BQ$35,29,FALSE),"")</f>
        <v>5_36_1</v>
      </c>
      <c r="Z618" s="59" t="str">
        <f>IFERROR(VLOOKUP(Tabelle32[[#This Row],[Device ID]],BOM!$B$3:$BQ$35,30,FALSE),"")</f>
        <v>tpco-megw-vgw103.rtb.st-net.media.int</v>
      </c>
      <c r="AA618" s="59" t="str">
        <f>IFERROR(VLOOKUP(Tabelle32[[#This Row],[Device ID]],BOM!$B$3:$BQ$35,31,FALSE),"")</f>
        <v>10.120.236.54</v>
      </c>
      <c r="AB618" s="59" t="str">
        <f>IFERROR(VLOOKUP(Tabelle32[[#This Row],[Device ID]],BOM!$B$3:$BQ$35,32,FALSE),"")</f>
        <v>AVCoreB</v>
      </c>
      <c r="AC618" s="59" t="str">
        <f>IFERROR(VLOOKUP(Tabelle32[[#This Row],[Device ID]],BOM!$B$3:$BQ$35,33,FALSE),"")</f>
        <v>5_36_1</v>
      </c>
      <c r="AD618" s="59" t="str">
        <f>IFERROR(VLOOKUP(Tabelle32[[#This Row],[Device ID]],BOM!$B$3:$BQ$35,34,FALSE),"")</f>
        <v>tpco-megw-vgw103.st-net.media.int</v>
      </c>
      <c r="AE618" s="59" t="str">
        <f>IFERROR(VLOOKUP(Tabelle32[[#This Row],[Device ID]],BOM!$B$3:$BQ$35,35,FALSE),"")</f>
        <v>10.120.67.141</v>
      </c>
      <c r="AF618" s="59">
        <f>IFERROR(VLOOKUP(Tabelle32[[#This Row],[Device ID]],BOM!$B$3:$BQ$35,36,FALSE),"")</f>
        <v>0</v>
      </c>
      <c r="AG618" s="59">
        <f>IFERROR(VLOOKUP(Tabelle32[[#This Row],[Device ID]],BOM!$B$3:$BQ$35,37,FALSE),"")</f>
        <v>0</v>
      </c>
      <c r="AH618" s="59"/>
      <c r="AI618" s="59"/>
      <c r="AJ618" s="59"/>
      <c r="AK618" s="59"/>
      <c r="AL618" s="59" t="str">
        <f>IFERROR(VLOOKUP(Tabelle32[[#This Row],[Device ID]],BOM!$B$3:$BQ$35,42,FALSE),"")</f>
        <v>Imagine Communications SNP</v>
      </c>
      <c r="AM618" s="59" t="str">
        <f>IFERROR(VLOOKUP(Tabelle32[[#This Row],[Device ID]],BOM!$B$3:$BQ$35,43,FALSE),"")</f>
        <v>no</v>
      </c>
      <c r="AN618" s="59" t="str">
        <f>IFERROR(VLOOKUP(Tabelle32[[#This Row],[Device ID]],BOM!$B$3:$BQ$35,44,FALSE),"")</f>
        <v>yes</v>
      </c>
      <c r="AO618" s="59" t="str">
        <f>IFERROR(VLOOKUP(Tabelle32[[#This Row],[Device ID]],BOM!$B$3:$BQ$35,45,FALSE),"")</f>
        <v>no</v>
      </c>
      <c r="AP618" s="59" t="str">
        <f>IFERROR(CONCATENATE(Tabelle32[[#This Row],[Family
GFX-Unit]]," | ",Tabelle32[[#This Row],[Label 1
GFX-Unit]]," | ",Tabelle32[[#This Row],[Attached Device if Gateway]]),"")</f>
        <v>MEDEM Edits Out | Out Edit22-03 | EditPC-22</v>
      </c>
      <c r="AQ618" s="59"/>
      <c r="AR618" s="92"/>
      <c r="AS618" s="92"/>
      <c r="AT618" s="92"/>
      <c r="AU618" s="92"/>
      <c r="AV618" s="92"/>
      <c r="AW618" s="92" t="s">
        <v>97</v>
      </c>
      <c r="AX618" s="92" t="s">
        <v>199</v>
      </c>
      <c r="AY618" s="92" t="s">
        <v>199</v>
      </c>
      <c r="AZ618" s="92"/>
      <c r="BA618" s="92"/>
      <c r="BB618" s="92"/>
      <c r="BC618" s="92"/>
      <c r="BD618" s="92"/>
      <c r="BE618" s="92"/>
      <c r="BF618" s="92"/>
      <c r="BG618" s="92"/>
      <c r="BH618" s="73" t="s">
        <v>199</v>
      </c>
      <c r="BI618" s="30" t="str">
        <f>IF(COUNTA(Tabelle32[[#This Row],[Type:Vid_1080i50]:[Type:Anc_Prot]])&gt;0,"x","")</f>
        <v>x</v>
      </c>
      <c r="BJ61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18" s="59"/>
      <c r="BL618" s="59"/>
      <c r="BM618" s="63"/>
      <c r="BN618" s="63"/>
      <c r="BO618" s="97" t="s">
        <v>732</v>
      </c>
      <c r="BP618" s="97" t="s">
        <v>1123</v>
      </c>
      <c r="BQ618" s="75">
        <f>LEN(Tabelle32[[#This Row],[Label 1
GFX-Unit]])</f>
        <v>13</v>
      </c>
      <c r="BR618" s="63"/>
      <c r="BS618" s="63"/>
      <c r="BT618" s="59"/>
      <c r="BU618" s="59"/>
      <c r="BV618" s="59" t="s">
        <v>222</v>
      </c>
      <c r="BW618" s="59" t="s">
        <v>223</v>
      </c>
      <c r="BX618" s="59" t="s">
        <v>1124</v>
      </c>
      <c r="BY618" s="59">
        <v>30</v>
      </c>
    </row>
    <row r="619" spans="1:77" x14ac:dyDescent="0.2">
      <c r="A619" s="58" t="str">
        <f>CONCATENATE(Tabelle32[[#This Row],[Device ID]],".",Tabelle32[[#This Row],[Streamcounter]])</f>
        <v>2155.30204</v>
      </c>
      <c r="B61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VGW-103_SDI30_AUDsend_0004</v>
      </c>
      <c r="C619" s="67"/>
      <c r="D619" s="61"/>
      <c r="E619" s="67"/>
      <c r="F619" s="59" t="str">
        <f>IFERROR(VLOOKUP(Tabelle32[[#This Row],[Device ID]],BOM!$B$3:$BQ$35,16,FALSE),"")</f>
        <v>EditPC-22</v>
      </c>
      <c r="G619" s="63">
        <f>VLOOKUP(Tabelle32[[#This Row],[SDI Interface]],BOM!$A$4:$B$35,2,FALSE)</f>
        <v>2155</v>
      </c>
      <c r="H619" s="59" t="str">
        <f>BOM!$C$4</f>
        <v>VGW-103</v>
      </c>
      <c r="I619" s="59" t="str">
        <f>IFERROR(VLOOKUP(Tabelle32[[#This Row],[Device ID]],BOM!$B$3:$BQ$35,12,FALSE),"")</f>
        <v>Edit Suite</v>
      </c>
      <c r="J619" s="59" t="str">
        <f>IFERROR(VLOOKUP(Tabelle32[[#This Row],[Device ID]],BOM!$B$3:$BQ$35,13,FALSE),"")</f>
        <v>TC.U1.223 | MDC</v>
      </c>
      <c r="K619" s="59" t="str">
        <f>IFERROR(VLOOKUP(Tabelle32[[#This Row],[Device ID]],BOM!$B$3:$BQ$35,14,FALSE),"")</f>
        <v>Imagine Comunications</v>
      </c>
      <c r="L619" s="59" t="str">
        <f>IFERROR(VLOOKUP(Tabelle32[[#This Row],[Device ID]],BOM!$B$3:$BQ$35,16,FALSE),"")</f>
        <v>EditPC-22</v>
      </c>
      <c r="M619" s="63" t="str">
        <f>IFERROR(VLOOKUP(Tabelle32[[#This Row],[Device ID]],BOM!$B$3:$BQ$35,17,FALSE),"")</f>
        <v>EDIT SUITE 22</v>
      </c>
      <c r="N619" s="59" t="str">
        <f>IFERROR(VLOOKUP(Tabelle32[[#This Row],[Device ID]],BOM!$B$3:$BQ$35,18,FALSE),"")</f>
        <v>NEBEZ.V3.16 | Edit 22</v>
      </c>
      <c r="O619" s="64"/>
      <c r="P619" s="64">
        <f>IFERROR(VLOOKUP(Tabelle32[[#This Row],[Device ID]],BOM!$B$3:$BO$50,20,FALSE),"")</f>
        <v>0</v>
      </c>
      <c r="Q619" s="64">
        <f>IFERROR(VLOOKUP(Tabelle32[[#This Row],[Device ID]],BOM!$B$3:$BO$50,21,FALSE),"")</f>
        <v>1</v>
      </c>
      <c r="R619" s="64">
        <f>IFERROR(VLOOKUP(Tabelle32[[#This Row],[Device ID]],BOM!$B$3:$BO$50,22,FALSE),"")</f>
        <v>0</v>
      </c>
      <c r="S619" s="64"/>
      <c r="T619" s="64"/>
      <c r="U619" s="59" t="str">
        <f>IFERROR(VLOOKUP(Tabelle32[[#This Row],[Device ID]],BOM!$B$3:$BQ$35,25,FALSE),"")</f>
        <v>Luis/Ivo</v>
      </c>
      <c r="V619" s="59" t="str">
        <f>IFERROR(VLOOKUP(Tabelle32[[#This Row],[Device ID]],BOM!$B$3:$BQ$35,26,FALSE),"")</f>
        <v>tpco-megw-vgw103.rta.st-net.media.int</v>
      </c>
      <c r="W619" s="59" t="str">
        <f>IFERROR(VLOOKUP(Tabelle32[[#This Row],[Device ID]],BOM!$B$3:$BQ$35,27,FALSE),"")</f>
        <v>10.120.236.50</v>
      </c>
      <c r="X619" s="59" t="str">
        <f>IFERROR(VLOOKUP(Tabelle32[[#This Row],[Device ID]],BOM!$B$3:$BQ$35,28,FALSE),"")</f>
        <v>AVCoreA</v>
      </c>
      <c r="Y619" s="59" t="str">
        <f>IFERROR(VLOOKUP(Tabelle32[[#This Row],[Device ID]],BOM!$B$3:$BQ$35,29,FALSE),"")</f>
        <v>5_36_1</v>
      </c>
      <c r="Z619" s="59" t="str">
        <f>IFERROR(VLOOKUP(Tabelle32[[#This Row],[Device ID]],BOM!$B$3:$BQ$35,30,FALSE),"")</f>
        <v>tpco-megw-vgw103.rtb.st-net.media.int</v>
      </c>
      <c r="AA619" s="59" t="str">
        <f>IFERROR(VLOOKUP(Tabelle32[[#This Row],[Device ID]],BOM!$B$3:$BQ$35,31,FALSE),"")</f>
        <v>10.120.236.54</v>
      </c>
      <c r="AB619" s="59" t="str">
        <f>IFERROR(VLOOKUP(Tabelle32[[#This Row],[Device ID]],BOM!$B$3:$BQ$35,32,FALSE),"")</f>
        <v>AVCoreB</v>
      </c>
      <c r="AC619" s="59" t="str">
        <f>IFERROR(VLOOKUP(Tabelle32[[#This Row],[Device ID]],BOM!$B$3:$BQ$35,33,FALSE),"")</f>
        <v>5_36_1</v>
      </c>
      <c r="AD619" s="59" t="str">
        <f>IFERROR(VLOOKUP(Tabelle32[[#This Row],[Device ID]],BOM!$B$3:$BQ$35,34,FALSE),"")</f>
        <v>tpco-megw-vgw103.st-net.media.int</v>
      </c>
      <c r="AE619" s="59" t="str">
        <f>IFERROR(VLOOKUP(Tabelle32[[#This Row],[Device ID]],BOM!$B$3:$BQ$35,35,FALSE),"")</f>
        <v>10.120.67.141</v>
      </c>
      <c r="AF619" s="59">
        <f>IFERROR(VLOOKUP(Tabelle32[[#This Row],[Device ID]],BOM!$B$3:$BQ$35,36,FALSE),"")</f>
        <v>0</v>
      </c>
      <c r="AG619" s="59">
        <f>IFERROR(VLOOKUP(Tabelle32[[#This Row],[Device ID]],BOM!$B$3:$BQ$35,37,FALSE),"")</f>
        <v>0</v>
      </c>
      <c r="AH619" s="59"/>
      <c r="AI619" s="59"/>
      <c r="AJ619" s="59"/>
      <c r="AK619" s="59"/>
      <c r="AL619" s="59" t="str">
        <f>IFERROR(VLOOKUP(Tabelle32[[#This Row],[Device ID]],BOM!$B$3:$BQ$35,42,FALSE),"")</f>
        <v>Imagine Communications SNP</v>
      </c>
      <c r="AM619" s="59" t="str">
        <f>IFERROR(VLOOKUP(Tabelle32[[#This Row],[Device ID]],BOM!$B$3:$BQ$35,43,FALSE),"")</f>
        <v>no</v>
      </c>
      <c r="AN619" s="59" t="str">
        <f>IFERROR(VLOOKUP(Tabelle32[[#This Row],[Device ID]],BOM!$B$3:$BQ$35,44,FALSE),"")</f>
        <v>yes</v>
      </c>
      <c r="AO619" s="59" t="str">
        <f>IFERROR(VLOOKUP(Tabelle32[[#This Row],[Device ID]],BOM!$B$3:$BQ$35,45,FALSE),"")</f>
        <v>no</v>
      </c>
      <c r="AP619" s="59" t="str">
        <f>IFERROR(CONCATENATE(Tabelle32[[#This Row],[Family
GFX-Unit]]," | ",Tabelle32[[#This Row],[Label 1
GFX-Unit]]," | ",Tabelle32[[#This Row],[Attached Device if Gateway]]),"")</f>
        <v>MEDEM Edits Out | Out Edit22-04 | EditPC-22</v>
      </c>
      <c r="AQ619" s="59"/>
      <c r="AR619" s="92"/>
      <c r="AS619" s="92"/>
      <c r="AT619" s="92"/>
      <c r="AU619" s="92"/>
      <c r="AV619" s="92"/>
      <c r="AW619" s="92"/>
      <c r="AX619" s="92" t="s">
        <v>199</v>
      </c>
      <c r="AY619" s="92" t="s">
        <v>199</v>
      </c>
      <c r="AZ619" s="92" t="s">
        <v>97</v>
      </c>
      <c r="BA619" s="92"/>
      <c r="BB619" s="92"/>
      <c r="BC619" s="92"/>
      <c r="BD619" s="92"/>
      <c r="BE619" s="92"/>
      <c r="BF619" s="92"/>
      <c r="BG619" s="92"/>
      <c r="BH619" s="73" t="s">
        <v>199</v>
      </c>
      <c r="BI619" s="30" t="str">
        <f>IF(COUNTA(Tabelle32[[#This Row],[Type:Vid_1080i50]:[Type:Anc_Prot]])&gt;0,"x","")</f>
        <v>x</v>
      </c>
      <c r="BJ61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19" s="59"/>
      <c r="BL619" s="59"/>
      <c r="BM619" s="63"/>
      <c r="BN619" s="63"/>
      <c r="BO619" s="97" t="s">
        <v>732</v>
      </c>
      <c r="BP619" s="97" t="s">
        <v>1125</v>
      </c>
      <c r="BQ619" s="75">
        <f>LEN(Tabelle32[[#This Row],[Label 1
GFX-Unit]])</f>
        <v>13</v>
      </c>
      <c r="BR619" s="63"/>
      <c r="BS619" s="63"/>
      <c r="BT619" s="59"/>
      <c r="BU619" s="59"/>
      <c r="BV619" s="59" t="s">
        <v>226</v>
      </c>
      <c r="BW619" s="59" t="s">
        <v>227</v>
      </c>
      <c r="BX619" s="59" t="s">
        <v>1126</v>
      </c>
      <c r="BY619" s="59">
        <v>30</v>
      </c>
    </row>
    <row r="620" spans="1:77" x14ac:dyDescent="0.2">
      <c r="A620" s="58" t="str">
        <f>CONCATENATE(Tabelle32[[#This Row],[Device ID]],".",Tabelle32[[#This Row],[Streamcounter]])</f>
        <v>2155.30205</v>
      </c>
      <c r="B62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VGW-103_SDI30_AUDsend_0005</v>
      </c>
      <c r="C620" s="67"/>
      <c r="D620" s="61"/>
      <c r="E620" s="67"/>
      <c r="F620" s="59" t="str">
        <f>IFERROR(VLOOKUP(Tabelle32[[#This Row],[Device ID]],BOM!$B$3:$BQ$35,16,FALSE),"")</f>
        <v>EditPC-22</v>
      </c>
      <c r="G620" s="63">
        <f>VLOOKUP(Tabelle32[[#This Row],[SDI Interface]],BOM!$A$4:$B$35,2,FALSE)</f>
        <v>2155</v>
      </c>
      <c r="H620" s="59" t="str">
        <f>BOM!$C$4</f>
        <v>VGW-103</v>
      </c>
      <c r="I620" s="59" t="str">
        <f>IFERROR(VLOOKUP(Tabelle32[[#This Row],[Device ID]],BOM!$B$3:$BQ$35,12,FALSE),"")</f>
        <v>Edit Suite</v>
      </c>
      <c r="J620" s="59" t="str">
        <f>IFERROR(VLOOKUP(Tabelle32[[#This Row],[Device ID]],BOM!$B$3:$BQ$35,13,FALSE),"")</f>
        <v>TC.U1.223 | MDC</v>
      </c>
      <c r="K620" s="59" t="str">
        <f>IFERROR(VLOOKUP(Tabelle32[[#This Row],[Device ID]],BOM!$B$3:$BQ$35,14,FALSE),"")</f>
        <v>Imagine Comunications</v>
      </c>
      <c r="L620" s="59" t="str">
        <f>IFERROR(VLOOKUP(Tabelle32[[#This Row],[Device ID]],BOM!$B$3:$BQ$35,16,FALSE),"")</f>
        <v>EditPC-22</v>
      </c>
      <c r="M620" s="63" t="str">
        <f>IFERROR(VLOOKUP(Tabelle32[[#This Row],[Device ID]],BOM!$B$3:$BQ$35,17,FALSE),"")</f>
        <v>EDIT SUITE 22</v>
      </c>
      <c r="N620" s="59" t="str">
        <f>IFERROR(VLOOKUP(Tabelle32[[#This Row],[Device ID]],BOM!$B$3:$BQ$35,18,FALSE),"")</f>
        <v>NEBEZ.V3.16 | Edit 22</v>
      </c>
      <c r="O620" s="64"/>
      <c r="P620" s="64">
        <f>IFERROR(VLOOKUP(Tabelle32[[#This Row],[Device ID]],BOM!$B$3:$BO$50,20,FALSE),"")</f>
        <v>0</v>
      </c>
      <c r="Q620" s="64">
        <f>IFERROR(VLOOKUP(Tabelle32[[#This Row],[Device ID]],BOM!$B$3:$BO$50,21,FALSE),"")</f>
        <v>1</v>
      </c>
      <c r="R620" s="64">
        <f>IFERROR(VLOOKUP(Tabelle32[[#This Row],[Device ID]],BOM!$B$3:$BO$50,22,FALSE),"")</f>
        <v>0</v>
      </c>
      <c r="S620" s="64"/>
      <c r="T620" s="64"/>
      <c r="U620" s="59" t="str">
        <f>IFERROR(VLOOKUP(Tabelle32[[#This Row],[Device ID]],BOM!$B$3:$BQ$35,25,FALSE),"")</f>
        <v>Luis/Ivo</v>
      </c>
      <c r="V620" s="59" t="str">
        <f>IFERROR(VLOOKUP(Tabelle32[[#This Row],[Device ID]],BOM!$B$3:$BQ$35,26,FALSE),"")</f>
        <v>tpco-megw-vgw103.rta.st-net.media.int</v>
      </c>
      <c r="W620" s="59" t="str">
        <f>IFERROR(VLOOKUP(Tabelle32[[#This Row],[Device ID]],BOM!$B$3:$BQ$35,27,FALSE),"")</f>
        <v>10.120.236.50</v>
      </c>
      <c r="X620" s="59" t="str">
        <f>IFERROR(VLOOKUP(Tabelle32[[#This Row],[Device ID]],BOM!$B$3:$BQ$35,28,FALSE),"")</f>
        <v>AVCoreA</v>
      </c>
      <c r="Y620" s="59" t="str">
        <f>IFERROR(VLOOKUP(Tabelle32[[#This Row],[Device ID]],BOM!$B$3:$BQ$35,29,FALSE),"")</f>
        <v>5_36_1</v>
      </c>
      <c r="Z620" s="59" t="str">
        <f>IFERROR(VLOOKUP(Tabelle32[[#This Row],[Device ID]],BOM!$B$3:$BQ$35,30,FALSE),"")</f>
        <v>tpco-megw-vgw103.rtb.st-net.media.int</v>
      </c>
      <c r="AA620" s="59" t="str">
        <f>IFERROR(VLOOKUP(Tabelle32[[#This Row],[Device ID]],BOM!$B$3:$BQ$35,31,FALSE),"")</f>
        <v>10.120.236.54</v>
      </c>
      <c r="AB620" s="59" t="str">
        <f>IFERROR(VLOOKUP(Tabelle32[[#This Row],[Device ID]],BOM!$B$3:$BQ$35,32,FALSE),"")</f>
        <v>AVCoreB</v>
      </c>
      <c r="AC620" s="59" t="str">
        <f>IFERROR(VLOOKUP(Tabelle32[[#This Row],[Device ID]],BOM!$B$3:$BQ$35,33,FALSE),"")</f>
        <v>5_36_1</v>
      </c>
      <c r="AD620" s="59" t="str">
        <f>IFERROR(VLOOKUP(Tabelle32[[#This Row],[Device ID]],BOM!$B$3:$BQ$35,34,FALSE),"")</f>
        <v>tpco-megw-vgw103.st-net.media.int</v>
      </c>
      <c r="AE620" s="59" t="str">
        <f>IFERROR(VLOOKUP(Tabelle32[[#This Row],[Device ID]],BOM!$B$3:$BQ$35,35,FALSE),"")</f>
        <v>10.120.67.141</v>
      </c>
      <c r="AF620" s="59">
        <f>IFERROR(VLOOKUP(Tabelle32[[#This Row],[Device ID]],BOM!$B$3:$BQ$35,36,FALSE),"")</f>
        <v>0</v>
      </c>
      <c r="AG620" s="59">
        <f>IFERROR(VLOOKUP(Tabelle32[[#This Row],[Device ID]],BOM!$B$3:$BQ$35,37,FALSE),"")</f>
        <v>0</v>
      </c>
      <c r="AH620" s="59"/>
      <c r="AI620" s="59"/>
      <c r="AJ620" s="59"/>
      <c r="AK620" s="59"/>
      <c r="AL620" s="59" t="str">
        <f>IFERROR(VLOOKUP(Tabelle32[[#This Row],[Device ID]],BOM!$B$3:$BQ$35,42,FALSE),"")</f>
        <v>Imagine Communications SNP</v>
      </c>
      <c r="AM620" s="59" t="str">
        <f>IFERROR(VLOOKUP(Tabelle32[[#This Row],[Device ID]],BOM!$B$3:$BQ$35,43,FALSE),"")</f>
        <v>no</v>
      </c>
      <c r="AN620" s="59" t="str">
        <f>IFERROR(VLOOKUP(Tabelle32[[#This Row],[Device ID]],BOM!$B$3:$BQ$35,44,FALSE),"")</f>
        <v>yes</v>
      </c>
      <c r="AO620" s="59" t="str">
        <f>IFERROR(VLOOKUP(Tabelle32[[#This Row],[Device ID]],BOM!$B$3:$BQ$35,45,FALSE),"")</f>
        <v>no</v>
      </c>
      <c r="AP620" s="59" t="str">
        <f>IFERROR(CONCATENATE(Tabelle32[[#This Row],[Family
GFX-Unit]]," | ",Tabelle32[[#This Row],[Label 1
GFX-Unit]]," | ",Tabelle32[[#This Row],[Attached Device if Gateway]]),"")</f>
        <v>MEDEM Edits Out | Out Edit22-05 | EditPC-22</v>
      </c>
      <c r="AQ620" s="59"/>
      <c r="AR620" s="92"/>
      <c r="AS620" s="92"/>
      <c r="AT620" s="92"/>
      <c r="AU620" s="92"/>
      <c r="AV620" s="92"/>
      <c r="AW620" s="92" t="s">
        <v>97</v>
      </c>
      <c r="AX620" s="92" t="s">
        <v>199</v>
      </c>
      <c r="AY620" s="92" t="s">
        <v>199</v>
      </c>
      <c r="AZ620" s="92"/>
      <c r="BA620" s="92"/>
      <c r="BB620" s="92"/>
      <c r="BC620" s="92"/>
      <c r="BD620" s="92"/>
      <c r="BE620" s="92"/>
      <c r="BF620" s="92"/>
      <c r="BG620" s="92"/>
      <c r="BH620" s="73" t="s">
        <v>199</v>
      </c>
      <c r="BI620" s="30" t="str">
        <f>IF(COUNTA(Tabelle32[[#This Row],[Type:Vid_1080i50]:[Type:Anc_Prot]])&gt;0,"x","")</f>
        <v>x</v>
      </c>
      <c r="BJ62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20" s="59"/>
      <c r="BL620" s="59"/>
      <c r="BM620" s="63"/>
      <c r="BN620" s="63"/>
      <c r="BO620" s="97" t="s">
        <v>732</v>
      </c>
      <c r="BP620" s="97" t="s">
        <v>1127</v>
      </c>
      <c r="BQ620" s="75">
        <f>LEN(Tabelle32[[#This Row],[Label 1
GFX-Unit]])</f>
        <v>13</v>
      </c>
      <c r="BR620" s="63"/>
      <c r="BS620" s="63"/>
      <c r="BT620" s="59"/>
      <c r="BU620" s="59"/>
      <c r="BV620" s="59" t="s">
        <v>230</v>
      </c>
      <c r="BW620" s="59" t="s">
        <v>231</v>
      </c>
      <c r="BX620" s="59" t="s">
        <v>1128</v>
      </c>
      <c r="BY620" s="59">
        <v>30</v>
      </c>
    </row>
    <row r="621" spans="1:77" x14ac:dyDescent="0.2">
      <c r="A621" s="58" t="str">
        <f>CONCATENATE(Tabelle32[[#This Row],[Device ID]],".",Tabelle32[[#This Row],[Streamcounter]])</f>
        <v>2155.30206</v>
      </c>
      <c r="B62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VGW-103_SDI30_AUDsend_0006</v>
      </c>
      <c r="C621" s="67"/>
      <c r="D621" s="61"/>
      <c r="E621" s="67"/>
      <c r="F621" s="59" t="str">
        <f>IFERROR(VLOOKUP(Tabelle32[[#This Row],[Device ID]],BOM!$B$3:$BQ$35,16,FALSE),"")</f>
        <v>EditPC-22</v>
      </c>
      <c r="G621" s="63">
        <f>VLOOKUP(Tabelle32[[#This Row],[SDI Interface]],BOM!$A$4:$B$35,2,FALSE)</f>
        <v>2155</v>
      </c>
      <c r="H621" s="59" t="str">
        <f>BOM!$C$4</f>
        <v>VGW-103</v>
      </c>
      <c r="I621" s="59" t="str">
        <f>IFERROR(VLOOKUP(Tabelle32[[#This Row],[Device ID]],BOM!$B$3:$BQ$35,12,FALSE),"")</f>
        <v>Edit Suite</v>
      </c>
      <c r="J621" s="59" t="str">
        <f>IFERROR(VLOOKUP(Tabelle32[[#This Row],[Device ID]],BOM!$B$3:$BQ$35,13,FALSE),"")</f>
        <v>TC.U1.223 | MDC</v>
      </c>
      <c r="K621" s="59" t="str">
        <f>IFERROR(VLOOKUP(Tabelle32[[#This Row],[Device ID]],BOM!$B$3:$BQ$35,14,FALSE),"")</f>
        <v>Imagine Comunications</v>
      </c>
      <c r="L621" s="59" t="str">
        <f>IFERROR(VLOOKUP(Tabelle32[[#This Row],[Device ID]],BOM!$B$3:$BQ$35,16,FALSE),"")</f>
        <v>EditPC-22</v>
      </c>
      <c r="M621" s="63" t="str">
        <f>IFERROR(VLOOKUP(Tabelle32[[#This Row],[Device ID]],BOM!$B$3:$BQ$35,17,FALSE),"")</f>
        <v>EDIT SUITE 22</v>
      </c>
      <c r="N621" s="59" t="str">
        <f>IFERROR(VLOOKUP(Tabelle32[[#This Row],[Device ID]],BOM!$B$3:$BQ$35,18,FALSE),"")</f>
        <v>NEBEZ.V3.16 | Edit 22</v>
      </c>
      <c r="O621" s="64"/>
      <c r="P621" s="64">
        <f>IFERROR(VLOOKUP(Tabelle32[[#This Row],[Device ID]],BOM!$B$3:$BO$50,20,FALSE),"")</f>
        <v>0</v>
      </c>
      <c r="Q621" s="64">
        <f>IFERROR(VLOOKUP(Tabelle32[[#This Row],[Device ID]],BOM!$B$3:$BO$50,21,FALSE),"")</f>
        <v>1</v>
      </c>
      <c r="R621" s="64">
        <f>IFERROR(VLOOKUP(Tabelle32[[#This Row],[Device ID]],BOM!$B$3:$BO$50,22,FALSE),"")</f>
        <v>0</v>
      </c>
      <c r="S621" s="64"/>
      <c r="T621" s="64"/>
      <c r="U621" s="59" t="str">
        <f>IFERROR(VLOOKUP(Tabelle32[[#This Row],[Device ID]],BOM!$B$3:$BQ$35,25,FALSE),"")</f>
        <v>Luis/Ivo</v>
      </c>
      <c r="V621" s="59" t="str">
        <f>IFERROR(VLOOKUP(Tabelle32[[#This Row],[Device ID]],BOM!$B$3:$BQ$35,26,FALSE),"")</f>
        <v>tpco-megw-vgw103.rta.st-net.media.int</v>
      </c>
      <c r="W621" s="59" t="str">
        <f>IFERROR(VLOOKUP(Tabelle32[[#This Row],[Device ID]],BOM!$B$3:$BQ$35,27,FALSE),"")</f>
        <v>10.120.236.50</v>
      </c>
      <c r="X621" s="59" t="str">
        <f>IFERROR(VLOOKUP(Tabelle32[[#This Row],[Device ID]],BOM!$B$3:$BQ$35,28,FALSE),"")</f>
        <v>AVCoreA</v>
      </c>
      <c r="Y621" s="59" t="str">
        <f>IFERROR(VLOOKUP(Tabelle32[[#This Row],[Device ID]],BOM!$B$3:$BQ$35,29,FALSE),"")</f>
        <v>5_36_1</v>
      </c>
      <c r="Z621" s="59" t="str">
        <f>IFERROR(VLOOKUP(Tabelle32[[#This Row],[Device ID]],BOM!$B$3:$BQ$35,30,FALSE),"")</f>
        <v>tpco-megw-vgw103.rtb.st-net.media.int</v>
      </c>
      <c r="AA621" s="59" t="str">
        <f>IFERROR(VLOOKUP(Tabelle32[[#This Row],[Device ID]],BOM!$B$3:$BQ$35,31,FALSE),"")</f>
        <v>10.120.236.54</v>
      </c>
      <c r="AB621" s="59" t="str">
        <f>IFERROR(VLOOKUP(Tabelle32[[#This Row],[Device ID]],BOM!$B$3:$BQ$35,32,FALSE),"")</f>
        <v>AVCoreB</v>
      </c>
      <c r="AC621" s="59" t="str">
        <f>IFERROR(VLOOKUP(Tabelle32[[#This Row],[Device ID]],BOM!$B$3:$BQ$35,33,FALSE),"")</f>
        <v>5_36_1</v>
      </c>
      <c r="AD621" s="59" t="str">
        <f>IFERROR(VLOOKUP(Tabelle32[[#This Row],[Device ID]],BOM!$B$3:$BQ$35,34,FALSE),"")</f>
        <v>tpco-megw-vgw103.st-net.media.int</v>
      </c>
      <c r="AE621" s="59" t="str">
        <f>IFERROR(VLOOKUP(Tabelle32[[#This Row],[Device ID]],BOM!$B$3:$BQ$35,35,FALSE),"")</f>
        <v>10.120.67.141</v>
      </c>
      <c r="AF621" s="59">
        <f>IFERROR(VLOOKUP(Tabelle32[[#This Row],[Device ID]],BOM!$B$3:$BQ$35,36,FALSE),"")</f>
        <v>0</v>
      </c>
      <c r="AG621" s="59">
        <f>IFERROR(VLOOKUP(Tabelle32[[#This Row],[Device ID]],BOM!$B$3:$BQ$35,37,FALSE),"")</f>
        <v>0</v>
      </c>
      <c r="AH621" s="59"/>
      <c r="AI621" s="59"/>
      <c r="AJ621" s="59"/>
      <c r="AK621" s="59"/>
      <c r="AL621" s="59" t="str">
        <f>IFERROR(VLOOKUP(Tabelle32[[#This Row],[Device ID]],BOM!$B$3:$BQ$35,42,FALSE),"")</f>
        <v>Imagine Communications SNP</v>
      </c>
      <c r="AM621" s="59" t="str">
        <f>IFERROR(VLOOKUP(Tabelle32[[#This Row],[Device ID]],BOM!$B$3:$BQ$35,43,FALSE),"")</f>
        <v>no</v>
      </c>
      <c r="AN621" s="59" t="str">
        <f>IFERROR(VLOOKUP(Tabelle32[[#This Row],[Device ID]],BOM!$B$3:$BQ$35,44,FALSE),"")</f>
        <v>yes</v>
      </c>
      <c r="AO621" s="59" t="str">
        <f>IFERROR(VLOOKUP(Tabelle32[[#This Row],[Device ID]],BOM!$B$3:$BQ$35,45,FALSE),"")</f>
        <v>no</v>
      </c>
      <c r="AP621" s="59" t="str">
        <f>IFERROR(CONCATENATE(Tabelle32[[#This Row],[Family
GFX-Unit]]," | ",Tabelle32[[#This Row],[Label 1
GFX-Unit]]," | ",Tabelle32[[#This Row],[Attached Device if Gateway]]),"")</f>
        <v>MEDEM Edits Out | Out Edit22-06 | EditPC-22</v>
      </c>
      <c r="AQ621" s="59"/>
      <c r="AR621" s="92"/>
      <c r="AS621" s="92"/>
      <c r="AT621" s="92"/>
      <c r="AU621" s="92"/>
      <c r="AV621" s="92"/>
      <c r="AW621" s="92" t="s">
        <v>97</v>
      </c>
      <c r="AX621" s="92" t="s">
        <v>199</v>
      </c>
      <c r="AY621" s="92" t="s">
        <v>199</v>
      </c>
      <c r="AZ621" s="92"/>
      <c r="BA621" s="92"/>
      <c r="BB621" s="92"/>
      <c r="BC621" s="92"/>
      <c r="BD621" s="92"/>
      <c r="BE621" s="92"/>
      <c r="BF621" s="92"/>
      <c r="BG621" s="92"/>
      <c r="BH621" s="73" t="s">
        <v>199</v>
      </c>
      <c r="BI621" s="30" t="str">
        <f>IF(COUNTA(Tabelle32[[#This Row],[Type:Vid_1080i50]:[Type:Anc_Prot]])&gt;0,"x","")</f>
        <v>x</v>
      </c>
      <c r="BJ62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21" s="59"/>
      <c r="BL621" s="59"/>
      <c r="BM621" s="63"/>
      <c r="BN621" s="63"/>
      <c r="BO621" s="97" t="s">
        <v>732</v>
      </c>
      <c r="BP621" s="97" t="s">
        <v>1129</v>
      </c>
      <c r="BQ621" s="75">
        <f>LEN(Tabelle32[[#This Row],[Label 1
GFX-Unit]])</f>
        <v>13</v>
      </c>
      <c r="BR621" s="63"/>
      <c r="BS621" s="63"/>
      <c r="BT621" s="59"/>
      <c r="BU621" s="59"/>
      <c r="BV621" s="59" t="s">
        <v>234</v>
      </c>
      <c r="BW621" s="59" t="s">
        <v>235</v>
      </c>
      <c r="BX621" s="59" t="s">
        <v>1130</v>
      </c>
      <c r="BY621" s="59">
        <v>30</v>
      </c>
    </row>
    <row r="622" spans="1:77" x14ac:dyDescent="0.2">
      <c r="A622" s="58" t="str">
        <f>CONCATENATE(Tabelle32[[#This Row],[Device ID]],".",Tabelle32[[#This Row],[Streamcounter]])</f>
        <v>2155.30207</v>
      </c>
      <c r="B62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VGW-103_SDI30_AUDsend_0007</v>
      </c>
      <c r="C622" s="67"/>
      <c r="D622" s="61"/>
      <c r="E622" s="67"/>
      <c r="F622" s="59" t="str">
        <f>IFERROR(VLOOKUP(Tabelle32[[#This Row],[Device ID]],BOM!$B$3:$BQ$35,16,FALSE),"")</f>
        <v>EditPC-22</v>
      </c>
      <c r="G622" s="63">
        <f>VLOOKUP(Tabelle32[[#This Row],[SDI Interface]],BOM!$A$4:$B$35,2,FALSE)</f>
        <v>2155</v>
      </c>
      <c r="H622" s="59" t="str">
        <f>BOM!$C$4</f>
        <v>VGW-103</v>
      </c>
      <c r="I622" s="59" t="str">
        <f>IFERROR(VLOOKUP(Tabelle32[[#This Row],[Device ID]],BOM!$B$3:$BQ$35,12,FALSE),"")</f>
        <v>Edit Suite</v>
      </c>
      <c r="J622" s="59" t="str">
        <f>IFERROR(VLOOKUP(Tabelle32[[#This Row],[Device ID]],BOM!$B$3:$BQ$35,13,FALSE),"")</f>
        <v>TC.U1.223 | MDC</v>
      </c>
      <c r="K622" s="59" t="str">
        <f>IFERROR(VLOOKUP(Tabelle32[[#This Row],[Device ID]],BOM!$B$3:$BQ$35,14,FALSE),"")</f>
        <v>Imagine Comunications</v>
      </c>
      <c r="L622" s="59" t="str">
        <f>IFERROR(VLOOKUP(Tabelle32[[#This Row],[Device ID]],BOM!$B$3:$BQ$35,16,FALSE),"")</f>
        <v>EditPC-22</v>
      </c>
      <c r="M622" s="63" t="str">
        <f>IFERROR(VLOOKUP(Tabelle32[[#This Row],[Device ID]],BOM!$B$3:$BQ$35,17,FALSE),"")</f>
        <v>EDIT SUITE 22</v>
      </c>
      <c r="N622" s="59" t="str">
        <f>IFERROR(VLOOKUP(Tabelle32[[#This Row],[Device ID]],BOM!$B$3:$BQ$35,18,FALSE),"")</f>
        <v>NEBEZ.V3.16 | Edit 22</v>
      </c>
      <c r="O622" s="64"/>
      <c r="P622" s="64">
        <f>IFERROR(VLOOKUP(Tabelle32[[#This Row],[Device ID]],BOM!$B$3:$BO$50,20,FALSE),"")</f>
        <v>0</v>
      </c>
      <c r="Q622" s="64">
        <f>IFERROR(VLOOKUP(Tabelle32[[#This Row],[Device ID]],BOM!$B$3:$BO$50,21,FALSE),"")</f>
        <v>1</v>
      </c>
      <c r="R622" s="64">
        <f>IFERROR(VLOOKUP(Tabelle32[[#This Row],[Device ID]],BOM!$B$3:$BO$50,22,FALSE),"")</f>
        <v>0</v>
      </c>
      <c r="S622" s="64"/>
      <c r="T622" s="64"/>
      <c r="U622" s="59" t="str">
        <f>IFERROR(VLOOKUP(Tabelle32[[#This Row],[Device ID]],BOM!$B$3:$BQ$35,25,FALSE),"")</f>
        <v>Luis/Ivo</v>
      </c>
      <c r="V622" s="59" t="str">
        <f>IFERROR(VLOOKUP(Tabelle32[[#This Row],[Device ID]],BOM!$B$3:$BQ$35,26,FALSE),"")</f>
        <v>tpco-megw-vgw103.rta.st-net.media.int</v>
      </c>
      <c r="W622" s="59" t="str">
        <f>IFERROR(VLOOKUP(Tabelle32[[#This Row],[Device ID]],BOM!$B$3:$BQ$35,27,FALSE),"")</f>
        <v>10.120.236.50</v>
      </c>
      <c r="X622" s="59" t="str">
        <f>IFERROR(VLOOKUP(Tabelle32[[#This Row],[Device ID]],BOM!$B$3:$BQ$35,28,FALSE),"")</f>
        <v>AVCoreA</v>
      </c>
      <c r="Y622" s="59" t="str">
        <f>IFERROR(VLOOKUP(Tabelle32[[#This Row],[Device ID]],BOM!$B$3:$BQ$35,29,FALSE),"")</f>
        <v>5_36_1</v>
      </c>
      <c r="Z622" s="59" t="str">
        <f>IFERROR(VLOOKUP(Tabelle32[[#This Row],[Device ID]],BOM!$B$3:$BQ$35,30,FALSE),"")</f>
        <v>tpco-megw-vgw103.rtb.st-net.media.int</v>
      </c>
      <c r="AA622" s="59" t="str">
        <f>IFERROR(VLOOKUP(Tabelle32[[#This Row],[Device ID]],BOM!$B$3:$BQ$35,31,FALSE),"")</f>
        <v>10.120.236.54</v>
      </c>
      <c r="AB622" s="59" t="str">
        <f>IFERROR(VLOOKUP(Tabelle32[[#This Row],[Device ID]],BOM!$B$3:$BQ$35,32,FALSE),"")</f>
        <v>AVCoreB</v>
      </c>
      <c r="AC622" s="59" t="str">
        <f>IFERROR(VLOOKUP(Tabelle32[[#This Row],[Device ID]],BOM!$B$3:$BQ$35,33,FALSE),"")</f>
        <v>5_36_1</v>
      </c>
      <c r="AD622" s="59" t="str">
        <f>IFERROR(VLOOKUP(Tabelle32[[#This Row],[Device ID]],BOM!$B$3:$BQ$35,34,FALSE),"")</f>
        <v>tpco-megw-vgw103.st-net.media.int</v>
      </c>
      <c r="AE622" s="59" t="str">
        <f>IFERROR(VLOOKUP(Tabelle32[[#This Row],[Device ID]],BOM!$B$3:$BQ$35,35,FALSE),"")</f>
        <v>10.120.67.141</v>
      </c>
      <c r="AF622" s="59">
        <f>IFERROR(VLOOKUP(Tabelle32[[#This Row],[Device ID]],BOM!$B$3:$BQ$35,36,FALSE),"")</f>
        <v>0</v>
      </c>
      <c r="AG622" s="59">
        <f>IFERROR(VLOOKUP(Tabelle32[[#This Row],[Device ID]],BOM!$B$3:$BQ$35,37,FALSE),"")</f>
        <v>0</v>
      </c>
      <c r="AH622" s="59"/>
      <c r="AI622" s="59"/>
      <c r="AJ622" s="59"/>
      <c r="AK622" s="59"/>
      <c r="AL622" s="59" t="str">
        <f>IFERROR(VLOOKUP(Tabelle32[[#This Row],[Device ID]],BOM!$B$3:$BQ$35,42,FALSE),"")</f>
        <v>Imagine Communications SNP</v>
      </c>
      <c r="AM622" s="59" t="str">
        <f>IFERROR(VLOOKUP(Tabelle32[[#This Row],[Device ID]],BOM!$B$3:$BQ$35,43,FALSE),"")</f>
        <v>no</v>
      </c>
      <c r="AN622" s="59" t="str">
        <f>IFERROR(VLOOKUP(Tabelle32[[#This Row],[Device ID]],BOM!$B$3:$BQ$35,44,FALSE),"")</f>
        <v>yes</v>
      </c>
      <c r="AO622" s="59" t="str">
        <f>IFERROR(VLOOKUP(Tabelle32[[#This Row],[Device ID]],BOM!$B$3:$BQ$35,45,FALSE),"")</f>
        <v>no</v>
      </c>
      <c r="AP622" s="59" t="str">
        <f>IFERROR(CONCATENATE(Tabelle32[[#This Row],[Family
GFX-Unit]]," | ",Tabelle32[[#This Row],[Label 1
GFX-Unit]]," | ",Tabelle32[[#This Row],[Attached Device if Gateway]]),"")</f>
        <v>MEDEM Edits Out | Out Edit22-07 | EditPC-22</v>
      </c>
      <c r="AQ622" s="59"/>
      <c r="AR622" s="92"/>
      <c r="AS622" s="92"/>
      <c r="AT622" s="92"/>
      <c r="AU622" s="92"/>
      <c r="AV622" s="92"/>
      <c r="AW622" s="92"/>
      <c r="AX622" s="92" t="s">
        <v>199</v>
      </c>
      <c r="AY622" s="92" t="s">
        <v>199</v>
      </c>
      <c r="AZ622" s="92" t="s">
        <v>97</v>
      </c>
      <c r="BA622" s="92"/>
      <c r="BB622" s="92"/>
      <c r="BC622" s="92"/>
      <c r="BD622" s="92"/>
      <c r="BE622" s="92"/>
      <c r="BF622" s="92"/>
      <c r="BG622" s="92"/>
      <c r="BH622" s="73" t="s">
        <v>199</v>
      </c>
      <c r="BI622" s="30" t="str">
        <f>IF(COUNTA(Tabelle32[[#This Row],[Type:Vid_1080i50]:[Type:Anc_Prot]])&gt;0,"x","")</f>
        <v>x</v>
      </c>
      <c r="BJ62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22" s="59"/>
      <c r="BL622" s="59"/>
      <c r="BM622" s="63"/>
      <c r="BN622" s="63"/>
      <c r="BO622" s="97" t="s">
        <v>732</v>
      </c>
      <c r="BP622" s="97" t="s">
        <v>1131</v>
      </c>
      <c r="BQ622" s="75">
        <f>LEN(Tabelle32[[#This Row],[Label 1
GFX-Unit]])</f>
        <v>13</v>
      </c>
      <c r="BR622" s="63"/>
      <c r="BS622" s="63"/>
      <c r="BT622" s="59"/>
      <c r="BU622" s="59"/>
      <c r="BV622" s="59" t="s">
        <v>238</v>
      </c>
      <c r="BW622" s="59" t="s">
        <v>239</v>
      </c>
      <c r="BX622" s="59" t="s">
        <v>1132</v>
      </c>
      <c r="BY622" s="59">
        <v>30</v>
      </c>
    </row>
    <row r="623" spans="1:77" x14ac:dyDescent="0.2">
      <c r="A623" s="58" t="str">
        <f>CONCATENATE(Tabelle32[[#This Row],[Device ID]],".",Tabelle32[[#This Row],[Streamcounter]])</f>
        <v>2155.30208</v>
      </c>
      <c r="B62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VGW-103_SDI30_AUDsend_0008</v>
      </c>
      <c r="C623" s="67"/>
      <c r="D623" s="61"/>
      <c r="E623" s="67"/>
      <c r="F623" s="59" t="str">
        <f>IFERROR(VLOOKUP(Tabelle32[[#This Row],[Device ID]],BOM!$B$3:$BQ$35,16,FALSE),"")</f>
        <v>EditPC-22</v>
      </c>
      <c r="G623" s="63">
        <f>VLOOKUP(Tabelle32[[#This Row],[SDI Interface]],BOM!$A$4:$B$35,2,FALSE)</f>
        <v>2155</v>
      </c>
      <c r="H623" s="59" t="str">
        <f>BOM!$C$4</f>
        <v>VGW-103</v>
      </c>
      <c r="I623" s="59" t="str">
        <f>IFERROR(VLOOKUP(Tabelle32[[#This Row],[Device ID]],BOM!$B$3:$BQ$35,12,FALSE),"")</f>
        <v>Edit Suite</v>
      </c>
      <c r="J623" s="59" t="str">
        <f>IFERROR(VLOOKUP(Tabelle32[[#This Row],[Device ID]],BOM!$B$3:$BQ$35,13,FALSE),"")</f>
        <v>TC.U1.223 | MDC</v>
      </c>
      <c r="K623" s="59" t="str">
        <f>IFERROR(VLOOKUP(Tabelle32[[#This Row],[Device ID]],BOM!$B$3:$BQ$35,14,FALSE),"")</f>
        <v>Imagine Comunications</v>
      </c>
      <c r="L623" s="59" t="str">
        <f>IFERROR(VLOOKUP(Tabelle32[[#This Row],[Device ID]],BOM!$B$3:$BQ$35,16,FALSE),"")</f>
        <v>EditPC-22</v>
      </c>
      <c r="M623" s="63" t="str">
        <f>IFERROR(VLOOKUP(Tabelle32[[#This Row],[Device ID]],BOM!$B$3:$BQ$35,17,FALSE),"")</f>
        <v>EDIT SUITE 22</v>
      </c>
      <c r="N623" s="59" t="str">
        <f>IFERROR(VLOOKUP(Tabelle32[[#This Row],[Device ID]],BOM!$B$3:$BQ$35,18,FALSE),"")</f>
        <v>NEBEZ.V3.16 | Edit 22</v>
      </c>
      <c r="O623" s="64"/>
      <c r="P623" s="64">
        <f>IFERROR(VLOOKUP(Tabelle32[[#This Row],[Device ID]],BOM!$B$3:$BO$50,20,FALSE),"")</f>
        <v>0</v>
      </c>
      <c r="Q623" s="64">
        <f>IFERROR(VLOOKUP(Tabelle32[[#This Row],[Device ID]],BOM!$B$3:$BO$50,21,FALSE),"")</f>
        <v>1</v>
      </c>
      <c r="R623" s="64">
        <f>IFERROR(VLOOKUP(Tabelle32[[#This Row],[Device ID]],BOM!$B$3:$BO$50,22,FALSE),"")</f>
        <v>0</v>
      </c>
      <c r="S623" s="64"/>
      <c r="T623" s="64"/>
      <c r="U623" s="59" t="str">
        <f>IFERROR(VLOOKUP(Tabelle32[[#This Row],[Device ID]],BOM!$B$3:$BQ$35,25,FALSE),"")</f>
        <v>Luis/Ivo</v>
      </c>
      <c r="V623" s="59" t="str">
        <f>IFERROR(VLOOKUP(Tabelle32[[#This Row],[Device ID]],BOM!$B$3:$BQ$35,26,FALSE),"")</f>
        <v>tpco-megw-vgw103.rta.st-net.media.int</v>
      </c>
      <c r="W623" s="59" t="str">
        <f>IFERROR(VLOOKUP(Tabelle32[[#This Row],[Device ID]],BOM!$B$3:$BQ$35,27,FALSE),"")</f>
        <v>10.120.236.50</v>
      </c>
      <c r="X623" s="59" t="str">
        <f>IFERROR(VLOOKUP(Tabelle32[[#This Row],[Device ID]],BOM!$B$3:$BQ$35,28,FALSE),"")</f>
        <v>AVCoreA</v>
      </c>
      <c r="Y623" s="59" t="str">
        <f>IFERROR(VLOOKUP(Tabelle32[[#This Row],[Device ID]],BOM!$B$3:$BQ$35,29,FALSE),"")</f>
        <v>5_36_1</v>
      </c>
      <c r="Z623" s="59" t="str">
        <f>IFERROR(VLOOKUP(Tabelle32[[#This Row],[Device ID]],BOM!$B$3:$BQ$35,30,FALSE),"")</f>
        <v>tpco-megw-vgw103.rtb.st-net.media.int</v>
      </c>
      <c r="AA623" s="59" t="str">
        <f>IFERROR(VLOOKUP(Tabelle32[[#This Row],[Device ID]],BOM!$B$3:$BQ$35,31,FALSE),"")</f>
        <v>10.120.236.54</v>
      </c>
      <c r="AB623" s="59" t="str">
        <f>IFERROR(VLOOKUP(Tabelle32[[#This Row],[Device ID]],BOM!$B$3:$BQ$35,32,FALSE),"")</f>
        <v>AVCoreB</v>
      </c>
      <c r="AC623" s="59" t="str">
        <f>IFERROR(VLOOKUP(Tabelle32[[#This Row],[Device ID]],BOM!$B$3:$BQ$35,33,FALSE),"")</f>
        <v>5_36_1</v>
      </c>
      <c r="AD623" s="59" t="str">
        <f>IFERROR(VLOOKUP(Tabelle32[[#This Row],[Device ID]],BOM!$B$3:$BQ$35,34,FALSE),"")</f>
        <v>tpco-megw-vgw103.st-net.media.int</v>
      </c>
      <c r="AE623" s="59" t="str">
        <f>IFERROR(VLOOKUP(Tabelle32[[#This Row],[Device ID]],BOM!$B$3:$BQ$35,35,FALSE),"")</f>
        <v>10.120.67.141</v>
      </c>
      <c r="AF623" s="59">
        <f>IFERROR(VLOOKUP(Tabelle32[[#This Row],[Device ID]],BOM!$B$3:$BQ$35,36,FALSE),"")</f>
        <v>0</v>
      </c>
      <c r="AG623" s="59">
        <f>IFERROR(VLOOKUP(Tabelle32[[#This Row],[Device ID]],BOM!$B$3:$BQ$35,37,FALSE),"")</f>
        <v>0</v>
      </c>
      <c r="AH623" s="59"/>
      <c r="AI623" s="59"/>
      <c r="AJ623" s="59"/>
      <c r="AK623" s="59"/>
      <c r="AL623" s="59" t="str">
        <f>IFERROR(VLOOKUP(Tabelle32[[#This Row],[Device ID]],BOM!$B$3:$BQ$35,42,FALSE),"")</f>
        <v>Imagine Communications SNP</v>
      </c>
      <c r="AM623" s="59" t="str">
        <f>IFERROR(VLOOKUP(Tabelle32[[#This Row],[Device ID]],BOM!$B$3:$BQ$35,43,FALSE),"")</f>
        <v>no</v>
      </c>
      <c r="AN623" s="59" t="str">
        <f>IFERROR(VLOOKUP(Tabelle32[[#This Row],[Device ID]],BOM!$B$3:$BQ$35,44,FALSE),"")</f>
        <v>yes</v>
      </c>
      <c r="AO623" s="59" t="str">
        <f>IFERROR(VLOOKUP(Tabelle32[[#This Row],[Device ID]],BOM!$B$3:$BQ$35,45,FALSE),"")</f>
        <v>no</v>
      </c>
      <c r="AP623" s="59" t="str">
        <f>IFERROR(CONCATENATE(Tabelle32[[#This Row],[Family
GFX-Unit]]," | ",Tabelle32[[#This Row],[Label 1
GFX-Unit]]," | ",Tabelle32[[#This Row],[Attached Device if Gateway]]),"")</f>
        <v>MEDEM Edits Out | Out Edit22-08 | EditPC-22</v>
      </c>
      <c r="AQ623" s="59"/>
      <c r="AR623" s="92"/>
      <c r="AS623" s="92"/>
      <c r="AT623" s="92"/>
      <c r="AU623" s="92"/>
      <c r="AV623" s="92"/>
      <c r="AW623" s="92"/>
      <c r="AX623" s="92"/>
      <c r="AY623" s="92"/>
      <c r="AZ623" s="92"/>
      <c r="BA623" s="92"/>
      <c r="BB623" s="92"/>
      <c r="BC623" s="92" t="s">
        <v>97</v>
      </c>
      <c r="BD623" s="92"/>
      <c r="BE623" s="92"/>
      <c r="BF623" s="92"/>
      <c r="BG623" s="92"/>
      <c r="BH623" s="73" t="s">
        <v>199</v>
      </c>
      <c r="BI623" s="30" t="str">
        <f>IF(COUNTA(Tabelle32[[#This Row],[Type:Vid_1080i50]:[Type:Anc_Prot]])&gt;0,"x","")</f>
        <v>x</v>
      </c>
      <c r="BJ62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623" s="59"/>
      <c r="BL623" s="59"/>
      <c r="BM623" s="63"/>
      <c r="BN623" s="63"/>
      <c r="BO623" s="97" t="s">
        <v>732</v>
      </c>
      <c r="BP623" s="97" t="s">
        <v>1133</v>
      </c>
      <c r="BQ623" s="75">
        <f>LEN(Tabelle32[[#This Row],[Label 1
GFX-Unit]])</f>
        <v>13</v>
      </c>
      <c r="BR623" s="63"/>
      <c r="BS623" s="63"/>
      <c r="BT623" s="59"/>
      <c r="BU623" s="59"/>
      <c r="BV623" s="59" t="s">
        <v>242</v>
      </c>
      <c r="BW623" s="59" t="s">
        <v>243</v>
      </c>
      <c r="BX623" s="59" t="s">
        <v>1134</v>
      </c>
      <c r="BY623" s="59">
        <v>30</v>
      </c>
    </row>
    <row r="624" spans="1:77" hidden="1" x14ac:dyDescent="0.2">
      <c r="A624" s="58" t="str">
        <f>CONCATENATE(Tabelle32[[#This Row],[Device ID]],".",Tabelle32[[#This Row],[Streamcounter]])</f>
        <v>2155.30209</v>
      </c>
      <c r="B62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VGW-103_SDI30_AUDsend_0009</v>
      </c>
      <c r="C624" s="67"/>
      <c r="D624" s="61"/>
      <c r="E624" s="67"/>
      <c r="F624" s="59" t="str">
        <f>IFERROR(VLOOKUP(Tabelle32[[#This Row],[Device ID]],BOM!$B$3:$BQ$35,16,FALSE),"")</f>
        <v>EditPC-22</v>
      </c>
      <c r="G624" s="63">
        <f>VLOOKUP(Tabelle32[[#This Row],[SDI Interface]],BOM!$A$4:$B$35,2,FALSE)</f>
        <v>2155</v>
      </c>
      <c r="H624" s="59" t="str">
        <f>BOM!$C$4</f>
        <v>VGW-103</v>
      </c>
      <c r="I624" s="59" t="str">
        <f>IFERROR(VLOOKUP(Tabelle32[[#This Row],[Device ID]],BOM!$B$3:$BQ$35,12,FALSE),"")</f>
        <v>Edit Suite</v>
      </c>
      <c r="J624" s="59" t="str">
        <f>IFERROR(VLOOKUP(Tabelle32[[#This Row],[Device ID]],BOM!$B$3:$BQ$35,13,FALSE),"")</f>
        <v>TC.U1.223 | MDC</v>
      </c>
      <c r="K624" s="59" t="str">
        <f>IFERROR(VLOOKUP(Tabelle32[[#This Row],[Device ID]],BOM!$B$3:$BQ$35,14,FALSE),"")</f>
        <v>Imagine Comunications</v>
      </c>
      <c r="L624" s="59" t="str">
        <f>IFERROR(VLOOKUP(Tabelle32[[#This Row],[Device ID]],BOM!$B$3:$BQ$35,16,FALSE),"")</f>
        <v>EditPC-22</v>
      </c>
      <c r="M624" s="63" t="str">
        <f>IFERROR(VLOOKUP(Tabelle32[[#This Row],[Device ID]],BOM!$B$3:$BQ$35,17,FALSE),"")</f>
        <v>EDIT SUITE 22</v>
      </c>
      <c r="N624" s="59" t="str">
        <f>IFERROR(VLOOKUP(Tabelle32[[#This Row],[Device ID]],BOM!$B$3:$BQ$35,18,FALSE),"")</f>
        <v>NEBEZ.V3.16 | Edit 22</v>
      </c>
      <c r="O624" s="64"/>
      <c r="P624" s="64">
        <f>IFERROR(VLOOKUP(Tabelle32[[#This Row],[Device ID]],BOM!$B$3:$BO$50,20,FALSE),"")</f>
        <v>0</v>
      </c>
      <c r="Q624" s="64">
        <f>IFERROR(VLOOKUP(Tabelle32[[#This Row],[Device ID]],BOM!$B$3:$BO$50,21,FALSE),"")</f>
        <v>1</v>
      </c>
      <c r="R624" s="64">
        <f>IFERROR(VLOOKUP(Tabelle32[[#This Row],[Device ID]],BOM!$B$3:$BO$50,22,FALSE),"")</f>
        <v>0</v>
      </c>
      <c r="S624" s="64"/>
      <c r="T624" s="64"/>
      <c r="U624" s="59" t="str">
        <f>IFERROR(VLOOKUP(Tabelle32[[#This Row],[Device ID]],BOM!$B$3:$BQ$35,25,FALSE),"")</f>
        <v>Luis/Ivo</v>
      </c>
      <c r="V624" s="59" t="str">
        <f>IFERROR(VLOOKUP(Tabelle32[[#This Row],[Device ID]],BOM!$B$3:$BQ$35,26,FALSE),"")</f>
        <v>tpco-megw-vgw103.rta.st-net.media.int</v>
      </c>
      <c r="W624" s="59" t="str">
        <f>IFERROR(VLOOKUP(Tabelle32[[#This Row],[Device ID]],BOM!$B$3:$BQ$35,27,FALSE),"")</f>
        <v>10.120.236.50</v>
      </c>
      <c r="X624" s="59" t="str">
        <f>IFERROR(VLOOKUP(Tabelle32[[#This Row],[Device ID]],BOM!$B$3:$BQ$35,28,FALSE),"")</f>
        <v>AVCoreA</v>
      </c>
      <c r="Y624" s="59" t="str">
        <f>IFERROR(VLOOKUP(Tabelle32[[#This Row],[Device ID]],BOM!$B$3:$BQ$35,29,FALSE),"")</f>
        <v>5_36_1</v>
      </c>
      <c r="Z624" s="59" t="str">
        <f>IFERROR(VLOOKUP(Tabelle32[[#This Row],[Device ID]],BOM!$B$3:$BQ$35,30,FALSE),"")</f>
        <v>tpco-megw-vgw103.rtb.st-net.media.int</v>
      </c>
      <c r="AA624" s="59" t="str">
        <f>IFERROR(VLOOKUP(Tabelle32[[#This Row],[Device ID]],BOM!$B$3:$BQ$35,31,FALSE),"")</f>
        <v>10.120.236.54</v>
      </c>
      <c r="AB624" s="59" t="str">
        <f>IFERROR(VLOOKUP(Tabelle32[[#This Row],[Device ID]],BOM!$B$3:$BQ$35,32,FALSE),"")</f>
        <v>AVCoreB</v>
      </c>
      <c r="AC624" s="59" t="str">
        <f>IFERROR(VLOOKUP(Tabelle32[[#This Row],[Device ID]],BOM!$B$3:$BQ$35,33,FALSE),"")</f>
        <v>5_36_1</v>
      </c>
      <c r="AD624" s="59" t="str">
        <f>IFERROR(VLOOKUP(Tabelle32[[#This Row],[Device ID]],BOM!$B$3:$BQ$35,34,FALSE),"")</f>
        <v>tpco-megw-vgw103.st-net.media.int</v>
      </c>
      <c r="AE624" s="59" t="str">
        <f>IFERROR(VLOOKUP(Tabelle32[[#This Row],[Device ID]],BOM!$B$3:$BQ$35,35,FALSE),"")</f>
        <v>10.120.67.141</v>
      </c>
      <c r="AF624" s="59">
        <f>IFERROR(VLOOKUP(Tabelle32[[#This Row],[Device ID]],BOM!$B$3:$BQ$35,36,FALSE),"")</f>
        <v>0</v>
      </c>
      <c r="AG624" s="59">
        <f>IFERROR(VLOOKUP(Tabelle32[[#This Row],[Device ID]],BOM!$B$3:$BQ$35,37,FALSE),"")</f>
        <v>0</v>
      </c>
      <c r="AH624" s="59"/>
      <c r="AI624" s="59"/>
      <c r="AJ624" s="59"/>
      <c r="AK624" s="59"/>
      <c r="AL624" s="59" t="str">
        <f>IFERROR(VLOOKUP(Tabelle32[[#This Row],[Device ID]],BOM!$B$3:$BQ$35,42,FALSE),"")</f>
        <v>Imagine Communications SNP</v>
      </c>
      <c r="AM624" s="59" t="str">
        <f>IFERROR(VLOOKUP(Tabelle32[[#This Row],[Device ID]],BOM!$B$3:$BQ$35,43,FALSE),"")</f>
        <v>no</v>
      </c>
      <c r="AN624" s="59" t="str">
        <f>IFERROR(VLOOKUP(Tabelle32[[#This Row],[Device ID]],BOM!$B$3:$BQ$35,44,FALSE),"")</f>
        <v>yes</v>
      </c>
      <c r="AO624" s="59" t="str">
        <f>IFERROR(VLOOKUP(Tabelle32[[#This Row],[Device ID]],BOM!$B$3:$BQ$35,45,FALSE),"")</f>
        <v>no</v>
      </c>
      <c r="AP624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24" s="59"/>
      <c r="AR624" s="90"/>
      <c r="AS624" s="90"/>
      <c r="AT624" s="90"/>
      <c r="AU624" s="90"/>
      <c r="AV624" s="90"/>
      <c r="AW624" s="90"/>
      <c r="AX624" s="90"/>
      <c r="AY624" s="90"/>
      <c r="AZ624" s="90"/>
      <c r="BA624" s="90"/>
      <c r="BB624" s="90"/>
      <c r="BC624" s="90"/>
      <c r="BD624" s="90"/>
      <c r="BE624" s="90"/>
      <c r="BF624" s="90"/>
      <c r="BG624" s="90"/>
      <c r="BH624" s="73" t="s">
        <v>199</v>
      </c>
      <c r="BI624" s="30" t="str">
        <f>IF(COUNTA(Tabelle32[[#This Row],[Type:Vid_1080i50]:[Type:Anc_Prot]])&gt;0,"x","")</f>
        <v/>
      </c>
      <c r="BJ62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24" s="59"/>
      <c r="BL624" s="59"/>
      <c r="BM624" s="63"/>
      <c r="BN624" s="63"/>
      <c r="BO624" s="96"/>
      <c r="BP624" s="96"/>
      <c r="BQ624" s="75">
        <f>LEN(Tabelle32[[#This Row],[Label 1
GFX-Unit]])</f>
        <v>0</v>
      </c>
      <c r="BR624" s="63"/>
      <c r="BS624" s="63"/>
      <c r="BT624" s="59"/>
      <c r="BU624" s="59"/>
      <c r="BV624" s="59" t="s">
        <v>245</v>
      </c>
      <c r="BW624" s="59" t="s">
        <v>246</v>
      </c>
      <c r="BX624" s="59" t="s">
        <v>1135</v>
      </c>
      <c r="BY624" s="59">
        <v>30</v>
      </c>
    </row>
    <row r="625" spans="1:77" hidden="1" x14ac:dyDescent="0.2">
      <c r="A625" s="58" t="str">
        <f>CONCATENATE(Tabelle32[[#This Row],[Device ID]],".",Tabelle32[[#This Row],[Streamcounter]])</f>
        <v>2155.30210</v>
      </c>
      <c r="B62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VGW-103_SDI30_AUDsend_0010</v>
      </c>
      <c r="C625" s="67"/>
      <c r="D625" s="61"/>
      <c r="E625" s="67"/>
      <c r="F625" s="59" t="str">
        <f>IFERROR(VLOOKUP(Tabelle32[[#This Row],[Device ID]],BOM!$B$3:$BQ$35,16,FALSE),"")</f>
        <v>EditPC-22</v>
      </c>
      <c r="G625" s="63">
        <f>VLOOKUP(Tabelle32[[#This Row],[SDI Interface]],BOM!$A$4:$B$35,2,FALSE)</f>
        <v>2155</v>
      </c>
      <c r="H625" s="59" t="str">
        <f>BOM!$C$4</f>
        <v>VGW-103</v>
      </c>
      <c r="I625" s="59" t="str">
        <f>IFERROR(VLOOKUP(Tabelle32[[#This Row],[Device ID]],BOM!$B$3:$BQ$35,12,FALSE),"")</f>
        <v>Edit Suite</v>
      </c>
      <c r="J625" s="59" t="str">
        <f>IFERROR(VLOOKUP(Tabelle32[[#This Row],[Device ID]],BOM!$B$3:$BQ$35,13,FALSE),"")</f>
        <v>TC.U1.223 | MDC</v>
      </c>
      <c r="K625" s="59" t="str">
        <f>IFERROR(VLOOKUP(Tabelle32[[#This Row],[Device ID]],BOM!$B$3:$BQ$35,14,FALSE),"")</f>
        <v>Imagine Comunications</v>
      </c>
      <c r="L625" s="59" t="str">
        <f>IFERROR(VLOOKUP(Tabelle32[[#This Row],[Device ID]],BOM!$B$3:$BQ$35,16,FALSE),"")</f>
        <v>EditPC-22</v>
      </c>
      <c r="M625" s="63" t="str">
        <f>IFERROR(VLOOKUP(Tabelle32[[#This Row],[Device ID]],BOM!$B$3:$BQ$35,17,FALSE),"")</f>
        <v>EDIT SUITE 22</v>
      </c>
      <c r="N625" s="59" t="str">
        <f>IFERROR(VLOOKUP(Tabelle32[[#This Row],[Device ID]],BOM!$B$3:$BQ$35,18,FALSE),"")</f>
        <v>NEBEZ.V3.16 | Edit 22</v>
      </c>
      <c r="O625" s="64"/>
      <c r="P625" s="64">
        <f>IFERROR(VLOOKUP(Tabelle32[[#This Row],[Device ID]],BOM!$B$3:$BO$50,20,FALSE),"")</f>
        <v>0</v>
      </c>
      <c r="Q625" s="64">
        <f>IFERROR(VLOOKUP(Tabelle32[[#This Row],[Device ID]],BOM!$B$3:$BO$50,21,FALSE),"")</f>
        <v>1</v>
      </c>
      <c r="R625" s="64">
        <f>IFERROR(VLOOKUP(Tabelle32[[#This Row],[Device ID]],BOM!$B$3:$BO$50,22,FALSE),"")</f>
        <v>0</v>
      </c>
      <c r="S625" s="64"/>
      <c r="T625" s="64"/>
      <c r="U625" s="59" t="str">
        <f>IFERROR(VLOOKUP(Tabelle32[[#This Row],[Device ID]],BOM!$B$3:$BQ$35,25,FALSE),"")</f>
        <v>Luis/Ivo</v>
      </c>
      <c r="V625" s="59" t="str">
        <f>IFERROR(VLOOKUP(Tabelle32[[#This Row],[Device ID]],BOM!$B$3:$BQ$35,26,FALSE),"")</f>
        <v>tpco-megw-vgw103.rta.st-net.media.int</v>
      </c>
      <c r="W625" s="59" t="str">
        <f>IFERROR(VLOOKUP(Tabelle32[[#This Row],[Device ID]],BOM!$B$3:$BQ$35,27,FALSE),"")</f>
        <v>10.120.236.50</v>
      </c>
      <c r="X625" s="59" t="str">
        <f>IFERROR(VLOOKUP(Tabelle32[[#This Row],[Device ID]],BOM!$B$3:$BQ$35,28,FALSE),"")</f>
        <v>AVCoreA</v>
      </c>
      <c r="Y625" s="59" t="str">
        <f>IFERROR(VLOOKUP(Tabelle32[[#This Row],[Device ID]],BOM!$B$3:$BQ$35,29,FALSE),"")</f>
        <v>5_36_1</v>
      </c>
      <c r="Z625" s="59" t="str">
        <f>IFERROR(VLOOKUP(Tabelle32[[#This Row],[Device ID]],BOM!$B$3:$BQ$35,30,FALSE),"")</f>
        <v>tpco-megw-vgw103.rtb.st-net.media.int</v>
      </c>
      <c r="AA625" s="59" t="str">
        <f>IFERROR(VLOOKUP(Tabelle32[[#This Row],[Device ID]],BOM!$B$3:$BQ$35,31,FALSE),"")</f>
        <v>10.120.236.54</v>
      </c>
      <c r="AB625" s="59" t="str">
        <f>IFERROR(VLOOKUP(Tabelle32[[#This Row],[Device ID]],BOM!$B$3:$BQ$35,32,FALSE),"")</f>
        <v>AVCoreB</v>
      </c>
      <c r="AC625" s="59" t="str">
        <f>IFERROR(VLOOKUP(Tabelle32[[#This Row],[Device ID]],BOM!$B$3:$BQ$35,33,FALSE),"")</f>
        <v>5_36_1</v>
      </c>
      <c r="AD625" s="59" t="str">
        <f>IFERROR(VLOOKUP(Tabelle32[[#This Row],[Device ID]],BOM!$B$3:$BQ$35,34,FALSE),"")</f>
        <v>tpco-megw-vgw103.st-net.media.int</v>
      </c>
      <c r="AE625" s="59" t="str">
        <f>IFERROR(VLOOKUP(Tabelle32[[#This Row],[Device ID]],BOM!$B$3:$BQ$35,35,FALSE),"")</f>
        <v>10.120.67.141</v>
      </c>
      <c r="AF625" s="59">
        <f>IFERROR(VLOOKUP(Tabelle32[[#This Row],[Device ID]],BOM!$B$3:$BQ$35,36,FALSE),"")</f>
        <v>0</v>
      </c>
      <c r="AG625" s="59">
        <f>IFERROR(VLOOKUP(Tabelle32[[#This Row],[Device ID]],BOM!$B$3:$BQ$35,37,FALSE),"")</f>
        <v>0</v>
      </c>
      <c r="AH625" s="59"/>
      <c r="AI625" s="59"/>
      <c r="AJ625" s="59"/>
      <c r="AK625" s="59"/>
      <c r="AL625" s="59" t="str">
        <f>IFERROR(VLOOKUP(Tabelle32[[#This Row],[Device ID]],BOM!$B$3:$BQ$35,42,FALSE),"")</f>
        <v>Imagine Communications SNP</v>
      </c>
      <c r="AM625" s="59" t="str">
        <f>IFERROR(VLOOKUP(Tabelle32[[#This Row],[Device ID]],BOM!$B$3:$BQ$35,43,FALSE),"")</f>
        <v>no</v>
      </c>
      <c r="AN625" s="59" t="str">
        <f>IFERROR(VLOOKUP(Tabelle32[[#This Row],[Device ID]],BOM!$B$3:$BQ$35,44,FALSE),"")</f>
        <v>yes</v>
      </c>
      <c r="AO625" s="59" t="str">
        <f>IFERROR(VLOOKUP(Tabelle32[[#This Row],[Device ID]],BOM!$B$3:$BQ$35,45,FALSE),"")</f>
        <v>no</v>
      </c>
      <c r="AP625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25" s="59"/>
      <c r="AR625" s="90"/>
      <c r="AS625" s="90"/>
      <c r="AT625" s="90"/>
      <c r="AU625" s="90"/>
      <c r="AV625" s="90"/>
      <c r="AW625" s="90"/>
      <c r="AX625" s="90"/>
      <c r="AY625" s="90"/>
      <c r="AZ625" s="90"/>
      <c r="BA625" s="90"/>
      <c r="BB625" s="90"/>
      <c r="BC625" s="90"/>
      <c r="BD625" s="90"/>
      <c r="BE625" s="90"/>
      <c r="BF625" s="90"/>
      <c r="BG625" s="90"/>
      <c r="BH625" s="73" t="s">
        <v>199</v>
      </c>
      <c r="BI625" s="30" t="str">
        <f>IF(COUNTA(Tabelle32[[#This Row],[Type:Vid_1080i50]:[Type:Anc_Prot]])&gt;0,"x","")</f>
        <v/>
      </c>
      <c r="BJ62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25" s="59"/>
      <c r="BL625" s="59"/>
      <c r="BM625" s="63"/>
      <c r="BN625" s="63"/>
      <c r="BO625" s="96"/>
      <c r="BP625" s="96"/>
      <c r="BQ625" s="75">
        <f>LEN(Tabelle32[[#This Row],[Label 1
GFX-Unit]])</f>
        <v>0</v>
      </c>
      <c r="BR625" s="63"/>
      <c r="BS625" s="63"/>
      <c r="BT625" s="59"/>
      <c r="BU625" s="59"/>
      <c r="BV625" s="59" t="s">
        <v>248</v>
      </c>
      <c r="BW625" s="59" t="s">
        <v>249</v>
      </c>
      <c r="BX625" s="59" t="s">
        <v>1136</v>
      </c>
      <c r="BY625" s="59">
        <v>30</v>
      </c>
    </row>
    <row r="626" spans="1:77" hidden="1" x14ac:dyDescent="0.2">
      <c r="A626" s="58" t="str">
        <f>CONCATENATE(Tabelle32[[#This Row],[Device ID]],".",Tabelle32[[#This Row],[Streamcounter]])</f>
        <v>2155.30211</v>
      </c>
      <c r="B62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VGW-103_SDI30_AUDsend_0011</v>
      </c>
      <c r="C626" s="67"/>
      <c r="D626" s="61"/>
      <c r="E626" s="67"/>
      <c r="F626" s="59" t="str">
        <f>IFERROR(VLOOKUP(Tabelle32[[#This Row],[Device ID]],BOM!$B$3:$BQ$35,16,FALSE),"")</f>
        <v>EditPC-22</v>
      </c>
      <c r="G626" s="63">
        <f>VLOOKUP(Tabelle32[[#This Row],[SDI Interface]],BOM!$A$4:$B$35,2,FALSE)</f>
        <v>2155</v>
      </c>
      <c r="H626" s="59" t="str">
        <f>BOM!$C$4</f>
        <v>VGW-103</v>
      </c>
      <c r="I626" s="59" t="str">
        <f>IFERROR(VLOOKUP(Tabelle32[[#This Row],[Device ID]],BOM!$B$3:$BQ$35,12,FALSE),"")</f>
        <v>Edit Suite</v>
      </c>
      <c r="J626" s="59" t="str">
        <f>IFERROR(VLOOKUP(Tabelle32[[#This Row],[Device ID]],BOM!$B$3:$BQ$35,13,FALSE),"")</f>
        <v>TC.U1.223 | MDC</v>
      </c>
      <c r="K626" s="59" t="str">
        <f>IFERROR(VLOOKUP(Tabelle32[[#This Row],[Device ID]],BOM!$B$3:$BQ$35,14,FALSE),"")</f>
        <v>Imagine Comunications</v>
      </c>
      <c r="L626" s="59" t="str">
        <f>IFERROR(VLOOKUP(Tabelle32[[#This Row],[Device ID]],BOM!$B$3:$BQ$35,16,FALSE),"")</f>
        <v>EditPC-22</v>
      </c>
      <c r="M626" s="63" t="str">
        <f>IFERROR(VLOOKUP(Tabelle32[[#This Row],[Device ID]],BOM!$B$3:$BQ$35,17,FALSE),"")</f>
        <v>EDIT SUITE 22</v>
      </c>
      <c r="N626" s="59" t="str">
        <f>IFERROR(VLOOKUP(Tabelle32[[#This Row],[Device ID]],BOM!$B$3:$BQ$35,18,FALSE),"")</f>
        <v>NEBEZ.V3.16 | Edit 22</v>
      </c>
      <c r="O626" s="64"/>
      <c r="P626" s="64">
        <f>IFERROR(VLOOKUP(Tabelle32[[#This Row],[Device ID]],BOM!$B$3:$BO$50,20,FALSE),"")</f>
        <v>0</v>
      </c>
      <c r="Q626" s="64">
        <f>IFERROR(VLOOKUP(Tabelle32[[#This Row],[Device ID]],BOM!$B$3:$BO$50,21,FALSE),"")</f>
        <v>1</v>
      </c>
      <c r="R626" s="64">
        <f>IFERROR(VLOOKUP(Tabelle32[[#This Row],[Device ID]],BOM!$B$3:$BO$50,22,FALSE),"")</f>
        <v>0</v>
      </c>
      <c r="S626" s="64"/>
      <c r="T626" s="64"/>
      <c r="U626" s="59" t="str">
        <f>IFERROR(VLOOKUP(Tabelle32[[#This Row],[Device ID]],BOM!$B$3:$BQ$35,25,FALSE),"")</f>
        <v>Luis/Ivo</v>
      </c>
      <c r="V626" s="59" t="str">
        <f>IFERROR(VLOOKUP(Tabelle32[[#This Row],[Device ID]],BOM!$B$3:$BQ$35,26,FALSE),"")</f>
        <v>tpco-megw-vgw103.rta.st-net.media.int</v>
      </c>
      <c r="W626" s="59" t="str">
        <f>IFERROR(VLOOKUP(Tabelle32[[#This Row],[Device ID]],BOM!$B$3:$BQ$35,27,FALSE),"")</f>
        <v>10.120.236.50</v>
      </c>
      <c r="X626" s="59" t="str">
        <f>IFERROR(VLOOKUP(Tabelle32[[#This Row],[Device ID]],BOM!$B$3:$BQ$35,28,FALSE),"")</f>
        <v>AVCoreA</v>
      </c>
      <c r="Y626" s="59" t="str">
        <f>IFERROR(VLOOKUP(Tabelle32[[#This Row],[Device ID]],BOM!$B$3:$BQ$35,29,FALSE),"")</f>
        <v>5_36_1</v>
      </c>
      <c r="Z626" s="59" t="str">
        <f>IFERROR(VLOOKUP(Tabelle32[[#This Row],[Device ID]],BOM!$B$3:$BQ$35,30,FALSE),"")</f>
        <v>tpco-megw-vgw103.rtb.st-net.media.int</v>
      </c>
      <c r="AA626" s="59" t="str">
        <f>IFERROR(VLOOKUP(Tabelle32[[#This Row],[Device ID]],BOM!$B$3:$BQ$35,31,FALSE),"")</f>
        <v>10.120.236.54</v>
      </c>
      <c r="AB626" s="59" t="str">
        <f>IFERROR(VLOOKUP(Tabelle32[[#This Row],[Device ID]],BOM!$B$3:$BQ$35,32,FALSE),"")</f>
        <v>AVCoreB</v>
      </c>
      <c r="AC626" s="59" t="str">
        <f>IFERROR(VLOOKUP(Tabelle32[[#This Row],[Device ID]],BOM!$B$3:$BQ$35,33,FALSE),"")</f>
        <v>5_36_1</v>
      </c>
      <c r="AD626" s="59" t="str">
        <f>IFERROR(VLOOKUP(Tabelle32[[#This Row],[Device ID]],BOM!$B$3:$BQ$35,34,FALSE),"")</f>
        <v>tpco-megw-vgw103.st-net.media.int</v>
      </c>
      <c r="AE626" s="59" t="str">
        <f>IFERROR(VLOOKUP(Tabelle32[[#This Row],[Device ID]],BOM!$B$3:$BQ$35,35,FALSE),"")</f>
        <v>10.120.67.141</v>
      </c>
      <c r="AF626" s="59">
        <f>IFERROR(VLOOKUP(Tabelle32[[#This Row],[Device ID]],BOM!$B$3:$BQ$35,36,FALSE),"")</f>
        <v>0</v>
      </c>
      <c r="AG626" s="59">
        <f>IFERROR(VLOOKUP(Tabelle32[[#This Row],[Device ID]],BOM!$B$3:$BQ$35,37,FALSE),"")</f>
        <v>0</v>
      </c>
      <c r="AH626" s="59"/>
      <c r="AI626" s="59"/>
      <c r="AJ626" s="59"/>
      <c r="AK626" s="59"/>
      <c r="AL626" s="59" t="str">
        <f>IFERROR(VLOOKUP(Tabelle32[[#This Row],[Device ID]],BOM!$B$3:$BQ$35,42,FALSE),"")</f>
        <v>Imagine Communications SNP</v>
      </c>
      <c r="AM626" s="59" t="str">
        <f>IFERROR(VLOOKUP(Tabelle32[[#This Row],[Device ID]],BOM!$B$3:$BQ$35,43,FALSE),"")</f>
        <v>no</v>
      </c>
      <c r="AN626" s="59" t="str">
        <f>IFERROR(VLOOKUP(Tabelle32[[#This Row],[Device ID]],BOM!$B$3:$BQ$35,44,FALSE),"")</f>
        <v>yes</v>
      </c>
      <c r="AO626" s="59" t="str">
        <f>IFERROR(VLOOKUP(Tabelle32[[#This Row],[Device ID]],BOM!$B$3:$BQ$35,45,FALSE),"")</f>
        <v>no</v>
      </c>
      <c r="AP626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26" s="59"/>
      <c r="AR626" s="90"/>
      <c r="AS626" s="90"/>
      <c r="AT626" s="90"/>
      <c r="AU626" s="90"/>
      <c r="AV626" s="90"/>
      <c r="AW626" s="90"/>
      <c r="AX626" s="90"/>
      <c r="AY626" s="90"/>
      <c r="AZ626" s="90"/>
      <c r="BA626" s="90"/>
      <c r="BB626" s="90"/>
      <c r="BC626" s="90"/>
      <c r="BD626" s="90"/>
      <c r="BE626" s="90"/>
      <c r="BF626" s="90"/>
      <c r="BG626" s="90"/>
      <c r="BH626" s="73" t="s">
        <v>199</v>
      </c>
      <c r="BI626" s="30" t="str">
        <f>IF(COUNTA(Tabelle32[[#This Row],[Type:Vid_1080i50]:[Type:Anc_Prot]])&gt;0,"x","")</f>
        <v/>
      </c>
      <c r="BJ62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26" s="59"/>
      <c r="BL626" s="59"/>
      <c r="BM626" s="63"/>
      <c r="BN626" s="63"/>
      <c r="BO626" s="96"/>
      <c r="BP626" s="96"/>
      <c r="BQ626" s="75">
        <f>LEN(Tabelle32[[#This Row],[Label 1
GFX-Unit]])</f>
        <v>0</v>
      </c>
      <c r="BR626" s="63"/>
      <c r="BS626" s="63"/>
      <c r="BT626" s="59"/>
      <c r="BU626" s="59"/>
      <c r="BV626" s="59" t="s">
        <v>251</v>
      </c>
      <c r="BW626" s="59" t="s">
        <v>252</v>
      </c>
      <c r="BX626" s="59" t="s">
        <v>1137</v>
      </c>
      <c r="BY626" s="59">
        <v>30</v>
      </c>
    </row>
    <row r="627" spans="1:77" hidden="1" x14ac:dyDescent="0.2">
      <c r="A627" s="58" t="str">
        <f>CONCATENATE(Tabelle32[[#This Row],[Device ID]],".",Tabelle32[[#This Row],[Streamcounter]])</f>
        <v>2155.30212</v>
      </c>
      <c r="B62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VGW-103_SDI30_AUDsend_0012</v>
      </c>
      <c r="C627" s="67"/>
      <c r="D627" s="61"/>
      <c r="E627" s="67"/>
      <c r="F627" s="59" t="str">
        <f>IFERROR(VLOOKUP(Tabelle32[[#This Row],[Device ID]],BOM!$B$3:$BQ$35,16,FALSE),"")</f>
        <v>EditPC-22</v>
      </c>
      <c r="G627" s="63">
        <f>VLOOKUP(Tabelle32[[#This Row],[SDI Interface]],BOM!$A$4:$B$35,2,FALSE)</f>
        <v>2155</v>
      </c>
      <c r="H627" s="59" t="str">
        <f>BOM!$C$4</f>
        <v>VGW-103</v>
      </c>
      <c r="I627" s="59" t="str">
        <f>IFERROR(VLOOKUP(Tabelle32[[#This Row],[Device ID]],BOM!$B$3:$BQ$35,12,FALSE),"")</f>
        <v>Edit Suite</v>
      </c>
      <c r="J627" s="59" t="str">
        <f>IFERROR(VLOOKUP(Tabelle32[[#This Row],[Device ID]],BOM!$B$3:$BQ$35,13,FALSE),"")</f>
        <v>TC.U1.223 | MDC</v>
      </c>
      <c r="K627" s="59" t="str">
        <f>IFERROR(VLOOKUP(Tabelle32[[#This Row],[Device ID]],BOM!$B$3:$BQ$35,14,FALSE),"")</f>
        <v>Imagine Comunications</v>
      </c>
      <c r="L627" s="59" t="str">
        <f>IFERROR(VLOOKUP(Tabelle32[[#This Row],[Device ID]],BOM!$B$3:$BQ$35,16,FALSE),"")</f>
        <v>EditPC-22</v>
      </c>
      <c r="M627" s="63" t="str">
        <f>IFERROR(VLOOKUP(Tabelle32[[#This Row],[Device ID]],BOM!$B$3:$BQ$35,17,FALSE),"")</f>
        <v>EDIT SUITE 22</v>
      </c>
      <c r="N627" s="59" t="str">
        <f>IFERROR(VLOOKUP(Tabelle32[[#This Row],[Device ID]],BOM!$B$3:$BQ$35,18,FALSE),"")</f>
        <v>NEBEZ.V3.16 | Edit 22</v>
      </c>
      <c r="O627" s="64"/>
      <c r="P627" s="64">
        <f>IFERROR(VLOOKUP(Tabelle32[[#This Row],[Device ID]],BOM!$B$3:$BO$50,20,FALSE),"")</f>
        <v>0</v>
      </c>
      <c r="Q627" s="64">
        <f>IFERROR(VLOOKUP(Tabelle32[[#This Row],[Device ID]],BOM!$B$3:$BO$50,21,FALSE),"")</f>
        <v>1</v>
      </c>
      <c r="R627" s="64">
        <f>IFERROR(VLOOKUP(Tabelle32[[#This Row],[Device ID]],BOM!$B$3:$BO$50,22,FALSE),"")</f>
        <v>0</v>
      </c>
      <c r="S627" s="64"/>
      <c r="T627" s="64"/>
      <c r="U627" s="59" t="str">
        <f>IFERROR(VLOOKUP(Tabelle32[[#This Row],[Device ID]],BOM!$B$3:$BQ$35,25,FALSE),"")</f>
        <v>Luis/Ivo</v>
      </c>
      <c r="V627" s="59" t="str">
        <f>IFERROR(VLOOKUP(Tabelle32[[#This Row],[Device ID]],BOM!$B$3:$BQ$35,26,FALSE),"")</f>
        <v>tpco-megw-vgw103.rta.st-net.media.int</v>
      </c>
      <c r="W627" s="59" t="str">
        <f>IFERROR(VLOOKUP(Tabelle32[[#This Row],[Device ID]],BOM!$B$3:$BQ$35,27,FALSE),"")</f>
        <v>10.120.236.50</v>
      </c>
      <c r="X627" s="59" t="str">
        <f>IFERROR(VLOOKUP(Tabelle32[[#This Row],[Device ID]],BOM!$B$3:$BQ$35,28,FALSE),"")</f>
        <v>AVCoreA</v>
      </c>
      <c r="Y627" s="59" t="str">
        <f>IFERROR(VLOOKUP(Tabelle32[[#This Row],[Device ID]],BOM!$B$3:$BQ$35,29,FALSE),"")</f>
        <v>5_36_1</v>
      </c>
      <c r="Z627" s="59" t="str">
        <f>IFERROR(VLOOKUP(Tabelle32[[#This Row],[Device ID]],BOM!$B$3:$BQ$35,30,FALSE),"")</f>
        <v>tpco-megw-vgw103.rtb.st-net.media.int</v>
      </c>
      <c r="AA627" s="59" t="str">
        <f>IFERROR(VLOOKUP(Tabelle32[[#This Row],[Device ID]],BOM!$B$3:$BQ$35,31,FALSE),"")</f>
        <v>10.120.236.54</v>
      </c>
      <c r="AB627" s="59" t="str">
        <f>IFERROR(VLOOKUP(Tabelle32[[#This Row],[Device ID]],BOM!$B$3:$BQ$35,32,FALSE),"")</f>
        <v>AVCoreB</v>
      </c>
      <c r="AC627" s="59" t="str">
        <f>IFERROR(VLOOKUP(Tabelle32[[#This Row],[Device ID]],BOM!$B$3:$BQ$35,33,FALSE),"")</f>
        <v>5_36_1</v>
      </c>
      <c r="AD627" s="59" t="str">
        <f>IFERROR(VLOOKUP(Tabelle32[[#This Row],[Device ID]],BOM!$B$3:$BQ$35,34,FALSE),"")</f>
        <v>tpco-megw-vgw103.st-net.media.int</v>
      </c>
      <c r="AE627" s="59" t="str">
        <f>IFERROR(VLOOKUP(Tabelle32[[#This Row],[Device ID]],BOM!$B$3:$BQ$35,35,FALSE),"")</f>
        <v>10.120.67.141</v>
      </c>
      <c r="AF627" s="59">
        <f>IFERROR(VLOOKUP(Tabelle32[[#This Row],[Device ID]],BOM!$B$3:$BQ$35,36,FALSE),"")</f>
        <v>0</v>
      </c>
      <c r="AG627" s="59">
        <f>IFERROR(VLOOKUP(Tabelle32[[#This Row],[Device ID]],BOM!$B$3:$BQ$35,37,FALSE),"")</f>
        <v>0</v>
      </c>
      <c r="AH627" s="59"/>
      <c r="AI627" s="59"/>
      <c r="AJ627" s="59"/>
      <c r="AK627" s="59"/>
      <c r="AL627" s="59" t="str">
        <f>IFERROR(VLOOKUP(Tabelle32[[#This Row],[Device ID]],BOM!$B$3:$BQ$35,42,FALSE),"")</f>
        <v>Imagine Communications SNP</v>
      </c>
      <c r="AM627" s="59" t="str">
        <f>IFERROR(VLOOKUP(Tabelle32[[#This Row],[Device ID]],BOM!$B$3:$BQ$35,43,FALSE),"")</f>
        <v>no</v>
      </c>
      <c r="AN627" s="59" t="str">
        <f>IFERROR(VLOOKUP(Tabelle32[[#This Row],[Device ID]],BOM!$B$3:$BQ$35,44,FALSE),"")</f>
        <v>yes</v>
      </c>
      <c r="AO627" s="59" t="str">
        <f>IFERROR(VLOOKUP(Tabelle32[[#This Row],[Device ID]],BOM!$B$3:$BQ$35,45,FALSE),"")</f>
        <v>no</v>
      </c>
      <c r="AP627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27" s="59"/>
      <c r="AR627" s="101"/>
      <c r="AS627" s="101"/>
      <c r="AT627" s="101"/>
      <c r="AU627" s="101"/>
      <c r="AV627" s="101"/>
      <c r="AW627" s="101"/>
      <c r="AX627" s="101"/>
      <c r="AY627" s="101"/>
      <c r="AZ627" s="101"/>
      <c r="BA627" s="101"/>
      <c r="BB627" s="101"/>
      <c r="BC627" s="101"/>
      <c r="BD627" s="101"/>
      <c r="BE627" s="101"/>
      <c r="BF627" s="101"/>
      <c r="BG627" s="101"/>
      <c r="BH627" s="73" t="s">
        <v>199</v>
      </c>
      <c r="BI627" s="30" t="str">
        <f>IF(COUNTA(Tabelle32[[#This Row],[Type:Vid_1080i50]:[Type:Anc_Prot]])&gt;0,"x","")</f>
        <v/>
      </c>
      <c r="BJ62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27" s="59"/>
      <c r="BL627" s="59"/>
      <c r="BM627" s="63"/>
      <c r="BN627" s="63"/>
      <c r="BO627" s="96"/>
      <c r="BP627" s="96"/>
      <c r="BQ627" s="75">
        <f>LEN(Tabelle32[[#This Row],[Label 1
GFX-Unit]])</f>
        <v>0</v>
      </c>
      <c r="BR627" s="63"/>
      <c r="BS627" s="63"/>
      <c r="BT627" s="59"/>
      <c r="BU627" s="59"/>
      <c r="BV627" s="59" t="s">
        <v>254</v>
      </c>
      <c r="BW627" s="59" t="s">
        <v>255</v>
      </c>
      <c r="BX627" s="59" t="s">
        <v>1138</v>
      </c>
      <c r="BY627" s="59">
        <v>30</v>
      </c>
    </row>
    <row r="628" spans="1:77" hidden="1" x14ac:dyDescent="0.2">
      <c r="A628" s="58" t="str">
        <f>CONCATENATE(Tabelle32[[#This Row],[Device ID]],".",Tabelle32[[#This Row],[Streamcounter]])</f>
        <v>2155.30213</v>
      </c>
      <c r="B62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VGW-103_SDI30_AUDsend_0013</v>
      </c>
      <c r="C628" s="67"/>
      <c r="D628" s="61"/>
      <c r="E628" s="67"/>
      <c r="F628" s="59" t="str">
        <f>IFERROR(VLOOKUP(Tabelle32[[#This Row],[Device ID]],BOM!$B$3:$BQ$35,16,FALSE),"")</f>
        <v>EditPC-22</v>
      </c>
      <c r="G628" s="63">
        <f>VLOOKUP(Tabelle32[[#This Row],[SDI Interface]],BOM!$A$4:$B$35,2,FALSE)</f>
        <v>2155</v>
      </c>
      <c r="H628" s="59" t="str">
        <f>BOM!$C$4</f>
        <v>VGW-103</v>
      </c>
      <c r="I628" s="59" t="str">
        <f>IFERROR(VLOOKUP(Tabelle32[[#This Row],[Device ID]],BOM!$B$3:$BQ$35,12,FALSE),"")</f>
        <v>Edit Suite</v>
      </c>
      <c r="J628" s="59" t="str">
        <f>IFERROR(VLOOKUP(Tabelle32[[#This Row],[Device ID]],BOM!$B$3:$BQ$35,13,FALSE),"")</f>
        <v>TC.U1.223 | MDC</v>
      </c>
      <c r="K628" s="59" t="str">
        <f>IFERROR(VLOOKUP(Tabelle32[[#This Row],[Device ID]],BOM!$B$3:$BQ$35,14,FALSE),"")</f>
        <v>Imagine Comunications</v>
      </c>
      <c r="L628" s="59" t="str">
        <f>IFERROR(VLOOKUP(Tabelle32[[#This Row],[Device ID]],BOM!$B$3:$BQ$35,16,FALSE),"")</f>
        <v>EditPC-22</v>
      </c>
      <c r="M628" s="63" t="str">
        <f>IFERROR(VLOOKUP(Tabelle32[[#This Row],[Device ID]],BOM!$B$3:$BQ$35,17,FALSE),"")</f>
        <v>EDIT SUITE 22</v>
      </c>
      <c r="N628" s="59" t="str">
        <f>IFERROR(VLOOKUP(Tabelle32[[#This Row],[Device ID]],BOM!$B$3:$BQ$35,18,FALSE),"")</f>
        <v>NEBEZ.V3.16 | Edit 22</v>
      </c>
      <c r="O628" s="64"/>
      <c r="P628" s="64">
        <f>IFERROR(VLOOKUP(Tabelle32[[#This Row],[Device ID]],BOM!$B$3:$BO$50,20,FALSE),"")</f>
        <v>0</v>
      </c>
      <c r="Q628" s="64">
        <f>IFERROR(VLOOKUP(Tabelle32[[#This Row],[Device ID]],BOM!$B$3:$BO$50,21,FALSE),"")</f>
        <v>1</v>
      </c>
      <c r="R628" s="64">
        <f>IFERROR(VLOOKUP(Tabelle32[[#This Row],[Device ID]],BOM!$B$3:$BO$50,22,FALSE),"")</f>
        <v>0</v>
      </c>
      <c r="S628" s="64"/>
      <c r="T628" s="64"/>
      <c r="U628" s="59" t="str">
        <f>IFERROR(VLOOKUP(Tabelle32[[#This Row],[Device ID]],BOM!$B$3:$BQ$35,25,FALSE),"")</f>
        <v>Luis/Ivo</v>
      </c>
      <c r="V628" s="59" t="str">
        <f>IFERROR(VLOOKUP(Tabelle32[[#This Row],[Device ID]],BOM!$B$3:$BQ$35,26,FALSE),"")</f>
        <v>tpco-megw-vgw103.rta.st-net.media.int</v>
      </c>
      <c r="W628" s="59" t="str">
        <f>IFERROR(VLOOKUP(Tabelle32[[#This Row],[Device ID]],BOM!$B$3:$BQ$35,27,FALSE),"")</f>
        <v>10.120.236.50</v>
      </c>
      <c r="X628" s="59" t="str">
        <f>IFERROR(VLOOKUP(Tabelle32[[#This Row],[Device ID]],BOM!$B$3:$BQ$35,28,FALSE),"")</f>
        <v>AVCoreA</v>
      </c>
      <c r="Y628" s="59" t="str">
        <f>IFERROR(VLOOKUP(Tabelle32[[#This Row],[Device ID]],BOM!$B$3:$BQ$35,29,FALSE),"")</f>
        <v>5_36_1</v>
      </c>
      <c r="Z628" s="59" t="str">
        <f>IFERROR(VLOOKUP(Tabelle32[[#This Row],[Device ID]],BOM!$B$3:$BQ$35,30,FALSE),"")</f>
        <v>tpco-megw-vgw103.rtb.st-net.media.int</v>
      </c>
      <c r="AA628" s="59" t="str">
        <f>IFERROR(VLOOKUP(Tabelle32[[#This Row],[Device ID]],BOM!$B$3:$BQ$35,31,FALSE),"")</f>
        <v>10.120.236.54</v>
      </c>
      <c r="AB628" s="59" t="str">
        <f>IFERROR(VLOOKUP(Tabelle32[[#This Row],[Device ID]],BOM!$B$3:$BQ$35,32,FALSE),"")</f>
        <v>AVCoreB</v>
      </c>
      <c r="AC628" s="59" t="str">
        <f>IFERROR(VLOOKUP(Tabelle32[[#This Row],[Device ID]],BOM!$B$3:$BQ$35,33,FALSE),"")</f>
        <v>5_36_1</v>
      </c>
      <c r="AD628" s="59" t="str">
        <f>IFERROR(VLOOKUP(Tabelle32[[#This Row],[Device ID]],BOM!$B$3:$BQ$35,34,FALSE),"")</f>
        <v>tpco-megw-vgw103.st-net.media.int</v>
      </c>
      <c r="AE628" s="59" t="str">
        <f>IFERROR(VLOOKUP(Tabelle32[[#This Row],[Device ID]],BOM!$B$3:$BQ$35,35,FALSE),"")</f>
        <v>10.120.67.141</v>
      </c>
      <c r="AF628" s="59">
        <f>IFERROR(VLOOKUP(Tabelle32[[#This Row],[Device ID]],BOM!$B$3:$BQ$35,36,FALSE),"")</f>
        <v>0</v>
      </c>
      <c r="AG628" s="59">
        <f>IFERROR(VLOOKUP(Tabelle32[[#This Row],[Device ID]],BOM!$B$3:$BQ$35,37,FALSE),"")</f>
        <v>0</v>
      </c>
      <c r="AH628" s="59"/>
      <c r="AI628" s="59"/>
      <c r="AJ628" s="59"/>
      <c r="AK628" s="59"/>
      <c r="AL628" s="59" t="str">
        <f>IFERROR(VLOOKUP(Tabelle32[[#This Row],[Device ID]],BOM!$B$3:$BQ$35,42,FALSE),"")</f>
        <v>Imagine Communications SNP</v>
      </c>
      <c r="AM628" s="59" t="str">
        <f>IFERROR(VLOOKUP(Tabelle32[[#This Row],[Device ID]],BOM!$B$3:$BQ$35,43,FALSE),"")</f>
        <v>no</v>
      </c>
      <c r="AN628" s="59" t="str">
        <f>IFERROR(VLOOKUP(Tabelle32[[#This Row],[Device ID]],BOM!$B$3:$BQ$35,44,FALSE),"")</f>
        <v>yes</v>
      </c>
      <c r="AO628" s="59" t="str">
        <f>IFERROR(VLOOKUP(Tabelle32[[#This Row],[Device ID]],BOM!$B$3:$BQ$35,45,FALSE),"")</f>
        <v>no</v>
      </c>
      <c r="AP628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28" s="59"/>
      <c r="AR628" s="101"/>
      <c r="AS628" s="101"/>
      <c r="AT628" s="101"/>
      <c r="AU628" s="101"/>
      <c r="AV628" s="101"/>
      <c r="AW628" s="101"/>
      <c r="AX628" s="101"/>
      <c r="AY628" s="101"/>
      <c r="AZ628" s="101"/>
      <c r="BA628" s="101"/>
      <c r="BB628" s="101"/>
      <c r="BC628" s="101"/>
      <c r="BD628" s="101"/>
      <c r="BE628" s="101"/>
      <c r="BF628" s="101"/>
      <c r="BG628" s="101"/>
      <c r="BH628" s="73" t="s">
        <v>199</v>
      </c>
      <c r="BI628" s="30" t="str">
        <f>IF(COUNTA(Tabelle32[[#This Row],[Type:Vid_1080i50]:[Type:Anc_Prot]])&gt;0,"x","")</f>
        <v/>
      </c>
      <c r="BJ62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28" s="59"/>
      <c r="BL628" s="59"/>
      <c r="BM628" s="63"/>
      <c r="BN628" s="63"/>
      <c r="BO628" s="96"/>
      <c r="BP628" s="96"/>
      <c r="BQ628" s="75">
        <f>LEN(Tabelle32[[#This Row],[Label 1
GFX-Unit]])</f>
        <v>0</v>
      </c>
      <c r="BR628" s="63"/>
      <c r="BS628" s="63"/>
      <c r="BT628" s="59"/>
      <c r="BU628" s="59"/>
      <c r="BV628" s="59" t="s">
        <v>257</v>
      </c>
      <c r="BW628" s="59" t="s">
        <v>258</v>
      </c>
      <c r="BX628" s="59" t="s">
        <v>1139</v>
      </c>
      <c r="BY628" s="59">
        <v>30</v>
      </c>
    </row>
    <row r="629" spans="1:77" hidden="1" x14ac:dyDescent="0.2">
      <c r="A629" s="58" t="str">
        <f>CONCATENATE(Tabelle32[[#This Row],[Device ID]],".",Tabelle32[[#This Row],[Streamcounter]])</f>
        <v>2155.30214</v>
      </c>
      <c r="B62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VGW-103_SDI30_AUDsend_0014</v>
      </c>
      <c r="C629" s="67"/>
      <c r="D629" s="61"/>
      <c r="E629" s="67"/>
      <c r="F629" s="59" t="str">
        <f>IFERROR(VLOOKUP(Tabelle32[[#This Row],[Device ID]],BOM!$B$3:$BQ$35,16,FALSE),"")</f>
        <v>EditPC-22</v>
      </c>
      <c r="G629" s="63">
        <f>VLOOKUP(Tabelle32[[#This Row],[SDI Interface]],BOM!$A$4:$B$35,2,FALSE)</f>
        <v>2155</v>
      </c>
      <c r="H629" s="59" t="str">
        <f>BOM!$C$4</f>
        <v>VGW-103</v>
      </c>
      <c r="I629" s="59" t="str">
        <f>IFERROR(VLOOKUP(Tabelle32[[#This Row],[Device ID]],BOM!$B$3:$BQ$35,12,FALSE),"")</f>
        <v>Edit Suite</v>
      </c>
      <c r="J629" s="59" t="str">
        <f>IFERROR(VLOOKUP(Tabelle32[[#This Row],[Device ID]],BOM!$B$3:$BQ$35,13,FALSE),"")</f>
        <v>TC.U1.223 | MDC</v>
      </c>
      <c r="K629" s="59" t="str">
        <f>IFERROR(VLOOKUP(Tabelle32[[#This Row],[Device ID]],BOM!$B$3:$BQ$35,14,FALSE),"")</f>
        <v>Imagine Comunications</v>
      </c>
      <c r="L629" s="59" t="str">
        <f>IFERROR(VLOOKUP(Tabelle32[[#This Row],[Device ID]],BOM!$B$3:$BQ$35,16,FALSE),"")</f>
        <v>EditPC-22</v>
      </c>
      <c r="M629" s="63" t="str">
        <f>IFERROR(VLOOKUP(Tabelle32[[#This Row],[Device ID]],BOM!$B$3:$BQ$35,17,FALSE),"")</f>
        <v>EDIT SUITE 22</v>
      </c>
      <c r="N629" s="59" t="str">
        <f>IFERROR(VLOOKUP(Tabelle32[[#This Row],[Device ID]],BOM!$B$3:$BQ$35,18,FALSE),"")</f>
        <v>NEBEZ.V3.16 | Edit 22</v>
      </c>
      <c r="O629" s="64"/>
      <c r="P629" s="64">
        <f>IFERROR(VLOOKUP(Tabelle32[[#This Row],[Device ID]],BOM!$B$3:$BO$50,20,FALSE),"")</f>
        <v>0</v>
      </c>
      <c r="Q629" s="64">
        <f>IFERROR(VLOOKUP(Tabelle32[[#This Row],[Device ID]],BOM!$B$3:$BO$50,21,FALSE),"")</f>
        <v>1</v>
      </c>
      <c r="R629" s="64">
        <f>IFERROR(VLOOKUP(Tabelle32[[#This Row],[Device ID]],BOM!$B$3:$BO$50,22,FALSE),"")</f>
        <v>0</v>
      </c>
      <c r="S629" s="64"/>
      <c r="T629" s="64"/>
      <c r="U629" s="59" t="str">
        <f>IFERROR(VLOOKUP(Tabelle32[[#This Row],[Device ID]],BOM!$B$3:$BQ$35,25,FALSE),"")</f>
        <v>Luis/Ivo</v>
      </c>
      <c r="V629" s="59" t="str">
        <f>IFERROR(VLOOKUP(Tabelle32[[#This Row],[Device ID]],BOM!$B$3:$BQ$35,26,FALSE),"")</f>
        <v>tpco-megw-vgw103.rta.st-net.media.int</v>
      </c>
      <c r="W629" s="59" t="str">
        <f>IFERROR(VLOOKUP(Tabelle32[[#This Row],[Device ID]],BOM!$B$3:$BQ$35,27,FALSE),"")</f>
        <v>10.120.236.50</v>
      </c>
      <c r="X629" s="59" t="str">
        <f>IFERROR(VLOOKUP(Tabelle32[[#This Row],[Device ID]],BOM!$B$3:$BQ$35,28,FALSE),"")</f>
        <v>AVCoreA</v>
      </c>
      <c r="Y629" s="59" t="str">
        <f>IFERROR(VLOOKUP(Tabelle32[[#This Row],[Device ID]],BOM!$B$3:$BQ$35,29,FALSE),"")</f>
        <v>5_36_1</v>
      </c>
      <c r="Z629" s="59" t="str">
        <f>IFERROR(VLOOKUP(Tabelle32[[#This Row],[Device ID]],BOM!$B$3:$BQ$35,30,FALSE),"")</f>
        <v>tpco-megw-vgw103.rtb.st-net.media.int</v>
      </c>
      <c r="AA629" s="59" t="str">
        <f>IFERROR(VLOOKUP(Tabelle32[[#This Row],[Device ID]],BOM!$B$3:$BQ$35,31,FALSE),"")</f>
        <v>10.120.236.54</v>
      </c>
      <c r="AB629" s="59" t="str">
        <f>IFERROR(VLOOKUP(Tabelle32[[#This Row],[Device ID]],BOM!$B$3:$BQ$35,32,FALSE),"")</f>
        <v>AVCoreB</v>
      </c>
      <c r="AC629" s="59" t="str">
        <f>IFERROR(VLOOKUP(Tabelle32[[#This Row],[Device ID]],BOM!$B$3:$BQ$35,33,FALSE),"")</f>
        <v>5_36_1</v>
      </c>
      <c r="AD629" s="59" t="str">
        <f>IFERROR(VLOOKUP(Tabelle32[[#This Row],[Device ID]],BOM!$B$3:$BQ$35,34,FALSE),"")</f>
        <v>tpco-megw-vgw103.st-net.media.int</v>
      </c>
      <c r="AE629" s="59" t="str">
        <f>IFERROR(VLOOKUP(Tabelle32[[#This Row],[Device ID]],BOM!$B$3:$BQ$35,35,FALSE),"")</f>
        <v>10.120.67.141</v>
      </c>
      <c r="AF629" s="59">
        <f>IFERROR(VLOOKUP(Tabelle32[[#This Row],[Device ID]],BOM!$B$3:$BQ$35,36,FALSE),"")</f>
        <v>0</v>
      </c>
      <c r="AG629" s="59">
        <f>IFERROR(VLOOKUP(Tabelle32[[#This Row],[Device ID]],BOM!$B$3:$BQ$35,37,FALSE),"")</f>
        <v>0</v>
      </c>
      <c r="AH629" s="59"/>
      <c r="AI629" s="59"/>
      <c r="AJ629" s="59"/>
      <c r="AK629" s="59"/>
      <c r="AL629" s="59" t="str">
        <f>IFERROR(VLOOKUP(Tabelle32[[#This Row],[Device ID]],BOM!$B$3:$BQ$35,42,FALSE),"")</f>
        <v>Imagine Communications SNP</v>
      </c>
      <c r="AM629" s="59" t="str">
        <f>IFERROR(VLOOKUP(Tabelle32[[#This Row],[Device ID]],BOM!$B$3:$BQ$35,43,FALSE),"")</f>
        <v>no</v>
      </c>
      <c r="AN629" s="59" t="str">
        <f>IFERROR(VLOOKUP(Tabelle32[[#This Row],[Device ID]],BOM!$B$3:$BQ$35,44,FALSE),"")</f>
        <v>yes</v>
      </c>
      <c r="AO629" s="59" t="str">
        <f>IFERROR(VLOOKUP(Tabelle32[[#This Row],[Device ID]],BOM!$B$3:$BQ$35,45,FALSE),"")</f>
        <v>no</v>
      </c>
      <c r="AP629" s="59" t="str">
        <f>IFERROR(CONCATENATE(Tabelle32[[#This Row],[Family
GFX-Unit]]," | ",Tabelle32[[#This Row],[Label 1
GFX-Unit]]," | ",Tabelle32[[#This Row],[Attached Device if Gateway]]),"")</f>
        <v xml:space="preserve"> |  | EditPC-22</v>
      </c>
      <c r="AQ629" s="59"/>
      <c r="AR629" s="90"/>
      <c r="AS629" s="90"/>
      <c r="AT629" s="90"/>
      <c r="AU629" s="90"/>
      <c r="AV629" s="90"/>
      <c r="AW629" s="90"/>
      <c r="AX629" s="90"/>
      <c r="AY629" s="90"/>
      <c r="AZ629" s="90"/>
      <c r="BA629" s="90"/>
      <c r="BB629" s="90"/>
      <c r="BC629" s="90"/>
      <c r="BD629" s="90"/>
      <c r="BE629" s="90"/>
      <c r="BF629" s="90"/>
      <c r="BG629" s="90"/>
      <c r="BH629" s="73" t="s">
        <v>199</v>
      </c>
      <c r="BI629" s="30" t="str">
        <f>IF(COUNTA(Tabelle32[[#This Row],[Type:Vid_1080i50]:[Type:Anc_Prot]])&gt;0,"x","")</f>
        <v/>
      </c>
      <c r="BJ62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29" s="59"/>
      <c r="BL629" s="59"/>
      <c r="BM629" s="63"/>
      <c r="BN629" s="63"/>
      <c r="BO629" s="96"/>
      <c r="BP629" s="96"/>
      <c r="BQ629" s="75">
        <f>LEN(Tabelle32[[#This Row],[Label 1
GFX-Unit]])</f>
        <v>0</v>
      </c>
      <c r="BR629" s="63"/>
      <c r="BS629" s="63"/>
      <c r="BT629" s="59"/>
      <c r="BU629" s="59"/>
      <c r="BV629" s="59" t="s">
        <v>260</v>
      </c>
      <c r="BW629" s="59" t="s">
        <v>261</v>
      </c>
      <c r="BX629" s="59" t="s">
        <v>1140</v>
      </c>
      <c r="BY629" s="59">
        <v>30</v>
      </c>
    </row>
    <row r="630" spans="1:77" x14ac:dyDescent="0.2">
      <c r="A630" s="58" t="str">
        <f>CONCATENATE(Tabelle32[[#This Row],[Device ID]],".",Tabelle32[[#This Row],[Streamcounter]])</f>
        <v>2155.30215</v>
      </c>
      <c r="B63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VGW-103_SDI30_AUDsend_0015</v>
      </c>
      <c r="C630" s="67"/>
      <c r="D630" s="61"/>
      <c r="E630" s="67"/>
      <c r="F630" s="59" t="str">
        <f>IFERROR(VLOOKUP(Tabelle32[[#This Row],[Device ID]],BOM!$B$3:$BQ$35,16,FALSE),"")</f>
        <v>EditPC-22</v>
      </c>
      <c r="G630" s="63">
        <f>VLOOKUP(Tabelle32[[#This Row],[SDI Interface]],BOM!$A$4:$B$35,2,FALSE)</f>
        <v>2155</v>
      </c>
      <c r="H630" s="59" t="str">
        <f>BOM!$C$4</f>
        <v>VGW-103</v>
      </c>
      <c r="I630" s="59" t="str">
        <f>IFERROR(VLOOKUP(Tabelle32[[#This Row],[Device ID]],BOM!$B$3:$BQ$35,12,FALSE),"")</f>
        <v>Edit Suite</v>
      </c>
      <c r="J630" s="59" t="str">
        <f>IFERROR(VLOOKUP(Tabelle32[[#This Row],[Device ID]],BOM!$B$3:$BQ$35,13,FALSE),"")</f>
        <v>TC.U1.223 | MDC</v>
      </c>
      <c r="K630" s="59" t="str">
        <f>IFERROR(VLOOKUP(Tabelle32[[#This Row],[Device ID]],BOM!$B$3:$BQ$35,14,FALSE),"")</f>
        <v>Imagine Comunications</v>
      </c>
      <c r="L630" s="59" t="str">
        <f>IFERROR(VLOOKUP(Tabelle32[[#This Row],[Device ID]],BOM!$B$3:$BQ$35,16,FALSE),"")</f>
        <v>EditPC-22</v>
      </c>
      <c r="M630" s="63" t="str">
        <f>IFERROR(VLOOKUP(Tabelle32[[#This Row],[Device ID]],BOM!$B$3:$BQ$35,17,FALSE),"")</f>
        <v>EDIT SUITE 22</v>
      </c>
      <c r="N630" s="59" t="str">
        <f>IFERROR(VLOOKUP(Tabelle32[[#This Row],[Device ID]],BOM!$B$3:$BQ$35,18,FALSE),"")</f>
        <v>NEBEZ.V3.16 | Edit 22</v>
      </c>
      <c r="O630" s="64"/>
      <c r="P630" s="64">
        <f>IFERROR(VLOOKUP(Tabelle32[[#This Row],[Device ID]],BOM!$B$3:$BO$50,20,FALSE),"")</f>
        <v>0</v>
      </c>
      <c r="Q630" s="64">
        <f>IFERROR(VLOOKUP(Tabelle32[[#This Row],[Device ID]],BOM!$B$3:$BO$50,21,FALSE),"")</f>
        <v>1</v>
      </c>
      <c r="R630" s="64">
        <f>IFERROR(VLOOKUP(Tabelle32[[#This Row],[Device ID]],BOM!$B$3:$BO$50,22,FALSE),"")</f>
        <v>0</v>
      </c>
      <c r="S630" s="64"/>
      <c r="T630" s="64"/>
      <c r="U630" s="59" t="str">
        <f>IFERROR(VLOOKUP(Tabelle32[[#This Row],[Device ID]],BOM!$B$3:$BQ$35,25,FALSE),"")</f>
        <v>Luis/Ivo</v>
      </c>
      <c r="V630" s="59" t="str">
        <f>IFERROR(VLOOKUP(Tabelle32[[#This Row],[Device ID]],BOM!$B$3:$BQ$35,26,FALSE),"")</f>
        <v>tpco-megw-vgw103.rta.st-net.media.int</v>
      </c>
      <c r="W630" s="59" t="str">
        <f>IFERROR(VLOOKUP(Tabelle32[[#This Row],[Device ID]],BOM!$B$3:$BQ$35,27,FALSE),"")</f>
        <v>10.120.236.50</v>
      </c>
      <c r="X630" s="59" t="str">
        <f>IFERROR(VLOOKUP(Tabelle32[[#This Row],[Device ID]],BOM!$B$3:$BQ$35,28,FALSE),"")</f>
        <v>AVCoreA</v>
      </c>
      <c r="Y630" s="59" t="str">
        <f>IFERROR(VLOOKUP(Tabelle32[[#This Row],[Device ID]],BOM!$B$3:$BQ$35,29,FALSE),"")</f>
        <v>5_36_1</v>
      </c>
      <c r="Z630" s="59" t="str">
        <f>IFERROR(VLOOKUP(Tabelle32[[#This Row],[Device ID]],BOM!$B$3:$BQ$35,30,FALSE),"")</f>
        <v>tpco-megw-vgw103.rtb.st-net.media.int</v>
      </c>
      <c r="AA630" s="59" t="str">
        <f>IFERROR(VLOOKUP(Tabelle32[[#This Row],[Device ID]],BOM!$B$3:$BQ$35,31,FALSE),"")</f>
        <v>10.120.236.54</v>
      </c>
      <c r="AB630" s="59" t="str">
        <f>IFERROR(VLOOKUP(Tabelle32[[#This Row],[Device ID]],BOM!$B$3:$BQ$35,32,FALSE),"")</f>
        <v>AVCoreB</v>
      </c>
      <c r="AC630" s="59" t="str">
        <f>IFERROR(VLOOKUP(Tabelle32[[#This Row],[Device ID]],BOM!$B$3:$BQ$35,33,FALSE),"")</f>
        <v>5_36_1</v>
      </c>
      <c r="AD630" s="59" t="str">
        <f>IFERROR(VLOOKUP(Tabelle32[[#This Row],[Device ID]],BOM!$B$3:$BQ$35,34,FALSE),"")</f>
        <v>tpco-megw-vgw103.st-net.media.int</v>
      </c>
      <c r="AE630" s="59" t="str">
        <f>IFERROR(VLOOKUP(Tabelle32[[#This Row],[Device ID]],BOM!$B$3:$BQ$35,35,FALSE),"")</f>
        <v>10.120.67.141</v>
      </c>
      <c r="AF630" s="59">
        <f>IFERROR(VLOOKUP(Tabelle32[[#This Row],[Device ID]],BOM!$B$3:$BQ$35,36,FALSE),"")</f>
        <v>0</v>
      </c>
      <c r="AG630" s="59">
        <f>IFERROR(VLOOKUP(Tabelle32[[#This Row],[Device ID]],BOM!$B$3:$BQ$35,37,FALSE),"")</f>
        <v>0</v>
      </c>
      <c r="AH630" s="59"/>
      <c r="AI630" s="59"/>
      <c r="AJ630" s="59"/>
      <c r="AK630" s="59"/>
      <c r="AL630" s="59" t="str">
        <f>IFERROR(VLOOKUP(Tabelle32[[#This Row],[Device ID]],BOM!$B$3:$BQ$35,42,FALSE),"")</f>
        <v>Imagine Communications SNP</v>
      </c>
      <c r="AM630" s="59" t="str">
        <f>IFERROR(VLOOKUP(Tabelle32[[#This Row],[Device ID]],BOM!$B$3:$BQ$35,43,FALSE),"")</f>
        <v>no</v>
      </c>
      <c r="AN630" s="59" t="str">
        <f>IFERROR(VLOOKUP(Tabelle32[[#This Row],[Device ID]],BOM!$B$3:$BQ$35,44,FALSE),"")</f>
        <v>yes</v>
      </c>
      <c r="AO630" s="59" t="str">
        <f>IFERROR(VLOOKUP(Tabelle32[[#This Row],[Device ID]],BOM!$B$3:$BQ$35,45,FALSE),"")</f>
        <v>no</v>
      </c>
      <c r="AP630" s="59" t="str">
        <f>IFERROR(CONCATENATE(Tabelle32[[#This Row],[Family
GFX-Unit]]," | ",Tabelle32[[#This Row],[Label 1
GFX-Unit]]," | ",Tabelle32[[#This Row],[Attached Device if Gateway]]),"")</f>
        <v>MEDEM Edits Out | Out Edit22-15 | EditPC-22</v>
      </c>
      <c r="AQ630" s="59"/>
      <c r="AR630" s="92"/>
      <c r="AS630" s="92"/>
      <c r="AT630" s="92"/>
      <c r="AU630" s="92"/>
      <c r="AV630" s="92"/>
      <c r="AW630" s="92"/>
      <c r="AX630" s="92"/>
      <c r="AY630" s="92"/>
      <c r="AZ630" s="92"/>
      <c r="BA630" s="92"/>
      <c r="BB630" s="92"/>
      <c r="BC630" s="92"/>
      <c r="BD630" s="92" t="s">
        <v>97</v>
      </c>
      <c r="BE630" s="92"/>
      <c r="BF630" s="92"/>
      <c r="BG630" s="92"/>
      <c r="BH630" s="73" t="s">
        <v>199</v>
      </c>
      <c r="BI630" s="30" t="str">
        <f>IF(COUNTA(Tabelle32[[#This Row],[Type:Vid_1080i50]:[Type:Anc_Prot]])&gt;0,"x","")</f>
        <v>x</v>
      </c>
      <c r="BJ63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30" s="59"/>
      <c r="BL630" s="59"/>
      <c r="BM630" s="63"/>
      <c r="BN630" s="63"/>
      <c r="BO630" s="97" t="s">
        <v>732</v>
      </c>
      <c r="BP630" s="97" t="s">
        <v>1141</v>
      </c>
      <c r="BQ630" s="75">
        <f>LEN(Tabelle32[[#This Row],[Label 1
GFX-Unit]])</f>
        <v>13</v>
      </c>
      <c r="BR630" s="63"/>
      <c r="BS630" s="63"/>
      <c r="BT630" s="59"/>
      <c r="BU630" s="59"/>
      <c r="BV630" s="59" t="s">
        <v>264</v>
      </c>
      <c r="BW630" s="59" t="s">
        <v>265</v>
      </c>
      <c r="BX630" s="59" t="s">
        <v>1142</v>
      </c>
      <c r="BY630" s="59">
        <v>30</v>
      </c>
    </row>
    <row r="631" spans="1:77" x14ac:dyDescent="0.2">
      <c r="A631" s="58" t="str">
        <f>CONCATENATE(Tabelle32[[#This Row],[Device ID]],".",Tabelle32[[#This Row],[Streamcounter]])</f>
        <v>2155.30216</v>
      </c>
      <c r="B63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VGW-103_SDI30_AUDsend_0016</v>
      </c>
      <c r="C631" s="67"/>
      <c r="D631" s="61"/>
      <c r="E631" s="67"/>
      <c r="F631" s="59" t="str">
        <f>IFERROR(VLOOKUP(Tabelle32[[#This Row],[Device ID]],BOM!$B$3:$BQ$35,16,FALSE),"")</f>
        <v>EditPC-22</v>
      </c>
      <c r="G631" s="63">
        <f>VLOOKUP(Tabelle32[[#This Row],[SDI Interface]],BOM!$A$4:$B$35,2,FALSE)</f>
        <v>2155</v>
      </c>
      <c r="H631" s="59" t="str">
        <f>BOM!$C$4</f>
        <v>VGW-103</v>
      </c>
      <c r="I631" s="59" t="str">
        <f>IFERROR(VLOOKUP(Tabelle32[[#This Row],[Device ID]],BOM!$B$3:$BQ$35,12,FALSE),"")</f>
        <v>Edit Suite</v>
      </c>
      <c r="J631" s="59" t="str">
        <f>IFERROR(VLOOKUP(Tabelle32[[#This Row],[Device ID]],BOM!$B$3:$BQ$35,13,FALSE),"")</f>
        <v>TC.U1.223 | MDC</v>
      </c>
      <c r="K631" s="59" t="str">
        <f>IFERROR(VLOOKUP(Tabelle32[[#This Row],[Device ID]],BOM!$B$3:$BQ$35,14,FALSE),"")</f>
        <v>Imagine Comunications</v>
      </c>
      <c r="L631" s="59" t="str">
        <f>IFERROR(VLOOKUP(Tabelle32[[#This Row],[Device ID]],BOM!$B$3:$BQ$35,16,FALSE),"")</f>
        <v>EditPC-22</v>
      </c>
      <c r="M631" s="63" t="str">
        <f>IFERROR(VLOOKUP(Tabelle32[[#This Row],[Device ID]],BOM!$B$3:$BQ$35,17,FALSE),"")</f>
        <v>EDIT SUITE 22</v>
      </c>
      <c r="N631" s="59" t="str">
        <f>IFERROR(VLOOKUP(Tabelle32[[#This Row],[Device ID]],BOM!$B$3:$BQ$35,18,FALSE),"")</f>
        <v>NEBEZ.V3.16 | Edit 22</v>
      </c>
      <c r="O631" s="64"/>
      <c r="P631" s="64">
        <f>IFERROR(VLOOKUP(Tabelle32[[#This Row],[Device ID]],BOM!$B$3:$BO$50,20,FALSE),"")</f>
        <v>0</v>
      </c>
      <c r="Q631" s="64">
        <f>IFERROR(VLOOKUP(Tabelle32[[#This Row],[Device ID]],BOM!$B$3:$BO$50,21,FALSE),"")</f>
        <v>1</v>
      </c>
      <c r="R631" s="64">
        <f>IFERROR(VLOOKUP(Tabelle32[[#This Row],[Device ID]],BOM!$B$3:$BO$50,22,FALSE),"")</f>
        <v>0</v>
      </c>
      <c r="S631" s="64"/>
      <c r="T631" s="64"/>
      <c r="U631" s="59" t="str">
        <f>IFERROR(VLOOKUP(Tabelle32[[#This Row],[Device ID]],BOM!$B$3:$BQ$35,25,FALSE),"")</f>
        <v>Luis/Ivo</v>
      </c>
      <c r="V631" s="59" t="str">
        <f>IFERROR(VLOOKUP(Tabelle32[[#This Row],[Device ID]],BOM!$B$3:$BQ$35,26,FALSE),"")</f>
        <v>tpco-megw-vgw103.rta.st-net.media.int</v>
      </c>
      <c r="W631" s="59" t="str">
        <f>IFERROR(VLOOKUP(Tabelle32[[#This Row],[Device ID]],BOM!$B$3:$BQ$35,27,FALSE),"")</f>
        <v>10.120.236.50</v>
      </c>
      <c r="X631" s="59" t="str">
        <f>IFERROR(VLOOKUP(Tabelle32[[#This Row],[Device ID]],BOM!$B$3:$BQ$35,28,FALSE),"")</f>
        <v>AVCoreA</v>
      </c>
      <c r="Y631" s="59" t="str">
        <f>IFERROR(VLOOKUP(Tabelle32[[#This Row],[Device ID]],BOM!$B$3:$BQ$35,29,FALSE),"")</f>
        <v>5_36_1</v>
      </c>
      <c r="Z631" s="59" t="str">
        <f>IFERROR(VLOOKUP(Tabelle32[[#This Row],[Device ID]],BOM!$B$3:$BQ$35,30,FALSE),"")</f>
        <v>tpco-megw-vgw103.rtb.st-net.media.int</v>
      </c>
      <c r="AA631" s="59" t="str">
        <f>IFERROR(VLOOKUP(Tabelle32[[#This Row],[Device ID]],BOM!$B$3:$BQ$35,31,FALSE),"")</f>
        <v>10.120.236.54</v>
      </c>
      <c r="AB631" s="59" t="str">
        <f>IFERROR(VLOOKUP(Tabelle32[[#This Row],[Device ID]],BOM!$B$3:$BQ$35,32,FALSE),"")</f>
        <v>AVCoreB</v>
      </c>
      <c r="AC631" s="59" t="str">
        <f>IFERROR(VLOOKUP(Tabelle32[[#This Row],[Device ID]],BOM!$B$3:$BQ$35,33,FALSE),"")</f>
        <v>5_36_1</v>
      </c>
      <c r="AD631" s="59" t="str">
        <f>IFERROR(VLOOKUP(Tabelle32[[#This Row],[Device ID]],BOM!$B$3:$BQ$35,34,FALSE),"")</f>
        <v>tpco-megw-vgw103.st-net.media.int</v>
      </c>
      <c r="AE631" s="59" t="str">
        <f>IFERROR(VLOOKUP(Tabelle32[[#This Row],[Device ID]],BOM!$B$3:$BQ$35,35,FALSE),"")</f>
        <v>10.120.67.141</v>
      </c>
      <c r="AF631" s="59">
        <f>IFERROR(VLOOKUP(Tabelle32[[#This Row],[Device ID]],BOM!$B$3:$BQ$35,36,FALSE),"")</f>
        <v>0</v>
      </c>
      <c r="AG631" s="59">
        <f>IFERROR(VLOOKUP(Tabelle32[[#This Row],[Device ID]],BOM!$B$3:$BQ$35,37,FALSE),"")</f>
        <v>0</v>
      </c>
      <c r="AH631" s="59"/>
      <c r="AI631" s="59"/>
      <c r="AJ631" s="59"/>
      <c r="AK631" s="59"/>
      <c r="AL631" s="59" t="str">
        <f>IFERROR(VLOOKUP(Tabelle32[[#This Row],[Device ID]],BOM!$B$3:$BQ$35,42,FALSE),"")</f>
        <v>Imagine Communications SNP</v>
      </c>
      <c r="AM631" s="59" t="str">
        <f>IFERROR(VLOOKUP(Tabelle32[[#This Row],[Device ID]],BOM!$B$3:$BQ$35,43,FALSE),"")</f>
        <v>no</v>
      </c>
      <c r="AN631" s="59" t="str">
        <f>IFERROR(VLOOKUP(Tabelle32[[#This Row],[Device ID]],BOM!$B$3:$BQ$35,44,FALSE),"")</f>
        <v>yes</v>
      </c>
      <c r="AO631" s="59" t="str">
        <f>IFERROR(VLOOKUP(Tabelle32[[#This Row],[Device ID]],BOM!$B$3:$BQ$35,45,FALSE),"")</f>
        <v>no</v>
      </c>
      <c r="AP631" s="59" t="str">
        <f>IFERROR(CONCATENATE(Tabelle32[[#This Row],[Family
GFX-Unit]]," | ",Tabelle32[[#This Row],[Label 1
GFX-Unit]]," | ",Tabelle32[[#This Row],[Attached Device if Gateway]]),"")</f>
        <v>MEDEM Edits Out | Out Edit22-16 | EditPC-22</v>
      </c>
      <c r="AQ631" s="59"/>
      <c r="AR631" s="92"/>
      <c r="AS631" s="92"/>
      <c r="AT631" s="92"/>
      <c r="AU631" s="92"/>
      <c r="AV631" s="92"/>
      <c r="AW631" s="92"/>
      <c r="AX631" s="92"/>
      <c r="AY631" s="92"/>
      <c r="AZ631" s="92"/>
      <c r="BA631" s="92"/>
      <c r="BB631" s="92"/>
      <c r="BC631" s="92"/>
      <c r="BD631" s="92" t="s">
        <v>97</v>
      </c>
      <c r="BE631" s="92"/>
      <c r="BF631" s="92"/>
      <c r="BG631" s="92"/>
      <c r="BH631" s="73" t="s">
        <v>199</v>
      </c>
      <c r="BI631" s="30" t="str">
        <f>IF(COUNTA(Tabelle32[[#This Row],[Type:Vid_1080i50]:[Type:Anc_Prot]])&gt;0,"x","")</f>
        <v>x</v>
      </c>
      <c r="BJ63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31" s="59"/>
      <c r="BL631" s="59"/>
      <c r="BM631" s="63"/>
      <c r="BN631" s="63"/>
      <c r="BO631" s="97" t="s">
        <v>732</v>
      </c>
      <c r="BP631" s="97" t="s">
        <v>1143</v>
      </c>
      <c r="BQ631" s="75">
        <f>LEN(Tabelle32[[#This Row],[Label 1
GFX-Unit]])</f>
        <v>13</v>
      </c>
      <c r="BR631" s="63"/>
      <c r="BS631" s="63"/>
      <c r="BT631" s="59"/>
      <c r="BU631" s="59"/>
      <c r="BV631" s="59" t="s">
        <v>268</v>
      </c>
      <c r="BW631" s="59" t="s">
        <v>269</v>
      </c>
      <c r="BX631" s="59" t="s">
        <v>1144</v>
      </c>
      <c r="BY631" s="59">
        <v>30</v>
      </c>
    </row>
    <row r="632" spans="1:77" x14ac:dyDescent="0.2">
      <c r="A632" s="58" t="str">
        <f>CONCATENATE(Tabelle32[[#This Row],[Device ID]],".",Tabelle32[[#This Row],[Streamcounter]])</f>
        <v>2155.30101</v>
      </c>
      <c r="B63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VGW-103_SDI30_VIDsend_0001</v>
      </c>
      <c r="C632" s="67"/>
      <c r="D632" s="61"/>
      <c r="E632" s="67"/>
      <c r="F632" s="59" t="str">
        <f>IFERROR(VLOOKUP(Tabelle32[[#This Row],[Device ID]],BOM!$B$3:$BQ$35,16,FALSE),"")</f>
        <v>EditPC-22</v>
      </c>
      <c r="G632" s="63">
        <f>VLOOKUP(Tabelle32[[#This Row],[SDI Interface]],BOM!$A$4:$B$35,2,FALSE)</f>
        <v>2155</v>
      </c>
      <c r="H632" s="59" t="str">
        <f>BOM!$C$4</f>
        <v>VGW-103</v>
      </c>
      <c r="I632" s="59" t="str">
        <f>IFERROR(VLOOKUP(Tabelle32[[#This Row],[Device ID]],BOM!$B$3:$BQ$35,12,FALSE),"")</f>
        <v>Edit Suite</v>
      </c>
      <c r="J632" s="59" t="str">
        <f>IFERROR(VLOOKUP(Tabelle32[[#This Row],[Device ID]],BOM!$B$3:$BQ$35,13,FALSE),"")</f>
        <v>TC.U1.223 | MDC</v>
      </c>
      <c r="K632" s="59" t="str">
        <f>IFERROR(VLOOKUP(Tabelle32[[#This Row],[Device ID]],BOM!$B$3:$BQ$35,14,FALSE),"")</f>
        <v>Imagine Comunications</v>
      </c>
      <c r="L632" s="59" t="str">
        <f>IFERROR(VLOOKUP(Tabelle32[[#This Row],[Device ID]],BOM!$B$3:$BQ$35,16,FALSE),"")</f>
        <v>EditPC-22</v>
      </c>
      <c r="M632" s="63" t="str">
        <f>IFERROR(VLOOKUP(Tabelle32[[#This Row],[Device ID]],BOM!$B$3:$BQ$35,17,FALSE),"")</f>
        <v>EDIT SUITE 22</v>
      </c>
      <c r="N632" s="59" t="str">
        <f>IFERROR(VLOOKUP(Tabelle32[[#This Row],[Device ID]],BOM!$B$3:$BQ$35,18,FALSE),"")</f>
        <v>NEBEZ.V3.16 | Edit 22</v>
      </c>
      <c r="O632" s="64"/>
      <c r="P632" s="64">
        <f>IFERROR(VLOOKUP(Tabelle32[[#This Row],[Device ID]],BOM!$B$3:$BO$50,20,FALSE),"")</f>
        <v>0</v>
      </c>
      <c r="Q632" s="64">
        <f>IFERROR(VLOOKUP(Tabelle32[[#This Row],[Device ID]],BOM!$B$3:$BO$50,21,FALSE),"")</f>
        <v>1</v>
      </c>
      <c r="R632" s="64">
        <f>IFERROR(VLOOKUP(Tabelle32[[#This Row],[Device ID]],BOM!$B$3:$BO$50,22,FALSE),"")</f>
        <v>0</v>
      </c>
      <c r="S632" s="64"/>
      <c r="T632" s="64"/>
      <c r="U632" s="59" t="str">
        <f>IFERROR(VLOOKUP(Tabelle32[[#This Row],[Device ID]],BOM!$B$3:$BQ$35,25,FALSE),"")</f>
        <v>Luis/Ivo</v>
      </c>
      <c r="V632" s="59" t="str">
        <f>IFERROR(VLOOKUP(Tabelle32[[#This Row],[Device ID]],BOM!$B$3:$BQ$35,26,FALSE),"")</f>
        <v>tpco-megw-vgw103.rta.st-net.media.int</v>
      </c>
      <c r="W632" s="59" t="str">
        <f>IFERROR(VLOOKUP(Tabelle32[[#This Row],[Device ID]],BOM!$B$3:$BQ$35,27,FALSE),"")</f>
        <v>10.120.236.50</v>
      </c>
      <c r="X632" s="59" t="str">
        <f>IFERROR(VLOOKUP(Tabelle32[[#This Row],[Device ID]],BOM!$B$3:$BQ$35,28,FALSE),"")</f>
        <v>AVCoreA</v>
      </c>
      <c r="Y632" s="59" t="str">
        <f>IFERROR(VLOOKUP(Tabelle32[[#This Row],[Device ID]],BOM!$B$3:$BQ$35,29,FALSE),"")</f>
        <v>5_36_1</v>
      </c>
      <c r="Z632" s="59" t="str">
        <f>IFERROR(VLOOKUP(Tabelle32[[#This Row],[Device ID]],BOM!$B$3:$BQ$35,30,FALSE),"")</f>
        <v>tpco-megw-vgw103.rtb.st-net.media.int</v>
      </c>
      <c r="AA632" s="59" t="str">
        <f>IFERROR(VLOOKUP(Tabelle32[[#This Row],[Device ID]],BOM!$B$3:$BQ$35,31,FALSE),"")</f>
        <v>10.120.236.54</v>
      </c>
      <c r="AB632" s="59" t="str">
        <f>IFERROR(VLOOKUP(Tabelle32[[#This Row],[Device ID]],BOM!$B$3:$BQ$35,32,FALSE),"")</f>
        <v>AVCoreB</v>
      </c>
      <c r="AC632" s="59" t="str">
        <f>IFERROR(VLOOKUP(Tabelle32[[#This Row],[Device ID]],BOM!$B$3:$BQ$35,33,FALSE),"")</f>
        <v>5_36_1</v>
      </c>
      <c r="AD632" s="59" t="str">
        <f>IFERROR(VLOOKUP(Tabelle32[[#This Row],[Device ID]],BOM!$B$3:$BQ$35,34,FALSE),"")</f>
        <v>tpco-megw-vgw103.st-net.media.int</v>
      </c>
      <c r="AE632" s="59" t="str">
        <f>IFERROR(VLOOKUP(Tabelle32[[#This Row],[Device ID]],BOM!$B$3:$BQ$35,35,FALSE),"")</f>
        <v>10.120.67.141</v>
      </c>
      <c r="AF632" s="59">
        <f>IFERROR(VLOOKUP(Tabelle32[[#This Row],[Device ID]],BOM!$B$3:$BQ$35,36,FALSE),"")</f>
        <v>0</v>
      </c>
      <c r="AG632" s="59">
        <f>IFERROR(VLOOKUP(Tabelle32[[#This Row],[Device ID]],BOM!$B$3:$BQ$35,37,FALSE),"")</f>
        <v>0</v>
      </c>
      <c r="AH632" s="59"/>
      <c r="AI632" s="59"/>
      <c r="AJ632" s="59"/>
      <c r="AK632" s="59"/>
      <c r="AL632" s="59" t="str">
        <f>IFERROR(VLOOKUP(Tabelle32[[#This Row],[Device ID]],BOM!$B$3:$BQ$35,42,FALSE),"")</f>
        <v>Imagine Communications SNP</v>
      </c>
      <c r="AM632" s="59" t="str">
        <f>IFERROR(VLOOKUP(Tabelle32[[#This Row],[Device ID]],BOM!$B$3:$BQ$35,43,FALSE),"")</f>
        <v>no</v>
      </c>
      <c r="AN632" s="59" t="str">
        <f>IFERROR(VLOOKUP(Tabelle32[[#This Row],[Device ID]],BOM!$B$3:$BQ$35,44,FALSE),"")</f>
        <v>yes</v>
      </c>
      <c r="AO632" s="59" t="str">
        <f>IFERROR(VLOOKUP(Tabelle32[[#This Row],[Device ID]],BOM!$B$3:$BQ$35,45,FALSE),"")</f>
        <v>no</v>
      </c>
      <c r="AP632" s="59" t="str">
        <f>IFERROR(CONCATENATE(Tabelle32[[#This Row],[Family
GFX-Unit]]," | ",Tabelle32[[#This Row],[Label 1
GFX-Unit]]," | ",Tabelle32[[#This Row],[Attached Device if Gateway]]),"")</f>
        <v>MEDEM Edits Out | Out Edit22 | EditPC-22</v>
      </c>
      <c r="AQ632" s="59"/>
      <c r="AR632" s="92" t="s">
        <v>97</v>
      </c>
      <c r="AS632" s="92"/>
      <c r="AT632" s="92"/>
      <c r="AU632" s="92"/>
      <c r="AV632" s="92"/>
      <c r="AW632" s="92"/>
      <c r="AX632" s="92"/>
      <c r="AY632" s="92"/>
      <c r="AZ632" s="92"/>
      <c r="BA632" s="92"/>
      <c r="BB632" s="92"/>
      <c r="BC632" s="92"/>
      <c r="BD632" s="92"/>
      <c r="BE632" s="92"/>
      <c r="BF632" s="92"/>
      <c r="BG632" s="92"/>
      <c r="BH632" s="73" t="s">
        <v>199</v>
      </c>
      <c r="BI632" s="30" t="str">
        <f>IF(COUNTA(Tabelle32[[#This Row],[Type:Vid_1080i50]:[Type:Anc_Prot]])&gt;0,"x","")</f>
        <v>x</v>
      </c>
      <c r="BJ63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632" s="59"/>
      <c r="BL632" s="59"/>
      <c r="BM632" s="63"/>
      <c r="BN632" s="63"/>
      <c r="BO632" s="97" t="s">
        <v>732</v>
      </c>
      <c r="BP632" s="97" t="s">
        <v>1145</v>
      </c>
      <c r="BQ632" s="75">
        <f>LEN(Tabelle32[[#This Row],[Label 1
GFX-Unit]])</f>
        <v>10</v>
      </c>
      <c r="BR632" s="63"/>
      <c r="BS632" s="63"/>
      <c r="BT632" s="59"/>
      <c r="BU632" s="59"/>
      <c r="BV632" s="59" t="s">
        <v>272</v>
      </c>
      <c r="BW632" s="59" t="s">
        <v>273</v>
      </c>
      <c r="BX632" s="59" t="s">
        <v>1146</v>
      </c>
      <c r="BY632" s="59">
        <v>30</v>
      </c>
    </row>
    <row r="633" spans="1:77" x14ac:dyDescent="0.2">
      <c r="A633" s="58" t="str">
        <f>CONCATENATE(Tabelle32[[#This Row],[Device ID]],".",Tabelle32[[#This Row],[Streamcounter]])</f>
        <v>2156.31301</v>
      </c>
      <c r="B63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VGW-103_SDI31_ANCsend_0001</v>
      </c>
      <c r="C633" s="67"/>
      <c r="D633" s="61"/>
      <c r="E633" s="67"/>
      <c r="F633" s="59" t="str">
        <f>IFERROR(VLOOKUP(Tabelle32[[#This Row],[Device ID]],BOM!$B$3:$BQ$35,16,FALSE),"")</f>
        <v>EditPC-23</v>
      </c>
      <c r="G633" s="63">
        <f>VLOOKUP(Tabelle32[[#This Row],[SDI Interface]],BOM!$A$4:$B$35,2,FALSE)</f>
        <v>2156</v>
      </c>
      <c r="H633" s="59" t="str">
        <f>BOM!$C$4</f>
        <v>VGW-103</v>
      </c>
      <c r="I633" s="59" t="str">
        <f>IFERROR(VLOOKUP(Tabelle32[[#This Row],[Device ID]],BOM!$B$3:$BQ$35,12,FALSE),"")</f>
        <v>Edit Suite</v>
      </c>
      <c r="J633" s="59" t="str">
        <f>IFERROR(VLOOKUP(Tabelle32[[#This Row],[Device ID]],BOM!$B$3:$BQ$35,13,FALSE),"")</f>
        <v>TC.U1.223 | MDC</v>
      </c>
      <c r="K633" s="59" t="str">
        <f>IFERROR(VLOOKUP(Tabelle32[[#This Row],[Device ID]],BOM!$B$3:$BQ$35,14,FALSE),"")</f>
        <v>Imagine Comunications</v>
      </c>
      <c r="L633" s="59" t="str">
        <f>IFERROR(VLOOKUP(Tabelle32[[#This Row],[Device ID]],BOM!$B$3:$BQ$35,16,FALSE),"")</f>
        <v>EditPC-23</v>
      </c>
      <c r="M633" s="63" t="str">
        <f>IFERROR(VLOOKUP(Tabelle32[[#This Row],[Device ID]],BOM!$B$3:$BQ$35,17,FALSE),"")</f>
        <v>EDIT SUITE 23</v>
      </c>
      <c r="N633" s="59" t="str">
        <f>IFERROR(VLOOKUP(Tabelle32[[#This Row],[Device ID]],BOM!$B$3:$BQ$35,18,FALSE),"")</f>
        <v>NEBEZ.V3.15 | Edit 23</v>
      </c>
      <c r="O633" s="64"/>
      <c r="P633" s="64">
        <f>IFERROR(VLOOKUP(Tabelle32[[#This Row],[Device ID]],BOM!$B$3:$BO$50,20,FALSE),"")</f>
        <v>0</v>
      </c>
      <c r="Q633" s="64">
        <f>IFERROR(VLOOKUP(Tabelle32[[#This Row],[Device ID]],BOM!$B$3:$BO$50,21,FALSE),"")</f>
        <v>1</v>
      </c>
      <c r="R633" s="64">
        <f>IFERROR(VLOOKUP(Tabelle32[[#This Row],[Device ID]],BOM!$B$3:$BO$50,22,FALSE),"")</f>
        <v>0</v>
      </c>
      <c r="S633" s="64"/>
      <c r="T633" s="64"/>
      <c r="U633" s="59" t="str">
        <f>IFERROR(VLOOKUP(Tabelle32[[#This Row],[Device ID]],BOM!$B$3:$BQ$35,25,FALSE),"")</f>
        <v>Luis/Ivo</v>
      </c>
      <c r="V633" s="59" t="str">
        <f>IFERROR(VLOOKUP(Tabelle32[[#This Row],[Device ID]],BOM!$B$3:$BQ$35,26,FALSE),"")</f>
        <v>tpco-megw-vgw103.rta.st-net.media.int</v>
      </c>
      <c r="W633" s="59" t="str">
        <f>IFERROR(VLOOKUP(Tabelle32[[#This Row],[Device ID]],BOM!$B$3:$BQ$35,27,FALSE),"")</f>
        <v>10.120.236.50</v>
      </c>
      <c r="X633" s="59" t="str">
        <f>IFERROR(VLOOKUP(Tabelle32[[#This Row],[Device ID]],BOM!$B$3:$BQ$35,28,FALSE),"")</f>
        <v>AVCoreA</v>
      </c>
      <c r="Y633" s="59" t="str">
        <f>IFERROR(VLOOKUP(Tabelle32[[#This Row],[Device ID]],BOM!$B$3:$BQ$35,29,FALSE),"")</f>
        <v>5_36_1</v>
      </c>
      <c r="Z633" s="59" t="str">
        <f>IFERROR(VLOOKUP(Tabelle32[[#This Row],[Device ID]],BOM!$B$3:$BQ$35,30,FALSE),"")</f>
        <v>tpco-megw-vgw103.rtb.st-net.media.int</v>
      </c>
      <c r="AA633" s="59" t="str">
        <f>IFERROR(VLOOKUP(Tabelle32[[#This Row],[Device ID]],BOM!$B$3:$BQ$35,31,FALSE),"")</f>
        <v>10.120.236.54</v>
      </c>
      <c r="AB633" s="59" t="str">
        <f>IFERROR(VLOOKUP(Tabelle32[[#This Row],[Device ID]],BOM!$B$3:$BQ$35,32,FALSE),"")</f>
        <v>AVCoreB</v>
      </c>
      <c r="AC633" s="59" t="str">
        <f>IFERROR(VLOOKUP(Tabelle32[[#This Row],[Device ID]],BOM!$B$3:$BQ$35,33,FALSE),"")</f>
        <v>5_36_1</v>
      </c>
      <c r="AD633" s="59" t="str">
        <f>IFERROR(VLOOKUP(Tabelle32[[#This Row],[Device ID]],BOM!$B$3:$BQ$35,34,FALSE),"")</f>
        <v>tpco-megw-vgw103.st-net.media.int</v>
      </c>
      <c r="AE633" s="59" t="str">
        <f>IFERROR(VLOOKUP(Tabelle32[[#This Row],[Device ID]],BOM!$B$3:$BQ$35,35,FALSE),"")</f>
        <v>10.120.67.141</v>
      </c>
      <c r="AF633" s="59">
        <f>IFERROR(VLOOKUP(Tabelle32[[#This Row],[Device ID]],BOM!$B$3:$BQ$35,36,FALSE),"")</f>
        <v>0</v>
      </c>
      <c r="AG633" s="59">
        <f>IFERROR(VLOOKUP(Tabelle32[[#This Row],[Device ID]],BOM!$B$3:$BQ$35,37,FALSE),"")</f>
        <v>0</v>
      </c>
      <c r="AH633" s="59"/>
      <c r="AI633" s="59"/>
      <c r="AJ633" s="59"/>
      <c r="AK633" s="59"/>
      <c r="AL633" s="59" t="str">
        <f>IFERROR(VLOOKUP(Tabelle32[[#This Row],[Device ID]],BOM!$B$3:$BQ$35,42,FALSE),"")</f>
        <v>Imagine Communications SNP</v>
      </c>
      <c r="AM633" s="59" t="str">
        <f>IFERROR(VLOOKUP(Tabelle32[[#This Row],[Device ID]],BOM!$B$3:$BQ$35,43,FALSE),"")</f>
        <v>no</v>
      </c>
      <c r="AN633" s="59" t="str">
        <f>IFERROR(VLOOKUP(Tabelle32[[#This Row],[Device ID]],BOM!$B$3:$BQ$35,44,FALSE),"")</f>
        <v>yes</v>
      </c>
      <c r="AO633" s="59" t="str">
        <f>IFERROR(VLOOKUP(Tabelle32[[#This Row],[Device ID]],BOM!$B$3:$BQ$35,45,FALSE),"")</f>
        <v>no</v>
      </c>
      <c r="AP633" s="59" t="str">
        <f>IFERROR(CONCATENATE(Tabelle32[[#This Row],[Family
GFX-Unit]]," | ",Tabelle32[[#This Row],[Label 1
GFX-Unit]]," | ",Tabelle32[[#This Row],[Attached Device if Gateway]]),"")</f>
        <v>MEDEM Edits Out | Out Edit23-ANC1 | EditPC-23</v>
      </c>
      <c r="AQ633" s="59"/>
      <c r="AR633" s="91"/>
      <c r="AS633" s="91"/>
      <c r="AT633" s="91"/>
      <c r="AU633" s="91"/>
      <c r="AV633" s="91"/>
      <c r="AW633" s="91"/>
      <c r="AX633" s="91"/>
      <c r="AY633" s="91"/>
      <c r="AZ633" s="91"/>
      <c r="BA633" s="91"/>
      <c r="BB633" s="91"/>
      <c r="BC633" s="91"/>
      <c r="BD633" s="91"/>
      <c r="BE633" s="91"/>
      <c r="BF633" s="91"/>
      <c r="BG633" s="91" t="s">
        <v>97</v>
      </c>
      <c r="BH633" s="73" t="s">
        <v>199</v>
      </c>
      <c r="BI633" s="30" t="str">
        <f>IF(COUNTA(Tabelle32[[#This Row],[Type:Vid_1080i50]:[Type:Anc_Prot]])&gt;0,"x","")</f>
        <v>x</v>
      </c>
      <c r="BJ63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633" s="59"/>
      <c r="BL633" s="59"/>
      <c r="BM633" s="63"/>
      <c r="BN633" s="63"/>
      <c r="BO633" s="97" t="s">
        <v>732</v>
      </c>
      <c r="BP633" s="97" t="s">
        <v>1147</v>
      </c>
      <c r="BQ633" s="75">
        <f>LEN(Tabelle32[[#This Row],[Label 1
GFX-Unit]])</f>
        <v>15</v>
      </c>
      <c r="BR633" s="63"/>
      <c r="BS633" s="63"/>
      <c r="BT633" s="59"/>
      <c r="BU633" s="59"/>
      <c r="BV633" s="59" t="s">
        <v>202</v>
      </c>
      <c r="BW633" s="59" t="s">
        <v>203</v>
      </c>
      <c r="BX633" s="59" t="s">
        <v>1148</v>
      </c>
      <c r="BY633" s="59">
        <v>31</v>
      </c>
    </row>
    <row r="634" spans="1:77" hidden="1" x14ac:dyDescent="0.2">
      <c r="A634" s="58" t="str">
        <f>CONCATENATE(Tabelle32[[#This Row],[Device ID]],".",Tabelle32[[#This Row],[Streamcounter]])</f>
        <v>2156.31302</v>
      </c>
      <c r="B63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VGW-103_SDI31_ANCsend_0002</v>
      </c>
      <c r="C634" s="67"/>
      <c r="D634" s="61"/>
      <c r="E634" s="67"/>
      <c r="F634" s="59" t="str">
        <f>IFERROR(VLOOKUP(Tabelle32[[#This Row],[Device ID]],BOM!$B$3:$BQ$35,16,FALSE),"")</f>
        <v>EditPC-23</v>
      </c>
      <c r="G634" s="63">
        <f>VLOOKUP(Tabelle32[[#This Row],[SDI Interface]],BOM!$A$4:$B$35,2,FALSE)</f>
        <v>2156</v>
      </c>
      <c r="H634" s="59" t="str">
        <f>BOM!$C$4</f>
        <v>VGW-103</v>
      </c>
      <c r="I634" s="59" t="str">
        <f>IFERROR(VLOOKUP(Tabelle32[[#This Row],[Device ID]],BOM!$B$3:$BQ$35,12,FALSE),"")</f>
        <v>Edit Suite</v>
      </c>
      <c r="J634" s="59" t="str">
        <f>IFERROR(VLOOKUP(Tabelle32[[#This Row],[Device ID]],BOM!$B$3:$BQ$35,13,FALSE),"")</f>
        <v>TC.U1.223 | MDC</v>
      </c>
      <c r="K634" s="59" t="str">
        <f>IFERROR(VLOOKUP(Tabelle32[[#This Row],[Device ID]],BOM!$B$3:$BQ$35,14,FALSE),"")</f>
        <v>Imagine Comunications</v>
      </c>
      <c r="L634" s="59" t="str">
        <f>IFERROR(VLOOKUP(Tabelle32[[#This Row],[Device ID]],BOM!$B$3:$BQ$35,16,FALSE),"")</f>
        <v>EditPC-23</v>
      </c>
      <c r="M634" s="63" t="str">
        <f>IFERROR(VLOOKUP(Tabelle32[[#This Row],[Device ID]],BOM!$B$3:$BQ$35,17,FALSE),"")</f>
        <v>EDIT SUITE 23</v>
      </c>
      <c r="N634" s="59" t="str">
        <f>IFERROR(VLOOKUP(Tabelle32[[#This Row],[Device ID]],BOM!$B$3:$BQ$35,18,FALSE),"")</f>
        <v>NEBEZ.V3.15 | Edit 23</v>
      </c>
      <c r="O634" s="64"/>
      <c r="P634" s="64">
        <f>IFERROR(VLOOKUP(Tabelle32[[#This Row],[Device ID]],BOM!$B$3:$BO$50,20,FALSE),"")</f>
        <v>0</v>
      </c>
      <c r="Q634" s="64">
        <f>IFERROR(VLOOKUP(Tabelle32[[#This Row],[Device ID]],BOM!$B$3:$BO$50,21,FALSE),"")</f>
        <v>1</v>
      </c>
      <c r="R634" s="64">
        <f>IFERROR(VLOOKUP(Tabelle32[[#This Row],[Device ID]],BOM!$B$3:$BO$50,22,FALSE),"")</f>
        <v>0</v>
      </c>
      <c r="S634" s="64"/>
      <c r="T634" s="64"/>
      <c r="U634" s="59" t="str">
        <f>IFERROR(VLOOKUP(Tabelle32[[#This Row],[Device ID]],BOM!$B$3:$BQ$35,25,FALSE),"")</f>
        <v>Luis/Ivo</v>
      </c>
      <c r="V634" s="59" t="str">
        <f>IFERROR(VLOOKUP(Tabelle32[[#This Row],[Device ID]],BOM!$B$3:$BQ$35,26,FALSE),"")</f>
        <v>tpco-megw-vgw103.rta.st-net.media.int</v>
      </c>
      <c r="W634" s="59" t="str">
        <f>IFERROR(VLOOKUP(Tabelle32[[#This Row],[Device ID]],BOM!$B$3:$BQ$35,27,FALSE),"")</f>
        <v>10.120.236.50</v>
      </c>
      <c r="X634" s="59" t="str">
        <f>IFERROR(VLOOKUP(Tabelle32[[#This Row],[Device ID]],BOM!$B$3:$BQ$35,28,FALSE),"")</f>
        <v>AVCoreA</v>
      </c>
      <c r="Y634" s="59" t="str">
        <f>IFERROR(VLOOKUP(Tabelle32[[#This Row],[Device ID]],BOM!$B$3:$BQ$35,29,FALSE),"")</f>
        <v>5_36_1</v>
      </c>
      <c r="Z634" s="59" t="str">
        <f>IFERROR(VLOOKUP(Tabelle32[[#This Row],[Device ID]],BOM!$B$3:$BQ$35,30,FALSE),"")</f>
        <v>tpco-megw-vgw103.rtb.st-net.media.int</v>
      </c>
      <c r="AA634" s="59" t="str">
        <f>IFERROR(VLOOKUP(Tabelle32[[#This Row],[Device ID]],BOM!$B$3:$BQ$35,31,FALSE),"")</f>
        <v>10.120.236.54</v>
      </c>
      <c r="AB634" s="59" t="str">
        <f>IFERROR(VLOOKUP(Tabelle32[[#This Row],[Device ID]],BOM!$B$3:$BQ$35,32,FALSE),"")</f>
        <v>AVCoreB</v>
      </c>
      <c r="AC634" s="59" t="str">
        <f>IFERROR(VLOOKUP(Tabelle32[[#This Row],[Device ID]],BOM!$B$3:$BQ$35,33,FALSE),"")</f>
        <v>5_36_1</v>
      </c>
      <c r="AD634" s="59" t="str">
        <f>IFERROR(VLOOKUP(Tabelle32[[#This Row],[Device ID]],BOM!$B$3:$BQ$35,34,FALSE),"")</f>
        <v>tpco-megw-vgw103.st-net.media.int</v>
      </c>
      <c r="AE634" s="59" t="str">
        <f>IFERROR(VLOOKUP(Tabelle32[[#This Row],[Device ID]],BOM!$B$3:$BQ$35,35,FALSE),"")</f>
        <v>10.120.67.141</v>
      </c>
      <c r="AF634" s="59">
        <f>IFERROR(VLOOKUP(Tabelle32[[#This Row],[Device ID]],BOM!$B$3:$BQ$35,36,FALSE),"")</f>
        <v>0</v>
      </c>
      <c r="AG634" s="59">
        <f>IFERROR(VLOOKUP(Tabelle32[[#This Row],[Device ID]],BOM!$B$3:$BQ$35,37,FALSE),"")</f>
        <v>0</v>
      </c>
      <c r="AH634" s="59"/>
      <c r="AI634" s="59"/>
      <c r="AJ634" s="59"/>
      <c r="AK634" s="59"/>
      <c r="AL634" s="59" t="str">
        <f>IFERROR(VLOOKUP(Tabelle32[[#This Row],[Device ID]],BOM!$B$3:$BQ$35,42,FALSE),"")</f>
        <v>Imagine Communications SNP</v>
      </c>
      <c r="AM634" s="59" t="str">
        <f>IFERROR(VLOOKUP(Tabelle32[[#This Row],[Device ID]],BOM!$B$3:$BQ$35,43,FALSE),"")</f>
        <v>no</v>
      </c>
      <c r="AN634" s="59" t="str">
        <f>IFERROR(VLOOKUP(Tabelle32[[#This Row],[Device ID]],BOM!$B$3:$BQ$35,44,FALSE),"")</f>
        <v>yes</v>
      </c>
      <c r="AO634" s="59" t="str">
        <f>IFERROR(VLOOKUP(Tabelle32[[#This Row],[Device ID]],BOM!$B$3:$BQ$35,45,FALSE),"")</f>
        <v>no</v>
      </c>
      <c r="AP634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34" s="59"/>
      <c r="AR634" s="28"/>
      <c r="AS634" s="28"/>
      <c r="AT634" s="28"/>
      <c r="AU634" s="90"/>
      <c r="AV634" s="90"/>
      <c r="AW634" s="90"/>
      <c r="AX634" s="90"/>
      <c r="AY634" s="90"/>
      <c r="AZ634" s="90"/>
      <c r="BA634" s="90"/>
      <c r="BB634" s="90"/>
      <c r="BC634" s="90"/>
      <c r="BD634" s="90"/>
      <c r="BE634" s="90"/>
      <c r="BF634" s="90"/>
      <c r="BG634" s="90"/>
      <c r="BH634" s="73" t="s">
        <v>199</v>
      </c>
      <c r="BI634" s="30" t="str">
        <f>IF(COUNTA(Tabelle32[[#This Row],[Type:Vid_1080i50]:[Type:Anc_Prot]])&gt;0,"x","")</f>
        <v/>
      </c>
      <c r="BJ63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34" s="59"/>
      <c r="BL634" s="59"/>
      <c r="BM634" s="63"/>
      <c r="BN634" s="63"/>
      <c r="BO634" s="96"/>
      <c r="BP634" s="96"/>
      <c r="BQ634" s="75">
        <f>LEN(Tabelle32[[#This Row],[Label 1
GFX-Unit]])</f>
        <v>0</v>
      </c>
      <c r="BR634" s="63"/>
      <c r="BS634" s="63"/>
      <c r="BT634" s="59"/>
      <c r="BU634" s="59"/>
      <c r="BV634" s="59" t="s">
        <v>205</v>
      </c>
      <c r="BW634" s="59" t="s">
        <v>206</v>
      </c>
      <c r="BX634" s="59" t="s">
        <v>1149</v>
      </c>
      <c r="BY634" s="59">
        <v>31</v>
      </c>
    </row>
    <row r="635" spans="1:77" hidden="1" x14ac:dyDescent="0.2">
      <c r="A635" s="58" t="str">
        <f>CONCATENATE(Tabelle32[[#This Row],[Device ID]],".",Tabelle32[[#This Row],[Streamcounter]])</f>
        <v>2156.31303</v>
      </c>
      <c r="B63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VGW-103_SDI31_ANCsend_0003</v>
      </c>
      <c r="C635" s="67"/>
      <c r="D635" s="61"/>
      <c r="E635" s="67"/>
      <c r="F635" s="59" t="str">
        <f>IFERROR(VLOOKUP(Tabelle32[[#This Row],[Device ID]],BOM!$B$3:$BQ$35,16,FALSE),"")</f>
        <v>EditPC-23</v>
      </c>
      <c r="G635" s="63">
        <f>VLOOKUP(Tabelle32[[#This Row],[SDI Interface]],BOM!$A$4:$B$35,2,FALSE)</f>
        <v>2156</v>
      </c>
      <c r="H635" s="59" t="str">
        <f>BOM!$C$4</f>
        <v>VGW-103</v>
      </c>
      <c r="I635" s="59" t="str">
        <f>IFERROR(VLOOKUP(Tabelle32[[#This Row],[Device ID]],BOM!$B$3:$BQ$35,12,FALSE),"")</f>
        <v>Edit Suite</v>
      </c>
      <c r="J635" s="59" t="str">
        <f>IFERROR(VLOOKUP(Tabelle32[[#This Row],[Device ID]],BOM!$B$3:$BQ$35,13,FALSE),"")</f>
        <v>TC.U1.223 | MDC</v>
      </c>
      <c r="K635" s="59" t="str">
        <f>IFERROR(VLOOKUP(Tabelle32[[#This Row],[Device ID]],BOM!$B$3:$BQ$35,14,FALSE),"")</f>
        <v>Imagine Comunications</v>
      </c>
      <c r="L635" s="59" t="str">
        <f>IFERROR(VLOOKUP(Tabelle32[[#This Row],[Device ID]],BOM!$B$3:$BQ$35,16,FALSE),"")</f>
        <v>EditPC-23</v>
      </c>
      <c r="M635" s="63" t="str">
        <f>IFERROR(VLOOKUP(Tabelle32[[#This Row],[Device ID]],BOM!$B$3:$BQ$35,17,FALSE),"")</f>
        <v>EDIT SUITE 23</v>
      </c>
      <c r="N635" s="59" t="str">
        <f>IFERROR(VLOOKUP(Tabelle32[[#This Row],[Device ID]],BOM!$B$3:$BQ$35,18,FALSE),"")</f>
        <v>NEBEZ.V3.15 | Edit 23</v>
      </c>
      <c r="O635" s="64"/>
      <c r="P635" s="64">
        <f>IFERROR(VLOOKUP(Tabelle32[[#This Row],[Device ID]],BOM!$B$3:$BO$50,20,FALSE),"")</f>
        <v>0</v>
      </c>
      <c r="Q635" s="64">
        <f>IFERROR(VLOOKUP(Tabelle32[[#This Row],[Device ID]],BOM!$B$3:$BO$50,21,FALSE),"")</f>
        <v>1</v>
      </c>
      <c r="R635" s="64">
        <f>IFERROR(VLOOKUP(Tabelle32[[#This Row],[Device ID]],BOM!$B$3:$BO$50,22,FALSE),"")</f>
        <v>0</v>
      </c>
      <c r="S635" s="64"/>
      <c r="T635" s="64"/>
      <c r="U635" s="59" t="str">
        <f>IFERROR(VLOOKUP(Tabelle32[[#This Row],[Device ID]],BOM!$B$3:$BQ$35,25,FALSE),"")</f>
        <v>Luis/Ivo</v>
      </c>
      <c r="V635" s="59" t="str">
        <f>IFERROR(VLOOKUP(Tabelle32[[#This Row],[Device ID]],BOM!$B$3:$BQ$35,26,FALSE),"")</f>
        <v>tpco-megw-vgw103.rta.st-net.media.int</v>
      </c>
      <c r="W635" s="59" t="str">
        <f>IFERROR(VLOOKUP(Tabelle32[[#This Row],[Device ID]],BOM!$B$3:$BQ$35,27,FALSE),"")</f>
        <v>10.120.236.50</v>
      </c>
      <c r="X635" s="59" t="str">
        <f>IFERROR(VLOOKUP(Tabelle32[[#This Row],[Device ID]],BOM!$B$3:$BQ$35,28,FALSE),"")</f>
        <v>AVCoreA</v>
      </c>
      <c r="Y635" s="59" t="str">
        <f>IFERROR(VLOOKUP(Tabelle32[[#This Row],[Device ID]],BOM!$B$3:$BQ$35,29,FALSE),"")</f>
        <v>5_36_1</v>
      </c>
      <c r="Z635" s="59" t="str">
        <f>IFERROR(VLOOKUP(Tabelle32[[#This Row],[Device ID]],BOM!$B$3:$BQ$35,30,FALSE),"")</f>
        <v>tpco-megw-vgw103.rtb.st-net.media.int</v>
      </c>
      <c r="AA635" s="59" t="str">
        <f>IFERROR(VLOOKUP(Tabelle32[[#This Row],[Device ID]],BOM!$B$3:$BQ$35,31,FALSE),"")</f>
        <v>10.120.236.54</v>
      </c>
      <c r="AB635" s="59" t="str">
        <f>IFERROR(VLOOKUP(Tabelle32[[#This Row],[Device ID]],BOM!$B$3:$BQ$35,32,FALSE),"")</f>
        <v>AVCoreB</v>
      </c>
      <c r="AC635" s="59" t="str">
        <f>IFERROR(VLOOKUP(Tabelle32[[#This Row],[Device ID]],BOM!$B$3:$BQ$35,33,FALSE),"")</f>
        <v>5_36_1</v>
      </c>
      <c r="AD635" s="59" t="str">
        <f>IFERROR(VLOOKUP(Tabelle32[[#This Row],[Device ID]],BOM!$B$3:$BQ$35,34,FALSE),"")</f>
        <v>tpco-megw-vgw103.st-net.media.int</v>
      </c>
      <c r="AE635" s="59" t="str">
        <f>IFERROR(VLOOKUP(Tabelle32[[#This Row],[Device ID]],BOM!$B$3:$BQ$35,35,FALSE),"")</f>
        <v>10.120.67.141</v>
      </c>
      <c r="AF635" s="59">
        <f>IFERROR(VLOOKUP(Tabelle32[[#This Row],[Device ID]],BOM!$B$3:$BQ$35,36,FALSE),"")</f>
        <v>0</v>
      </c>
      <c r="AG635" s="59">
        <f>IFERROR(VLOOKUP(Tabelle32[[#This Row],[Device ID]],BOM!$B$3:$BQ$35,37,FALSE),"")</f>
        <v>0</v>
      </c>
      <c r="AH635" s="59"/>
      <c r="AI635" s="59"/>
      <c r="AJ635" s="59"/>
      <c r="AK635" s="59"/>
      <c r="AL635" s="59" t="str">
        <f>IFERROR(VLOOKUP(Tabelle32[[#This Row],[Device ID]],BOM!$B$3:$BQ$35,42,FALSE),"")</f>
        <v>Imagine Communications SNP</v>
      </c>
      <c r="AM635" s="59" t="str">
        <f>IFERROR(VLOOKUP(Tabelle32[[#This Row],[Device ID]],BOM!$B$3:$BQ$35,43,FALSE),"")</f>
        <v>no</v>
      </c>
      <c r="AN635" s="59" t="str">
        <f>IFERROR(VLOOKUP(Tabelle32[[#This Row],[Device ID]],BOM!$B$3:$BQ$35,44,FALSE),"")</f>
        <v>yes</v>
      </c>
      <c r="AO635" s="59" t="str">
        <f>IFERROR(VLOOKUP(Tabelle32[[#This Row],[Device ID]],BOM!$B$3:$BQ$35,45,FALSE),"")</f>
        <v>no</v>
      </c>
      <c r="AP635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35" s="59"/>
      <c r="AR635" s="28"/>
      <c r="AS635" s="28"/>
      <c r="AT635" s="28"/>
      <c r="AU635" s="90"/>
      <c r="AV635" s="90"/>
      <c r="AW635" s="90"/>
      <c r="AX635" s="90"/>
      <c r="AY635" s="90"/>
      <c r="AZ635" s="90"/>
      <c r="BA635" s="90"/>
      <c r="BB635" s="90"/>
      <c r="BC635" s="90"/>
      <c r="BD635" s="90"/>
      <c r="BE635" s="90"/>
      <c r="BF635" s="90"/>
      <c r="BG635" s="90"/>
      <c r="BH635" s="73" t="s">
        <v>199</v>
      </c>
      <c r="BI635" s="30" t="str">
        <f>IF(COUNTA(Tabelle32[[#This Row],[Type:Vid_1080i50]:[Type:Anc_Prot]])&gt;0,"x","")</f>
        <v/>
      </c>
      <c r="BJ63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35" s="59"/>
      <c r="BL635" s="59"/>
      <c r="BM635" s="63"/>
      <c r="BN635" s="63"/>
      <c r="BO635" s="96"/>
      <c r="BP635" s="96"/>
      <c r="BQ635" s="75">
        <f>LEN(Tabelle32[[#This Row],[Label 1
GFX-Unit]])</f>
        <v>0</v>
      </c>
      <c r="BR635" s="63"/>
      <c r="BS635" s="63"/>
      <c r="BT635" s="59"/>
      <c r="BU635" s="59"/>
      <c r="BV635" s="59" t="s">
        <v>208</v>
      </c>
      <c r="BW635" s="59" t="s">
        <v>209</v>
      </c>
      <c r="BX635" s="59" t="s">
        <v>1150</v>
      </c>
      <c r="BY635" s="59">
        <v>31</v>
      </c>
    </row>
    <row r="636" spans="1:77" hidden="1" x14ac:dyDescent="0.2">
      <c r="A636" s="58" t="str">
        <f>CONCATENATE(Tabelle32[[#This Row],[Device ID]],".",Tabelle32[[#This Row],[Streamcounter]])</f>
        <v>2156.31304</v>
      </c>
      <c r="B63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VGW-103_SDI31_ANCsend_0004</v>
      </c>
      <c r="C636" s="67"/>
      <c r="D636" s="61"/>
      <c r="E636" s="67"/>
      <c r="F636" s="59" t="str">
        <f>IFERROR(VLOOKUP(Tabelle32[[#This Row],[Device ID]],BOM!$B$3:$BQ$35,16,FALSE),"")</f>
        <v>EditPC-23</v>
      </c>
      <c r="G636" s="63">
        <f>VLOOKUP(Tabelle32[[#This Row],[SDI Interface]],BOM!$A$4:$B$35,2,FALSE)</f>
        <v>2156</v>
      </c>
      <c r="H636" s="59" t="str">
        <f>BOM!$C$4</f>
        <v>VGW-103</v>
      </c>
      <c r="I636" s="59" t="str">
        <f>IFERROR(VLOOKUP(Tabelle32[[#This Row],[Device ID]],BOM!$B$3:$BQ$35,12,FALSE),"")</f>
        <v>Edit Suite</v>
      </c>
      <c r="J636" s="59" t="str">
        <f>IFERROR(VLOOKUP(Tabelle32[[#This Row],[Device ID]],BOM!$B$3:$BQ$35,13,FALSE),"")</f>
        <v>TC.U1.223 | MDC</v>
      </c>
      <c r="K636" s="59" t="str">
        <f>IFERROR(VLOOKUP(Tabelle32[[#This Row],[Device ID]],BOM!$B$3:$BQ$35,14,FALSE),"")</f>
        <v>Imagine Comunications</v>
      </c>
      <c r="L636" s="59" t="str">
        <f>IFERROR(VLOOKUP(Tabelle32[[#This Row],[Device ID]],BOM!$B$3:$BQ$35,16,FALSE),"")</f>
        <v>EditPC-23</v>
      </c>
      <c r="M636" s="63" t="str">
        <f>IFERROR(VLOOKUP(Tabelle32[[#This Row],[Device ID]],BOM!$B$3:$BQ$35,17,FALSE),"")</f>
        <v>EDIT SUITE 23</v>
      </c>
      <c r="N636" s="59" t="str">
        <f>IFERROR(VLOOKUP(Tabelle32[[#This Row],[Device ID]],BOM!$B$3:$BQ$35,18,FALSE),"")</f>
        <v>NEBEZ.V3.15 | Edit 23</v>
      </c>
      <c r="O636" s="64"/>
      <c r="P636" s="64">
        <f>IFERROR(VLOOKUP(Tabelle32[[#This Row],[Device ID]],BOM!$B$3:$BO$50,20,FALSE),"")</f>
        <v>0</v>
      </c>
      <c r="Q636" s="64">
        <f>IFERROR(VLOOKUP(Tabelle32[[#This Row],[Device ID]],BOM!$B$3:$BO$50,21,FALSE),"")</f>
        <v>1</v>
      </c>
      <c r="R636" s="64">
        <f>IFERROR(VLOOKUP(Tabelle32[[#This Row],[Device ID]],BOM!$B$3:$BO$50,22,FALSE),"")</f>
        <v>0</v>
      </c>
      <c r="S636" s="64"/>
      <c r="T636" s="64"/>
      <c r="U636" s="59" t="str">
        <f>IFERROR(VLOOKUP(Tabelle32[[#This Row],[Device ID]],BOM!$B$3:$BQ$35,25,FALSE),"")</f>
        <v>Luis/Ivo</v>
      </c>
      <c r="V636" s="59" t="str">
        <f>IFERROR(VLOOKUP(Tabelle32[[#This Row],[Device ID]],BOM!$B$3:$BQ$35,26,FALSE),"")</f>
        <v>tpco-megw-vgw103.rta.st-net.media.int</v>
      </c>
      <c r="W636" s="59" t="str">
        <f>IFERROR(VLOOKUP(Tabelle32[[#This Row],[Device ID]],BOM!$B$3:$BQ$35,27,FALSE),"")</f>
        <v>10.120.236.50</v>
      </c>
      <c r="X636" s="59" t="str">
        <f>IFERROR(VLOOKUP(Tabelle32[[#This Row],[Device ID]],BOM!$B$3:$BQ$35,28,FALSE),"")</f>
        <v>AVCoreA</v>
      </c>
      <c r="Y636" s="59" t="str">
        <f>IFERROR(VLOOKUP(Tabelle32[[#This Row],[Device ID]],BOM!$B$3:$BQ$35,29,FALSE),"")</f>
        <v>5_36_1</v>
      </c>
      <c r="Z636" s="59" t="str">
        <f>IFERROR(VLOOKUP(Tabelle32[[#This Row],[Device ID]],BOM!$B$3:$BQ$35,30,FALSE),"")</f>
        <v>tpco-megw-vgw103.rtb.st-net.media.int</v>
      </c>
      <c r="AA636" s="59" t="str">
        <f>IFERROR(VLOOKUP(Tabelle32[[#This Row],[Device ID]],BOM!$B$3:$BQ$35,31,FALSE),"")</f>
        <v>10.120.236.54</v>
      </c>
      <c r="AB636" s="59" t="str">
        <f>IFERROR(VLOOKUP(Tabelle32[[#This Row],[Device ID]],BOM!$B$3:$BQ$35,32,FALSE),"")</f>
        <v>AVCoreB</v>
      </c>
      <c r="AC636" s="59" t="str">
        <f>IFERROR(VLOOKUP(Tabelle32[[#This Row],[Device ID]],BOM!$B$3:$BQ$35,33,FALSE),"")</f>
        <v>5_36_1</v>
      </c>
      <c r="AD636" s="59" t="str">
        <f>IFERROR(VLOOKUP(Tabelle32[[#This Row],[Device ID]],BOM!$B$3:$BQ$35,34,FALSE),"")</f>
        <v>tpco-megw-vgw103.st-net.media.int</v>
      </c>
      <c r="AE636" s="59" t="str">
        <f>IFERROR(VLOOKUP(Tabelle32[[#This Row],[Device ID]],BOM!$B$3:$BQ$35,35,FALSE),"")</f>
        <v>10.120.67.141</v>
      </c>
      <c r="AF636" s="59">
        <f>IFERROR(VLOOKUP(Tabelle32[[#This Row],[Device ID]],BOM!$B$3:$BQ$35,36,FALSE),"")</f>
        <v>0</v>
      </c>
      <c r="AG636" s="59">
        <f>IFERROR(VLOOKUP(Tabelle32[[#This Row],[Device ID]],BOM!$B$3:$BQ$35,37,FALSE),"")</f>
        <v>0</v>
      </c>
      <c r="AH636" s="59"/>
      <c r="AI636" s="59"/>
      <c r="AJ636" s="59"/>
      <c r="AK636" s="59"/>
      <c r="AL636" s="59" t="str">
        <f>IFERROR(VLOOKUP(Tabelle32[[#This Row],[Device ID]],BOM!$B$3:$BQ$35,42,FALSE),"")</f>
        <v>Imagine Communications SNP</v>
      </c>
      <c r="AM636" s="59" t="str">
        <f>IFERROR(VLOOKUP(Tabelle32[[#This Row],[Device ID]],BOM!$B$3:$BQ$35,43,FALSE),"")</f>
        <v>no</v>
      </c>
      <c r="AN636" s="59" t="str">
        <f>IFERROR(VLOOKUP(Tabelle32[[#This Row],[Device ID]],BOM!$B$3:$BQ$35,44,FALSE),"")</f>
        <v>yes</v>
      </c>
      <c r="AO636" s="59" t="str">
        <f>IFERROR(VLOOKUP(Tabelle32[[#This Row],[Device ID]],BOM!$B$3:$BQ$35,45,FALSE),"")</f>
        <v>no</v>
      </c>
      <c r="AP636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36" s="59"/>
      <c r="AR636" s="28"/>
      <c r="AS636" s="28"/>
      <c r="AT636" s="28"/>
      <c r="AU636" s="90"/>
      <c r="AV636" s="90"/>
      <c r="AW636" s="90"/>
      <c r="AX636" s="90"/>
      <c r="AY636" s="90"/>
      <c r="AZ636" s="90"/>
      <c r="BA636" s="90"/>
      <c r="BB636" s="90"/>
      <c r="BC636" s="90"/>
      <c r="BD636" s="90"/>
      <c r="BE636" s="90"/>
      <c r="BF636" s="90"/>
      <c r="BG636" s="90"/>
      <c r="BH636" s="73" t="s">
        <v>199</v>
      </c>
      <c r="BI636" s="30" t="str">
        <f>IF(COUNTA(Tabelle32[[#This Row],[Type:Vid_1080i50]:[Type:Anc_Prot]])&gt;0,"x","")</f>
        <v/>
      </c>
      <c r="BJ63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36" s="59"/>
      <c r="BL636" s="59"/>
      <c r="BM636" s="63"/>
      <c r="BN636" s="63"/>
      <c r="BO636" s="96"/>
      <c r="BP636" s="96"/>
      <c r="BQ636" s="75">
        <f>LEN(Tabelle32[[#This Row],[Label 1
GFX-Unit]])</f>
        <v>0</v>
      </c>
      <c r="BR636" s="63"/>
      <c r="BS636" s="63"/>
      <c r="BT636" s="59"/>
      <c r="BU636" s="59"/>
      <c r="BV636" s="59" t="s">
        <v>211</v>
      </c>
      <c r="BW636" s="59" t="s">
        <v>212</v>
      </c>
      <c r="BX636" s="59" t="s">
        <v>1151</v>
      </c>
      <c r="BY636" s="59">
        <v>31</v>
      </c>
    </row>
    <row r="637" spans="1:77" x14ac:dyDescent="0.2">
      <c r="A637" s="58" t="str">
        <f>CONCATENATE(Tabelle32[[#This Row],[Device ID]],".",Tabelle32[[#This Row],[Streamcounter]])</f>
        <v>2156.31201</v>
      </c>
      <c r="B63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VGW-103_SDI31_AUDsend_0001</v>
      </c>
      <c r="C637" s="67"/>
      <c r="D637" s="61"/>
      <c r="E637" s="67"/>
      <c r="F637" s="59" t="str">
        <f>IFERROR(VLOOKUP(Tabelle32[[#This Row],[Device ID]],BOM!$B$3:$BQ$35,16,FALSE),"")</f>
        <v>EditPC-23</v>
      </c>
      <c r="G637" s="63">
        <f>VLOOKUP(Tabelle32[[#This Row],[SDI Interface]],BOM!$A$4:$B$35,2,FALSE)</f>
        <v>2156</v>
      </c>
      <c r="H637" s="59" t="str">
        <f>BOM!$C$4</f>
        <v>VGW-103</v>
      </c>
      <c r="I637" s="59" t="str">
        <f>IFERROR(VLOOKUP(Tabelle32[[#This Row],[Device ID]],BOM!$B$3:$BQ$35,12,FALSE),"")</f>
        <v>Edit Suite</v>
      </c>
      <c r="J637" s="59" t="str">
        <f>IFERROR(VLOOKUP(Tabelle32[[#This Row],[Device ID]],BOM!$B$3:$BQ$35,13,FALSE),"")</f>
        <v>TC.U1.223 | MDC</v>
      </c>
      <c r="K637" s="59" t="str">
        <f>IFERROR(VLOOKUP(Tabelle32[[#This Row],[Device ID]],BOM!$B$3:$BQ$35,14,FALSE),"")</f>
        <v>Imagine Comunications</v>
      </c>
      <c r="L637" s="59" t="str">
        <f>IFERROR(VLOOKUP(Tabelle32[[#This Row],[Device ID]],BOM!$B$3:$BQ$35,16,FALSE),"")</f>
        <v>EditPC-23</v>
      </c>
      <c r="M637" s="63" t="str">
        <f>IFERROR(VLOOKUP(Tabelle32[[#This Row],[Device ID]],BOM!$B$3:$BQ$35,17,FALSE),"")</f>
        <v>EDIT SUITE 23</v>
      </c>
      <c r="N637" s="59" t="str">
        <f>IFERROR(VLOOKUP(Tabelle32[[#This Row],[Device ID]],BOM!$B$3:$BQ$35,18,FALSE),"")</f>
        <v>NEBEZ.V3.15 | Edit 23</v>
      </c>
      <c r="O637" s="64"/>
      <c r="P637" s="64">
        <f>IFERROR(VLOOKUP(Tabelle32[[#This Row],[Device ID]],BOM!$B$3:$BO$50,20,FALSE),"")</f>
        <v>0</v>
      </c>
      <c r="Q637" s="64">
        <f>IFERROR(VLOOKUP(Tabelle32[[#This Row],[Device ID]],BOM!$B$3:$BO$50,21,FALSE),"")</f>
        <v>1</v>
      </c>
      <c r="R637" s="64">
        <f>IFERROR(VLOOKUP(Tabelle32[[#This Row],[Device ID]],BOM!$B$3:$BO$50,22,FALSE),"")</f>
        <v>0</v>
      </c>
      <c r="S637" s="64"/>
      <c r="T637" s="64"/>
      <c r="U637" s="59" t="str">
        <f>IFERROR(VLOOKUP(Tabelle32[[#This Row],[Device ID]],BOM!$B$3:$BQ$35,25,FALSE),"")</f>
        <v>Luis/Ivo</v>
      </c>
      <c r="V637" s="59" t="str">
        <f>IFERROR(VLOOKUP(Tabelle32[[#This Row],[Device ID]],BOM!$B$3:$BQ$35,26,FALSE),"")</f>
        <v>tpco-megw-vgw103.rta.st-net.media.int</v>
      </c>
      <c r="W637" s="59" t="str">
        <f>IFERROR(VLOOKUP(Tabelle32[[#This Row],[Device ID]],BOM!$B$3:$BQ$35,27,FALSE),"")</f>
        <v>10.120.236.50</v>
      </c>
      <c r="X637" s="59" t="str">
        <f>IFERROR(VLOOKUP(Tabelle32[[#This Row],[Device ID]],BOM!$B$3:$BQ$35,28,FALSE),"")</f>
        <v>AVCoreA</v>
      </c>
      <c r="Y637" s="59" t="str">
        <f>IFERROR(VLOOKUP(Tabelle32[[#This Row],[Device ID]],BOM!$B$3:$BQ$35,29,FALSE),"")</f>
        <v>5_36_1</v>
      </c>
      <c r="Z637" s="59" t="str">
        <f>IFERROR(VLOOKUP(Tabelle32[[#This Row],[Device ID]],BOM!$B$3:$BQ$35,30,FALSE),"")</f>
        <v>tpco-megw-vgw103.rtb.st-net.media.int</v>
      </c>
      <c r="AA637" s="59" t="str">
        <f>IFERROR(VLOOKUP(Tabelle32[[#This Row],[Device ID]],BOM!$B$3:$BQ$35,31,FALSE),"")</f>
        <v>10.120.236.54</v>
      </c>
      <c r="AB637" s="59" t="str">
        <f>IFERROR(VLOOKUP(Tabelle32[[#This Row],[Device ID]],BOM!$B$3:$BQ$35,32,FALSE),"")</f>
        <v>AVCoreB</v>
      </c>
      <c r="AC637" s="59" t="str">
        <f>IFERROR(VLOOKUP(Tabelle32[[#This Row],[Device ID]],BOM!$B$3:$BQ$35,33,FALSE),"")</f>
        <v>5_36_1</v>
      </c>
      <c r="AD637" s="59" t="str">
        <f>IFERROR(VLOOKUP(Tabelle32[[#This Row],[Device ID]],BOM!$B$3:$BQ$35,34,FALSE),"")</f>
        <v>tpco-megw-vgw103.st-net.media.int</v>
      </c>
      <c r="AE637" s="59" t="str">
        <f>IFERROR(VLOOKUP(Tabelle32[[#This Row],[Device ID]],BOM!$B$3:$BQ$35,35,FALSE),"")</f>
        <v>10.120.67.141</v>
      </c>
      <c r="AF637" s="59">
        <f>IFERROR(VLOOKUP(Tabelle32[[#This Row],[Device ID]],BOM!$B$3:$BQ$35,36,FALSE),"")</f>
        <v>0</v>
      </c>
      <c r="AG637" s="59">
        <f>IFERROR(VLOOKUP(Tabelle32[[#This Row],[Device ID]],BOM!$B$3:$BQ$35,37,FALSE),"")</f>
        <v>0</v>
      </c>
      <c r="AH637" s="59"/>
      <c r="AI637" s="59"/>
      <c r="AJ637" s="59"/>
      <c r="AK637" s="59"/>
      <c r="AL637" s="59" t="str">
        <f>IFERROR(VLOOKUP(Tabelle32[[#This Row],[Device ID]],BOM!$B$3:$BQ$35,42,FALSE),"")</f>
        <v>Imagine Communications SNP</v>
      </c>
      <c r="AM637" s="59" t="str">
        <f>IFERROR(VLOOKUP(Tabelle32[[#This Row],[Device ID]],BOM!$B$3:$BQ$35,43,FALSE),"")</f>
        <v>no</v>
      </c>
      <c r="AN637" s="59" t="str">
        <f>IFERROR(VLOOKUP(Tabelle32[[#This Row],[Device ID]],BOM!$B$3:$BQ$35,44,FALSE),"")</f>
        <v>yes</v>
      </c>
      <c r="AO637" s="59" t="str">
        <f>IFERROR(VLOOKUP(Tabelle32[[#This Row],[Device ID]],BOM!$B$3:$BQ$35,45,FALSE),"")</f>
        <v>no</v>
      </c>
      <c r="AP637" s="59" t="str">
        <f>IFERROR(CONCATENATE(Tabelle32[[#This Row],[Family
GFX-Unit]]," | ",Tabelle32[[#This Row],[Label 1
GFX-Unit]]," | ",Tabelle32[[#This Row],[Attached Device if Gateway]]),"")</f>
        <v>MEDEM Edits Out | Out Edit23-01 | EditPC-23</v>
      </c>
      <c r="AQ637" s="59"/>
      <c r="AR637" s="92"/>
      <c r="AS637" s="92"/>
      <c r="AT637" s="92"/>
      <c r="AU637" s="92"/>
      <c r="AV637" s="92"/>
      <c r="AW637" s="92"/>
      <c r="AX637" s="92" t="s">
        <v>199</v>
      </c>
      <c r="AY637" s="92" t="s">
        <v>199</v>
      </c>
      <c r="AZ637" s="92" t="s">
        <v>97</v>
      </c>
      <c r="BA637" s="92"/>
      <c r="BB637" s="92"/>
      <c r="BC637" s="92"/>
      <c r="BD637" s="92"/>
      <c r="BE637" s="92"/>
      <c r="BF637" s="92"/>
      <c r="BG637" s="92"/>
      <c r="BH637" s="73" t="s">
        <v>199</v>
      </c>
      <c r="BI637" s="30" t="str">
        <f>IF(COUNTA(Tabelle32[[#This Row],[Type:Vid_1080i50]:[Type:Anc_Prot]])&gt;0,"x","")</f>
        <v>x</v>
      </c>
      <c r="BJ63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37" s="59"/>
      <c r="BL637" s="59"/>
      <c r="BM637" s="63"/>
      <c r="BN637" s="63"/>
      <c r="BO637" s="97" t="s">
        <v>732</v>
      </c>
      <c r="BP637" s="97" t="s">
        <v>1152</v>
      </c>
      <c r="BQ637" s="75">
        <f>LEN(Tabelle32[[#This Row],[Label 1
GFX-Unit]])</f>
        <v>13</v>
      </c>
      <c r="BR637" s="63"/>
      <c r="BS637" s="63"/>
      <c r="BT637" s="59"/>
      <c r="BU637" s="59"/>
      <c r="BV637" s="59" t="s">
        <v>214</v>
      </c>
      <c r="BW637" s="59" t="s">
        <v>215</v>
      </c>
      <c r="BX637" s="59" t="s">
        <v>1153</v>
      </c>
      <c r="BY637" s="59">
        <v>31</v>
      </c>
    </row>
    <row r="638" spans="1:77" x14ac:dyDescent="0.2">
      <c r="A638" s="58" t="str">
        <f>CONCATENATE(Tabelle32[[#This Row],[Device ID]],".",Tabelle32[[#This Row],[Streamcounter]])</f>
        <v>2156.31202</v>
      </c>
      <c r="B63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VGW-103_SDI31_AUDsend_0002</v>
      </c>
      <c r="C638" s="67"/>
      <c r="D638" s="61"/>
      <c r="E638" s="67"/>
      <c r="F638" s="59" t="str">
        <f>IFERROR(VLOOKUP(Tabelle32[[#This Row],[Device ID]],BOM!$B$3:$BQ$35,16,FALSE),"")</f>
        <v>EditPC-23</v>
      </c>
      <c r="G638" s="63">
        <f>VLOOKUP(Tabelle32[[#This Row],[SDI Interface]],BOM!$A$4:$B$35,2,FALSE)</f>
        <v>2156</v>
      </c>
      <c r="H638" s="59" t="str">
        <f>BOM!$C$4</f>
        <v>VGW-103</v>
      </c>
      <c r="I638" s="59" t="str">
        <f>IFERROR(VLOOKUP(Tabelle32[[#This Row],[Device ID]],BOM!$B$3:$BQ$35,12,FALSE),"")</f>
        <v>Edit Suite</v>
      </c>
      <c r="J638" s="59" t="str">
        <f>IFERROR(VLOOKUP(Tabelle32[[#This Row],[Device ID]],BOM!$B$3:$BQ$35,13,FALSE),"")</f>
        <v>TC.U1.223 | MDC</v>
      </c>
      <c r="K638" s="59" t="str">
        <f>IFERROR(VLOOKUP(Tabelle32[[#This Row],[Device ID]],BOM!$B$3:$BQ$35,14,FALSE),"")</f>
        <v>Imagine Comunications</v>
      </c>
      <c r="L638" s="59" t="str">
        <f>IFERROR(VLOOKUP(Tabelle32[[#This Row],[Device ID]],BOM!$B$3:$BQ$35,16,FALSE),"")</f>
        <v>EditPC-23</v>
      </c>
      <c r="M638" s="63" t="str">
        <f>IFERROR(VLOOKUP(Tabelle32[[#This Row],[Device ID]],BOM!$B$3:$BQ$35,17,FALSE),"")</f>
        <v>EDIT SUITE 23</v>
      </c>
      <c r="N638" s="59" t="str">
        <f>IFERROR(VLOOKUP(Tabelle32[[#This Row],[Device ID]],BOM!$B$3:$BQ$35,18,FALSE),"")</f>
        <v>NEBEZ.V3.15 | Edit 23</v>
      </c>
      <c r="O638" s="64"/>
      <c r="P638" s="64">
        <f>IFERROR(VLOOKUP(Tabelle32[[#This Row],[Device ID]],BOM!$B$3:$BO$50,20,FALSE),"")</f>
        <v>0</v>
      </c>
      <c r="Q638" s="64">
        <f>IFERROR(VLOOKUP(Tabelle32[[#This Row],[Device ID]],BOM!$B$3:$BO$50,21,FALSE),"")</f>
        <v>1</v>
      </c>
      <c r="R638" s="64">
        <f>IFERROR(VLOOKUP(Tabelle32[[#This Row],[Device ID]],BOM!$B$3:$BO$50,22,FALSE),"")</f>
        <v>0</v>
      </c>
      <c r="S638" s="64"/>
      <c r="T638" s="64"/>
      <c r="U638" s="59" t="str">
        <f>IFERROR(VLOOKUP(Tabelle32[[#This Row],[Device ID]],BOM!$B$3:$BQ$35,25,FALSE),"")</f>
        <v>Luis/Ivo</v>
      </c>
      <c r="V638" s="59" t="str">
        <f>IFERROR(VLOOKUP(Tabelle32[[#This Row],[Device ID]],BOM!$B$3:$BQ$35,26,FALSE),"")</f>
        <v>tpco-megw-vgw103.rta.st-net.media.int</v>
      </c>
      <c r="W638" s="59" t="str">
        <f>IFERROR(VLOOKUP(Tabelle32[[#This Row],[Device ID]],BOM!$B$3:$BQ$35,27,FALSE),"")</f>
        <v>10.120.236.50</v>
      </c>
      <c r="X638" s="59" t="str">
        <f>IFERROR(VLOOKUP(Tabelle32[[#This Row],[Device ID]],BOM!$B$3:$BQ$35,28,FALSE),"")</f>
        <v>AVCoreA</v>
      </c>
      <c r="Y638" s="59" t="str">
        <f>IFERROR(VLOOKUP(Tabelle32[[#This Row],[Device ID]],BOM!$B$3:$BQ$35,29,FALSE),"")</f>
        <v>5_36_1</v>
      </c>
      <c r="Z638" s="59" t="str">
        <f>IFERROR(VLOOKUP(Tabelle32[[#This Row],[Device ID]],BOM!$B$3:$BQ$35,30,FALSE),"")</f>
        <v>tpco-megw-vgw103.rtb.st-net.media.int</v>
      </c>
      <c r="AA638" s="59" t="str">
        <f>IFERROR(VLOOKUP(Tabelle32[[#This Row],[Device ID]],BOM!$B$3:$BQ$35,31,FALSE),"")</f>
        <v>10.120.236.54</v>
      </c>
      <c r="AB638" s="59" t="str">
        <f>IFERROR(VLOOKUP(Tabelle32[[#This Row],[Device ID]],BOM!$B$3:$BQ$35,32,FALSE),"")</f>
        <v>AVCoreB</v>
      </c>
      <c r="AC638" s="59" t="str">
        <f>IFERROR(VLOOKUP(Tabelle32[[#This Row],[Device ID]],BOM!$B$3:$BQ$35,33,FALSE),"")</f>
        <v>5_36_1</v>
      </c>
      <c r="AD638" s="59" t="str">
        <f>IFERROR(VLOOKUP(Tabelle32[[#This Row],[Device ID]],BOM!$B$3:$BQ$35,34,FALSE),"")</f>
        <v>tpco-megw-vgw103.st-net.media.int</v>
      </c>
      <c r="AE638" s="59" t="str">
        <f>IFERROR(VLOOKUP(Tabelle32[[#This Row],[Device ID]],BOM!$B$3:$BQ$35,35,FALSE),"")</f>
        <v>10.120.67.141</v>
      </c>
      <c r="AF638" s="59">
        <f>IFERROR(VLOOKUP(Tabelle32[[#This Row],[Device ID]],BOM!$B$3:$BQ$35,36,FALSE),"")</f>
        <v>0</v>
      </c>
      <c r="AG638" s="59">
        <f>IFERROR(VLOOKUP(Tabelle32[[#This Row],[Device ID]],BOM!$B$3:$BQ$35,37,FALSE),"")</f>
        <v>0</v>
      </c>
      <c r="AH638" s="59"/>
      <c r="AI638" s="59"/>
      <c r="AJ638" s="59"/>
      <c r="AK638" s="59"/>
      <c r="AL638" s="59" t="str">
        <f>IFERROR(VLOOKUP(Tabelle32[[#This Row],[Device ID]],BOM!$B$3:$BQ$35,42,FALSE),"")</f>
        <v>Imagine Communications SNP</v>
      </c>
      <c r="AM638" s="59" t="str">
        <f>IFERROR(VLOOKUP(Tabelle32[[#This Row],[Device ID]],BOM!$B$3:$BQ$35,43,FALSE),"")</f>
        <v>no</v>
      </c>
      <c r="AN638" s="59" t="str">
        <f>IFERROR(VLOOKUP(Tabelle32[[#This Row],[Device ID]],BOM!$B$3:$BQ$35,44,FALSE),"")</f>
        <v>yes</v>
      </c>
      <c r="AO638" s="59" t="str">
        <f>IFERROR(VLOOKUP(Tabelle32[[#This Row],[Device ID]],BOM!$B$3:$BQ$35,45,FALSE),"")</f>
        <v>no</v>
      </c>
      <c r="AP638" s="59" t="str">
        <f>IFERROR(CONCATENATE(Tabelle32[[#This Row],[Family
GFX-Unit]]," | ",Tabelle32[[#This Row],[Label 1
GFX-Unit]]," | ",Tabelle32[[#This Row],[Attached Device if Gateway]]),"")</f>
        <v>MEDEM Edits Out | Out Edit23-02 | EditPC-23</v>
      </c>
      <c r="AQ638" s="59"/>
      <c r="AR638" s="92"/>
      <c r="AS638" s="92"/>
      <c r="AT638" s="92"/>
      <c r="AU638" s="92"/>
      <c r="AV638" s="92"/>
      <c r="AW638" s="92" t="s">
        <v>97</v>
      </c>
      <c r="AX638" s="92" t="s">
        <v>199</v>
      </c>
      <c r="AY638" s="92" t="s">
        <v>199</v>
      </c>
      <c r="AZ638" s="92"/>
      <c r="BA638" s="92"/>
      <c r="BB638" s="92"/>
      <c r="BC638" s="92"/>
      <c r="BD638" s="92"/>
      <c r="BE638" s="92"/>
      <c r="BF638" s="92"/>
      <c r="BG638" s="92"/>
      <c r="BH638" s="73" t="s">
        <v>199</v>
      </c>
      <c r="BI638" s="30" t="str">
        <f>IF(COUNTA(Tabelle32[[#This Row],[Type:Vid_1080i50]:[Type:Anc_Prot]])&gt;0,"x","")</f>
        <v>x</v>
      </c>
      <c r="BJ63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38" s="59"/>
      <c r="BL638" s="59"/>
      <c r="BM638" s="63"/>
      <c r="BN638" s="63"/>
      <c r="BO638" s="97" t="s">
        <v>732</v>
      </c>
      <c r="BP638" s="97" t="s">
        <v>1154</v>
      </c>
      <c r="BQ638" s="75">
        <f>LEN(Tabelle32[[#This Row],[Label 1
GFX-Unit]])</f>
        <v>13</v>
      </c>
      <c r="BR638" s="63"/>
      <c r="BS638" s="63"/>
      <c r="BT638" s="59"/>
      <c r="BU638" s="59"/>
      <c r="BV638" s="59" t="s">
        <v>218</v>
      </c>
      <c r="BW638" s="59" t="s">
        <v>219</v>
      </c>
      <c r="BX638" s="59" t="s">
        <v>1155</v>
      </c>
      <c r="BY638" s="59">
        <v>31</v>
      </c>
    </row>
    <row r="639" spans="1:77" x14ac:dyDescent="0.2">
      <c r="A639" s="58" t="str">
        <f>CONCATENATE(Tabelle32[[#This Row],[Device ID]],".",Tabelle32[[#This Row],[Streamcounter]])</f>
        <v>2156.31203</v>
      </c>
      <c r="B63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VGW-103_SDI31_AUDsend_0003</v>
      </c>
      <c r="C639" s="67"/>
      <c r="D639" s="61"/>
      <c r="E639" s="67"/>
      <c r="F639" s="59" t="str">
        <f>IFERROR(VLOOKUP(Tabelle32[[#This Row],[Device ID]],BOM!$B$3:$BQ$35,16,FALSE),"")</f>
        <v>EditPC-23</v>
      </c>
      <c r="G639" s="63">
        <f>VLOOKUP(Tabelle32[[#This Row],[SDI Interface]],BOM!$A$4:$B$35,2,FALSE)</f>
        <v>2156</v>
      </c>
      <c r="H639" s="59" t="str">
        <f>BOM!$C$4</f>
        <v>VGW-103</v>
      </c>
      <c r="I639" s="59" t="str">
        <f>IFERROR(VLOOKUP(Tabelle32[[#This Row],[Device ID]],BOM!$B$3:$BQ$35,12,FALSE),"")</f>
        <v>Edit Suite</v>
      </c>
      <c r="J639" s="59" t="str">
        <f>IFERROR(VLOOKUP(Tabelle32[[#This Row],[Device ID]],BOM!$B$3:$BQ$35,13,FALSE),"")</f>
        <v>TC.U1.223 | MDC</v>
      </c>
      <c r="K639" s="59" t="str">
        <f>IFERROR(VLOOKUP(Tabelle32[[#This Row],[Device ID]],BOM!$B$3:$BQ$35,14,FALSE),"")</f>
        <v>Imagine Comunications</v>
      </c>
      <c r="L639" s="59" t="str">
        <f>IFERROR(VLOOKUP(Tabelle32[[#This Row],[Device ID]],BOM!$B$3:$BQ$35,16,FALSE),"")</f>
        <v>EditPC-23</v>
      </c>
      <c r="M639" s="63" t="str">
        <f>IFERROR(VLOOKUP(Tabelle32[[#This Row],[Device ID]],BOM!$B$3:$BQ$35,17,FALSE),"")</f>
        <v>EDIT SUITE 23</v>
      </c>
      <c r="N639" s="59" t="str">
        <f>IFERROR(VLOOKUP(Tabelle32[[#This Row],[Device ID]],BOM!$B$3:$BQ$35,18,FALSE),"")</f>
        <v>NEBEZ.V3.15 | Edit 23</v>
      </c>
      <c r="O639" s="64"/>
      <c r="P639" s="64">
        <f>IFERROR(VLOOKUP(Tabelle32[[#This Row],[Device ID]],BOM!$B$3:$BO$50,20,FALSE),"")</f>
        <v>0</v>
      </c>
      <c r="Q639" s="64">
        <f>IFERROR(VLOOKUP(Tabelle32[[#This Row],[Device ID]],BOM!$B$3:$BO$50,21,FALSE),"")</f>
        <v>1</v>
      </c>
      <c r="R639" s="64">
        <f>IFERROR(VLOOKUP(Tabelle32[[#This Row],[Device ID]],BOM!$B$3:$BO$50,22,FALSE),"")</f>
        <v>0</v>
      </c>
      <c r="S639" s="64"/>
      <c r="T639" s="64"/>
      <c r="U639" s="59" t="str">
        <f>IFERROR(VLOOKUP(Tabelle32[[#This Row],[Device ID]],BOM!$B$3:$BQ$35,25,FALSE),"")</f>
        <v>Luis/Ivo</v>
      </c>
      <c r="V639" s="59" t="str">
        <f>IFERROR(VLOOKUP(Tabelle32[[#This Row],[Device ID]],BOM!$B$3:$BQ$35,26,FALSE),"")</f>
        <v>tpco-megw-vgw103.rta.st-net.media.int</v>
      </c>
      <c r="W639" s="59" t="str">
        <f>IFERROR(VLOOKUP(Tabelle32[[#This Row],[Device ID]],BOM!$B$3:$BQ$35,27,FALSE),"")</f>
        <v>10.120.236.50</v>
      </c>
      <c r="X639" s="59" t="str">
        <f>IFERROR(VLOOKUP(Tabelle32[[#This Row],[Device ID]],BOM!$B$3:$BQ$35,28,FALSE),"")</f>
        <v>AVCoreA</v>
      </c>
      <c r="Y639" s="59" t="str">
        <f>IFERROR(VLOOKUP(Tabelle32[[#This Row],[Device ID]],BOM!$B$3:$BQ$35,29,FALSE),"")</f>
        <v>5_36_1</v>
      </c>
      <c r="Z639" s="59" t="str">
        <f>IFERROR(VLOOKUP(Tabelle32[[#This Row],[Device ID]],BOM!$B$3:$BQ$35,30,FALSE),"")</f>
        <v>tpco-megw-vgw103.rtb.st-net.media.int</v>
      </c>
      <c r="AA639" s="59" t="str">
        <f>IFERROR(VLOOKUP(Tabelle32[[#This Row],[Device ID]],BOM!$B$3:$BQ$35,31,FALSE),"")</f>
        <v>10.120.236.54</v>
      </c>
      <c r="AB639" s="59" t="str">
        <f>IFERROR(VLOOKUP(Tabelle32[[#This Row],[Device ID]],BOM!$B$3:$BQ$35,32,FALSE),"")</f>
        <v>AVCoreB</v>
      </c>
      <c r="AC639" s="59" t="str">
        <f>IFERROR(VLOOKUP(Tabelle32[[#This Row],[Device ID]],BOM!$B$3:$BQ$35,33,FALSE),"")</f>
        <v>5_36_1</v>
      </c>
      <c r="AD639" s="59" t="str">
        <f>IFERROR(VLOOKUP(Tabelle32[[#This Row],[Device ID]],BOM!$B$3:$BQ$35,34,FALSE),"")</f>
        <v>tpco-megw-vgw103.st-net.media.int</v>
      </c>
      <c r="AE639" s="59" t="str">
        <f>IFERROR(VLOOKUP(Tabelle32[[#This Row],[Device ID]],BOM!$B$3:$BQ$35,35,FALSE),"")</f>
        <v>10.120.67.141</v>
      </c>
      <c r="AF639" s="59">
        <f>IFERROR(VLOOKUP(Tabelle32[[#This Row],[Device ID]],BOM!$B$3:$BQ$35,36,FALSE),"")</f>
        <v>0</v>
      </c>
      <c r="AG639" s="59">
        <f>IFERROR(VLOOKUP(Tabelle32[[#This Row],[Device ID]],BOM!$B$3:$BQ$35,37,FALSE),"")</f>
        <v>0</v>
      </c>
      <c r="AH639" s="59"/>
      <c r="AI639" s="59"/>
      <c r="AJ639" s="59"/>
      <c r="AK639" s="59"/>
      <c r="AL639" s="59" t="str">
        <f>IFERROR(VLOOKUP(Tabelle32[[#This Row],[Device ID]],BOM!$B$3:$BQ$35,42,FALSE),"")</f>
        <v>Imagine Communications SNP</v>
      </c>
      <c r="AM639" s="59" t="str">
        <f>IFERROR(VLOOKUP(Tabelle32[[#This Row],[Device ID]],BOM!$B$3:$BQ$35,43,FALSE),"")</f>
        <v>no</v>
      </c>
      <c r="AN639" s="59" t="str">
        <f>IFERROR(VLOOKUP(Tabelle32[[#This Row],[Device ID]],BOM!$B$3:$BQ$35,44,FALSE),"")</f>
        <v>yes</v>
      </c>
      <c r="AO639" s="59" t="str">
        <f>IFERROR(VLOOKUP(Tabelle32[[#This Row],[Device ID]],BOM!$B$3:$BQ$35,45,FALSE),"")</f>
        <v>no</v>
      </c>
      <c r="AP639" s="59" t="str">
        <f>IFERROR(CONCATENATE(Tabelle32[[#This Row],[Family
GFX-Unit]]," | ",Tabelle32[[#This Row],[Label 1
GFX-Unit]]," | ",Tabelle32[[#This Row],[Attached Device if Gateway]]),"")</f>
        <v>MEDEM Edits Out | Out Edit23-03 | EditPC-23</v>
      </c>
      <c r="AQ639" s="59"/>
      <c r="AR639" s="92"/>
      <c r="AS639" s="92"/>
      <c r="AT639" s="92"/>
      <c r="AU639" s="92"/>
      <c r="AV639" s="92"/>
      <c r="AW639" s="92" t="s">
        <v>97</v>
      </c>
      <c r="AX639" s="92" t="s">
        <v>199</v>
      </c>
      <c r="AY639" s="92" t="s">
        <v>199</v>
      </c>
      <c r="AZ639" s="92"/>
      <c r="BA639" s="92"/>
      <c r="BB639" s="92"/>
      <c r="BC639" s="92"/>
      <c r="BD639" s="92"/>
      <c r="BE639" s="92"/>
      <c r="BF639" s="92"/>
      <c r="BG639" s="92"/>
      <c r="BH639" s="73" t="s">
        <v>199</v>
      </c>
      <c r="BI639" s="30" t="str">
        <f>IF(COUNTA(Tabelle32[[#This Row],[Type:Vid_1080i50]:[Type:Anc_Prot]])&gt;0,"x","")</f>
        <v>x</v>
      </c>
      <c r="BJ63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39" s="59"/>
      <c r="BL639" s="59"/>
      <c r="BM639" s="63"/>
      <c r="BN639" s="63"/>
      <c r="BO639" s="97" t="s">
        <v>732</v>
      </c>
      <c r="BP639" s="97" t="s">
        <v>1156</v>
      </c>
      <c r="BQ639" s="75">
        <f>LEN(Tabelle32[[#This Row],[Label 1
GFX-Unit]])</f>
        <v>13</v>
      </c>
      <c r="BR639" s="63"/>
      <c r="BS639" s="63"/>
      <c r="BT639" s="59"/>
      <c r="BU639" s="59"/>
      <c r="BV639" s="59" t="s">
        <v>222</v>
      </c>
      <c r="BW639" s="59" t="s">
        <v>223</v>
      </c>
      <c r="BX639" s="59" t="s">
        <v>1157</v>
      </c>
      <c r="BY639" s="59">
        <v>31</v>
      </c>
    </row>
    <row r="640" spans="1:77" x14ac:dyDescent="0.2">
      <c r="A640" s="58" t="str">
        <f>CONCATENATE(Tabelle32[[#This Row],[Device ID]],".",Tabelle32[[#This Row],[Streamcounter]])</f>
        <v>2156.31204</v>
      </c>
      <c r="B64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VGW-103_SDI31_AUDsend_0004</v>
      </c>
      <c r="C640" s="67"/>
      <c r="D640" s="61"/>
      <c r="E640" s="67"/>
      <c r="F640" s="59" t="str">
        <f>IFERROR(VLOOKUP(Tabelle32[[#This Row],[Device ID]],BOM!$B$3:$BQ$35,16,FALSE),"")</f>
        <v>EditPC-23</v>
      </c>
      <c r="G640" s="63">
        <f>VLOOKUP(Tabelle32[[#This Row],[SDI Interface]],BOM!$A$4:$B$35,2,FALSE)</f>
        <v>2156</v>
      </c>
      <c r="H640" s="59" t="str">
        <f>BOM!$C$4</f>
        <v>VGW-103</v>
      </c>
      <c r="I640" s="59" t="str">
        <f>IFERROR(VLOOKUP(Tabelle32[[#This Row],[Device ID]],BOM!$B$3:$BQ$35,12,FALSE),"")</f>
        <v>Edit Suite</v>
      </c>
      <c r="J640" s="59" t="str">
        <f>IFERROR(VLOOKUP(Tabelle32[[#This Row],[Device ID]],BOM!$B$3:$BQ$35,13,FALSE),"")</f>
        <v>TC.U1.223 | MDC</v>
      </c>
      <c r="K640" s="59" t="str">
        <f>IFERROR(VLOOKUP(Tabelle32[[#This Row],[Device ID]],BOM!$B$3:$BQ$35,14,FALSE),"")</f>
        <v>Imagine Comunications</v>
      </c>
      <c r="L640" s="59" t="str">
        <f>IFERROR(VLOOKUP(Tabelle32[[#This Row],[Device ID]],BOM!$B$3:$BQ$35,16,FALSE),"")</f>
        <v>EditPC-23</v>
      </c>
      <c r="M640" s="63" t="str">
        <f>IFERROR(VLOOKUP(Tabelle32[[#This Row],[Device ID]],BOM!$B$3:$BQ$35,17,FALSE),"")</f>
        <v>EDIT SUITE 23</v>
      </c>
      <c r="N640" s="59" t="str">
        <f>IFERROR(VLOOKUP(Tabelle32[[#This Row],[Device ID]],BOM!$B$3:$BQ$35,18,FALSE),"")</f>
        <v>NEBEZ.V3.15 | Edit 23</v>
      </c>
      <c r="O640" s="64"/>
      <c r="P640" s="64">
        <f>IFERROR(VLOOKUP(Tabelle32[[#This Row],[Device ID]],BOM!$B$3:$BO$50,20,FALSE),"")</f>
        <v>0</v>
      </c>
      <c r="Q640" s="64">
        <f>IFERROR(VLOOKUP(Tabelle32[[#This Row],[Device ID]],BOM!$B$3:$BO$50,21,FALSE),"")</f>
        <v>1</v>
      </c>
      <c r="R640" s="64">
        <f>IFERROR(VLOOKUP(Tabelle32[[#This Row],[Device ID]],BOM!$B$3:$BO$50,22,FALSE),"")</f>
        <v>0</v>
      </c>
      <c r="S640" s="64"/>
      <c r="T640" s="64"/>
      <c r="U640" s="59" t="str">
        <f>IFERROR(VLOOKUP(Tabelle32[[#This Row],[Device ID]],BOM!$B$3:$BQ$35,25,FALSE),"")</f>
        <v>Luis/Ivo</v>
      </c>
      <c r="V640" s="59" t="str">
        <f>IFERROR(VLOOKUP(Tabelle32[[#This Row],[Device ID]],BOM!$B$3:$BQ$35,26,FALSE),"")</f>
        <v>tpco-megw-vgw103.rta.st-net.media.int</v>
      </c>
      <c r="W640" s="59" t="str">
        <f>IFERROR(VLOOKUP(Tabelle32[[#This Row],[Device ID]],BOM!$B$3:$BQ$35,27,FALSE),"")</f>
        <v>10.120.236.50</v>
      </c>
      <c r="X640" s="59" t="str">
        <f>IFERROR(VLOOKUP(Tabelle32[[#This Row],[Device ID]],BOM!$B$3:$BQ$35,28,FALSE),"")</f>
        <v>AVCoreA</v>
      </c>
      <c r="Y640" s="59" t="str">
        <f>IFERROR(VLOOKUP(Tabelle32[[#This Row],[Device ID]],BOM!$B$3:$BQ$35,29,FALSE),"")</f>
        <v>5_36_1</v>
      </c>
      <c r="Z640" s="59" t="str">
        <f>IFERROR(VLOOKUP(Tabelle32[[#This Row],[Device ID]],BOM!$B$3:$BQ$35,30,FALSE),"")</f>
        <v>tpco-megw-vgw103.rtb.st-net.media.int</v>
      </c>
      <c r="AA640" s="59" t="str">
        <f>IFERROR(VLOOKUP(Tabelle32[[#This Row],[Device ID]],BOM!$B$3:$BQ$35,31,FALSE),"")</f>
        <v>10.120.236.54</v>
      </c>
      <c r="AB640" s="59" t="str">
        <f>IFERROR(VLOOKUP(Tabelle32[[#This Row],[Device ID]],BOM!$B$3:$BQ$35,32,FALSE),"")</f>
        <v>AVCoreB</v>
      </c>
      <c r="AC640" s="59" t="str">
        <f>IFERROR(VLOOKUP(Tabelle32[[#This Row],[Device ID]],BOM!$B$3:$BQ$35,33,FALSE),"")</f>
        <v>5_36_1</v>
      </c>
      <c r="AD640" s="59" t="str">
        <f>IFERROR(VLOOKUP(Tabelle32[[#This Row],[Device ID]],BOM!$B$3:$BQ$35,34,FALSE),"")</f>
        <v>tpco-megw-vgw103.st-net.media.int</v>
      </c>
      <c r="AE640" s="59" t="str">
        <f>IFERROR(VLOOKUP(Tabelle32[[#This Row],[Device ID]],BOM!$B$3:$BQ$35,35,FALSE),"")</f>
        <v>10.120.67.141</v>
      </c>
      <c r="AF640" s="59">
        <f>IFERROR(VLOOKUP(Tabelle32[[#This Row],[Device ID]],BOM!$B$3:$BQ$35,36,FALSE),"")</f>
        <v>0</v>
      </c>
      <c r="AG640" s="59">
        <f>IFERROR(VLOOKUP(Tabelle32[[#This Row],[Device ID]],BOM!$B$3:$BQ$35,37,FALSE),"")</f>
        <v>0</v>
      </c>
      <c r="AH640" s="59"/>
      <c r="AI640" s="59"/>
      <c r="AJ640" s="59"/>
      <c r="AK640" s="59"/>
      <c r="AL640" s="59" t="str">
        <f>IFERROR(VLOOKUP(Tabelle32[[#This Row],[Device ID]],BOM!$B$3:$BQ$35,42,FALSE),"")</f>
        <v>Imagine Communications SNP</v>
      </c>
      <c r="AM640" s="59" t="str">
        <f>IFERROR(VLOOKUP(Tabelle32[[#This Row],[Device ID]],BOM!$B$3:$BQ$35,43,FALSE),"")</f>
        <v>no</v>
      </c>
      <c r="AN640" s="59" t="str">
        <f>IFERROR(VLOOKUP(Tabelle32[[#This Row],[Device ID]],BOM!$B$3:$BQ$35,44,FALSE),"")</f>
        <v>yes</v>
      </c>
      <c r="AO640" s="59" t="str">
        <f>IFERROR(VLOOKUP(Tabelle32[[#This Row],[Device ID]],BOM!$B$3:$BQ$35,45,FALSE),"")</f>
        <v>no</v>
      </c>
      <c r="AP640" s="59" t="str">
        <f>IFERROR(CONCATENATE(Tabelle32[[#This Row],[Family
GFX-Unit]]," | ",Tabelle32[[#This Row],[Label 1
GFX-Unit]]," | ",Tabelle32[[#This Row],[Attached Device if Gateway]]),"")</f>
        <v>MEDEM Edits Out | Out Edit23-04 | EditPC-23</v>
      </c>
      <c r="AQ640" s="59"/>
      <c r="AR640" s="92"/>
      <c r="AS640" s="92"/>
      <c r="AT640" s="92"/>
      <c r="AU640" s="92"/>
      <c r="AV640" s="92"/>
      <c r="AW640" s="92"/>
      <c r="AX640" s="92" t="s">
        <v>199</v>
      </c>
      <c r="AY640" s="92" t="s">
        <v>199</v>
      </c>
      <c r="AZ640" s="92" t="s">
        <v>97</v>
      </c>
      <c r="BA640" s="92"/>
      <c r="BB640" s="92"/>
      <c r="BC640" s="92"/>
      <c r="BD640" s="92"/>
      <c r="BE640" s="92"/>
      <c r="BF640" s="92"/>
      <c r="BG640" s="92"/>
      <c r="BH640" s="73" t="s">
        <v>199</v>
      </c>
      <c r="BI640" s="30" t="str">
        <f>IF(COUNTA(Tabelle32[[#This Row],[Type:Vid_1080i50]:[Type:Anc_Prot]])&gt;0,"x","")</f>
        <v>x</v>
      </c>
      <c r="BJ64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40" s="59"/>
      <c r="BL640" s="59"/>
      <c r="BM640" s="63"/>
      <c r="BN640" s="63"/>
      <c r="BO640" s="97" t="s">
        <v>732</v>
      </c>
      <c r="BP640" s="97" t="s">
        <v>1158</v>
      </c>
      <c r="BQ640" s="75">
        <f>LEN(Tabelle32[[#This Row],[Label 1
GFX-Unit]])</f>
        <v>13</v>
      </c>
      <c r="BR640" s="63"/>
      <c r="BS640" s="63"/>
      <c r="BT640" s="59"/>
      <c r="BU640" s="59"/>
      <c r="BV640" s="59" t="s">
        <v>226</v>
      </c>
      <c r="BW640" s="59" t="s">
        <v>227</v>
      </c>
      <c r="BX640" s="59" t="s">
        <v>1159</v>
      </c>
      <c r="BY640" s="59">
        <v>31</v>
      </c>
    </row>
    <row r="641" spans="1:77" x14ac:dyDescent="0.2">
      <c r="A641" s="58" t="str">
        <f>CONCATENATE(Tabelle32[[#This Row],[Device ID]],".",Tabelle32[[#This Row],[Streamcounter]])</f>
        <v>2156.31205</v>
      </c>
      <c r="B64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VGW-103_SDI31_AUDsend_0005</v>
      </c>
      <c r="C641" s="67"/>
      <c r="D641" s="61"/>
      <c r="E641" s="67"/>
      <c r="F641" s="59" t="str">
        <f>IFERROR(VLOOKUP(Tabelle32[[#This Row],[Device ID]],BOM!$B$3:$BQ$35,16,FALSE),"")</f>
        <v>EditPC-23</v>
      </c>
      <c r="G641" s="63">
        <f>VLOOKUP(Tabelle32[[#This Row],[SDI Interface]],BOM!$A$4:$B$35,2,FALSE)</f>
        <v>2156</v>
      </c>
      <c r="H641" s="59" t="str">
        <f>BOM!$C$4</f>
        <v>VGW-103</v>
      </c>
      <c r="I641" s="59" t="str">
        <f>IFERROR(VLOOKUP(Tabelle32[[#This Row],[Device ID]],BOM!$B$3:$BQ$35,12,FALSE),"")</f>
        <v>Edit Suite</v>
      </c>
      <c r="J641" s="59" t="str">
        <f>IFERROR(VLOOKUP(Tabelle32[[#This Row],[Device ID]],BOM!$B$3:$BQ$35,13,FALSE),"")</f>
        <v>TC.U1.223 | MDC</v>
      </c>
      <c r="K641" s="59" t="str">
        <f>IFERROR(VLOOKUP(Tabelle32[[#This Row],[Device ID]],BOM!$B$3:$BQ$35,14,FALSE),"")</f>
        <v>Imagine Comunications</v>
      </c>
      <c r="L641" s="59" t="str">
        <f>IFERROR(VLOOKUP(Tabelle32[[#This Row],[Device ID]],BOM!$B$3:$BQ$35,16,FALSE),"")</f>
        <v>EditPC-23</v>
      </c>
      <c r="M641" s="63" t="str">
        <f>IFERROR(VLOOKUP(Tabelle32[[#This Row],[Device ID]],BOM!$B$3:$BQ$35,17,FALSE),"")</f>
        <v>EDIT SUITE 23</v>
      </c>
      <c r="N641" s="59" t="str">
        <f>IFERROR(VLOOKUP(Tabelle32[[#This Row],[Device ID]],BOM!$B$3:$BQ$35,18,FALSE),"")</f>
        <v>NEBEZ.V3.15 | Edit 23</v>
      </c>
      <c r="O641" s="64"/>
      <c r="P641" s="64">
        <f>IFERROR(VLOOKUP(Tabelle32[[#This Row],[Device ID]],BOM!$B$3:$BO$50,20,FALSE),"")</f>
        <v>0</v>
      </c>
      <c r="Q641" s="64">
        <f>IFERROR(VLOOKUP(Tabelle32[[#This Row],[Device ID]],BOM!$B$3:$BO$50,21,FALSE),"")</f>
        <v>1</v>
      </c>
      <c r="R641" s="64">
        <f>IFERROR(VLOOKUP(Tabelle32[[#This Row],[Device ID]],BOM!$B$3:$BO$50,22,FALSE),"")</f>
        <v>0</v>
      </c>
      <c r="S641" s="64"/>
      <c r="T641" s="64"/>
      <c r="U641" s="59" t="str">
        <f>IFERROR(VLOOKUP(Tabelle32[[#This Row],[Device ID]],BOM!$B$3:$BQ$35,25,FALSE),"")</f>
        <v>Luis/Ivo</v>
      </c>
      <c r="V641" s="59" t="str">
        <f>IFERROR(VLOOKUP(Tabelle32[[#This Row],[Device ID]],BOM!$B$3:$BQ$35,26,FALSE),"")</f>
        <v>tpco-megw-vgw103.rta.st-net.media.int</v>
      </c>
      <c r="W641" s="59" t="str">
        <f>IFERROR(VLOOKUP(Tabelle32[[#This Row],[Device ID]],BOM!$B$3:$BQ$35,27,FALSE),"")</f>
        <v>10.120.236.50</v>
      </c>
      <c r="X641" s="59" t="str">
        <f>IFERROR(VLOOKUP(Tabelle32[[#This Row],[Device ID]],BOM!$B$3:$BQ$35,28,FALSE),"")</f>
        <v>AVCoreA</v>
      </c>
      <c r="Y641" s="59" t="str">
        <f>IFERROR(VLOOKUP(Tabelle32[[#This Row],[Device ID]],BOM!$B$3:$BQ$35,29,FALSE),"")</f>
        <v>5_36_1</v>
      </c>
      <c r="Z641" s="59" t="str">
        <f>IFERROR(VLOOKUP(Tabelle32[[#This Row],[Device ID]],BOM!$B$3:$BQ$35,30,FALSE),"")</f>
        <v>tpco-megw-vgw103.rtb.st-net.media.int</v>
      </c>
      <c r="AA641" s="59" t="str">
        <f>IFERROR(VLOOKUP(Tabelle32[[#This Row],[Device ID]],BOM!$B$3:$BQ$35,31,FALSE),"")</f>
        <v>10.120.236.54</v>
      </c>
      <c r="AB641" s="59" t="str">
        <f>IFERROR(VLOOKUP(Tabelle32[[#This Row],[Device ID]],BOM!$B$3:$BQ$35,32,FALSE),"")</f>
        <v>AVCoreB</v>
      </c>
      <c r="AC641" s="59" t="str">
        <f>IFERROR(VLOOKUP(Tabelle32[[#This Row],[Device ID]],BOM!$B$3:$BQ$35,33,FALSE),"")</f>
        <v>5_36_1</v>
      </c>
      <c r="AD641" s="59" t="str">
        <f>IFERROR(VLOOKUP(Tabelle32[[#This Row],[Device ID]],BOM!$B$3:$BQ$35,34,FALSE),"")</f>
        <v>tpco-megw-vgw103.st-net.media.int</v>
      </c>
      <c r="AE641" s="59" t="str">
        <f>IFERROR(VLOOKUP(Tabelle32[[#This Row],[Device ID]],BOM!$B$3:$BQ$35,35,FALSE),"")</f>
        <v>10.120.67.141</v>
      </c>
      <c r="AF641" s="59">
        <f>IFERROR(VLOOKUP(Tabelle32[[#This Row],[Device ID]],BOM!$B$3:$BQ$35,36,FALSE),"")</f>
        <v>0</v>
      </c>
      <c r="AG641" s="59">
        <f>IFERROR(VLOOKUP(Tabelle32[[#This Row],[Device ID]],BOM!$B$3:$BQ$35,37,FALSE),"")</f>
        <v>0</v>
      </c>
      <c r="AH641" s="59"/>
      <c r="AI641" s="59"/>
      <c r="AJ641" s="59"/>
      <c r="AK641" s="59"/>
      <c r="AL641" s="59" t="str">
        <f>IFERROR(VLOOKUP(Tabelle32[[#This Row],[Device ID]],BOM!$B$3:$BQ$35,42,FALSE),"")</f>
        <v>Imagine Communications SNP</v>
      </c>
      <c r="AM641" s="59" t="str">
        <f>IFERROR(VLOOKUP(Tabelle32[[#This Row],[Device ID]],BOM!$B$3:$BQ$35,43,FALSE),"")</f>
        <v>no</v>
      </c>
      <c r="AN641" s="59" t="str">
        <f>IFERROR(VLOOKUP(Tabelle32[[#This Row],[Device ID]],BOM!$B$3:$BQ$35,44,FALSE),"")</f>
        <v>yes</v>
      </c>
      <c r="AO641" s="59" t="str">
        <f>IFERROR(VLOOKUP(Tabelle32[[#This Row],[Device ID]],BOM!$B$3:$BQ$35,45,FALSE),"")</f>
        <v>no</v>
      </c>
      <c r="AP641" s="59" t="str">
        <f>IFERROR(CONCATENATE(Tabelle32[[#This Row],[Family
GFX-Unit]]," | ",Tabelle32[[#This Row],[Label 1
GFX-Unit]]," | ",Tabelle32[[#This Row],[Attached Device if Gateway]]),"")</f>
        <v>MEDEM Edits Out | Out Edit23-05 | EditPC-23</v>
      </c>
      <c r="AQ641" s="59"/>
      <c r="AR641" s="92"/>
      <c r="AS641" s="92"/>
      <c r="AT641" s="92"/>
      <c r="AU641" s="92"/>
      <c r="AV641" s="92"/>
      <c r="AW641" s="92" t="s">
        <v>97</v>
      </c>
      <c r="AX641" s="92" t="s">
        <v>199</v>
      </c>
      <c r="AY641" s="92" t="s">
        <v>199</v>
      </c>
      <c r="AZ641" s="92"/>
      <c r="BA641" s="92"/>
      <c r="BB641" s="92"/>
      <c r="BC641" s="92"/>
      <c r="BD641" s="92"/>
      <c r="BE641" s="92"/>
      <c r="BF641" s="92"/>
      <c r="BG641" s="92"/>
      <c r="BH641" s="73" t="s">
        <v>199</v>
      </c>
      <c r="BI641" s="30" t="str">
        <f>IF(COUNTA(Tabelle32[[#This Row],[Type:Vid_1080i50]:[Type:Anc_Prot]])&gt;0,"x","")</f>
        <v>x</v>
      </c>
      <c r="BJ64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41" s="59"/>
      <c r="BL641" s="59"/>
      <c r="BM641" s="63"/>
      <c r="BN641" s="63"/>
      <c r="BO641" s="97" t="s">
        <v>732</v>
      </c>
      <c r="BP641" s="97" t="s">
        <v>1160</v>
      </c>
      <c r="BQ641" s="75">
        <f>LEN(Tabelle32[[#This Row],[Label 1
GFX-Unit]])</f>
        <v>13</v>
      </c>
      <c r="BR641" s="63"/>
      <c r="BS641" s="63"/>
      <c r="BT641" s="59"/>
      <c r="BU641" s="59"/>
      <c r="BV641" s="59" t="s">
        <v>230</v>
      </c>
      <c r="BW641" s="59" t="s">
        <v>231</v>
      </c>
      <c r="BX641" s="59" t="s">
        <v>1161</v>
      </c>
      <c r="BY641" s="59">
        <v>31</v>
      </c>
    </row>
    <row r="642" spans="1:77" x14ac:dyDescent="0.2">
      <c r="A642" s="58" t="str">
        <f>CONCATENATE(Tabelle32[[#This Row],[Device ID]],".",Tabelle32[[#This Row],[Streamcounter]])</f>
        <v>2156.31206</v>
      </c>
      <c r="B64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VGW-103_SDI31_AUDsend_0006</v>
      </c>
      <c r="C642" s="67"/>
      <c r="D642" s="61"/>
      <c r="E642" s="67"/>
      <c r="F642" s="59" t="str">
        <f>IFERROR(VLOOKUP(Tabelle32[[#This Row],[Device ID]],BOM!$B$3:$BQ$35,16,FALSE),"")</f>
        <v>EditPC-23</v>
      </c>
      <c r="G642" s="63">
        <f>VLOOKUP(Tabelle32[[#This Row],[SDI Interface]],BOM!$A$4:$B$35,2,FALSE)</f>
        <v>2156</v>
      </c>
      <c r="H642" s="59" t="str">
        <f>BOM!$C$4</f>
        <v>VGW-103</v>
      </c>
      <c r="I642" s="59" t="str">
        <f>IFERROR(VLOOKUP(Tabelle32[[#This Row],[Device ID]],BOM!$B$3:$BQ$35,12,FALSE),"")</f>
        <v>Edit Suite</v>
      </c>
      <c r="J642" s="59" t="str">
        <f>IFERROR(VLOOKUP(Tabelle32[[#This Row],[Device ID]],BOM!$B$3:$BQ$35,13,FALSE),"")</f>
        <v>TC.U1.223 | MDC</v>
      </c>
      <c r="K642" s="59" t="str">
        <f>IFERROR(VLOOKUP(Tabelle32[[#This Row],[Device ID]],BOM!$B$3:$BQ$35,14,FALSE),"")</f>
        <v>Imagine Comunications</v>
      </c>
      <c r="L642" s="59" t="str">
        <f>IFERROR(VLOOKUP(Tabelle32[[#This Row],[Device ID]],BOM!$B$3:$BQ$35,16,FALSE),"")</f>
        <v>EditPC-23</v>
      </c>
      <c r="M642" s="63" t="str">
        <f>IFERROR(VLOOKUP(Tabelle32[[#This Row],[Device ID]],BOM!$B$3:$BQ$35,17,FALSE),"")</f>
        <v>EDIT SUITE 23</v>
      </c>
      <c r="N642" s="59" t="str">
        <f>IFERROR(VLOOKUP(Tabelle32[[#This Row],[Device ID]],BOM!$B$3:$BQ$35,18,FALSE),"")</f>
        <v>NEBEZ.V3.15 | Edit 23</v>
      </c>
      <c r="O642" s="64"/>
      <c r="P642" s="64">
        <f>IFERROR(VLOOKUP(Tabelle32[[#This Row],[Device ID]],BOM!$B$3:$BO$50,20,FALSE),"")</f>
        <v>0</v>
      </c>
      <c r="Q642" s="64">
        <f>IFERROR(VLOOKUP(Tabelle32[[#This Row],[Device ID]],BOM!$B$3:$BO$50,21,FALSE),"")</f>
        <v>1</v>
      </c>
      <c r="R642" s="64">
        <f>IFERROR(VLOOKUP(Tabelle32[[#This Row],[Device ID]],BOM!$B$3:$BO$50,22,FALSE),"")</f>
        <v>0</v>
      </c>
      <c r="S642" s="64"/>
      <c r="T642" s="64"/>
      <c r="U642" s="59" t="str">
        <f>IFERROR(VLOOKUP(Tabelle32[[#This Row],[Device ID]],BOM!$B$3:$BQ$35,25,FALSE),"")</f>
        <v>Luis/Ivo</v>
      </c>
      <c r="V642" s="59" t="str">
        <f>IFERROR(VLOOKUP(Tabelle32[[#This Row],[Device ID]],BOM!$B$3:$BQ$35,26,FALSE),"")</f>
        <v>tpco-megw-vgw103.rta.st-net.media.int</v>
      </c>
      <c r="W642" s="59" t="str">
        <f>IFERROR(VLOOKUP(Tabelle32[[#This Row],[Device ID]],BOM!$B$3:$BQ$35,27,FALSE),"")</f>
        <v>10.120.236.50</v>
      </c>
      <c r="X642" s="59" t="str">
        <f>IFERROR(VLOOKUP(Tabelle32[[#This Row],[Device ID]],BOM!$B$3:$BQ$35,28,FALSE),"")</f>
        <v>AVCoreA</v>
      </c>
      <c r="Y642" s="59" t="str">
        <f>IFERROR(VLOOKUP(Tabelle32[[#This Row],[Device ID]],BOM!$B$3:$BQ$35,29,FALSE),"")</f>
        <v>5_36_1</v>
      </c>
      <c r="Z642" s="59" t="str">
        <f>IFERROR(VLOOKUP(Tabelle32[[#This Row],[Device ID]],BOM!$B$3:$BQ$35,30,FALSE),"")</f>
        <v>tpco-megw-vgw103.rtb.st-net.media.int</v>
      </c>
      <c r="AA642" s="59" t="str">
        <f>IFERROR(VLOOKUP(Tabelle32[[#This Row],[Device ID]],BOM!$B$3:$BQ$35,31,FALSE),"")</f>
        <v>10.120.236.54</v>
      </c>
      <c r="AB642" s="59" t="str">
        <f>IFERROR(VLOOKUP(Tabelle32[[#This Row],[Device ID]],BOM!$B$3:$BQ$35,32,FALSE),"")</f>
        <v>AVCoreB</v>
      </c>
      <c r="AC642" s="59" t="str">
        <f>IFERROR(VLOOKUP(Tabelle32[[#This Row],[Device ID]],BOM!$B$3:$BQ$35,33,FALSE),"")</f>
        <v>5_36_1</v>
      </c>
      <c r="AD642" s="59" t="str">
        <f>IFERROR(VLOOKUP(Tabelle32[[#This Row],[Device ID]],BOM!$B$3:$BQ$35,34,FALSE),"")</f>
        <v>tpco-megw-vgw103.st-net.media.int</v>
      </c>
      <c r="AE642" s="59" t="str">
        <f>IFERROR(VLOOKUP(Tabelle32[[#This Row],[Device ID]],BOM!$B$3:$BQ$35,35,FALSE),"")</f>
        <v>10.120.67.141</v>
      </c>
      <c r="AF642" s="59">
        <f>IFERROR(VLOOKUP(Tabelle32[[#This Row],[Device ID]],BOM!$B$3:$BQ$35,36,FALSE),"")</f>
        <v>0</v>
      </c>
      <c r="AG642" s="59">
        <f>IFERROR(VLOOKUP(Tabelle32[[#This Row],[Device ID]],BOM!$B$3:$BQ$35,37,FALSE),"")</f>
        <v>0</v>
      </c>
      <c r="AH642" s="59"/>
      <c r="AI642" s="59"/>
      <c r="AJ642" s="59"/>
      <c r="AK642" s="59"/>
      <c r="AL642" s="59" t="str">
        <f>IFERROR(VLOOKUP(Tabelle32[[#This Row],[Device ID]],BOM!$B$3:$BQ$35,42,FALSE),"")</f>
        <v>Imagine Communications SNP</v>
      </c>
      <c r="AM642" s="59" t="str">
        <f>IFERROR(VLOOKUP(Tabelle32[[#This Row],[Device ID]],BOM!$B$3:$BQ$35,43,FALSE),"")</f>
        <v>no</v>
      </c>
      <c r="AN642" s="59" t="str">
        <f>IFERROR(VLOOKUP(Tabelle32[[#This Row],[Device ID]],BOM!$B$3:$BQ$35,44,FALSE),"")</f>
        <v>yes</v>
      </c>
      <c r="AO642" s="59" t="str">
        <f>IFERROR(VLOOKUP(Tabelle32[[#This Row],[Device ID]],BOM!$B$3:$BQ$35,45,FALSE),"")</f>
        <v>no</v>
      </c>
      <c r="AP642" s="59" t="str">
        <f>IFERROR(CONCATENATE(Tabelle32[[#This Row],[Family
GFX-Unit]]," | ",Tabelle32[[#This Row],[Label 1
GFX-Unit]]," | ",Tabelle32[[#This Row],[Attached Device if Gateway]]),"")</f>
        <v>MEDEM Edits Out | Out Edit23-06 | EditPC-23</v>
      </c>
      <c r="AQ642" s="59"/>
      <c r="AR642" s="92"/>
      <c r="AS642" s="92"/>
      <c r="AT642" s="92"/>
      <c r="AU642" s="92"/>
      <c r="AV642" s="92"/>
      <c r="AW642" s="92" t="s">
        <v>97</v>
      </c>
      <c r="AX642" s="92" t="s">
        <v>199</v>
      </c>
      <c r="AY642" s="92" t="s">
        <v>199</v>
      </c>
      <c r="AZ642" s="92"/>
      <c r="BA642" s="92"/>
      <c r="BB642" s="92"/>
      <c r="BC642" s="92"/>
      <c r="BD642" s="92"/>
      <c r="BE642" s="92"/>
      <c r="BF642" s="92"/>
      <c r="BG642" s="92"/>
      <c r="BH642" s="73" t="s">
        <v>199</v>
      </c>
      <c r="BI642" s="30" t="str">
        <f>IF(COUNTA(Tabelle32[[#This Row],[Type:Vid_1080i50]:[Type:Anc_Prot]])&gt;0,"x","")</f>
        <v>x</v>
      </c>
      <c r="BJ64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42" s="59"/>
      <c r="BL642" s="59"/>
      <c r="BM642" s="63"/>
      <c r="BN642" s="63"/>
      <c r="BO642" s="97" t="s">
        <v>732</v>
      </c>
      <c r="BP642" s="97" t="s">
        <v>1162</v>
      </c>
      <c r="BQ642" s="75">
        <f>LEN(Tabelle32[[#This Row],[Label 1
GFX-Unit]])</f>
        <v>13</v>
      </c>
      <c r="BR642" s="63"/>
      <c r="BS642" s="63"/>
      <c r="BT642" s="59"/>
      <c r="BU642" s="59"/>
      <c r="BV642" s="59" t="s">
        <v>234</v>
      </c>
      <c r="BW642" s="59" t="s">
        <v>235</v>
      </c>
      <c r="BX642" s="59" t="s">
        <v>1163</v>
      </c>
      <c r="BY642" s="59">
        <v>31</v>
      </c>
    </row>
    <row r="643" spans="1:77" x14ac:dyDescent="0.2">
      <c r="A643" s="58" t="str">
        <f>CONCATENATE(Tabelle32[[#This Row],[Device ID]],".",Tabelle32[[#This Row],[Streamcounter]])</f>
        <v>2156.31207</v>
      </c>
      <c r="B64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VGW-103_SDI31_AUDsend_0007</v>
      </c>
      <c r="C643" s="67"/>
      <c r="D643" s="61"/>
      <c r="E643" s="67"/>
      <c r="F643" s="59" t="str">
        <f>IFERROR(VLOOKUP(Tabelle32[[#This Row],[Device ID]],BOM!$B$3:$BQ$35,16,FALSE),"")</f>
        <v>EditPC-23</v>
      </c>
      <c r="G643" s="63">
        <f>VLOOKUP(Tabelle32[[#This Row],[SDI Interface]],BOM!$A$4:$B$35,2,FALSE)</f>
        <v>2156</v>
      </c>
      <c r="H643" s="59" t="str">
        <f>BOM!$C$4</f>
        <v>VGW-103</v>
      </c>
      <c r="I643" s="59" t="str">
        <f>IFERROR(VLOOKUP(Tabelle32[[#This Row],[Device ID]],BOM!$B$3:$BQ$35,12,FALSE),"")</f>
        <v>Edit Suite</v>
      </c>
      <c r="J643" s="59" t="str">
        <f>IFERROR(VLOOKUP(Tabelle32[[#This Row],[Device ID]],BOM!$B$3:$BQ$35,13,FALSE),"")</f>
        <v>TC.U1.223 | MDC</v>
      </c>
      <c r="K643" s="59" t="str">
        <f>IFERROR(VLOOKUP(Tabelle32[[#This Row],[Device ID]],BOM!$B$3:$BQ$35,14,FALSE),"")</f>
        <v>Imagine Comunications</v>
      </c>
      <c r="L643" s="59" t="str">
        <f>IFERROR(VLOOKUP(Tabelle32[[#This Row],[Device ID]],BOM!$B$3:$BQ$35,16,FALSE),"")</f>
        <v>EditPC-23</v>
      </c>
      <c r="M643" s="63" t="str">
        <f>IFERROR(VLOOKUP(Tabelle32[[#This Row],[Device ID]],BOM!$B$3:$BQ$35,17,FALSE),"")</f>
        <v>EDIT SUITE 23</v>
      </c>
      <c r="N643" s="59" t="str">
        <f>IFERROR(VLOOKUP(Tabelle32[[#This Row],[Device ID]],BOM!$B$3:$BQ$35,18,FALSE),"")</f>
        <v>NEBEZ.V3.15 | Edit 23</v>
      </c>
      <c r="O643" s="64"/>
      <c r="P643" s="64">
        <f>IFERROR(VLOOKUP(Tabelle32[[#This Row],[Device ID]],BOM!$B$3:$BO$50,20,FALSE),"")</f>
        <v>0</v>
      </c>
      <c r="Q643" s="64">
        <f>IFERROR(VLOOKUP(Tabelle32[[#This Row],[Device ID]],BOM!$B$3:$BO$50,21,FALSE),"")</f>
        <v>1</v>
      </c>
      <c r="R643" s="64">
        <f>IFERROR(VLOOKUP(Tabelle32[[#This Row],[Device ID]],BOM!$B$3:$BO$50,22,FALSE),"")</f>
        <v>0</v>
      </c>
      <c r="S643" s="64"/>
      <c r="T643" s="64"/>
      <c r="U643" s="59" t="str">
        <f>IFERROR(VLOOKUP(Tabelle32[[#This Row],[Device ID]],BOM!$B$3:$BQ$35,25,FALSE),"")</f>
        <v>Luis/Ivo</v>
      </c>
      <c r="V643" s="59" t="str">
        <f>IFERROR(VLOOKUP(Tabelle32[[#This Row],[Device ID]],BOM!$B$3:$BQ$35,26,FALSE),"")</f>
        <v>tpco-megw-vgw103.rta.st-net.media.int</v>
      </c>
      <c r="W643" s="59" t="str">
        <f>IFERROR(VLOOKUP(Tabelle32[[#This Row],[Device ID]],BOM!$B$3:$BQ$35,27,FALSE),"")</f>
        <v>10.120.236.50</v>
      </c>
      <c r="X643" s="59" t="str">
        <f>IFERROR(VLOOKUP(Tabelle32[[#This Row],[Device ID]],BOM!$B$3:$BQ$35,28,FALSE),"")</f>
        <v>AVCoreA</v>
      </c>
      <c r="Y643" s="59" t="str">
        <f>IFERROR(VLOOKUP(Tabelle32[[#This Row],[Device ID]],BOM!$B$3:$BQ$35,29,FALSE),"")</f>
        <v>5_36_1</v>
      </c>
      <c r="Z643" s="59" t="str">
        <f>IFERROR(VLOOKUP(Tabelle32[[#This Row],[Device ID]],BOM!$B$3:$BQ$35,30,FALSE),"")</f>
        <v>tpco-megw-vgw103.rtb.st-net.media.int</v>
      </c>
      <c r="AA643" s="59" t="str">
        <f>IFERROR(VLOOKUP(Tabelle32[[#This Row],[Device ID]],BOM!$B$3:$BQ$35,31,FALSE),"")</f>
        <v>10.120.236.54</v>
      </c>
      <c r="AB643" s="59" t="str">
        <f>IFERROR(VLOOKUP(Tabelle32[[#This Row],[Device ID]],BOM!$B$3:$BQ$35,32,FALSE),"")</f>
        <v>AVCoreB</v>
      </c>
      <c r="AC643" s="59" t="str">
        <f>IFERROR(VLOOKUP(Tabelle32[[#This Row],[Device ID]],BOM!$B$3:$BQ$35,33,FALSE),"")</f>
        <v>5_36_1</v>
      </c>
      <c r="AD643" s="59" t="str">
        <f>IFERROR(VLOOKUP(Tabelle32[[#This Row],[Device ID]],BOM!$B$3:$BQ$35,34,FALSE),"")</f>
        <v>tpco-megw-vgw103.st-net.media.int</v>
      </c>
      <c r="AE643" s="59" t="str">
        <f>IFERROR(VLOOKUP(Tabelle32[[#This Row],[Device ID]],BOM!$B$3:$BQ$35,35,FALSE),"")</f>
        <v>10.120.67.141</v>
      </c>
      <c r="AF643" s="59">
        <f>IFERROR(VLOOKUP(Tabelle32[[#This Row],[Device ID]],BOM!$B$3:$BQ$35,36,FALSE),"")</f>
        <v>0</v>
      </c>
      <c r="AG643" s="59">
        <f>IFERROR(VLOOKUP(Tabelle32[[#This Row],[Device ID]],BOM!$B$3:$BQ$35,37,FALSE),"")</f>
        <v>0</v>
      </c>
      <c r="AH643" s="59"/>
      <c r="AI643" s="59"/>
      <c r="AJ643" s="59"/>
      <c r="AK643" s="59"/>
      <c r="AL643" s="59" t="str">
        <f>IFERROR(VLOOKUP(Tabelle32[[#This Row],[Device ID]],BOM!$B$3:$BQ$35,42,FALSE),"")</f>
        <v>Imagine Communications SNP</v>
      </c>
      <c r="AM643" s="59" t="str">
        <f>IFERROR(VLOOKUP(Tabelle32[[#This Row],[Device ID]],BOM!$B$3:$BQ$35,43,FALSE),"")</f>
        <v>no</v>
      </c>
      <c r="AN643" s="59" t="str">
        <f>IFERROR(VLOOKUP(Tabelle32[[#This Row],[Device ID]],BOM!$B$3:$BQ$35,44,FALSE),"")</f>
        <v>yes</v>
      </c>
      <c r="AO643" s="59" t="str">
        <f>IFERROR(VLOOKUP(Tabelle32[[#This Row],[Device ID]],BOM!$B$3:$BQ$35,45,FALSE),"")</f>
        <v>no</v>
      </c>
      <c r="AP643" s="59" t="str">
        <f>IFERROR(CONCATENATE(Tabelle32[[#This Row],[Family
GFX-Unit]]," | ",Tabelle32[[#This Row],[Label 1
GFX-Unit]]," | ",Tabelle32[[#This Row],[Attached Device if Gateway]]),"")</f>
        <v>MEDEM Edits Out | Out Edit23-07 | EditPC-23</v>
      </c>
      <c r="AQ643" s="59"/>
      <c r="AR643" s="92"/>
      <c r="AS643" s="92"/>
      <c r="AT643" s="92"/>
      <c r="AU643" s="92"/>
      <c r="AV643" s="92"/>
      <c r="AW643" s="92"/>
      <c r="AX643" s="92" t="s">
        <v>199</v>
      </c>
      <c r="AY643" s="92" t="s">
        <v>199</v>
      </c>
      <c r="AZ643" s="92" t="s">
        <v>97</v>
      </c>
      <c r="BA643" s="92"/>
      <c r="BB643" s="92"/>
      <c r="BC643" s="92"/>
      <c r="BD643" s="92"/>
      <c r="BE643" s="92"/>
      <c r="BF643" s="92"/>
      <c r="BG643" s="92"/>
      <c r="BH643" s="73" t="s">
        <v>199</v>
      </c>
      <c r="BI643" s="30" t="str">
        <f>IF(COUNTA(Tabelle32[[#This Row],[Type:Vid_1080i50]:[Type:Anc_Prot]])&gt;0,"x","")</f>
        <v>x</v>
      </c>
      <c r="BJ64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43" s="59"/>
      <c r="BL643" s="59"/>
      <c r="BM643" s="63"/>
      <c r="BN643" s="63"/>
      <c r="BO643" s="97" t="s">
        <v>732</v>
      </c>
      <c r="BP643" s="97" t="s">
        <v>1164</v>
      </c>
      <c r="BQ643" s="75">
        <f>LEN(Tabelle32[[#This Row],[Label 1
GFX-Unit]])</f>
        <v>13</v>
      </c>
      <c r="BR643" s="63"/>
      <c r="BS643" s="63"/>
      <c r="BT643" s="59"/>
      <c r="BU643" s="59"/>
      <c r="BV643" s="59" t="s">
        <v>238</v>
      </c>
      <c r="BW643" s="59" t="s">
        <v>239</v>
      </c>
      <c r="BX643" s="59" t="s">
        <v>1165</v>
      </c>
      <c r="BY643" s="59">
        <v>31</v>
      </c>
    </row>
    <row r="644" spans="1:77" x14ac:dyDescent="0.2">
      <c r="A644" s="58" t="str">
        <f>CONCATENATE(Tabelle32[[#This Row],[Device ID]],".",Tabelle32[[#This Row],[Streamcounter]])</f>
        <v>2156.31208</v>
      </c>
      <c r="B64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VGW-103_SDI31_AUDsend_0008</v>
      </c>
      <c r="C644" s="67"/>
      <c r="D644" s="61"/>
      <c r="E644" s="67"/>
      <c r="F644" s="59" t="str">
        <f>IFERROR(VLOOKUP(Tabelle32[[#This Row],[Device ID]],BOM!$B$3:$BQ$35,16,FALSE),"")</f>
        <v>EditPC-23</v>
      </c>
      <c r="G644" s="63">
        <f>VLOOKUP(Tabelle32[[#This Row],[SDI Interface]],BOM!$A$4:$B$35,2,FALSE)</f>
        <v>2156</v>
      </c>
      <c r="H644" s="59" t="str">
        <f>BOM!$C$4</f>
        <v>VGW-103</v>
      </c>
      <c r="I644" s="59" t="str">
        <f>IFERROR(VLOOKUP(Tabelle32[[#This Row],[Device ID]],BOM!$B$3:$BQ$35,12,FALSE),"")</f>
        <v>Edit Suite</v>
      </c>
      <c r="J644" s="59" t="str">
        <f>IFERROR(VLOOKUP(Tabelle32[[#This Row],[Device ID]],BOM!$B$3:$BQ$35,13,FALSE),"")</f>
        <v>TC.U1.223 | MDC</v>
      </c>
      <c r="K644" s="59" t="str">
        <f>IFERROR(VLOOKUP(Tabelle32[[#This Row],[Device ID]],BOM!$B$3:$BQ$35,14,FALSE),"")</f>
        <v>Imagine Comunications</v>
      </c>
      <c r="L644" s="59" t="str">
        <f>IFERROR(VLOOKUP(Tabelle32[[#This Row],[Device ID]],BOM!$B$3:$BQ$35,16,FALSE),"")</f>
        <v>EditPC-23</v>
      </c>
      <c r="M644" s="63" t="str">
        <f>IFERROR(VLOOKUP(Tabelle32[[#This Row],[Device ID]],BOM!$B$3:$BQ$35,17,FALSE),"")</f>
        <v>EDIT SUITE 23</v>
      </c>
      <c r="N644" s="59" t="str">
        <f>IFERROR(VLOOKUP(Tabelle32[[#This Row],[Device ID]],BOM!$B$3:$BQ$35,18,FALSE),"")</f>
        <v>NEBEZ.V3.15 | Edit 23</v>
      </c>
      <c r="O644" s="64"/>
      <c r="P644" s="64">
        <f>IFERROR(VLOOKUP(Tabelle32[[#This Row],[Device ID]],BOM!$B$3:$BO$50,20,FALSE),"")</f>
        <v>0</v>
      </c>
      <c r="Q644" s="64">
        <f>IFERROR(VLOOKUP(Tabelle32[[#This Row],[Device ID]],BOM!$B$3:$BO$50,21,FALSE),"")</f>
        <v>1</v>
      </c>
      <c r="R644" s="64">
        <f>IFERROR(VLOOKUP(Tabelle32[[#This Row],[Device ID]],BOM!$B$3:$BO$50,22,FALSE),"")</f>
        <v>0</v>
      </c>
      <c r="S644" s="64"/>
      <c r="T644" s="64"/>
      <c r="U644" s="59" t="str">
        <f>IFERROR(VLOOKUP(Tabelle32[[#This Row],[Device ID]],BOM!$B$3:$BQ$35,25,FALSE),"")</f>
        <v>Luis/Ivo</v>
      </c>
      <c r="V644" s="59" t="str">
        <f>IFERROR(VLOOKUP(Tabelle32[[#This Row],[Device ID]],BOM!$B$3:$BQ$35,26,FALSE),"")</f>
        <v>tpco-megw-vgw103.rta.st-net.media.int</v>
      </c>
      <c r="W644" s="59" t="str">
        <f>IFERROR(VLOOKUP(Tabelle32[[#This Row],[Device ID]],BOM!$B$3:$BQ$35,27,FALSE),"")</f>
        <v>10.120.236.50</v>
      </c>
      <c r="X644" s="59" t="str">
        <f>IFERROR(VLOOKUP(Tabelle32[[#This Row],[Device ID]],BOM!$B$3:$BQ$35,28,FALSE),"")</f>
        <v>AVCoreA</v>
      </c>
      <c r="Y644" s="59" t="str">
        <f>IFERROR(VLOOKUP(Tabelle32[[#This Row],[Device ID]],BOM!$B$3:$BQ$35,29,FALSE),"")</f>
        <v>5_36_1</v>
      </c>
      <c r="Z644" s="59" t="str">
        <f>IFERROR(VLOOKUP(Tabelle32[[#This Row],[Device ID]],BOM!$B$3:$BQ$35,30,FALSE),"")</f>
        <v>tpco-megw-vgw103.rtb.st-net.media.int</v>
      </c>
      <c r="AA644" s="59" t="str">
        <f>IFERROR(VLOOKUP(Tabelle32[[#This Row],[Device ID]],BOM!$B$3:$BQ$35,31,FALSE),"")</f>
        <v>10.120.236.54</v>
      </c>
      <c r="AB644" s="59" t="str">
        <f>IFERROR(VLOOKUP(Tabelle32[[#This Row],[Device ID]],BOM!$B$3:$BQ$35,32,FALSE),"")</f>
        <v>AVCoreB</v>
      </c>
      <c r="AC644" s="59" t="str">
        <f>IFERROR(VLOOKUP(Tabelle32[[#This Row],[Device ID]],BOM!$B$3:$BQ$35,33,FALSE),"")</f>
        <v>5_36_1</v>
      </c>
      <c r="AD644" s="59" t="str">
        <f>IFERROR(VLOOKUP(Tabelle32[[#This Row],[Device ID]],BOM!$B$3:$BQ$35,34,FALSE),"")</f>
        <v>tpco-megw-vgw103.st-net.media.int</v>
      </c>
      <c r="AE644" s="59" t="str">
        <f>IFERROR(VLOOKUP(Tabelle32[[#This Row],[Device ID]],BOM!$B$3:$BQ$35,35,FALSE),"")</f>
        <v>10.120.67.141</v>
      </c>
      <c r="AF644" s="59">
        <f>IFERROR(VLOOKUP(Tabelle32[[#This Row],[Device ID]],BOM!$B$3:$BQ$35,36,FALSE),"")</f>
        <v>0</v>
      </c>
      <c r="AG644" s="59">
        <f>IFERROR(VLOOKUP(Tabelle32[[#This Row],[Device ID]],BOM!$B$3:$BQ$35,37,FALSE),"")</f>
        <v>0</v>
      </c>
      <c r="AH644" s="59"/>
      <c r="AI644" s="59"/>
      <c r="AJ644" s="59"/>
      <c r="AK644" s="59"/>
      <c r="AL644" s="59" t="str">
        <f>IFERROR(VLOOKUP(Tabelle32[[#This Row],[Device ID]],BOM!$B$3:$BQ$35,42,FALSE),"")</f>
        <v>Imagine Communications SNP</v>
      </c>
      <c r="AM644" s="59" t="str">
        <f>IFERROR(VLOOKUP(Tabelle32[[#This Row],[Device ID]],BOM!$B$3:$BQ$35,43,FALSE),"")</f>
        <v>no</v>
      </c>
      <c r="AN644" s="59" t="str">
        <f>IFERROR(VLOOKUP(Tabelle32[[#This Row],[Device ID]],BOM!$B$3:$BQ$35,44,FALSE),"")</f>
        <v>yes</v>
      </c>
      <c r="AO644" s="59" t="str">
        <f>IFERROR(VLOOKUP(Tabelle32[[#This Row],[Device ID]],BOM!$B$3:$BQ$35,45,FALSE),"")</f>
        <v>no</v>
      </c>
      <c r="AP644" s="59" t="str">
        <f>IFERROR(CONCATENATE(Tabelle32[[#This Row],[Family
GFX-Unit]]," | ",Tabelle32[[#This Row],[Label 1
GFX-Unit]]," | ",Tabelle32[[#This Row],[Attached Device if Gateway]]),"")</f>
        <v>MEDEM Edits Out | Out Edit23-08 | EditPC-23</v>
      </c>
      <c r="AQ644" s="59"/>
      <c r="AR644" s="92"/>
      <c r="AS644" s="92"/>
      <c r="AT644" s="92"/>
      <c r="AU644" s="92"/>
      <c r="AV644" s="92"/>
      <c r="AW644" s="92"/>
      <c r="AX644" s="92"/>
      <c r="AY644" s="92"/>
      <c r="AZ644" s="92"/>
      <c r="BA644" s="92"/>
      <c r="BB644" s="92"/>
      <c r="BC644" s="92" t="s">
        <v>97</v>
      </c>
      <c r="BD644" s="92"/>
      <c r="BE644" s="92"/>
      <c r="BF644" s="92"/>
      <c r="BG644" s="92"/>
      <c r="BH644" s="73" t="s">
        <v>199</v>
      </c>
      <c r="BI644" s="30" t="str">
        <f>IF(COUNTA(Tabelle32[[#This Row],[Type:Vid_1080i50]:[Type:Anc_Prot]])&gt;0,"x","")</f>
        <v>x</v>
      </c>
      <c r="BJ64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644" s="59"/>
      <c r="BL644" s="59"/>
      <c r="BM644" s="63"/>
      <c r="BN644" s="63"/>
      <c r="BO644" s="97" t="s">
        <v>732</v>
      </c>
      <c r="BP644" s="97" t="s">
        <v>1166</v>
      </c>
      <c r="BQ644" s="75">
        <f>LEN(Tabelle32[[#This Row],[Label 1
GFX-Unit]])</f>
        <v>13</v>
      </c>
      <c r="BR644" s="63"/>
      <c r="BS644" s="63"/>
      <c r="BT644" s="59"/>
      <c r="BU644" s="59"/>
      <c r="BV644" s="59" t="s">
        <v>242</v>
      </c>
      <c r="BW644" s="59" t="s">
        <v>243</v>
      </c>
      <c r="BX644" s="59" t="s">
        <v>1167</v>
      </c>
      <c r="BY644" s="59">
        <v>31</v>
      </c>
    </row>
    <row r="645" spans="1:77" hidden="1" x14ac:dyDescent="0.2">
      <c r="A645" s="58" t="str">
        <f>CONCATENATE(Tabelle32[[#This Row],[Device ID]],".",Tabelle32[[#This Row],[Streamcounter]])</f>
        <v>2156.31209</v>
      </c>
      <c r="B64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VGW-103_SDI31_AUDsend_0009</v>
      </c>
      <c r="C645" s="67"/>
      <c r="D645" s="61"/>
      <c r="E645" s="67"/>
      <c r="F645" s="59" t="str">
        <f>IFERROR(VLOOKUP(Tabelle32[[#This Row],[Device ID]],BOM!$B$3:$BQ$35,16,FALSE),"")</f>
        <v>EditPC-23</v>
      </c>
      <c r="G645" s="63">
        <f>VLOOKUP(Tabelle32[[#This Row],[SDI Interface]],BOM!$A$4:$B$35,2,FALSE)</f>
        <v>2156</v>
      </c>
      <c r="H645" s="59" t="str">
        <f>BOM!$C$4</f>
        <v>VGW-103</v>
      </c>
      <c r="I645" s="59" t="str">
        <f>IFERROR(VLOOKUP(Tabelle32[[#This Row],[Device ID]],BOM!$B$3:$BQ$35,12,FALSE),"")</f>
        <v>Edit Suite</v>
      </c>
      <c r="J645" s="59" t="str">
        <f>IFERROR(VLOOKUP(Tabelle32[[#This Row],[Device ID]],BOM!$B$3:$BQ$35,13,FALSE),"")</f>
        <v>TC.U1.223 | MDC</v>
      </c>
      <c r="K645" s="59" t="str">
        <f>IFERROR(VLOOKUP(Tabelle32[[#This Row],[Device ID]],BOM!$B$3:$BQ$35,14,FALSE),"")</f>
        <v>Imagine Comunications</v>
      </c>
      <c r="L645" s="59" t="str">
        <f>IFERROR(VLOOKUP(Tabelle32[[#This Row],[Device ID]],BOM!$B$3:$BQ$35,16,FALSE),"")</f>
        <v>EditPC-23</v>
      </c>
      <c r="M645" s="63" t="str">
        <f>IFERROR(VLOOKUP(Tabelle32[[#This Row],[Device ID]],BOM!$B$3:$BQ$35,17,FALSE),"")</f>
        <v>EDIT SUITE 23</v>
      </c>
      <c r="N645" s="59" t="str">
        <f>IFERROR(VLOOKUP(Tabelle32[[#This Row],[Device ID]],BOM!$B$3:$BQ$35,18,FALSE),"")</f>
        <v>NEBEZ.V3.15 | Edit 23</v>
      </c>
      <c r="O645" s="64"/>
      <c r="P645" s="64">
        <f>IFERROR(VLOOKUP(Tabelle32[[#This Row],[Device ID]],BOM!$B$3:$BO$50,20,FALSE),"")</f>
        <v>0</v>
      </c>
      <c r="Q645" s="64">
        <f>IFERROR(VLOOKUP(Tabelle32[[#This Row],[Device ID]],BOM!$B$3:$BO$50,21,FALSE),"")</f>
        <v>1</v>
      </c>
      <c r="R645" s="64">
        <f>IFERROR(VLOOKUP(Tabelle32[[#This Row],[Device ID]],BOM!$B$3:$BO$50,22,FALSE),"")</f>
        <v>0</v>
      </c>
      <c r="S645" s="64"/>
      <c r="T645" s="64"/>
      <c r="U645" s="59" t="str">
        <f>IFERROR(VLOOKUP(Tabelle32[[#This Row],[Device ID]],BOM!$B$3:$BQ$35,25,FALSE),"")</f>
        <v>Luis/Ivo</v>
      </c>
      <c r="V645" s="59" t="str">
        <f>IFERROR(VLOOKUP(Tabelle32[[#This Row],[Device ID]],BOM!$B$3:$BQ$35,26,FALSE),"")</f>
        <v>tpco-megw-vgw103.rta.st-net.media.int</v>
      </c>
      <c r="W645" s="59" t="str">
        <f>IFERROR(VLOOKUP(Tabelle32[[#This Row],[Device ID]],BOM!$B$3:$BQ$35,27,FALSE),"")</f>
        <v>10.120.236.50</v>
      </c>
      <c r="X645" s="59" t="str">
        <f>IFERROR(VLOOKUP(Tabelle32[[#This Row],[Device ID]],BOM!$B$3:$BQ$35,28,FALSE),"")</f>
        <v>AVCoreA</v>
      </c>
      <c r="Y645" s="59" t="str">
        <f>IFERROR(VLOOKUP(Tabelle32[[#This Row],[Device ID]],BOM!$B$3:$BQ$35,29,FALSE),"")</f>
        <v>5_36_1</v>
      </c>
      <c r="Z645" s="59" t="str">
        <f>IFERROR(VLOOKUP(Tabelle32[[#This Row],[Device ID]],BOM!$B$3:$BQ$35,30,FALSE),"")</f>
        <v>tpco-megw-vgw103.rtb.st-net.media.int</v>
      </c>
      <c r="AA645" s="59" t="str">
        <f>IFERROR(VLOOKUP(Tabelle32[[#This Row],[Device ID]],BOM!$B$3:$BQ$35,31,FALSE),"")</f>
        <v>10.120.236.54</v>
      </c>
      <c r="AB645" s="59" t="str">
        <f>IFERROR(VLOOKUP(Tabelle32[[#This Row],[Device ID]],BOM!$B$3:$BQ$35,32,FALSE),"")</f>
        <v>AVCoreB</v>
      </c>
      <c r="AC645" s="59" t="str">
        <f>IFERROR(VLOOKUP(Tabelle32[[#This Row],[Device ID]],BOM!$B$3:$BQ$35,33,FALSE),"")</f>
        <v>5_36_1</v>
      </c>
      <c r="AD645" s="59" t="str">
        <f>IFERROR(VLOOKUP(Tabelle32[[#This Row],[Device ID]],BOM!$B$3:$BQ$35,34,FALSE),"")</f>
        <v>tpco-megw-vgw103.st-net.media.int</v>
      </c>
      <c r="AE645" s="59" t="str">
        <f>IFERROR(VLOOKUP(Tabelle32[[#This Row],[Device ID]],BOM!$B$3:$BQ$35,35,FALSE),"")</f>
        <v>10.120.67.141</v>
      </c>
      <c r="AF645" s="59">
        <f>IFERROR(VLOOKUP(Tabelle32[[#This Row],[Device ID]],BOM!$B$3:$BQ$35,36,FALSE),"")</f>
        <v>0</v>
      </c>
      <c r="AG645" s="59">
        <f>IFERROR(VLOOKUP(Tabelle32[[#This Row],[Device ID]],BOM!$B$3:$BQ$35,37,FALSE),"")</f>
        <v>0</v>
      </c>
      <c r="AH645" s="59"/>
      <c r="AI645" s="59"/>
      <c r="AJ645" s="59"/>
      <c r="AK645" s="59"/>
      <c r="AL645" s="59" t="str">
        <f>IFERROR(VLOOKUP(Tabelle32[[#This Row],[Device ID]],BOM!$B$3:$BQ$35,42,FALSE),"")</f>
        <v>Imagine Communications SNP</v>
      </c>
      <c r="AM645" s="59" t="str">
        <f>IFERROR(VLOOKUP(Tabelle32[[#This Row],[Device ID]],BOM!$B$3:$BQ$35,43,FALSE),"")</f>
        <v>no</v>
      </c>
      <c r="AN645" s="59" t="str">
        <f>IFERROR(VLOOKUP(Tabelle32[[#This Row],[Device ID]],BOM!$B$3:$BQ$35,44,FALSE),"")</f>
        <v>yes</v>
      </c>
      <c r="AO645" s="59" t="str">
        <f>IFERROR(VLOOKUP(Tabelle32[[#This Row],[Device ID]],BOM!$B$3:$BQ$35,45,FALSE),"")</f>
        <v>no</v>
      </c>
      <c r="AP645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45" s="59"/>
      <c r="AR645" s="90"/>
      <c r="AS645" s="90"/>
      <c r="AT645" s="90"/>
      <c r="AU645" s="90"/>
      <c r="AV645" s="90"/>
      <c r="AW645" s="90"/>
      <c r="AX645" s="90"/>
      <c r="AY645" s="90"/>
      <c r="AZ645" s="90"/>
      <c r="BA645" s="90"/>
      <c r="BB645" s="90"/>
      <c r="BC645" s="90"/>
      <c r="BD645" s="90"/>
      <c r="BE645" s="90"/>
      <c r="BF645" s="90"/>
      <c r="BG645" s="90"/>
      <c r="BH645" s="73" t="s">
        <v>199</v>
      </c>
      <c r="BI645" s="30" t="str">
        <f>IF(COUNTA(Tabelle32[[#This Row],[Type:Vid_1080i50]:[Type:Anc_Prot]])&gt;0,"x","")</f>
        <v/>
      </c>
      <c r="BJ64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45" s="59"/>
      <c r="BL645" s="59"/>
      <c r="BM645" s="63"/>
      <c r="BN645" s="63"/>
      <c r="BO645" s="96"/>
      <c r="BP645" s="96"/>
      <c r="BQ645" s="75">
        <f>LEN(Tabelle32[[#This Row],[Label 1
GFX-Unit]])</f>
        <v>0</v>
      </c>
      <c r="BR645" s="63"/>
      <c r="BS645" s="63"/>
      <c r="BT645" s="59"/>
      <c r="BU645" s="59"/>
      <c r="BV645" s="59" t="s">
        <v>245</v>
      </c>
      <c r="BW645" s="59" t="s">
        <v>246</v>
      </c>
      <c r="BX645" s="59" t="s">
        <v>1168</v>
      </c>
      <c r="BY645" s="59">
        <v>31</v>
      </c>
    </row>
    <row r="646" spans="1:77" hidden="1" x14ac:dyDescent="0.2">
      <c r="A646" s="58" t="str">
        <f>CONCATENATE(Tabelle32[[#This Row],[Device ID]],".",Tabelle32[[#This Row],[Streamcounter]])</f>
        <v>2156.31210</v>
      </c>
      <c r="B64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VGW-103_SDI31_AUDsend_0010</v>
      </c>
      <c r="C646" s="67"/>
      <c r="D646" s="61"/>
      <c r="E646" s="67"/>
      <c r="F646" s="59" t="str">
        <f>IFERROR(VLOOKUP(Tabelle32[[#This Row],[Device ID]],BOM!$B$3:$BQ$35,16,FALSE),"")</f>
        <v>EditPC-23</v>
      </c>
      <c r="G646" s="63">
        <f>VLOOKUP(Tabelle32[[#This Row],[SDI Interface]],BOM!$A$4:$B$35,2,FALSE)</f>
        <v>2156</v>
      </c>
      <c r="H646" s="59" t="str">
        <f>BOM!$C$4</f>
        <v>VGW-103</v>
      </c>
      <c r="I646" s="59" t="str">
        <f>IFERROR(VLOOKUP(Tabelle32[[#This Row],[Device ID]],BOM!$B$3:$BQ$35,12,FALSE),"")</f>
        <v>Edit Suite</v>
      </c>
      <c r="J646" s="59" t="str">
        <f>IFERROR(VLOOKUP(Tabelle32[[#This Row],[Device ID]],BOM!$B$3:$BQ$35,13,FALSE),"")</f>
        <v>TC.U1.223 | MDC</v>
      </c>
      <c r="K646" s="59" t="str">
        <f>IFERROR(VLOOKUP(Tabelle32[[#This Row],[Device ID]],BOM!$B$3:$BQ$35,14,FALSE),"")</f>
        <v>Imagine Comunications</v>
      </c>
      <c r="L646" s="59" t="str">
        <f>IFERROR(VLOOKUP(Tabelle32[[#This Row],[Device ID]],BOM!$B$3:$BQ$35,16,FALSE),"")</f>
        <v>EditPC-23</v>
      </c>
      <c r="M646" s="63" t="str">
        <f>IFERROR(VLOOKUP(Tabelle32[[#This Row],[Device ID]],BOM!$B$3:$BQ$35,17,FALSE),"")</f>
        <v>EDIT SUITE 23</v>
      </c>
      <c r="N646" s="59" t="str">
        <f>IFERROR(VLOOKUP(Tabelle32[[#This Row],[Device ID]],BOM!$B$3:$BQ$35,18,FALSE),"")</f>
        <v>NEBEZ.V3.15 | Edit 23</v>
      </c>
      <c r="O646" s="64"/>
      <c r="P646" s="64">
        <f>IFERROR(VLOOKUP(Tabelle32[[#This Row],[Device ID]],BOM!$B$3:$BO$50,20,FALSE),"")</f>
        <v>0</v>
      </c>
      <c r="Q646" s="64">
        <f>IFERROR(VLOOKUP(Tabelle32[[#This Row],[Device ID]],BOM!$B$3:$BO$50,21,FALSE),"")</f>
        <v>1</v>
      </c>
      <c r="R646" s="64">
        <f>IFERROR(VLOOKUP(Tabelle32[[#This Row],[Device ID]],BOM!$B$3:$BO$50,22,FALSE),"")</f>
        <v>0</v>
      </c>
      <c r="S646" s="64"/>
      <c r="T646" s="64"/>
      <c r="U646" s="59" t="str">
        <f>IFERROR(VLOOKUP(Tabelle32[[#This Row],[Device ID]],BOM!$B$3:$BQ$35,25,FALSE),"")</f>
        <v>Luis/Ivo</v>
      </c>
      <c r="V646" s="59" t="str">
        <f>IFERROR(VLOOKUP(Tabelle32[[#This Row],[Device ID]],BOM!$B$3:$BQ$35,26,FALSE),"")</f>
        <v>tpco-megw-vgw103.rta.st-net.media.int</v>
      </c>
      <c r="W646" s="59" t="str">
        <f>IFERROR(VLOOKUP(Tabelle32[[#This Row],[Device ID]],BOM!$B$3:$BQ$35,27,FALSE),"")</f>
        <v>10.120.236.50</v>
      </c>
      <c r="X646" s="59" t="str">
        <f>IFERROR(VLOOKUP(Tabelle32[[#This Row],[Device ID]],BOM!$B$3:$BQ$35,28,FALSE),"")</f>
        <v>AVCoreA</v>
      </c>
      <c r="Y646" s="59" t="str">
        <f>IFERROR(VLOOKUP(Tabelle32[[#This Row],[Device ID]],BOM!$B$3:$BQ$35,29,FALSE),"")</f>
        <v>5_36_1</v>
      </c>
      <c r="Z646" s="59" t="str">
        <f>IFERROR(VLOOKUP(Tabelle32[[#This Row],[Device ID]],BOM!$B$3:$BQ$35,30,FALSE),"")</f>
        <v>tpco-megw-vgw103.rtb.st-net.media.int</v>
      </c>
      <c r="AA646" s="59" t="str">
        <f>IFERROR(VLOOKUP(Tabelle32[[#This Row],[Device ID]],BOM!$B$3:$BQ$35,31,FALSE),"")</f>
        <v>10.120.236.54</v>
      </c>
      <c r="AB646" s="59" t="str">
        <f>IFERROR(VLOOKUP(Tabelle32[[#This Row],[Device ID]],BOM!$B$3:$BQ$35,32,FALSE),"")</f>
        <v>AVCoreB</v>
      </c>
      <c r="AC646" s="59" t="str">
        <f>IFERROR(VLOOKUP(Tabelle32[[#This Row],[Device ID]],BOM!$B$3:$BQ$35,33,FALSE),"")</f>
        <v>5_36_1</v>
      </c>
      <c r="AD646" s="59" t="str">
        <f>IFERROR(VLOOKUP(Tabelle32[[#This Row],[Device ID]],BOM!$B$3:$BQ$35,34,FALSE),"")</f>
        <v>tpco-megw-vgw103.st-net.media.int</v>
      </c>
      <c r="AE646" s="59" t="str">
        <f>IFERROR(VLOOKUP(Tabelle32[[#This Row],[Device ID]],BOM!$B$3:$BQ$35,35,FALSE),"")</f>
        <v>10.120.67.141</v>
      </c>
      <c r="AF646" s="59">
        <f>IFERROR(VLOOKUP(Tabelle32[[#This Row],[Device ID]],BOM!$B$3:$BQ$35,36,FALSE),"")</f>
        <v>0</v>
      </c>
      <c r="AG646" s="59">
        <f>IFERROR(VLOOKUP(Tabelle32[[#This Row],[Device ID]],BOM!$B$3:$BQ$35,37,FALSE),"")</f>
        <v>0</v>
      </c>
      <c r="AH646" s="59"/>
      <c r="AI646" s="59"/>
      <c r="AJ646" s="59"/>
      <c r="AK646" s="59"/>
      <c r="AL646" s="59" t="str">
        <f>IFERROR(VLOOKUP(Tabelle32[[#This Row],[Device ID]],BOM!$B$3:$BQ$35,42,FALSE),"")</f>
        <v>Imagine Communications SNP</v>
      </c>
      <c r="AM646" s="59" t="str">
        <f>IFERROR(VLOOKUP(Tabelle32[[#This Row],[Device ID]],BOM!$B$3:$BQ$35,43,FALSE),"")</f>
        <v>no</v>
      </c>
      <c r="AN646" s="59" t="str">
        <f>IFERROR(VLOOKUP(Tabelle32[[#This Row],[Device ID]],BOM!$B$3:$BQ$35,44,FALSE),"")</f>
        <v>yes</v>
      </c>
      <c r="AO646" s="59" t="str">
        <f>IFERROR(VLOOKUP(Tabelle32[[#This Row],[Device ID]],BOM!$B$3:$BQ$35,45,FALSE),"")</f>
        <v>no</v>
      </c>
      <c r="AP646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46" s="59"/>
      <c r="AR646" s="90"/>
      <c r="AS646" s="90"/>
      <c r="AT646" s="90"/>
      <c r="AU646" s="90"/>
      <c r="AV646" s="90"/>
      <c r="AW646" s="90"/>
      <c r="AX646" s="90"/>
      <c r="AY646" s="90"/>
      <c r="AZ646" s="90"/>
      <c r="BA646" s="90"/>
      <c r="BB646" s="90"/>
      <c r="BC646" s="90"/>
      <c r="BD646" s="90"/>
      <c r="BE646" s="90"/>
      <c r="BF646" s="90"/>
      <c r="BG646" s="90"/>
      <c r="BH646" s="73" t="s">
        <v>199</v>
      </c>
      <c r="BI646" s="30" t="str">
        <f>IF(COUNTA(Tabelle32[[#This Row],[Type:Vid_1080i50]:[Type:Anc_Prot]])&gt;0,"x","")</f>
        <v/>
      </c>
      <c r="BJ64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46" s="59"/>
      <c r="BL646" s="59"/>
      <c r="BM646" s="63"/>
      <c r="BN646" s="63"/>
      <c r="BO646" s="96"/>
      <c r="BP646" s="96"/>
      <c r="BQ646" s="75">
        <f>LEN(Tabelle32[[#This Row],[Label 1
GFX-Unit]])</f>
        <v>0</v>
      </c>
      <c r="BR646" s="63"/>
      <c r="BS646" s="63"/>
      <c r="BT646" s="59"/>
      <c r="BU646" s="59"/>
      <c r="BV646" s="59" t="s">
        <v>248</v>
      </c>
      <c r="BW646" s="59" t="s">
        <v>249</v>
      </c>
      <c r="BX646" s="59" t="s">
        <v>1169</v>
      </c>
      <c r="BY646" s="59">
        <v>31</v>
      </c>
    </row>
    <row r="647" spans="1:77" hidden="1" x14ac:dyDescent="0.2">
      <c r="A647" s="58" t="str">
        <f>CONCATENATE(Tabelle32[[#This Row],[Device ID]],".",Tabelle32[[#This Row],[Streamcounter]])</f>
        <v>2156.31211</v>
      </c>
      <c r="B64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VGW-103_SDI31_AUDsend_0011</v>
      </c>
      <c r="C647" s="67"/>
      <c r="D647" s="61"/>
      <c r="E647" s="67"/>
      <c r="F647" s="59" t="str">
        <f>IFERROR(VLOOKUP(Tabelle32[[#This Row],[Device ID]],BOM!$B$3:$BQ$35,16,FALSE),"")</f>
        <v>EditPC-23</v>
      </c>
      <c r="G647" s="63">
        <f>VLOOKUP(Tabelle32[[#This Row],[SDI Interface]],BOM!$A$4:$B$35,2,FALSE)</f>
        <v>2156</v>
      </c>
      <c r="H647" s="59" t="str">
        <f>BOM!$C$4</f>
        <v>VGW-103</v>
      </c>
      <c r="I647" s="59" t="str">
        <f>IFERROR(VLOOKUP(Tabelle32[[#This Row],[Device ID]],BOM!$B$3:$BQ$35,12,FALSE),"")</f>
        <v>Edit Suite</v>
      </c>
      <c r="J647" s="59" t="str">
        <f>IFERROR(VLOOKUP(Tabelle32[[#This Row],[Device ID]],BOM!$B$3:$BQ$35,13,FALSE),"")</f>
        <v>TC.U1.223 | MDC</v>
      </c>
      <c r="K647" s="59" t="str">
        <f>IFERROR(VLOOKUP(Tabelle32[[#This Row],[Device ID]],BOM!$B$3:$BQ$35,14,FALSE),"")</f>
        <v>Imagine Comunications</v>
      </c>
      <c r="L647" s="59" t="str">
        <f>IFERROR(VLOOKUP(Tabelle32[[#This Row],[Device ID]],BOM!$B$3:$BQ$35,16,FALSE),"")</f>
        <v>EditPC-23</v>
      </c>
      <c r="M647" s="63" t="str">
        <f>IFERROR(VLOOKUP(Tabelle32[[#This Row],[Device ID]],BOM!$B$3:$BQ$35,17,FALSE),"")</f>
        <v>EDIT SUITE 23</v>
      </c>
      <c r="N647" s="59" t="str">
        <f>IFERROR(VLOOKUP(Tabelle32[[#This Row],[Device ID]],BOM!$B$3:$BQ$35,18,FALSE),"")</f>
        <v>NEBEZ.V3.15 | Edit 23</v>
      </c>
      <c r="O647" s="64"/>
      <c r="P647" s="64">
        <f>IFERROR(VLOOKUP(Tabelle32[[#This Row],[Device ID]],BOM!$B$3:$BO$50,20,FALSE),"")</f>
        <v>0</v>
      </c>
      <c r="Q647" s="64">
        <f>IFERROR(VLOOKUP(Tabelle32[[#This Row],[Device ID]],BOM!$B$3:$BO$50,21,FALSE),"")</f>
        <v>1</v>
      </c>
      <c r="R647" s="64">
        <f>IFERROR(VLOOKUP(Tabelle32[[#This Row],[Device ID]],BOM!$B$3:$BO$50,22,FALSE),"")</f>
        <v>0</v>
      </c>
      <c r="S647" s="64"/>
      <c r="T647" s="64"/>
      <c r="U647" s="59" t="str">
        <f>IFERROR(VLOOKUP(Tabelle32[[#This Row],[Device ID]],BOM!$B$3:$BQ$35,25,FALSE),"")</f>
        <v>Luis/Ivo</v>
      </c>
      <c r="V647" s="59" t="str">
        <f>IFERROR(VLOOKUP(Tabelle32[[#This Row],[Device ID]],BOM!$B$3:$BQ$35,26,FALSE),"")</f>
        <v>tpco-megw-vgw103.rta.st-net.media.int</v>
      </c>
      <c r="W647" s="59" t="str">
        <f>IFERROR(VLOOKUP(Tabelle32[[#This Row],[Device ID]],BOM!$B$3:$BQ$35,27,FALSE),"")</f>
        <v>10.120.236.50</v>
      </c>
      <c r="X647" s="59" t="str">
        <f>IFERROR(VLOOKUP(Tabelle32[[#This Row],[Device ID]],BOM!$B$3:$BQ$35,28,FALSE),"")</f>
        <v>AVCoreA</v>
      </c>
      <c r="Y647" s="59" t="str">
        <f>IFERROR(VLOOKUP(Tabelle32[[#This Row],[Device ID]],BOM!$B$3:$BQ$35,29,FALSE),"")</f>
        <v>5_36_1</v>
      </c>
      <c r="Z647" s="59" t="str">
        <f>IFERROR(VLOOKUP(Tabelle32[[#This Row],[Device ID]],BOM!$B$3:$BQ$35,30,FALSE),"")</f>
        <v>tpco-megw-vgw103.rtb.st-net.media.int</v>
      </c>
      <c r="AA647" s="59" t="str">
        <f>IFERROR(VLOOKUP(Tabelle32[[#This Row],[Device ID]],BOM!$B$3:$BQ$35,31,FALSE),"")</f>
        <v>10.120.236.54</v>
      </c>
      <c r="AB647" s="59" t="str">
        <f>IFERROR(VLOOKUP(Tabelle32[[#This Row],[Device ID]],BOM!$B$3:$BQ$35,32,FALSE),"")</f>
        <v>AVCoreB</v>
      </c>
      <c r="AC647" s="59" t="str">
        <f>IFERROR(VLOOKUP(Tabelle32[[#This Row],[Device ID]],BOM!$B$3:$BQ$35,33,FALSE),"")</f>
        <v>5_36_1</v>
      </c>
      <c r="AD647" s="59" t="str">
        <f>IFERROR(VLOOKUP(Tabelle32[[#This Row],[Device ID]],BOM!$B$3:$BQ$35,34,FALSE),"")</f>
        <v>tpco-megw-vgw103.st-net.media.int</v>
      </c>
      <c r="AE647" s="59" t="str">
        <f>IFERROR(VLOOKUP(Tabelle32[[#This Row],[Device ID]],BOM!$B$3:$BQ$35,35,FALSE),"")</f>
        <v>10.120.67.141</v>
      </c>
      <c r="AF647" s="59">
        <f>IFERROR(VLOOKUP(Tabelle32[[#This Row],[Device ID]],BOM!$B$3:$BQ$35,36,FALSE),"")</f>
        <v>0</v>
      </c>
      <c r="AG647" s="59">
        <f>IFERROR(VLOOKUP(Tabelle32[[#This Row],[Device ID]],BOM!$B$3:$BQ$35,37,FALSE),"")</f>
        <v>0</v>
      </c>
      <c r="AH647" s="59"/>
      <c r="AI647" s="59"/>
      <c r="AJ647" s="59"/>
      <c r="AK647" s="59"/>
      <c r="AL647" s="59" t="str">
        <f>IFERROR(VLOOKUP(Tabelle32[[#This Row],[Device ID]],BOM!$B$3:$BQ$35,42,FALSE),"")</f>
        <v>Imagine Communications SNP</v>
      </c>
      <c r="AM647" s="59" t="str">
        <f>IFERROR(VLOOKUP(Tabelle32[[#This Row],[Device ID]],BOM!$B$3:$BQ$35,43,FALSE),"")</f>
        <v>no</v>
      </c>
      <c r="AN647" s="59" t="str">
        <f>IFERROR(VLOOKUP(Tabelle32[[#This Row],[Device ID]],BOM!$B$3:$BQ$35,44,FALSE),"")</f>
        <v>yes</v>
      </c>
      <c r="AO647" s="59" t="str">
        <f>IFERROR(VLOOKUP(Tabelle32[[#This Row],[Device ID]],BOM!$B$3:$BQ$35,45,FALSE),"")</f>
        <v>no</v>
      </c>
      <c r="AP647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47" s="59"/>
      <c r="AR647" s="90"/>
      <c r="AS647" s="90"/>
      <c r="AT647" s="90"/>
      <c r="AU647" s="90"/>
      <c r="AV647" s="90"/>
      <c r="AW647" s="90"/>
      <c r="AX647" s="90"/>
      <c r="AY647" s="90"/>
      <c r="AZ647" s="90"/>
      <c r="BA647" s="90"/>
      <c r="BB647" s="90"/>
      <c r="BC647" s="90"/>
      <c r="BD647" s="90"/>
      <c r="BE647" s="90"/>
      <c r="BF647" s="90"/>
      <c r="BG647" s="90"/>
      <c r="BH647" s="73" t="s">
        <v>199</v>
      </c>
      <c r="BI647" s="30" t="str">
        <f>IF(COUNTA(Tabelle32[[#This Row],[Type:Vid_1080i50]:[Type:Anc_Prot]])&gt;0,"x","")</f>
        <v/>
      </c>
      <c r="BJ64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47" s="59"/>
      <c r="BL647" s="59"/>
      <c r="BM647" s="63"/>
      <c r="BN647" s="63"/>
      <c r="BO647" s="96"/>
      <c r="BP647" s="96"/>
      <c r="BQ647" s="75">
        <f>LEN(Tabelle32[[#This Row],[Label 1
GFX-Unit]])</f>
        <v>0</v>
      </c>
      <c r="BR647" s="63"/>
      <c r="BS647" s="63"/>
      <c r="BT647" s="59"/>
      <c r="BU647" s="59"/>
      <c r="BV647" s="59" t="s">
        <v>251</v>
      </c>
      <c r="BW647" s="59" t="s">
        <v>252</v>
      </c>
      <c r="BX647" s="59" t="s">
        <v>1170</v>
      </c>
      <c r="BY647" s="59">
        <v>31</v>
      </c>
    </row>
    <row r="648" spans="1:77" hidden="1" x14ac:dyDescent="0.2">
      <c r="A648" s="58" t="str">
        <f>CONCATENATE(Tabelle32[[#This Row],[Device ID]],".",Tabelle32[[#This Row],[Streamcounter]])</f>
        <v>2156.31212</v>
      </c>
      <c r="B64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VGW-103_SDI31_AUDsend_0012</v>
      </c>
      <c r="C648" s="67"/>
      <c r="D648" s="61"/>
      <c r="E648" s="67"/>
      <c r="F648" s="59" t="str">
        <f>IFERROR(VLOOKUP(Tabelle32[[#This Row],[Device ID]],BOM!$B$3:$BQ$35,16,FALSE),"")</f>
        <v>EditPC-23</v>
      </c>
      <c r="G648" s="63">
        <f>VLOOKUP(Tabelle32[[#This Row],[SDI Interface]],BOM!$A$4:$B$35,2,FALSE)</f>
        <v>2156</v>
      </c>
      <c r="H648" s="59" t="str">
        <f>BOM!$C$4</f>
        <v>VGW-103</v>
      </c>
      <c r="I648" s="59" t="str">
        <f>IFERROR(VLOOKUP(Tabelle32[[#This Row],[Device ID]],BOM!$B$3:$BQ$35,12,FALSE),"")</f>
        <v>Edit Suite</v>
      </c>
      <c r="J648" s="59" t="str">
        <f>IFERROR(VLOOKUP(Tabelle32[[#This Row],[Device ID]],BOM!$B$3:$BQ$35,13,FALSE),"")</f>
        <v>TC.U1.223 | MDC</v>
      </c>
      <c r="K648" s="59" t="str">
        <f>IFERROR(VLOOKUP(Tabelle32[[#This Row],[Device ID]],BOM!$B$3:$BQ$35,14,FALSE),"")</f>
        <v>Imagine Comunications</v>
      </c>
      <c r="L648" s="59" t="str">
        <f>IFERROR(VLOOKUP(Tabelle32[[#This Row],[Device ID]],BOM!$B$3:$BQ$35,16,FALSE),"")</f>
        <v>EditPC-23</v>
      </c>
      <c r="M648" s="63" t="str">
        <f>IFERROR(VLOOKUP(Tabelle32[[#This Row],[Device ID]],BOM!$B$3:$BQ$35,17,FALSE),"")</f>
        <v>EDIT SUITE 23</v>
      </c>
      <c r="N648" s="59" t="str">
        <f>IFERROR(VLOOKUP(Tabelle32[[#This Row],[Device ID]],BOM!$B$3:$BQ$35,18,FALSE),"")</f>
        <v>NEBEZ.V3.15 | Edit 23</v>
      </c>
      <c r="O648" s="64"/>
      <c r="P648" s="64">
        <f>IFERROR(VLOOKUP(Tabelle32[[#This Row],[Device ID]],BOM!$B$3:$BO$50,20,FALSE),"")</f>
        <v>0</v>
      </c>
      <c r="Q648" s="64">
        <f>IFERROR(VLOOKUP(Tabelle32[[#This Row],[Device ID]],BOM!$B$3:$BO$50,21,FALSE),"")</f>
        <v>1</v>
      </c>
      <c r="R648" s="64">
        <f>IFERROR(VLOOKUP(Tabelle32[[#This Row],[Device ID]],BOM!$B$3:$BO$50,22,FALSE),"")</f>
        <v>0</v>
      </c>
      <c r="S648" s="64"/>
      <c r="T648" s="64"/>
      <c r="U648" s="59" t="str">
        <f>IFERROR(VLOOKUP(Tabelle32[[#This Row],[Device ID]],BOM!$B$3:$BQ$35,25,FALSE),"")</f>
        <v>Luis/Ivo</v>
      </c>
      <c r="V648" s="59" t="str">
        <f>IFERROR(VLOOKUP(Tabelle32[[#This Row],[Device ID]],BOM!$B$3:$BQ$35,26,FALSE),"")</f>
        <v>tpco-megw-vgw103.rta.st-net.media.int</v>
      </c>
      <c r="W648" s="59" t="str">
        <f>IFERROR(VLOOKUP(Tabelle32[[#This Row],[Device ID]],BOM!$B$3:$BQ$35,27,FALSE),"")</f>
        <v>10.120.236.50</v>
      </c>
      <c r="X648" s="59" t="str">
        <f>IFERROR(VLOOKUP(Tabelle32[[#This Row],[Device ID]],BOM!$B$3:$BQ$35,28,FALSE),"")</f>
        <v>AVCoreA</v>
      </c>
      <c r="Y648" s="59" t="str">
        <f>IFERROR(VLOOKUP(Tabelle32[[#This Row],[Device ID]],BOM!$B$3:$BQ$35,29,FALSE),"")</f>
        <v>5_36_1</v>
      </c>
      <c r="Z648" s="59" t="str">
        <f>IFERROR(VLOOKUP(Tabelle32[[#This Row],[Device ID]],BOM!$B$3:$BQ$35,30,FALSE),"")</f>
        <v>tpco-megw-vgw103.rtb.st-net.media.int</v>
      </c>
      <c r="AA648" s="59" t="str">
        <f>IFERROR(VLOOKUP(Tabelle32[[#This Row],[Device ID]],BOM!$B$3:$BQ$35,31,FALSE),"")</f>
        <v>10.120.236.54</v>
      </c>
      <c r="AB648" s="59" t="str">
        <f>IFERROR(VLOOKUP(Tabelle32[[#This Row],[Device ID]],BOM!$B$3:$BQ$35,32,FALSE),"")</f>
        <v>AVCoreB</v>
      </c>
      <c r="AC648" s="59" t="str">
        <f>IFERROR(VLOOKUP(Tabelle32[[#This Row],[Device ID]],BOM!$B$3:$BQ$35,33,FALSE),"")</f>
        <v>5_36_1</v>
      </c>
      <c r="AD648" s="59" t="str">
        <f>IFERROR(VLOOKUP(Tabelle32[[#This Row],[Device ID]],BOM!$B$3:$BQ$35,34,FALSE),"")</f>
        <v>tpco-megw-vgw103.st-net.media.int</v>
      </c>
      <c r="AE648" s="59" t="str">
        <f>IFERROR(VLOOKUP(Tabelle32[[#This Row],[Device ID]],BOM!$B$3:$BQ$35,35,FALSE),"")</f>
        <v>10.120.67.141</v>
      </c>
      <c r="AF648" s="59">
        <f>IFERROR(VLOOKUP(Tabelle32[[#This Row],[Device ID]],BOM!$B$3:$BQ$35,36,FALSE),"")</f>
        <v>0</v>
      </c>
      <c r="AG648" s="59">
        <f>IFERROR(VLOOKUP(Tabelle32[[#This Row],[Device ID]],BOM!$B$3:$BQ$35,37,FALSE),"")</f>
        <v>0</v>
      </c>
      <c r="AH648" s="59"/>
      <c r="AI648" s="59"/>
      <c r="AJ648" s="59"/>
      <c r="AK648" s="59"/>
      <c r="AL648" s="59" t="str">
        <f>IFERROR(VLOOKUP(Tabelle32[[#This Row],[Device ID]],BOM!$B$3:$BQ$35,42,FALSE),"")</f>
        <v>Imagine Communications SNP</v>
      </c>
      <c r="AM648" s="59" t="str">
        <f>IFERROR(VLOOKUP(Tabelle32[[#This Row],[Device ID]],BOM!$B$3:$BQ$35,43,FALSE),"")</f>
        <v>no</v>
      </c>
      <c r="AN648" s="59" t="str">
        <f>IFERROR(VLOOKUP(Tabelle32[[#This Row],[Device ID]],BOM!$B$3:$BQ$35,44,FALSE),"")</f>
        <v>yes</v>
      </c>
      <c r="AO648" s="59" t="str">
        <f>IFERROR(VLOOKUP(Tabelle32[[#This Row],[Device ID]],BOM!$B$3:$BQ$35,45,FALSE),"")</f>
        <v>no</v>
      </c>
      <c r="AP648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48" s="59"/>
      <c r="AR648" s="101"/>
      <c r="AS648" s="101"/>
      <c r="AT648" s="101"/>
      <c r="AU648" s="101"/>
      <c r="AV648" s="101"/>
      <c r="AW648" s="101"/>
      <c r="AX648" s="101"/>
      <c r="AY648" s="101"/>
      <c r="AZ648" s="101"/>
      <c r="BA648" s="101"/>
      <c r="BB648" s="101"/>
      <c r="BC648" s="101"/>
      <c r="BD648" s="101"/>
      <c r="BE648" s="101"/>
      <c r="BF648" s="101"/>
      <c r="BG648" s="101"/>
      <c r="BH648" s="73" t="s">
        <v>199</v>
      </c>
      <c r="BI648" s="30" t="str">
        <f>IF(COUNTA(Tabelle32[[#This Row],[Type:Vid_1080i50]:[Type:Anc_Prot]])&gt;0,"x","")</f>
        <v/>
      </c>
      <c r="BJ64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48" s="59"/>
      <c r="BL648" s="59"/>
      <c r="BM648" s="63"/>
      <c r="BN648" s="63"/>
      <c r="BO648" s="96"/>
      <c r="BP648" s="96"/>
      <c r="BQ648" s="75">
        <f>LEN(Tabelle32[[#This Row],[Label 1
GFX-Unit]])</f>
        <v>0</v>
      </c>
      <c r="BR648" s="63"/>
      <c r="BS648" s="63"/>
      <c r="BT648" s="59"/>
      <c r="BU648" s="59"/>
      <c r="BV648" s="59" t="s">
        <v>254</v>
      </c>
      <c r="BW648" s="59" t="s">
        <v>255</v>
      </c>
      <c r="BX648" s="59" t="s">
        <v>1171</v>
      </c>
      <c r="BY648" s="59">
        <v>31</v>
      </c>
    </row>
    <row r="649" spans="1:77" hidden="1" x14ac:dyDescent="0.2">
      <c r="A649" s="58" t="str">
        <f>CONCATENATE(Tabelle32[[#This Row],[Device ID]],".",Tabelle32[[#This Row],[Streamcounter]])</f>
        <v>2156.31213</v>
      </c>
      <c r="B64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VGW-103_SDI31_AUDsend_0013</v>
      </c>
      <c r="C649" s="67"/>
      <c r="D649" s="61"/>
      <c r="E649" s="67"/>
      <c r="F649" s="59" t="str">
        <f>IFERROR(VLOOKUP(Tabelle32[[#This Row],[Device ID]],BOM!$B$3:$BQ$35,16,FALSE),"")</f>
        <v>EditPC-23</v>
      </c>
      <c r="G649" s="63">
        <f>VLOOKUP(Tabelle32[[#This Row],[SDI Interface]],BOM!$A$4:$B$35,2,FALSE)</f>
        <v>2156</v>
      </c>
      <c r="H649" s="59" t="str">
        <f>BOM!$C$4</f>
        <v>VGW-103</v>
      </c>
      <c r="I649" s="59" t="str">
        <f>IFERROR(VLOOKUP(Tabelle32[[#This Row],[Device ID]],BOM!$B$3:$BQ$35,12,FALSE),"")</f>
        <v>Edit Suite</v>
      </c>
      <c r="J649" s="59" t="str">
        <f>IFERROR(VLOOKUP(Tabelle32[[#This Row],[Device ID]],BOM!$B$3:$BQ$35,13,FALSE),"")</f>
        <v>TC.U1.223 | MDC</v>
      </c>
      <c r="K649" s="59" t="str">
        <f>IFERROR(VLOOKUP(Tabelle32[[#This Row],[Device ID]],BOM!$B$3:$BQ$35,14,FALSE),"")</f>
        <v>Imagine Comunications</v>
      </c>
      <c r="L649" s="59" t="str">
        <f>IFERROR(VLOOKUP(Tabelle32[[#This Row],[Device ID]],BOM!$B$3:$BQ$35,16,FALSE),"")</f>
        <v>EditPC-23</v>
      </c>
      <c r="M649" s="63" t="str">
        <f>IFERROR(VLOOKUP(Tabelle32[[#This Row],[Device ID]],BOM!$B$3:$BQ$35,17,FALSE),"")</f>
        <v>EDIT SUITE 23</v>
      </c>
      <c r="N649" s="59" t="str">
        <f>IFERROR(VLOOKUP(Tabelle32[[#This Row],[Device ID]],BOM!$B$3:$BQ$35,18,FALSE),"")</f>
        <v>NEBEZ.V3.15 | Edit 23</v>
      </c>
      <c r="O649" s="64"/>
      <c r="P649" s="64">
        <f>IFERROR(VLOOKUP(Tabelle32[[#This Row],[Device ID]],BOM!$B$3:$BO$50,20,FALSE),"")</f>
        <v>0</v>
      </c>
      <c r="Q649" s="64">
        <f>IFERROR(VLOOKUP(Tabelle32[[#This Row],[Device ID]],BOM!$B$3:$BO$50,21,FALSE),"")</f>
        <v>1</v>
      </c>
      <c r="R649" s="64">
        <f>IFERROR(VLOOKUP(Tabelle32[[#This Row],[Device ID]],BOM!$B$3:$BO$50,22,FALSE),"")</f>
        <v>0</v>
      </c>
      <c r="S649" s="64"/>
      <c r="T649" s="64"/>
      <c r="U649" s="59" t="str">
        <f>IFERROR(VLOOKUP(Tabelle32[[#This Row],[Device ID]],BOM!$B$3:$BQ$35,25,FALSE),"")</f>
        <v>Luis/Ivo</v>
      </c>
      <c r="V649" s="59" t="str">
        <f>IFERROR(VLOOKUP(Tabelle32[[#This Row],[Device ID]],BOM!$B$3:$BQ$35,26,FALSE),"")</f>
        <v>tpco-megw-vgw103.rta.st-net.media.int</v>
      </c>
      <c r="W649" s="59" t="str">
        <f>IFERROR(VLOOKUP(Tabelle32[[#This Row],[Device ID]],BOM!$B$3:$BQ$35,27,FALSE),"")</f>
        <v>10.120.236.50</v>
      </c>
      <c r="X649" s="59" t="str">
        <f>IFERROR(VLOOKUP(Tabelle32[[#This Row],[Device ID]],BOM!$B$3:$BQ$35,28,FALSE),"")</f>
        <v>AVCoreA</v>
      </c>
      <c r="Y649" s="59" t="str">
        <f>IFERROR(VLOOKUP(Tabelle32[[#This Row],[Device ID]],BOM!$B$3:$BQ$35,29,FALSE),"")</f>
        <v>5_36_1</v>
      </c>
      <c r="Z649" s="59" t="str">
        <f>IFERROR(VLOOKUP(Tabelle32[[#This Row],[Device ID]],BOM!$B$3:$BQ$35,30,FALSE),"")</f>
        <v>tpco-megw-vgw103.rtb.st-net.media.int</v>
      </c>
      <c r="AA649" s="59" t="str">
        <f>IFERROR(VLOOKUP(Tabelle32[[#This Row],[Device ID]],BOM!$B$3:$BQ$35,31,FALSE),"")</f>
        <v>10.120.236.54</v>
      </c>
      <c r="AB649" s="59" t="str">
        <f>IFERROR(VLOOKUP(Tabelle32[[#This Row],[Device ID]],BOM!$B$3:$BQ$35,32,FALSE),"")</f>
        <v>AVCoreB</v>
      </c>
      <c r="AC649" s="59" t="str">
        <f>IFERROR(VLOOKUP(Tabelle32[[#This Row],[Device ID]],BOM!$B$3:$BQ$35,33,FALSE),"")</f>
        <v>5_36_1</v>
      </c>
      <c r="AD649" s="59" t="str">
        <f>IFERROR(VLOOKUP(Tabelle32[[#This Row],[Device ID]],BOM!$B$3:$BQ$35,34,FALSE),"")</f>
        <v>tpco-megw-vgw103.st-net.media.int</v>
      </c>
      <c r="AE649" s="59" t="str">
        <f>IFERROR(VLOOKUP(Tabelle32[[#This Row],[Device ID]],BOM!$B$3:$BQ$35,35,FALSE),"")</f>
        <v>10.120.67.141</v>
      </c>
      <c r="AF649" s="59">
        <f>IFERROR(VLOOKUP(Tabelle32[[#This Row],[Device ID]],BOM!$B$3:$BQ$35,36,FALSE),"")</f>
        <v>0</v>
      </c>
      <c r="AG649" s="59">
        <f>IFERROR(VLOOKUP(Tabelle32[[#This Row],[Device ID]],BOM!$B$3:$BQ$35,37,FALSE),"")</f>
        <v>0</v>
      </c>
      <c r="AH649" s="59"/>
      <c r="AI649" s="59"/>
      <c r="AJ649" s="59"/>
      <c r="AK649" s="59"/>
      <c r="AL649" s="59" t="str">
        <f>IFERROR(VLOOKUP(Tabelle32[[#This Row],[Device ID]],BOM!$B$3:$BQ$35,42,FALSE),"")</f>
        <v>Imagine Communications SNP</v>
      </c>
      <c r="AM649" s="59" t="str">
        <f>IFERROR(VLOOKUP(Tabelle32[[#This Row],[Device ID]],BOM!$B$3:$BQ$35,43,FALSE),"")</f>
        <v>no</v>
      </c>
      <c r="AN649" s="59" t="str">
        <f>IFERROR(VLOOKUP(Tabelle32[[#This Row],[Device ID]],BOM!$B$3:$BQ$35,44,FALSE),"")</f>
        <v>yes</v>
      </c>
      <c r="AO649" s="59" t="str">
        <f>IFERROR(VLOOKUP(Tabelle32[[#This Row],[Device ID]],BOM!$B$3:$BQ$35,45,FALSE),"")</f>
        <v>no</v>
      </c>
      <c r="AP649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49" s="59"/>
      <c r="AR649" s="101"/>
      <c r="AS649" s="101"/>
      <c r="AT649" s="101"/>
      <c r="AU649" s="101"/>
      <c r="AV649" s="101"/>
      <c r="AW649" s="101"/>
      <c r="AX649" s="101"/>
      <c r="AY649" s="101"/>
      <c r="AZ649" s="101"/>
      <c r="BA649" s="101"/>
      <c r="BB649" s="101"/>
      <c r="BC649" s="101"/>
      <c r="BD649" s="101"/>
      <c r="BE649" s="101"/>
      <c r="BF649" s="101"/>
      <c r="BG649" s="101"/>
      <c r="BH649" s="73" t="s">
        <v>199</v>
      </c>
      <c r="BI649" s="30" t="str">
        <f>IF(COUNTA(Tabelle32[[#This Row],[Type:Vid_1080i50]:[Type:Anc_Prot]])&gt;0,"x","")</f>
        <v/>
      </c>
      <c r="BJ64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49" s="59"/>
      <c r="BL649" s="59"/>
      <c r="BM649" s="63"/>
      <c r="BN649" s="63"/>
      <c r="BO649" s="96"/>
      <c r="BP649" s="96"/>
      <c r="BQ649" s="75">
        <f>LEN(Tabelle32[[#This Row],[Label 1
GFX-Unit]])</f>
        <v>0</v>
      </c>
      <c r="BR649" s="63"/>
      <c r="BS649" s="63"/>
      <c r="BT649" s="59"/>
      <c r="BU649" s="59"/>
      <c r="BV649" s="59" t="s">
        <v>257</v>
      </c>
      <c r="BW649" s="59" t="s">
        <v>258</v>
      </c>
      <c r="BX649" s="59" t="s">
        <v>1172</v>
      </c>
      <c r="BY649" s="59">
        <v>31</v>
      </c>
    </row>
    <row r="650" spans="1:77" hidden="1" x14ac:dyDescent="0.2">
      <c r="A650" s="58" t="str">
        <f>CONCATENATE(Tabelle32[[#This Row],[Device ID]],".",Tabelle32[[#This Row],[Streamcounter]])</f>
        <v>2156.31214</v>
      </c>
      <c r="B65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VGW-103_SDI31_AUDsend_0014</v>
      </c>
      <c r="C650" s="67"/>
      <c r="D650" s="61"/>
      <c r="E650" s="67"/>
      <c r="F650" s="59" t="str">
        <f>IFERROR(VLOOKUP(Tabelle32[[#This Row],[Device ID]],BOM!$B$3:$BQ$35,16,FALSE),"")</f>
        <v>EditPC-23</v>
      </c>
      <c r="G650" s="63">
        <f>VLOOKUP(Tabelle32[[#This Row],[SDI Interface]],BOM!$A$4:$B$35,2,FALSE)</f>
        <v>2156</v>
      </c>
      <c r="H650" s="59" t="str">
        <f>BOM!$C$4</f>
        <v>VGW-103</v>
      </c>
      <c r="I650" s="59" t="str">
        <f>IFERROR(VLOOKUP(Tabelle32[[#This Row],[Device ID]],BOM!$B$3:$BQ$35,12,FALSE),"")</f>
        <v>Edit Suite</v>
      </c>
      <c r="J650" s="59" t="str">
        <f>IFERROR(VLOOKUP(Tabelle32[[#This Row],[Device ID]],BOM!$B$3:$BQ$35,13,FALSE),"")</f>
        <v>TC.U1.223 | MDC</v>
      </c>
      <c r="K650" s="59" t="str">
        <f>IFERROR(VLOOKUP(Tabelle32[[#This Row],[Device ID]],BOM!$B$3:$BQ$35,14,FALSE),"")</f>
        <v>Imagine Comunications</v>
      </c>
      <c r="L650" s="59" t="str">
        <f>IFERROR(VLOOKUP(Tabelle32[[#This Row],[Device ID]],BOM!$B$3:$BQ$35,16,FALSE),"")</f>
        <v>EditPC-23</v>
      </c>
      <c r="M650" s="63" t="str">
        <f>IFERROR(VLOOKUP(Tabelle32[[#This Row],[Device ID]],BOM!$B$3:$BQ$35,17,FALSE),"")</f>
        <v>EDIT SUITE 23</v>
      </c>
      <c r="N650" s="59" t="str">
        <f>IFERROR(VLOOKUP(Tabelle32[[#This Row],[Device ID]],BOM!$B$3:$BQ$35,18,FALSE),"")</f>
        <v>NEBEZ.V3.15 | Edit 23</v>
      </c>
      <c r="O650" s="64"/>
      <c r="P650" s="64">
        <f>IFERROR(VLOOKUP(Tabelle32[[#This Row],[Device ID]],BOM!$B$3:$BO$50,20,FALSE),"")</f>
        <v>0</v>
      </c>
      <c r="Q650" s="64">
        <f>IFERROR(VLOOKUP(Tabelle32[[#This Row],[Device ID]],BOM!$B$3:$BO$50,21,FALSE),"")</f>
        <v>1</v>
      </c>
      <c r="R650" s="64">
        <f>IFERROR(VLOOKUP(Tabelle32[[#This Row],[Device ID]],BOM!$B$3:$BO$50,22,FALSE),"")</f>
        <v>0</v>
      </c>
      <c r="S650" s="64"/>
      <c r="T650" s="64"/>
      <c r="U650" s="59" t="str">
        <f>IFERROR(VLOOKUP(Tabelle32[[#This Row],[Device ID]],BOM!$B$3:$BQ$35,25,FALSE),"")</f>
        <v>Luis/Ivo</v>
      </c>
      <c r="V650" s="59" t="str">
        <f>IFERROR(VLOOKUP(Tabelle32[[#This Row],[Device ID]],BOM!$B$3:$BQ$35,26,FALSE),"")</f>
        <v>tpco-megw-vgw103.rta.st-net.media.int</v>
      </c>
      <c r="W650" s="59" t="str">
        <f>IFERROR(VLOOKUP(Tabelle32[[#This Row],[Device ID]],BOM!$B$3:$BQ$35,27,FALSE),"")</f>
        <v>10.120.236.50</v>
      </c>
      <c r="X650" s="59" t="str">
        <f>IFERROR(VLOOKUP(Tabelle32[[#This Row],[Device ID]],BOM!$B$3:$BQ$35,28,FALSE),"")</f>
        <v>AVCoreA</v>
      </c>
      <c r="Y650" s="59" t="str">
        <f>IFERROR(VLOOKUP(Tabelle32[[#This Row],[Device ID]],BOM!$B$3:$BQ$35,29,FALSE),"")</f>
        <v>5_36_1</v>
      </c>
      <c r="Z650" s="59" t="str">
        <f>IFERROR(VLOOKUP(Tabelle32[[#This Row],[Device ID]],BOM!$B$3:$BQ$35,30,FALSE),"")</f>
        <v>tpco-megw-vgw103.rtb.st-net.media.int</v>
      </c>
      <c r="AA650" s="59" t="str">
        <f>IFERROR(VLOOKUP(Tabelle32[[#This Row],[Device ID]],BOM!$B$3:$BQ$35,31,FALSE),"")</f>
        <v>10.120.236.54</v>
      </c>
      <c r="AB650" s="59" t="str">
        <f>IFERROR(VLOOKUP(Tabelle32[[#This Row],[Device ID]],BOM!$B$3:$BQ$35,32,FALSE),"")</f>
        <v>AVCoreB</v>
      </c>
      <c r="AC650" s="59" t="str">
        <f>IFERROR(VLOOKUP(Tabelle32[[#This Row],[Device ID]],BOM!$B$3:$BQ$35,33,FALSE),"")</f>
        <v>5_36_1</v>
      </c>
      <c r="AD650" s="59" t="str">
        <f>IFERROR(VLOOKUP(Tabelle32[[#This Row],[Device ID]],BOM!$B$3:$BQ$35,34,FALSE),"")</f>
        <v>tpco-megw-vgw103.st-net.media.int</v>
      </c>
      <c r="AE650" s="59" t="str">
        <f>IFERROR(VLOOKUP(Tabelle32[[#This Row],[Device ID]],BOM!$B$3:$BQ$35,35,FALSE),"")</f>
        <v>10.120.67.141</v>
      </c>
      <c r="AF650" s="59">
        <f>IFERROR(VLOOKUP(Tabelle32[[#This Row],[Device ID]],BOM!$B$3:$BQ$35,36,FALSE),"")</f>
        <v>0</v>
      </c>
      <c r="AG650" s="59">
        <f>IFERROR(VLOOKUP(Tabelle32[[#This Row],[Device ID]],BOM!$B$3:$BQ$35,37,FALSE),"")</f>
        <v>0</v>
      </c>
      <c r="AH650" s="59"/>
      <c r="AI650" s="59"/>
      <c r="AJ650" s="59"/>
      <c r="AK650" s="59"/>
      <c r="AL650" s="59" t="str">
        <f>IFERROR(VLOOKUP(Tabelle32[[#This Row],[Device ID]],BOM!$B$3:$BQ$35,42,FALSE),"")</f>
        <v>Imagine Communications SNP</v>
      </c>
      <c r="AM650" s="59" t="str">
        <f>IFERROR(VLOOKUP(Tabelle32[[#This Row],[Device ID]],BOM!$B$3:$BQ$35,43,FALSE),"")</f>
        <v>no</v>
      </c>
      <c r="AN650" s="59" t="str">
        <f>IFERROR(VLOOKUP(Tabelle32[[#This Row],[Device ID]],BOM!$B$3:$BQ$35,44,FALSE),"")</f>
        <v>yes</v>
      </c>
      <c r="AO650" s="59" t="str">
        <f>IFERROR(VLOOKUP(Tabelle32[[#This Row],[Device ID]],BOM!$B$3:$BQ$35,45,FALSE),"")</f>
        <v>no</v>
      </c>
      <c r="AP650" s="59" t="str">
        <f>IFERROR(CONCATENATE(Tabelle32[[#This Row],[Family
GFX-Unit]]," | ",Tabelle32[[#This Row],[Label 1
GFX-Unit]]," | ",Tabelle32[[#This Row],[Attached Device if Gateway]]),"")</f>
        <v xml:space="preserve"> |  | EditPC-23</v>
      </c>
      <c r="AQ650" s="59"/>
      <c r="AR650" s="90"/>
      <c r="AS650" s="90"/>
      <c r="AT650" s="90"/>
      <c r="AU650" s="90"/>
      <c r="AV650" s="90"/>
      <c r="AW650" s="90"/>
      <c r="AX650" s="90"/>
      <c r="AY650" s="90"/>
      <c r="AZ650" s="90"/>
      <c r="BA650" s="90"/>
      <c r="BB650" s="90"/>
      <c r="BC650" s="90"/>
      <c r="BD650" s="90"/>
      <c r="BE650" s="90"/>
      <c r="BF650" s="90"/>
      <c r="BG650" s="90"/>
      <c r="BH650" s="73" t="s">
        <v>199</v>
      </c>
      <c r="BI650" s="30" t="str">
        <f>IF(COUNTA(Tabelle32[[#This Row],[Type:Vid_1080i50]:[Type:Anc_Prot]])&gt;0,"x","")</f>
        <v/>
      </c>
      <c r="BJ65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50" s="59"/>
      <c r="BL650" s="59"/>
      <c r="BM650" s="63"/>
      <c r="BN650" s="63"/>
      <c r="BO650" s="96"/>
      <c r="BP650" s="96"/>
      <c r="BQ650" s="75">
        <f>LEN(Tabelle32[[#This Row],[Label 1
GFX-Unit]])</f>
        <v>0</v>
      </c>
      <c r="BR650" s="63"/>
      <c r="BS650" s="63"/>
      <c r="BT650" s="59"/>
      <c r="BU650" s="59"/>
      <c r="BV650" s="59" t="s">
        <v>260</v>
      </c>
      <c r="BW650" s="59" t="s">
        <v>261</v>
      </c>
      <c r="BX650" s="59" t="s">
        <v>1173</v>
      </c>
      <c r="BY650" s="59">
        <v>31</v>
      </c>
    </row>
    <row r="651" spans="1:77" x14ac:dyDescent="0.2">
      <c r="A651" s="58" t="str">
        <f>CONCATENATE(Tabelle32[[#This Row],[Device ID]],".",Tabelle32[[#This Row],[Streamcounter]])</f>
        <v>2156.31215</v>
      </c>
      <c r="B65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VGW-103_SDI31_AUDsend_0015</v>
      </c>
      <c r="C651" s="67"/>
      <c r="D651" s="61"/>
      <c r="E651" s="67"/>
      <c r="F651" s="59" t="str">
        <f>IFERROR(VLOOKUP(Tabelle32[[#This Row],[Device ID]],BOM!$B$3:$BQ$35,16,FALSE),"")</f>
        <v>EditPC-23</v>
      </c>
      <c r="G651" s="63">
        <f>VLOOKUP(Tabelle32[[#This Row],[SDI Interface]],BOM!$A$4:$B$35,2,FALSE)</f>
        <v>2156</v>
      </c>
      <c r="H651" s="59" t="str">
        <f>BOM!$C$4</f>
        <v>VGW-103</v>
      </c>
      <c r="I651" s="59" t="str">
        <f>IFERROR(VLOOKUP(Tabelle32[[#This Row],[Device ID]],BOM!$B$3:$BQ$35,12,FALSE),"")</f>
        <v>Edit Suite</v>
      </c>
      <c r="J651" s="59" t="str">
        <f>IFERROR(VLOOKUP(Tabelle32[[#This Row],[Device ID]],BOM!$B$3:$BQ$35,13,FALSE),"")</f>
        <v>TC.U1.223 | MDC</v>
      </c>
      <c r="K651" s="59" t="str">
        <f>IFERROR(VLOOKUP(Tabelle32[[#This Row],[Device ID]],BOM!$B$3:$BQ$35,14,FALSE),"")</f>
        <v>Imagine Comunications</v>
      </c>
      <c r="L651" s="59" t="str">
        <f>IFERROR(VLOOKUP(Tabelle32[[#This Row],[Device ID]],BOM!$B$3:$BQ$35,16,FALSE),"")</f>
        <v>EditPC-23</v>
      </c>
      <c r="M651" s="63" t="str">
        <f>IFERROR(VLOOKUP(Tabelle32[[#This Row],[Device ID]],BOM!$B$3:$BQ$35,17,FALSE),"")</f>
        <v>EDIT SUITE 23</v>
      </c>
      <c r="N651" s="59" t="str">
        <f>IFERROR(VLOOKUP(Tabelle32[[#This Row],[Device ID]],BOM!$B$3:$BQ$35,18,FALSE),"")</f>
        <v>NEBEZ.V3.15 | Edit 23</v>
      </c>
      <c r="O651" s="64"/>
      <c r="P651" s="64">
        <f>IFERROR(VLOOKUP(Tabelle32[[#This Row],[Device ID]],BOM!$B$3:$BO$50,20,FALSE),"")</f>
        <v>0</v>
      </c>
      <c r="Q651" s="64">
        <f>IFERROR(VLOOKUP(Tabelle32[[#This Row],[Device ID]],BOM!$B$3:$BO$50,21,FALSE),"")</f>
        <v>1</v>
      </c>
      <c r="R651" s="64">
        <f>IFERROR(VLOOKUP(Tabelle32[[#This Row],[Device ID]],BOM!$B$3:$BO$50,22,FALSE),"")</f>
        <v>0</v>
      </c>
      <c r="S651" s="64"/>
      <c r="T651" s="64"/>
      <c r="U651" s="59" t="str">
        <f>IFERROR(VLOOKUP(Tabelle32[[#This Row],[Device ID]],BOM!$B$3:$BQ$35,25,FALSE),"")</f>
        <v>Luis/Ivo</v>
      </c>
      <c r="V651" s="59" t="str">
        <f>IFERROR(VLOOKUP(Tabelle32[[#This Row],[Device ID]],BOM!$B$3:$BQ$35,26,FALSE),"")</f>
        <v>tpco-megw-vgw103.rta.st-net.media.int</v>
      </c>
      <c r="W651" s="59" t="str">
        <f>IFERROR(VLOOKUP(Tabelle32[[#This Row],[Device ID]],BOM!$B$3:$BQ$35,27,FALSE),"")</f>
        <v>10.120.236.50</v>
      </c>
      <c r="X651" s="59" t="str">
        <f>IFERROR(VLOOKUP(Tabelle32[[#This Row],[Device ID]],BOM!$B$3:$BQ$35,28,FALSE),"")</f>
        <v>AVCoreA</v>
      </c>
      <c r="Y651" s="59" t="str">
        <f>IFERROR(VLOOKUP(Tabelle32[[#This Row],[Device ID]],BOM!$B$3:$BQ$35,29,FALSE),"")</f>
        <v>5_36_1</v>
      </c>
      <c r="Z651" s="59" t="str">
        <f>IFERROR(VLOOKUP(Tabelle32[[#This Row],[Device ID]],BOM!$B$3:$BQ$35,30,FALSE),"")</f>
        <v>tpco-megw-vgw103.rtb.st-net.media.int</v>
      </c>
      <c r="AA651" s="59" t="str">
        <f>IFERROR(VLOOKUP(Tabelle32[[#This Row],[Device ID]],BOM!$B$3:$BQ$35,31,FALSE),"")</f>
        <v>10.120.236.54</v>
      </c>
      <c r="AB651" s="59" t="str">
        <f>IFERROR(VLOOKUP(Tabelle32[[#This Row],[Device ID]],BOM!$B$3:$BQ$35,32,FALSE),"")</f>
        <v>AVCoreB</v>
      </c>
      <c r="AC651" s="59" t="str">
        <f>IFERROR(VLOOKUP(Tabelle32[[#This Row],[Device ID]],BOM!$B$3:$BQ$35,33,FALSE),"")</f>
        <v>5_36_1</v>
      </c>
      <c r="AD651" s="59" t="str">
        <f>IFERROR(VLOOKUP(Tabelle32[[#This Row],[Device ID]],BOM!$B$3:$BQ$35,34,FALSE),"")</f>
        <v>tpco-megw-vgw103.st-net.media.int</v>
      </c>
      <c r="AE651" s="59" t="str">
        <f>IFERROR(VLOOKUP(Tabelle32[[#This Row],[Device ID]],BOM!$B$3:$BQ$35,35,FALSE),"")</f>
        <v>10.120.67.141</v>
      </c>
      <c r="AF651" s="59">
        <f>IFERROR(VLOOKUP(Tabelle32[[#This Row],[Device ID]],BOM!$B$3:$BQ$35,36,FALSE),"")</f>
        <v>0</v>
      </c>
      <c r="AG651" s="59">
        <f>IFERROR(VLOOKUP(Tabelle32[[#This Row],[Device ID]],BOM!$B$3:$BQ$35,37,FALSE),"")</f>
        <v>0</v>
      </c>
      <c r="AH651" s="59"/>
      <c r="AI651" s="59"/>
      <c r="AJ651" s="59"/>
      <c r="AK651" s="59"/>
      <c r="AL651" s="59" t="str">
        <f>IFERROR(VLOOKUP(Tabelle32[[#This Row],[Device ID]],BOM!$B$3:$BQ$35,42,FALSE),"")</f>
        <v>Imagine Communications SNP</v>
      </c>
      <c r="AM651" s="59" t="str">
        <f>IFERROR(VLOOKUP(Tabelle32[[#This Row],[Device ID]],BOM!$B$3:$BQ$35,43,FALSE),"")</f>
        <v>no</v>
      </c>
      <c r="AN651" s="59" t="str">
        <f>IFERROR(VLOOKUP(Tabelle32[[#This Row],[Device ID]],BOM!$B$3:$BQ$35,44,FALSE),"")</f>
        <v>yes</v>
      </c>
      <c r="AO651" s="59" t="str">
        <f>IFERROR(VLOOKUP(Tabelle32[[#This Row],[Device ID]],BOM!$B$3:$BQ$35,45,FALSE),"")</f>
        <v>no</v>
      </c>
      <c r="AP651" s="59" t="str">
        <f>IFERROR(CONCATENATE(Tabelle32[[#This Row],[Family
GFX-Unit]]," | ",Tabelle32[[#This Row],[Label 1
GFX-Unit]]," | ",Tabelle32[[#This Row],[Attached Device if Gateway]]),"")</f>
        <v>MEDEM Edits Out | Out Edit23-15 | EditPC-23</v>
      </c>
      <c r="AQ651" s="59"/>
      <c r="AR651" s="92"/>
      <c r="AS651" s="92"/>
      <c r="AT651" s="92"/>
      <c r="AU651" s="92"/>
      <c r="AV651" s="92"/>
      <c r="AW651" s="92"/>
      <c r="AX651" s="92"/>
      <c r="AY651" s="92"/>
      <c r="AZ651" s="92"/>
      <c r="BA651" s="92"/>
      <c r="BB651" s="92"/>
      <c r="BC651" s="92"/>
      <c r="BD651" s="92" t="s">
        <v>97</v>
      </c>
      <c r="BE651" s="92"/>
      <c r="BF651" s="92"/>
      <c r="BG651" s="92"/>
      <c r="BH651" s="73" t="s">
        <v>199</v>
      </c>
      <c r="BI651" s="30" t="str">
        <f>IF(COUNTA(Tabelle32[[#This Row],[Type:Vid_1080i50]:[Type:Anc_Prot]])&gt;0,"x","")</f>
        <v>x</v>
      </c>
      <c r="BJ65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51" s="59"/>
      <c r="BL651" s="59"/>
      <c r="BM651" s="63"/>
      <c r="BN651" s="63"/>
      <c r="BO651" s="97" t="s">
        <v>732</v>
      </c>
      <c r="BP651" s="97" t="s">
        <v>1174</v>
      </c>
      <c r="BQ651" s="75">
        <f>LEN(Tabelle32[[#This Row],[Label 1
GFX-Unit]])</f>
        <v>13</v>
      </c>
      <c r="BR651" s="63"/>
      <c r="BS651" s="63"/>
      <c r="BT651" s="59"/>
      <c r="BU651" s="59"/>
      <c r="BV651" s="59" t="s">
        <v>264</v>
      </c>
      <c r="BW651" s="59" t="s">
        <v>265</v>
      </c>
      <c r="BX651" s="59" t="s">
        <v>1175</v>
      </c>
      <c r="BY651" s="59">
        <v>31</v>
      </c>
    </row>
    <row r="652" spans="1:77" x14ac:dyDescent="0.2">
      <c r="A652" s="58" t="str">
        <f>CONCATENATE(Tabelle32[[#This Row],[Device ID]],".",Tabelle32[[#This Row],[Streamcounter]])</f>
        <v>2156.31216</v>
      </c>
      <c r="B65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VGW-103_SDI31_AUDsend_0016</v>
      </c>
      <c r="C652" s="67"/>
      <c r="D652" s="61"/>
      <c r="E652" s="67"/>
      <c r="F652" s="59" t="str">
        <f>IFERROR(VLOOKUP(Tabelle32[[#This Row],[Device ID]],BOM!$B$3:$BQ$35,16,FALSE),"")</f>
        <v>EditPC-23</v>
      </c>
      <c r="G652" s="63">
        <f>VLOOKUP(Tabelle32[[#This Row],[SDI Interface]],BOM!$A$4:$B$35,2,FALSE)</f>
        <v>2156</v>
      </c>
      <c r="H652" s="59" t="str">
        <f>BOM!$C$4</f>
        <v>VGW-103</v>
      </c>
      <c r="I652" s="59" t="str">
        <f>IFERROR(VLOOKUP(Tabelle32[[#This Row],[Device ID]],BOM!$B$3:$BQ$35,12,FALSE),"")</f>
        <v>Edit Suite</v>
      </c>
      <c r="J652" s="59" t="str">
        <f>IFERROR(VLOOKUP(Tabelle32[[#This Row],[Device ID]],BOM!$B$3:$BQ$35,13,FALSE),"")</f>
        <v>TC.U1.223 | MDC</v>
      </c>
      <c r="K652" s="59" t="str">
        <f>IFERROR(VLOOKUP(Tabelle32[[#This Row],[Device ID]],BOM!$B$3:$BQ$35,14,FALSE),"")</f>
        <v>Imagine Comunications</v>
      </c>
      <c r="L652" s="59" t="str">
        <f>IFERROR(VLOOKUP(Tabelle32[[#This Row],[Device ID]],BOM!$B$3:$BQ$35,16,FALSE),"")</f>
        <v>EditPC-23</v>
      </c>
      <c r="M652" s="63" t="str">
        <f>IFERROR(VLOOKUP(Tabelle32[[#This Row],[Device ID]],BOM!$B$3:$BQ$35,17,FALSE),"")</f>
        <v>EDIT SUITE 23</v>
      </c>
      <c r="N652" s="59" t="str">
        <f>IFERROR(VLOOKUP(Tabelle32[[#This Row],[Device ID]],BOM!$B$3:$BQ$35,18,FALSE),"")</f>
        <v>NEBEZ.V3.15 | Edit 23</v>
      </c>
      <c r="O652" s="64"/>
      <c r="P652" s="64">
        <f>IFERROR(VLOOKUP(Tabelle32[[#This Row],[Device ID]],BOM!$B$3:$BO$50,20,FALSE),"")</f>
        <v>0</v>
      </c>
      <c r="Q652" s="64">
        <f>IFERROR(VLOOKUP(Tabelle32[[#This Row],[Device ID]],BOM!$B$3:$BO$50,21,FALSE),"")</f>
        <v>1</v>
      </c>
      <c r="R652" s="64">
        <f>IFERROR(VLOOKUP(Tabelle32[[#This Row],[Device ID]],BOM!$B$3:$BO$50,22,FALSE),"")</f>
        <v>0</v>
      </c>
      <c r="S652" s="64"/>
      <c r="T652" s="64"/>
      <c r="U652" s="59" t="str">
        <f>IFERROR(VLOOKUP(Tabelle32[[#This Row],[Device ID]],BOM!$B$3:$BQ$35,25,FALSE),"")</f>
        <v>Luis/Ivo</v>
      </c>
      <c r="V652" s="59" t="str">
        <f>IFERROR(VLOOKUP(Tabelle32[[#This Row],[Device ID]],BOM!$B$3:$BQ$35,26,FALSE),"")</f>
        <v>tpco-megw-vgw103.rta.st-net.media.int</v>
      </c>
      <c r="W652" s="59" t="str">
        <f>IFERROR(VLOOKUP(Tabelle32[[#This Row],[Device ID]],BOM!$B$3:$BQ$35,27,FALSE),"")</f>
        <v>10.120.236.50</v>
      </c>
      <c r="X652" s="59" t="str">
        <f>IFERROR(VLOOKUP(Tabelle32[[#This Row],[Device ID]],BOM!$B$3:$BQ$35,28,FALSE),"")</f>
        <v>AVCoreA</v>
      </c>
      <c r="Y652" s="59" t="str">
        <f>IFERROR(VLOOKUP(Tabelle32[[#This Row],[Device ID]],BOM!$B$3:$BQ$35,29,FALSE),"")</f>
        <v>5_36_1</v>
      </c>
      <c r="Z652" s="59" t="str">
        <f>IFERROR(VLOOKUP(Tabelle32[[#This Row],[Device ID]],BOM!$B$3:$BQ$35,30,FALSE),"")</f>
        <v>tpco-megw-vgw103.rtb.st-net.media.int</v>
      </c>
      <c r="AA652" s="59" t="str">
        <f>IFERROR(VLOOKUP(Tabelle32[[#This Row],[Device ID]],BOM!$B$3:$BQ$35,31,FALSE),"")</f>
        <v>10.120.236.54</v>
      </c>
      <c r="AB652" s="59" t="str">
        <f>IFERROR(VLOOKUP(Tabelle32[[#This Row],[Device ID]],BOM!$B$3:$BQ$35,32,FALSE),"")</f>
        <v>AVCoreB</v>
      </c>
      <c r="AC652" s="59" t="str">
        <f>IFERROR(VLOOKUP(Tabelle32[[#This Row],[Device ID]],BOM!$B$3:$BQ$35,33,FALSE),"")</f>
        <v>5_36_1</v>
      </c>
      <c r="AD652" s="59" t="str">
        <f>IFERROR(VLOOKUP(Tabelle32[[#This Row],[Device ID]],BOM!$B$3:$BQ$35,34,FALSE),"")</f>
        <v>tpco-megw-vgw103.st-net.media.int</v>
      </c>
      <c r="AE652" s="59" t="str">
        <f>IFERROR(VLOOKUP(Tabelle32[[#This Row],[Device ID]],BOM!$B$3:$BQ$35,35,FALSE),"")</f>
        <v>10.120.67.141</v>
      </c>
      <c r="AF652" s="59">
        <f>IFERROR(VLOOKUP(Tabelle32[[#This Row],[Device ID]],BOM!$B$3:$BQ$35,36,FALSE),"")</f>
        <v>0</v>
      </c>
      <c r="AG652" s="59">
        <f>IFERROR(VLOOKUP(Tabelle32[[#This Row],[Device ID]],BOM!$B$3:$BQ$35,37,FALSE),"")</f>
        <v>0</v>
      </c>
      <c r="AH652" s="59"/>
      <c r="AI652" s="59"/>
      <c r="AJ652" s="59"/>
      <c r="AK652" s="59"/>
      <c r="AL652" s="59" t="str">
        <f>IFERROR(VLOOKUP(Tabelle32[[#This Row],[Device ID]],BOM!$B$3:$BQ$35,42,FALSE),"")</f>
        <v>Imagine Communications SNP</v>
      </c>
      <c r="AM652" s="59" t="str">
        <f>IFERROR(VLOOKUP(Tabelle32[[#This Row],[Device ID]],BOM!$B$3:$BQ$35,43,FALSE),"")</f>
        <v>no</v>
      </c>
      <c r="AN652" s="59" t="str">
        <f>IFERROR(VLOOKUP(Tabelle32[[#This Row],[Device ID]],BOM!$B$3:$BQ$35,44,FALSE),"")</f>
        <v>yes</v>
      </c>
      <c r="AO652" s="59" t="str">
        <f>IFERROR(VLOOKUP(Tabelle32[[#This Row],[Device ID]],BOM!$B$3:$BQ$35,45,FALSE),"")</f>
        <v>no</v>
      </c>
      <c r="AP652" s="59" t="str">
        <f>IFERROR(CONCATENATE(Tabelle32[[#This Row],[Family
GFX-Unit]]," | ",Tabelle32[[#This Row],[Label 1
GFX-Unit]]," | ",Tabelle32[[#This Row],[Attached Device if Gateway]]),"")</f>
        <v>MEDEM Edits Out | Out Edit23-16 | EditPC-23</v>
      </c>
      <c r="AQ652" s="59"/>
      <c r="AR652" s="92"/>
      <c r="AS652" s="92"/>
      <c r="AT652" s="92"/>
      <c r="AU652" s="92"/>
      <c r="AV652" s="92"/>
      <c r="AW652" s="92"/>
      <c r="AX652" s="92"/>
      <c r="AY652" s="92"/>
      <c r="AZ652" s="92"/>
      <c r="BA652" s="92"/>
      <c r="BB652" s="92"/>
      <c r="BC652" s="92"/>
      <c r="BD652" s="92" t="s">
        <v>97</v>
      </c>
      <c r="BE652" s="92"/>
      <c r="BF652" s="92"/>
      <c r="BG652" s="92"/>
      <c r="BH652" s="73" t="s">
        <v>199</v>
      </c>
      <c r="BI652" s="30" t="str">
        <f>IF(COUNTA(Tabelle32[[#This Row],[Type:Vid_1080i50]:[Type:Anc_Prot]])&gt;0,"x","")</f>
        <v>x</v>
      </c>
      <c r="BJ65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52" s="59"/>
      <c r="BL652" s="59"/>
      <c r="BM652" s="63"/>
      <c r="BN652" s="63"/>
      <c r="BO652" s="97" t="s">
        <v>732</v>
      </c>
      <c r="BP652" s="97" t="s">
        <v>1176</v>
      </c>
      <c r="BQ652" s="75">
        <f>LEN(Tabelle32[[#This Row],[Label 1
GFX-Unit]])</f>
        <v>13</v>
      </c>
      <c r="BR652" s="63"/>
      <c r="BS652" s="63"/>
      <c r="BT652" s="59"/>
      <c r="BU652" s="59"/>
      <c r="BV652" s="59" t="s">
        <v>268</v>
      </c>
      <c r="BW652" s="59" t="s">
        <v>269</v>
      </c>
      <c r="BX652" s="59" t="s">
        <v>1177</v>
      </c>
      <c r="BY652" s="59">
        <v>31</v>
      </c>
    </row>
    <row r="653" spans="1:77" x14ac:dyDescent="0.2">
      <c r="A653" s="58" t="str">
        <f>CONCATENATE(Tabelle32[[#This Row],[Device ID]],".",Tabelle32[[#This Row],[Streamcounter]])</f>
        <v>2156.31101</v>
      </c>
      <c r="B65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VGW-103_SDI31_VIDsend_0001</v>
      </c>
      <c r="C653" s="67"/>
      <c r="D653" s="61"/>
      <c r="E653" s="67"/>
      <c r="F653" s="59" t="str">
        <f>IFERROR(VLOOKUP(Tabelle32[[#This Row],[Device ID]],BOM!$B$3:$BQ$35,16,FALSE),"")</f>
        <v>EditPC-23</v>
      </c>
      <c r="G653" s="63">
        <f>VLOOKUP(Tabelle32[[#This Row],[SDI Interface]],BOM!$A$4:$B$35,2,FALSE)</f>
        <v>2156</v>
      </c>
      <c r="H653" s="59" t="str">
        <f>BOM!$C$4</f>
        <v>VGW-103</v>
      </c>
      <c r="I653" s="59" t="str">
        <f>IFERROR(VLOOKUP(Tabelle32[[#This Row],[Device ID]],BOM!$B$3:$BQ$35,12,FALSE),"")</f>
        <v>Edit Suite</v>
      </c>
      <c r="J653" s="59" t="str">
        <f>IFERROR(VLOOKUP(Tabelle32[[#This Row],[Device ID]],BOM!$B$3:$BQ$35,13,FALSE),"")</f>
        <v>TC.U1.223 | MDC</v>
      </c>
      <c r="K653" s="59" t="str">
        <f>IFERROR(VLOOKUP(Tabelle32[[#This Row],[Device ID]],BOM!$B$3:$BQ$35,14,FALSE),"")</f>
        <v>Imagine Comunications</v>
      </c>
      <c r="L653" s="59" t="str">
        <f>IFERROR(VLOOKUP(Tabelle32[[#This Row],[Device ID]],BOM!$B$3:$BQ$35,16,FALSE),"")</f>
        <v>EditPC-23</v>
      </c>
      <c r="M653" s="63" t="str">
        <f>IFERROR(VLOOKUP(Tabelle32[[#This Row],[Device ID]],BOM!$B$3:$BQ$35,17,FALSE),"")</f>
        <v>EDIT SUITE 23</v>
      </c>
      <c r="N653" s="59" t="str">
        <f>IFERROR(VLOOKUP(Tabelle32[[#This Row],[Device ID]],BOM!$B$3:$BQ$35,18,FALSE),"")</f>
        <v>NEBEZ.V3.15 | Edit 23</v>
      </c>
      <c r="O653" s="64"/>
      <c r="P653" s="64">
        <f>IFERROR(VLOOKUP(Tabelle32[[#This Row],[Device ID]],BOM!$B$3:$BO$50,20,FALSE),"")</f>
        <v>0</v>
      </c>
      <c r="Q653" s="64">
        <f>IFERROR(VLOOKUP(Tabelle32[[#This Row],[Device ID]],BOM!$B$3:$BO$50,21,FALSE),"")</f>
        <v>1</v>
      </c>
      <c r="R653" s="64">
        <f>IFERROR(VLOOKUP(Tabelle32[[#This Row],[Device ID]],BOM!$B$3:$BO$50,22,FALSE),"")</f>
        <v>0</v>
      </c>
      <c r="S653" s="64"/>
      <c r="T653" s="64"/>
      <c r="U653" s="59" t="str">
        <f>IFERROR(VLOOKUP(Tabelle32[[#This Row],[Device ID]],BOM!$B$3:$BQ$35,25,FALSE),"")</f>
        <v>Luis/Ivo</v>
      </c>
      <c r="V653" s="59" t="str">
        <f>IFERROR(VLOOKUP(Tabelle32[[#This Row],[Device ID]],BOM!$B$3:$BQ$35,26,FALSE),"")</f>
        <v>tpco-megw-vgw103.rta.st-net.media.int</v>
      </c>
      <c r="W653" s="59" t="str">
        <f>IFERROR(VLOOKUP(Tabelle32[[#This Row],[Device ID]],BOM!$B$3:$BQ$35,27,FALSE),"")</f>
        <v>10.120.236.50</v>
      </c>
      <c r="X653" s="59" t="str">
        <f>IFERROR(VLOOKUP(Tabelle32[[#This Row],[Device ID]],BOM!$B$3:$BQ$35,28,FALSE),"")</f>
        <v>AVCoreA</v>
      </c>
      <c r="Y653" s="59" t="str">
        <f>IFERROR(VLOOKUP(Tabelle32[[#This Row],[Device ID]],BOM!$B$3:$BQ$35,29,FALSE),"")</f>
        <v>5_36_1</v>
      </c>
      <c r="Z653" s="59" t="str">
        <f>IFERROR(VLOOKUP(Tabelle32[[#This Row],[Device ID]],BOM!$B$3:$BQ$35,30,FALSE),"")</f>
        <v>tpco-megw-vgw103.rtb.st-net.media.int</v>
      </c>
      <c r="AA653" s="59" t="str">
        <f>IFERROR(VLOOKUP(Tabelle32[[#This Row],[Device ID]],BOM!$B$3:$BQ$35,31,FALSE),"")</f>
        <v>10.120.236.54</v>
      </c>
      <c r="AB653" s="59" t="str">
        <f>IFERROR(VLOOKUP(Tabelle32[[#This Row],[Device ID]],BOM!$B$3:$BQ$35,32,FALSE),"")</f>
        <v>AVCoreB</v>
      </c>
      <c r="AC653" s="59" t="str">
        <f>IFERROR(VLOOKUP(Tabelle32[[#This Row],[Device ID]],BOM!$B$3:$BQ$35,33,FALSE),"")</f>
        <v>5_36_1</v>
      </c>
      <c r="AD653" s="59" t="str">
        <f>IFERROR(VLOOKUP(Tabelle32[[#This Row],[Device ID]],BOM!$B$3:$BQ$35,34,FALSE),"")</f>
        <v>tpco-megw-vgw103.st-net.media.int</v>
      </c>
      <c r="AE653" s="59" t="str">
        <f>IFERROR(VLOOKUP(Tabelle32[[#This Row],[Device ID]],BOM!$B$3:$BQ$35,35,FALSE),"")</f>
        <v>10.120.67.141</v>
      </c>
      <c r="AF653" s="59">
        <f>IFERROR(VLOOKUP(Tabelle32[[#This Row],[Device ID]],BOM!$B$3:$BQ$35,36,FALSE),"")</f>
        <v>0</v>
      </c>
      <c r="AG653" s="59">
        <f>IFERROR(VLOOKUP(Tabelle32[[#This Row],[Device ID]],BOM!$B$3:$BQ$35,37,FALSE),"")</f>
        <v>0</v>
      </c>
      <c r="AH653" s="59"/>
      <c r="AI653" s="59"/>
      <c r="AJ653" s="59"/>
      <c r="AK653" s="59"/>
      <c r="AL653" s="59" t="str">
        <f>IFERROR(VLOOKUP(Tabelle32[[#This Row],[Device ID]],BOM!$B$3:$BQ$35,42,FALSE),"")</f>
        <v>Imagine Communications SNP</v>
      </c>
      <c r="AM653" s="59" t="str">
        <f>IFERROR(VLOOKUP(Tabelle32[[#This Row],[Device ID]],BOM!$B$3:$BQ$35,43,FALSE),"")</f>
        <v>no</v>
      </c>
      <c r="AN653" s="59" t="str">
        <f>IFERROR(VLOOKUP(Tabelle32[[#This Row],[Device ID]],BOM!$B$3:$BQ$35,44,FALSE),"")</f>
        <v>yes</v>
      </c>
      <c r="AO653" s="59" t="str">
        <f>IFERROR(VLOOKUP(Tabelle32[[#This Row],[Device ID]],BOM!$B$3:$BQ$35,45,FALSE),"")</f>
        <v>no</v>
      </c>
      <c r="AP653" s="59" t="str">
        <f>IFERROR(CONCATENATE(Tabelle32[[#This Row],[Family
GFX-Unit]]," | ",Tabelle32[[#This Row],[Label 1
GFX-Unit]]," | ",Tabelle32[[#This Row],[Attached Device if Gateway]]),"")</f>
        <v>MEDEM Edits Out | Out Edit23 | EditPC-23</v>
      </c>
      <c r="AQ653" s="59"/>
      <c r="AR653" s="92" t="s">
        <v>97</v>
      </c>
      <c r="AS653" s="92"/>
      <c r="AT653" s="92"/>
      <c r="AU653" s="92"/>
      <c r="AV653" s="92"/>
      <c r="AW653" s="92"/>
      <c r="AX653" s="92"/>
      <c r="AY653" s="92"/>
      <c r="AZ653" s="92"/>
      <c r="BA653" s="92"/>
      <c r="BB653" s="92"/>
      <c r="BC653" s="92"/>
      <c r="BD653" s="92"/>
      <c r="BE653" s="92"/>
      <c r="BF653" s="92"/>
      <c r="BG653" s="92"/>
      <c r="BH653" s="73" t="s">
        <v>199</v>
      </c>
      <c r="BI653" s="30" t="str">
        <f>IF(COUNTA(Tabelle32[[#This Row],[Type:Vid_1080i50]:[Type:Anc_Prot]])&gt;0,"x","")</f>
        <v>x</v>
      </c>
      <c r="BJ65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653" s="59"/>
      <c r="BL653" s="59"/>
      <c r="BM653" s="63"/>
      <c r="BN653" s="63"/>
      <c r="BO653" s="97" t="s">
        <v>732</v>
      </c>
      <c r="BP653" s="97" t="s">
        <v>1178</v>
      </c>
      <c r="BQ653" s="75">
        <f>LEN(Tabelle32[[#This Row],[Label 1
GFX-Unit]])</f>
        <v>10</v>
      </c>
      <c r="BR653" s="63"/>
      <c r="BS653" s="63"/>
      <c r="BT653" s="59"/>
      <c r="BU653" s="59"/>
      <c r="BV653" s="59" t="s">
        <v>272</v>
      </c>
      <c r="BW653" s="59" t="s">
        <v>273</v>
      </c>
      <c r="BX653" s="59" t="s">
        <v>1179</v>
      </c>
      <c r="BY653" s="59">
        <v>31</v>
      </c>
    </row>
    <row r="654" spans="1:77" x14ac:dyDescent="0.2">
      <c r="A654" s="58" t="str">
        <f>CONCATENATE(Tabelle32[[#This Row],[Device ID]],".",Tabelle32[[#This Row],[Streamcounter]])</f>
        <v>2157.32301</v>
      </c>
      <c r="B65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VGW-103_SDI32_ANCsend_0001</v>
      </c>
      <c r="C654" s="67"/>
      <c r="D654" s="61"/>
      <c r="E654" s="67"/>
      <c r="F654" s="59" t="str">
        <f>IFERROR(VLOOKUP(Tabelle32[[#This Row],[Device ID]],BOM!$B$3:$BQ$35,16,FALSE),"")</f>
        <v>EditPC-24</v>
      </c>
      <c r="G654" s="63">
        <f>VLOOKUP(Tabelle32[[#This Row],[SDI Interface]],BOM!$A$4:$B$35,2,FALSE)</f>
        <v>2157</v>
      </c>
      <c r="H654" s="59" t="str">
        <f>BOM!$C$4</f>
        <v>VGW-103</v>
      </c>
      <c r="I654" s="59" t="str">
        <f>IFERROR(VLOOKUP(Tabelle32[[#This Row],[Device ID]],BOM!$B$3:$BQ$35,12,FALSE),"")</f>
        <v>Edit Suite</v>
      </c>
      <c r="J654" s="59" t="str">
        <f>IFERROR(VLOOKUP(Tabelle32[[#This Row],[Device ID]],BOM!$B$3:$BQ$35,13,FALSE),"")</f>
        <v>TC.U1.223 | MDC</v>
      </c>
      <c r="K654" s="59" t="str">
        <f>IFERROR(VLOOKUP(Tabelle32[[#This Row],[Device ID]],BOM!$B$3:$BQ$35,14,FALSE),"")</f>
        <v>Imagine Comunications</v>
      </c>
      <c r="L654" s="59" t="str">
        <f>IFERROR(VLOOKUP(Tabelle32[[#This Row],[Device ID]],BOM!$B$3:$BQ$35,16,FALSE),"")</f>
        <v>EditPC-24</v>
      </c>
      <c r="M654" s="63" t="str">
        <f>IFERROR(VLOOKUP(Tabelle32[[#This Row],[Device ID]],BOM!$B$3:$BQ$35,17,FALSE),"")</f>
        <v>EDIT SUITE 24</v>
      </c>
      <c r="N654" s="59" t="str">
        <f>IFERROR(VLOOKUP(Tabelle32[[#This Row],[Device ID]],BOM!$B$3:$BQ$35,18,FALSE),"")</f>
        <v>NEBEZ.V3.14 | Edit 24</v>
      </c>
      <c r="O654" s="64"/>
      <c r="P654" s="64">
        <f>IFERROR(VLOOKUP(Tabelle32[[#This Row],[Device ID]],BOM!$B$3:$BO$50,20,FALSE),"")</f>
        <v>0</v>
      </c>
      <c r="Q654" s="64">
        <f>IFERROR(VLOOKUP(Tabelle32[[#This Row],[Device ID]],BOM!$B$3:$BO$50,21,FALSE),"")</f>
        <v>1</v>
      </c>
      <c r="R654" s="64">
        <f>IFERROR(VLOOKUP(Tabelle32[[#This Row],[Device ID]],BOM!$B$3:$BO$50,22,FALSE),"")</f>
        <v>0</v>
      </c>
      <c r="S654" s="64"/>
      <c r="T654" s="64"/>
      <c r="U654" s="59" t="str">
        <f>IFERROR(VLOOKUP(Tabelle32[[#This Row],[Device ID]],BOM!$B$3:$BQ$35,25,FALSE),"")</f>
        <v>Luis/Ivo</v>
      </c>
      <c r="V654" s="59" t="str">
        <f>IFERROR(VLOOKUP(Tabelle32[[#This Row],[Device ID]],BOM!$B$3:$BQ$35,26,FALSE),"")</f>
        <v>tpco-megw-vgw103.rta.st-net.media.int</v>
      </c>
      <c r="W654" s="59" t="str">
        <f>IFERROR(VLOOKUP(Tabelle32[[#This Row],[Device ID]],BOM!$B$3:$BQ$35,27,FALSE),"")</f>
        <v>10.120.236.50</v>
      </c>
      <c r="X654" s="59" t="str">
        <f>IFERROR(VLOOKUP(Tabelle32[[#This Row],[Device ID]],BOM!$B$3:$BQ$35,28,FALSE),"")</f>
        <v>AVCoreA</v>
      </c>
      <c r="Y654" s="59" t="str">
        <f>IFERROR(VLOOKUP(Tabelle32[[#This Row],[Device ID]],BOM!$B$3:$BQ$35,29,FALSE),"")</f>
        <v>5_36_1</v>
      </c>
      <c r="Z654" s="59" t="str">
        <f>IFERROR(VLOOKUP(Tabelle32[[#This Row],[Device ID]],BOM!$B$3:$BQ$35,30,FALSE),"")</f>
        <v>tpco-megw-vgw103.rtb.st-net.media.int</v>
      </c>
      <c r="AA654" s="59" t="str">
        <f>IFERROR(VLOOKUP(Tabelle32[[#This Row],[Device ID]],BOM!$B$3:$BQ$35,31,FALSE),"")</f>
        <v>10.120.236.54</v>
      </c>
      <c r="AB654" s="59" t="str">
        <f>IFERROR(VLOOKUP(Tabelle32[[#This Row],[Device ID]],BOM!$B$3:$BQ$35,32,FALSE),"")</f>
        <v>AVCoreB</v>
      </c>
      <c r="AC654" s="59" t="str">
        <f>IFERROR(VLOOKUP(Tabelle32[[#This Row],[Device ID]],BOM!$B$3:$BQ$35,33,FALSE),"")</f>
        <v>5_36_1</v>
      </c>
      <c r="AD654" s="59" t="str">
        <f>IFERROR(VLOOKUP(Tabelle32[[#This Row],[Device ID]],BOM!$B$3:$BQ$35,34,FALSE),"")</f>
        <v>tpco-megw-vgw103.st-net.media.int</v>
      </c>
      <c r="AE654" s="59" t="str">
        <f>IFERROR(VLOOKUP(Tabelle32[[#This Row],[Device ID]],BOM!$B$3:$BQ$35,35,FALSE),"")</f>
        <v>10.120.67.141</v>
      </c>
      <c r="AF654" s="59">
        <f>IFERROR(VLOOKUP(Tabelle32[[#This Row],[Device ID]],BOM!$B$3:$BQ$35,36,FALSE),"")</f>
        <v>0</v>
      </c>
      <c r="AG654" s="59">
        <f>IFERROR(VLOOKUP(Tabelle32[[#This Row],[Device ID]],BOM!$B$3:$BQ$35,37,FALSE),"")</f>
        <v>0</v>
      </c>
      <c r="AH654" s="59"/>
      <c r="AI654" s="59"/>
      <c r="AJ654" s="59"/>
      <c r="AK654" s="59"/>
      <c r="AL654" s="59" t="str">
        <f>IFERROR(VLOOKUP(Tabelle32[[#This Row],[Device ID]],BOM!$B$3:$BQ$35,42,FALSE),"")</f>
        <v>Imagine Communications SNP</v>
      </c>
      <c r="AM654" s="59" t="str">
        <f>IFERROR(VLOOKUP(Tabelle32[[#This Row],[Device ID]],BOM!$B$3:$BQ$35,43,FALSE),"")</f>
        <v>no</v>
      </c>
      <c r="AN654" s="59" t="str">
        <f>IFERROR(VLOOKUP(Tabelle32[[#This Row],[Device ID]],BOM!$B$3:$BQ$35,44,FALSE),"")</f>
        <v>yes</v>
      </c>
      <c r="AO654" s="59" t="str">
        <f>IFERROR(VLOOKUP(Tabelle32[[#This Row],[Device ID]],BOM!$B$3:$BQ$35,45,FALSE),"")</f>
        <v>no</v>
      </c>
      <c r="AP654" s="59" t="str">
        <f>IFERROR(CONCATENATE(Tabelle32[[#This Row],[Family
GFX-Unit]]," | ",Tabelle32[[#This Row],[Label 1
GFX-Unit]]," | ",Tabelle32[[#This Row],[Attached Device if Gateway]]),"")</f>
        <v>MEDEM Edits Out | Out Edit24-ANC1 | EditPC-24</v>
      </c>
      <c r="AQ654" s="59"/>
      <c r="AR654" s="91"/>
      <c r="AS654" s="91"/>
      <c r="AT654" s="91"/>
      <c r="AU654" s="91"/>
      <c r="AV654" s="91"/>
      <c r="AW654" s="91"/>
      <c r="AX654" s="91"/>
      <c r="AY654" s="91"/>
      <c r="AZ654" s="91"/>
      <c r="BA654" s="91"/>
      <c r="BB654" s="91"/>
      <c r="BC654" s="91"/>
      <c r="BD654" s="91"/>
      <c r="BE654" s="91"/>
      <c r="BF654" s="91"/>
      <c r="BG654" s="91" t="s">
        <v>97</v>
      </c>
      <c r="BH654" s="73" t="s">
        <v>199</v>
      </c>
      <c r="BI654" s="30" t="str">
        <f>IF(COUNTA(Tabelle32[[#This Row],[Type:Vid_1080i50]:[Type:Anc_Prot]])&gt;0,"x","")</f>
        <v>x</v>
      </c>
      <c r="BJ65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Type:Anc_Prot,#SNP</v>
      </c>
      <c r="BK654" s="59"/>
      <c r="BL654" s="59"/>
      <c r="BM654" s="63"/>
      <c r="BN654" s="63"/>
      <c r="BO654" s="97" t="s">
        <v>732</v>
      </c>
      <c r="BP654" s="97" t="s">
        <v>1180</v>
      </c>
      <c r="BQ654" s="75">
        <f>LEN(Tabelle32[[#This Row],[Label 1
GFX-Unit]])</f>
        <v>15</v>
      </c>
      <c r="BR654" s="63"/>
      <c r="BS654" s="63"/>
      <c r="BT654" s="59"/>
      <c r="BU654" s="59"/>
      <c r="BV654" s="59" t="s">
        <v>202</v>
      </c>
      <c r="BW654" s="59" t="s">
        <v>203</v>
      </c>
      <c r="BX654" s="59" t="s">
        <v>1181</v>
      </c>
      <c r="BY654" s="59">
        <v>32</v>
      </c>
    </row>
    <row r="655" spans="1:77" hidden="1" x14ac:dyDescent="0.2">
      <c r="A655" s="58" t="str">
        <f>CONCATENATE(Tabelle32[[#This Row],[Device ID]],".",Tabelle32[[#This Row],[Streamcounter]])</f>
        <v>2157.32302</v>
      </c>
      <c r="B65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VGW-103_SDI32_ANCsend_0002</v>
      </c>
      <c r="C655" s="67"/>
      <c r="D655" s="61"/>
      <c r="E655" s="67"/>
      <c r="F655" s="59" t="str">
        <f>IFERROR(VLOOKUP(Tabelle32[[#This Row],[Device ID]],BOM!$B$3:$BQ$35,16,FALSE),"")</f>
        <v>EditPC-24</v>
      </c>
      <c r="G655" s="63">
        <f>VLOOKUP(Tabelle32[[#This Row],[SDI Interface]],BOM!$A$4:$B$35,2,FALSE)</f>
        <v>2157</v>
      </c>
      <c r="H655" s="59" t="str">
        <f>BOM!$C$4</f>
        <v>VGW-103</v>
      </c>
      <c r="I655" s="59" t="str">
        <f>IFERROR(VLOOKUP(Tabelle32[[#This Row],[Device ID]],BOM!$B$3:$BQ$35,12,FALSE),"")</f>
        <v>Edit Suite</v>
      </c>
      <c r="J655" s="59" t="str">
        <f>IFERROR(VLOOKUP(Tabelle32[[#This Row],[Device ID]],BOM!$B$3:$BQ$35,13,FALSE),"")</f>
        <v>TC.U1.223 | MDC</v>
      </c>
      <c r="K655" s="59" t="str">
        <f>IFERROR(VLOOKUP(Tabelle32[[#This Row],[Device ID]],BOM!$B$3:$BQ$35,14,FALSE),"")</f>
        <v>Imagine Comunications</v>
      </c>
      <c r="L655" s="59" t="str">
        <f>IFERROR(VLOOKUP(Tabelle32[[#This Row],[Device ID]],BOM!$B$3:$BQ$35,16,FALSE),"")</f>
        <v>EditPC-24</v>
      </c>
      <c r="M655" s="63" t="str">
        <f>IFERROR(VLOOKUP(Tabelle32[[#This Row],[Device ID]],BOM!$B$3:$BQ$35,17,FALSE),"")</f>
        <v>EDIT SUITE 24</v>
      </c>
      <c r="N655" s="59" t="str">
        <f>IFERROR(VLOOKUP(Tabelle32[[#This Row],[Device ID]],BOM!$B$3:$BQ$35,18,FALSE),"")</f>
        <v>NEBEZ.V3.14 | Edit 24</v>
      </c>
      <c r="O655" s="64"/>
      <c r="P655" s="64">
        <f>IFERROR(VLOOKUP(Tabelle32[[#This Row],[Device ID]],BOM!$B$3:$BO$50,20,FALSE),"")</f>
        <v>0</v>
      </c>
      <c r="Q655" s="64">
        <f>IFERROR(VLOOKUP(Tabelle32[[#This Row],[Device ID]],BOM!$B$3:$BO$50,21,FALSE),"")</f>
        <v>1</v>
      </c>
      <c r="R655" s="64">
        <f>IFERROR(VLOOKUP(Tabelle32[[#This Row],[Device ID]],BOM!$B$3:$BO$50,22,FALSE),"")</f>
        <v>0</v>
      </c>
      <c r="S655" s="64"/>
      <c r="T655" s="64"/>
      <c r="U655" s="59" t="str">
        <f>IFERROR(VLOOKUP(Tabelle32[[#This Row],[Device ID]],BOM!$B$3:$BQ$35,25,FALSE),"")</f>
        <v>Luis/Ivo</v>
      </c>
      <c r="V655" s="59" t="str">
        <f>IFERROR(VLOOKUP(Tabelle32[[#This Row],[Device ID]],BOM!$B$3:$BQ$35,26,FALSE),"")</f>
        <v>tpco-megw-vgw103.rta.st-net.media.int</v>
      </c>
      <c r="W655" s="59" t="str">
        <f>IFERROR(VLOOKUP(Tabelle32[[#This Row],[Device ID]],BOM!$B$3:$BQ$35,27,FALSE),"")</f>
        <v>10.120.236.50</v>
      </c>
      <c r="X655" s="59" t="str">
        <f>IFERROR(VLOOKUP(Tabelle32[[#This Row],[Device ID]],BOM!$B$3:$BQ$35,28,FALSE),"")</f>
        <v>AVCoreA</v>
      </c>
      <c r="Y655" s="59" t="str">
        <f>IFERROR(VLOOKUP(Tabelle32[[#This Row],[Device ID]],BOM!$B$3:$BQ$35,29,FALSE),"")</f>
        <v>5_36_1</v>
      </c>
      <c r="Z655" s="59" t="str">
        <f>IFERROR(VLOOKUP(Tabelle32[[#This Row],[Device ID]],BOM!$B$3:$BQ$35,30,FALSE),"")</f>
        <v>tpco-megw-vgw103.rtb.st-net.media.int</v>
      </c>
      <c r="AA655" s="59" t="str">
        <f>IFERROR(VLOOKUP(Tabelle32[[#This Row],[Device ID]],BOM!$B$3:$BQ$35,31,FALSE),"")</f>
        <v>10.120.236.54</v>
      </c>
      <c r="AB655" s="59" t="str">
        <f>IFERROR(VLOOKUP(Tabelle32[[#This Row],[Device ID]],BOM!$B$3:$BQ$35,32,FALSE),"")</f>
        <v>AVCoreB</v>
      </c>
      <c r="AC655" s="59" t="str">
        <f>IFERROR(VLOOKUP(Tabelle32[[#This Row],[Device ID]],BOM!$B$3:$BQ$35,33,FALSE),"")</f>
        <v>5_36_1</v>
      </c>
      <c r="AD655" s="59" t="str">
        <f>IFERROR(VLOOKUP(Tabelle32[[#This Row],[Device ID]],BOM!$B$3:$BQ$35,34,FALSE),"")</f>
        <v>tpco-megw-vgw103.st-net.media.int</v>
      </c>
      <c r="AE655" s="59" t="str">
        <f>IFERROR(VLOOKUP(Tabelle32[[#This Row],[Device ID]],BOM!$B$3:$BQ$35,35,FALSE),"")</f>
        <v>10.120.67.141</v>
      </c>
      <c r="AF655" s="59">
        <f>IFERROR(VLOOKUP(Tabelle32[[#This Row],[Device ID]],BOM!$B$3:$BQ$35,36,FALSE),"")</f>
        <v>0</v>
      </c>
      <c r="AG655" s="59">
        <f>IFERROR(VLOOKUP(Tabelle32[[#This Row],[Device ID]],BOM!$B$3:$BQ$35,37,FALSE),"")</f>
        <v>0</v>
      </c>
      <c r="AH655" s="59"/>
      <c r="AI655" s="59"/>
      <c r="AJ655" s="59"/>
      <c r="AK655" s="59"/>
      <c r="AL655" s="59" t="str">
        <f>IFERROR(VLOOKUP(Tabelle32[[#This Row],[Device ID]],BOM!$B$3:$BQ$35,42,FALSE),"")</f>
        <v>Imagine Communications SNP</v>
      </c>
      <c r="AM655" s="59" t="str">
        <f>IFERROR(VLOOKUP(Tabelle32[[#This Row],[Device ID]],BOM!$B$3:$BQ$35,43,FALSE),"")</f>
        <v>no</v>
      </c>
      <c r="AN655" s="59" t="str">
        <f>IFERROR(VLOOKUP(Tabelle32[[#This Row],[Device ID]],BOM!$B$3:$BQ$35,44,FALSE),"")</f>
        <v>yes</v>
      </c>
      <c r="AO655" s="59" t="str">
        <f>IFERROR(VLOOKUP(Tabelle32[[#This Row],[Device ID]],BOM!$B$3:$BQ$35,45,FALSE),"")</f>
        <v>no</v>
      </c>
      <c r="AP655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55" s="59"/>
      <c r="AR655" s="28"/>
      <c r="AS655" s="28"/>
      <c r="AT655" s="28"/>
      <c r="AU655" s="90"/>
      <c r="AV655" s="90"/>
      <c r="AW655" s="90"/>
      <c r="AX655" s="90"/>
      <c r="AY655" s="90"/>
      <c r="AZ655" s="90"/>
      <c r="BA655" s="90"/>
      <c r="BB655" s="90"/>
      <c r="BC655" s="90"/>
      <c r="BD655" s="90"/>
      <c r="BE655" s="90"/>
      <c r="BF655" s="90"/>
      <c r="BG655" s="90"/>
      <c r="BH655" s="73" t="s">
        <v>199</v>
      </c>
      <c r="BI655" s="30" t="str">
        <f>IF(COUNTA(Tabelle32[[#This Row],[Type:Vid_1080i50]:[Type:Anc_Prot]])&gt;0,"x","")</f>
        <v/>
      </c>
      <c r="BJ65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55" s="59"/>
      <c r="BL655" s="59"/>
      <c r="BM655" s="63"/>
      <c r="BN655" s="63"/>
      <c r="BO655" s="96"/>
      <c r="BP655" s="96"/>
      <c r="BQ655" s="75">
        <f>LEN(Tabelle32[[#This Row],[Label 1
GFX-Unit]])</f>
        <v>0</v>
      </c>
      <c r="BR655" s="63"/>
      <c r="BS655" s="63"/>
      <c r="BT655" s="59"/>
      <c r="BU655" s="59"/>
      <c r="BV655" s="59" t="s">
        <v>205</v>
      </c>
      <c r="BW655" s="59" t="s">
        <v>206</v>
      </c>
      <c r="BX655" s="59" t="s">
        <v>1182</v>
      </c>
      <c r="BY655" s="59">
        <v>32</v>
      </c>
    </row>
    <row r="656" spans="1:77" hidden="1" x14ac:dyDescent="0.2">
      <c r="A656" s="58" t="str">
        <f>CONCATENATE(Tabelle32[[#This Row],[Device ID]],".",Tabelle32[[#This Row],[Streamcounter]])</f>
        <v>2157.32303</v>
      </c>
      <c r="B65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VGW-103_SDI32_ANCsend_0003</v>
      </c>
      <c r="C656" s="67"/>
      <c r="D656" s="61"/>
      <c r="E656" s="67"/>
      <c r="F656" s="59" t="str">
        <f>IFERROR(VLOOKUP(Tabelle32[[#This Row],[Device ID]],BOM!$B$3:$BQ$35,16,FALSE),"")</f>
        <v>EditPC-24</v>
      </c>
      <c r="G656" s="63">
        <f>VLOOKUP(Tabelle32[[#This Row],[SDI Interface]],BOM!$A$4:$B$35,2,FALSE)</f>
        <v>2157</v>
      </c>
      <c r="H656" s="59" t="str">
        <f>BOM!$C$4</f>
        <v>VGW-103</v>
      </c>
      <c r="I656" s="59" t="str">
        <f>IFERROR(VLOOKUP(Tabelle32[[#This Row],[Device ID]],BOM!$B$3:$BQ$35,12,FALSE),"")</f>
        <v>Edit Suite</v>
      </c>
      <c r="J656" s="59" t="str">
        <f>IFERROR(VLOOKUP(Tabelle32[[#This Row],[Device ID]],BOM!$B$3:$BQ$35,13,FALSE),"")</f>
        <v>TC.U1.223 | MDC</v>
      </c>
      <c r="K656" s="59" t="str">
        <f>IFERROR(VLOOKUP(Tabelle32[[#This Row],[Device ID]],BOM!$B$3:$BQ$35,14,FALSE),"")</f>
        <v>Imagine Comunications</v>
      </c>
      <c r="L656" s="59" t="str">
        <f>IFERROR(VLOOKUP(Tabelle32[[#This Row],[Device ID]],BOM!$B$3:$BQ$35,16,FALSE),"")</f>
        <v>EditPC-24</v>
      </c>
      <c r="M656" s="63" t="str">
        <f>IFERROR(VLOOKUP(Tabelle32[[#This Row],[Device ID]],BOM!$B$3:$BQ$35,17,FALSE),"")</f>
        <v>EDIT SUITE 24</v>
      </c>
      <c r="N656" s="59" t="str">
        <f>IFERROR(VLOOKUP(Tabelle32[[#This Row],[Device ID]],BOM!$B$3:$BQ$35,18,FALSE),"")</f>
        <v>NEBEZ.V3.14 | Edit 24</v>
      </c>
      <c r="O656" s="64"/>
      <c r="P656" s="64">
        <f>IFERROR(VLOOKUP(Tabelle32[[#This Row],[Device ID]],BOM!$B$3:$BO$50,20,FALSE),"")</f>
        <v>0</v>
      </c>
      <c r="Q656" s="64">
        <f>IFERROR(VLOOKUP(Tabelle32[[#This Row],[Device ID]],BOM!$B$3:$BO$50,21,FALSE),"")</f>
        <v>1</v>
      </c>
      <c r="R656" s="64">
        <f>IFERROR(VLOOKUP(Tabelle32[[#This Row],[Device ID]],BOM!$B$3:$BO$50,22,FALSE),"")</f>
        <v>0</v>
      </c>
      <c r="S656" s="64"/>
      <c r="T656" s="64"/>
      <c r="U656" s="59" t="str">
        <f>IFERROR(VLOOKUP(Tabelle32[[#This Row],[Device ID]],BOM!$B$3:$BQ$35,25,FALSE),"")</f>
        <v>Luis/Ivo</v>
      </c>
      <c r="V656" s="59" t="str">
        <f>IFERROR(VLOOKUP(Tabelle32[[#This Row],[Device ID]],BOM!$B$3:$BQ$35,26,FALSE),"")</f>
        <v>tpco-megw-vgw103.rta.st-net.media.int</v>
      </c>
      <c r="W656" s="59" t="str">
        <f>IFERROR(VLOOKUP(Tabelle32[[#This Row],[Device ID]],BOM!$B$3:$BQ$35,27,FALSE),"")</f>
        <v>10.120.236.50</v>
      </c>
      <c r="X656" s="59" t="str">
        <f>IFERROR(VLOOKUP(Tabelle32[[#This Row],[Device ID]],BOM!$B$3:$BQ$35,28,FALSE),"")</f>
        <v>AVCoreA</v>
      </c>
      <c r="Y656" s="59" t="str">
        <f>IFERROR(VLOOKUP(Tabelle32[[#This Row],[Device ID]],BOM!$B$3:$BQ$35,29,FALSE),"")</f>
        <v>5_36_1</v>
      </c>
      <c r="Z656" s="59" t="str">
        <f>IFERROR(VLOOKUP(Tabelle32[[#This Row],[Device ID]],BOM!$B$3:$BQ$35,30,FALSE),"")</f>
        <v>tpco-megw-vgw103.rtb.st-net.media.int</v>
      </c>
      <c r="AA656" s="59" t="str">
        <f>IFERROR(VLOOKUP(Tabelle32[[#This Row],[Device ID]],BOM!$B$3:$BQ$35,31,FALSE),"")</f>
        <v>10.120.236.54</v>
      </c>
      <c r="AB656" s="59" t="str">
        <f>IFERROR(VLOOKUP(Tabelle32[[#This Row],[Device ID]],BOM!$B$3:$BQ$35,32,FALSE),"")</f>
        <v>AVCoreB</v>
      </c>
      <c r="AC656" s="59" t="str">
        <f>IFERROR(VLOOKUP(Tabelle32[[#This Row],[Device ID]],BOM!$B$3:$BQ$35,33,FALSE),"")</f>
        <v>5_36_1</v>
      </c>
      <c r="AD656" s="59" t="str">
        <f>IFERROR(VLOOKUP(Tabelle32[[#This Row],[Device ID]],BOM!$B$3:$BQ$35,34,FALSE),"")</f>
        <v>tpco-megw-vgw103.st-net.media.int</v>
      </c>
      <c r="AE656" s="59" t="str">
        <f>IFERROR(VLOOKUP(Tabelle32[[#This Row],[Device ID]],BOM!$B$3:$BQ$35,35,FALSE),"")</f>
        <v>10.120.67.141</v>
      </c>
      <c r="AF656" s="59">
        <f>IFERROR(VLOOKUP(Tabelle32[[#This Row],[Device ID]],BOM!$B$3:$BQ$35,36,FALSE),"")</f>
        <v>0</v>
      </c>
      <c r="AG656" s="59">
        <f>IFERROR(VLOOKUP(Tabelle32[[#This Row],[Device ID]],BOM!$B$3:$BQ$35,37,FALSE),"")</f>
        <v>0</v>
      </c>
      <c r="AH656" s="59"/>
      <c r="AI656" s="59"/>
      <c r="AJ656" s="59"/>
      <c r="AK656" s="59"/>
      <c r="AL656" s="59" t="str">
        <f>IFERROR(VLOOKUP(Tabelle32[[#This Row],[Device ID]],BOM!$B$3:$BQ$35,42,FALSE),"")</f>
        <v>Imagine Communications SNP</v>
      </c>
      <c r="AM656" s="59" t="str">
        <f>IFERROR(VLOOKUP(Tabelle32[[#This Row],[Device ID]],BOM!$B$3:$BQ$35,43,FALSE),"")</f>
        <v>no</v>
      </c>
      <c r="AN656" s="59" t="str">
        <f>IFERROR(VLOOKUP(Tabelle32[[#This Row],[Device ID]],BOM!$B$3:$BQ$35,44,FALSE),"")</f>
        <v>yes</v>
      </c>
      <c r="AO656" s="59" t="str">
        <f>IFERROR(VLOOKUP(Tabelle32[[#This Row],[Device ID]],BOM!$B$3:$BQ$35,45,FALSE),"")</f>
        <v>no</v>
      </c>
      <c r="AP656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56" s="59"/>
      <c r="AR656" s="28"/>
      <c r="AS656" s="28"/>
      <c r="AT656" s="28"/>
      <c r="AU656" s="90"/>
      <c r="AV656" s="90"/>
      <c r="AW656" s="90"/>
      <c r="AX656" s="90"/>
      <c r="AY656" s="90"/>
      <c r="AZ656" s="90"/>
      <c r="BA656" s="90"/>
      <c r="BB656" s="90"/>
      <c r="BC656" s="90"/>
      <c r="BD656" s="90"/>
      <c r="BE656" s="90"/>
      <c r="BF656" s="90"/>
      <c r="BG656" s="90"/>
      <c r="BH656" s="73" t="s">
        <v>199</v>
      </c>
      <c r="BI656" s="30" t="str">
        <f>IF(COUNTA(Tabelle32[[#This Row],[Type:Vid_1080i50]:[Type:Anc_Prot]])&gt;0,"x","")</f>
        <v/>
      </c>
      <c r="BJ65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56" s="59"/>
      <c r="BL656" s="59"/>
      <c r="BM656" s="63"/>
      <c r="BN656" s="63"/>
      <c r="BO656" s="96"/>
      <c r="BP656" s="96"/>
      <c r="BQ656" s="75">
        <f>LEN(Tabelle32[[#This Row],[Label 1
GFX-Unit]])</f>
        <v>0</v>
      </c>
      <c r="BR656" s="63"/>
      <c r="BS656" s="63"/>
      <c r="BT656" s="59"/>
      <c r="BU656" s="59"/>
      <c r="BV656" s="59" t="s">
        <v>208</v>
      </c>
      <c r="BW656" s="59" t="s">
        <v>209</v>
      </c>
      <c r="BX656" s="59" t="s">
        <v>1183</v>
      </c>
      <c r="BY656" s="59">
        <v>32</v>
      </c>
    </row>
    <row r="657" spans="1:77" hidden="1" x14ac:dyDescent="0.2">
      <c r="A657" s="58" t="str">
        <f>CONCATENATE(Tabelle32[[#This Row],[Device ID]],".",Tabelle32[[#This Row],[Streamcounter]])</f>
        <v>2157.32304</v>
      </c>
      <c r="B65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VGW-103_SDI32_ANCsend_0004</v>
      </c>
      <c r="C657" s="67"/>
      <c r="D657" s="61"/>
      <c r="E657" s="67"/>
      <c r="F657" s="59" t="str">
        <f>IFERROR(VLOOKUP(Tabelle32[[#This Row],[Device ID]],BOM!$B$3:$BQ$35,16,FALSE),"")</f>
        <v>EditPC-24</v>
      </c>
      <c r="G657" s="63">
        <f>VLOOKUP(Tabelle32[[#This Row],[SDI Interface]],BOM!$A$4:$B$35,2,FALSE)</f>
        <v>2157</v>
      </c>
      <c r="H657" s="59" t="str">
        <f>BOM!$C$4</f>
        <v>VGW-103</v>
      </c>
      <c r="I657" s="59" t="str">
        <f>IFERROR(VLOOKUP(Tabelle32[[#This Row],[Device ID]],BOM!$B$3:$BQ$35,12,FALSE),"")</f>
        <v>Edit Suite</v>
      </c>
      <c r="J657" s="59" t="str">
        <f>IFERROR(VLOOKUP(Tabelle32[[#This Row],[Device ID]],BOM!$B$3:$BQ$35,13,FALSE),"")</f>
        <v>TC.U1.223 | MDC</v>
      </c>
      <c r="K657" s="59" t="str">
        <f>IFERROR(VLOOKUP(Tabelle32[[#This Row],[Device ID]],BOM!$B$3:$BQ$35,14,FALSE),"")</f>
        <v>Imagine Comunications</v>
      </c>
      <c r="L657" s="59" t="str">
        <f>IFERROR(VLOOKUP(Tabelle32[[#This Row],[Device ID]],BOM!$B$3:$BQ$35,16,FALSE),"")</f>
        <v>EditPC-24</v>
      </c>
      <c r="M657" s="63" t="str">
        <f>IFERROR(VLOOKUP(Tabelle32[[#This Row],[Device ID]],BOM!$B$3:$BQ$35,17,FALSE),"")</f>
        <v>EDIT SUITE 24</v>
      </c>
      <c r="N657" s="59" t="str">
        <f>IFERROR(VLOOKUP(Tabelle32[[#This Row],[Device ID]],BOM!$B$3:$BQ$35,18,FALSE),"")</f>
        <v>NEBEZ.V3.14 | Edit 24</v>
      </c>
      <c r="O657" s="64"/>
      <c r="P657" s="64">
        <f>IFERROR(VLOOKUP(Tabelle32[[#This Row],[Device ID]],BOM!$B$3:$BO$50,20,FALSE),"")</f>
        <v>0</v>
      </c>
      <c r="Q657" s="64">
        <f>IFERROR(VLOOKUP(Tabelle32[[#This Row],[Device ID]],BOM!$B$3:$BO$50,21,FALSE),"")</f>
        <v>1</v>
      </c>
      <c r="R657" s="64">
        <f>IFERROR(VLOOKUP(Tabelle32[[#This Row],[Device ID]],BOM!$B$3:$BO$50,22,FALSE),"")</f>
        <v>0</v>
      </c>
      <c r="S657" s="64"/>
      <c r="T657" s="64"/>
      <c r="U657" s="59" t="str">
        <f>IFERROR(VLOOKUP(Tabelle32[[#This Row],[Device ID]],BOM!$B$3:$BQ$35,25,FALSE),"")</f>
        <v>Luis/Ivo</v>
      </c>
      <c r="V657" s="59" t="str">
        <f>IFERROR(VLOOKUP(Tabelle32[[#This Row],[Device ID]],BOM!$B$3:$BQ$35,26,FALSE),"")</f>
        <v>tpco-megw-vgw103.rta.st-net.media.int</v>
      </c>
      <c r="W657" s="59" t="str">
        <f>IFERROR(VLOOKUP(Tabelle32[[#This Row],[Device ID]],BOM!$B$3:$BQ$35,27,FALSE),"")</f>
        <v>10.120.236.50</v>
      </c>
      <c r="X657" s="59" t="str">
        <f>IFERROR(VLOOKUP(Tabelle32[[#This Row],[Device ID]],BOM!$B$3:$BQ$35,28,FALSE),"")</f>
        <v>AVCoreA</v>
      </c>
      <c r="Y657" s="59" t="str">
        <f>IFERROR(VLOOKUP(Tabelle32[[#This Row],[Device ID]],BOM!$B$3:$BQ$35,29,FALSE),"")</f>
        <v>5_36_1</v>
      </c>
      <c r="Z657" s="59" t="str">
        <f>IFERROR(VLOOKUP(Tabelle32[[#This Row],[Device ID]],BOM!$B$3:$BQ$35,30,FALSE),"")</f>
        <v>tpco-megw-vgw103.rtb.st-net.media.int</v>
      </c>
      <c r="AA657" s="59" t="str">
        <f>IFERROR(VLOOKUP(Tabelle32[[#This Row],[Device ID]],BOM!$B$3:$BQ$35,31,FALSE),"")</f>
        <v>10.120.236.54</v>
      </c>
      <c r="AB657" s="59" t="str">
        <f>IFERROR(VLOOKUP(Tabelle32[[#This Row],[Device ID]],BOM!$B$3:$BQ$35,32,FALSE),"")</f>
        <v>AVCoreB</v>
      </c>
      <c r="AC657" s="59" t="str">
        <f>IFERROR(VLOOKUP(Tabelle32[[#This Row],[Device ID]],BOM!$B$3:$BQ$35,33,FALSE),"")</f>
        <v>5_36_1</v>
      </c>
      <c r="AD657" s="59" t="str">
        <f>IFERROR(VLOOKUP(Tabelle32[[#This Row],[Device ID]],BOM!$B$3:$BQ$35,34,FALSE),"")</f>
        <v>tpco-megw-vgw103.st-net.media.int</v>
      </c>
      <c r="AE657" s="59" t="str">
        <f>IFERROR(VLOOKUP(Tabelle32[[#This Row],[Device ID]],BOM!$B$3:$BQ$35,35,FALSE),"")</f>
        <v>10.120.67.141</v>
      </c>
      <c r="AF657" s="59">
        <f>IFERROR(VLOOKUP(Tabelle32[[#This Row],[Device ID]],BOM!$B$3:$BQ$35,36,FALSE),"")</f>
        <v>0</v>
      </c>
      <c r="AG657" s="59">
        <f>IFERROR(VLOOKUP(Tabelle32[[#This Row],[Device ID]],BOM!$B$3:$BQ$35,37,FALSE),"")</f>
        <v>0</v>
      </c>
      <c r="AH657" s="59"/>
      <c r="AI657" s="59"/>
      <c r="AJ657" s="59"/>
      <c r="AK657" s="59"/>
      <c r="AL657" s="59" t="str">
        <f>IFERROR(VLOOKUP(Tabelle32[[#This Row],[Device ID]],BOM!$B$3:$BQ$35,42,FALSE),"")</f>
        <v>Imagine Communications SNP</v>
      </c>
      <c r="AM657" s="59" t="str">
        <f>IFERROR(VLOOKUP(Tabelle32[[#This Row],[Device ID]],BOM!$B$3:$BQ$35,43,FALSE),"")</f>
        <v>no</v>
      </c>
      <c r="AN657" s="59" t="str">
        <f>IFERROR(VLOOKUP(Tabelle32[[#This Row],[Device ID]],BOM!$B$3:$BQ$35,44,FALSE),"")</f>
        <v>yes</v>
      </c>
      <c r="AO657" s="59" t="str">
        <f>IFERROR(VLOOKUP(Tabelle32[[#This Row],[Device ID]],BOM!$B$3:$BQ$35,45,FALSE),"")</f>
        <v>no</v>
      </c>
      <c r="AP657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57" s="59"/>
      <c r="AR657" s="28"/>
      <c r="AS657" s="28"/>
      <c r="AT657" s="28"/>
      <c r="AU657" s="90"/>
      <c r="AV657" s="90"/>
      <c r="AW657" s="90"/>
      <c r="AX657" s="90"/>
      <c r="AY657" s="90"/>
      <c r="AZ657" s="90"/>
      <c r="BA657" s="90"/>
      <c r="BB657" s="90"/>
      <c r="BC657" s="90"/>
      <c r="BD657" s="90"/>
      <c r="BE657" s="90"/>
      <c r="BF657" s="90"/>
      <c r="BG657" s="90"/>
      <c r="BH657" s="73" t="s">
        <v>199</v>
      </c>
      <c r="BI657" s="30" t="str">
        <f>IF(COUNTA(Tabelle32[[#This Row],[Type:Vid_1080i50]:[Type:Anc_Prot]])&gt;0,"x","")</f>
        <v/>
      </c>
      <c r="BJ65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57" s="59"/>
      <c r="BL657" s="59"/>
      <c r="BM657" s="63"/>
      <c r="BN657" s="63"/>
      <c r="BO657" s="96"/>
      <c r="BP657" s="96"/>
      <c r="BQ657" s="75">
        <f>LEN(Tabelle32[[#This Row],[Label 1
GFX-Unit]])</f>
        <v>0</v>
      </c>
      <c r="BR657" s="63"/>
      <c r="BS657" s="63"/>
      <c r="BT657" s="59"/>
      <c r="BU657" s="59"/>
      <c r="BV657" s="59" t="s">
        <v>211</v>
      </c>
      <c r="BW657" s="59" t="s">
        <v>212</v>
      </c>
      <c r="BX657" s="59" t="s">
        <v>1184</v>
      </c>
      <c r="BY657" s="59">
        <v>32</v>
      </c>
    </row>
    <row r="658" spans="1:77" x14ac:dyDescent="0.2">
      <c r="A658" s="58" t="str">
        <f>CONCATENATE(Tabelle32[[#This Row],[Device ID]],".",Tabelle32[[#This Row],[Streamcounter]])</f>
        <v>2157.32201</v>
      </c>
      <c r="B65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VGW-103_SDI32_AUDsend_0001</v>
      </c>
      <c r="C658" s="67"/>
      <c r="D658" s="61"/>
      <c r="E658" s="67"/>
      <c r="F658" s="59" t="str">
        <f>IFERROR(VLOOKUP(Tabelle32[[#This Row],[Device ID]],BOM!$B$3:$BQ$35,16,FALSE),"")</f>
        <v>EditPC-24</v>
      </c>
      <c r="G658" s="63">
        <f>VLOOKUP(Tabelle32[[#This Row],[SDI Interface]],BOM!$A$4:$B$35,2,FALSE)</f>
        <v>2157</v>
      </c>
      <c r="H658" s="59" t="str">
        <f>BOM!$C$4</f>
        <v>VGW-103</v>
      </c>
      <c r="I658" s="59" t="str">
        <f>IFERROR(VLOOKUP(Tabelle32[[#This Row],[Device ID]],BOM!$B$3:$BQ$35,12,FALSE),"")</f>
        <v>Edit Suite</v>
      </c>
      <c r="J658" s="59" t="str">
        <f>IFERROR(VLOOKUP(Tabelle32[[#This Row],[Device ID]],BOM!$B$3:$BQ$35,13,FALSE),"")</f>
        <v>TC.U1.223 | MDC</v>
      </c>
      <c r="K658" s="59" t="str">
        <f>IFERROR(VLOOKUP(Tabelle32[[#This Row],[Device ID]],BOM!$B$3:$BQ$35,14,FALSE),"")</f>
        <v>Imagine Comunications</v>
      </c>
      <c r="L658" s="59" t="str">
        <f>IFERROR(VLOOKUP(Tabelle32[[#This Row],[Device ID]],BOM!$B$3:$BQ$35,16,FALSE),"")</f>
        <v>EditPC-24</v>
      </c>
      <c r="M658" s="63" t="str">
        <f>IFERROR(VLOOKUP(Tabelle32[[#This Row],[Device ID]],BOM!$B$3:$BQ$35,17,FALSE),"")</f>
        <v>EDIT SUITE 24</v>
      </c>
      <c r="N658" s="59" t="str">
        <f>IFERROR(VLOOKUP(Tabelle32[[#This Row],[Device ID]],BOM!$B$3:$BQ$35,18,FALSE),"")</f>
        <v>NEBEZ.V3.14 | Edit 24</v>
      </c>
      <c r="O658" s="64"/>
      <c r="P658" s="64">
        <f>IFERROR(VLOOKUP(Tabelle32[[#This Row],[Device ID]],BOM!$B$3:$BO$50,20,FALSE),"")</f>
        <v>0</v>
      </c>
      <c r="Q658" s="64">
        <f>IFERROR(VLOOKUP(Tabelle32[[#This Row],[Device ID]],BOM!$B$3:$BO$50,21,FALSE),"")</f>
        <v>1</v>
      </c>
      <c r="R658" s="64">
        <f>IFERROR(VLOOKUP(Tabelle32[[#This Row],[Device ID]],BOM!$B$3:$BO$50,22,FALSE),"")</f>
        <v>0</v>
      </c>
      <c r="S658" s="64"/>
      <c r="T658" s="64"/>
      <c r="U658" s="59" t="str">
        <f>IFERROR(VLOOKUP(Tabelle32[[#This Row],[Device ID]],BOM!$B$3:$BQ$35,25,FALSE),"")</f>
        <v>Luis/Ivo</v>
      </c>
      <c r="V658" s="59" t="str">
        <f>IFERROR(VLOOKUP(Tabelle32[[#This Row],[Device ID]],BOM!$B$3:$BQ$35,26,FALSE),"")</f>
        <v>tpco-megw-vgw103.rta.st-net.media.int</v>
      </c>
      <c r="W658" s="59" t="str">
        <f>IFERROR(VLOOKUP(Tabelle32[[#This Row],[Device ID]],BOM!$B$3:$BQ$35,27,FALSE),"")</f>
        <v>10.120.236.50</v>
      </c>
      <c r="X658" s="59" t="str">
        <f>IFERROR(VLOOKUP(Tabelle32[[#This Row],[Device ID]],BOM!$B$3:$BQ$35,28,FALSE),"")</f>
        <v>AVCoreA</v>
      </c>
      <c r="Y658" s="59" t="str">
        <f>IFERROR(VLOOKUP(Tabelle32[[#This Row],[Device ID]],BOM!$B$3:$BQ$35,29,FALSE),"")</f>
        <v>5_36_1</v>
      </c>
      <c r="Z658" s="59" t="str">
        <f>IFERROR(VLOOKUP(Tabelle32[[#This Row],[Device ID]],BOM!$B$3:$BQ$35,30,FALSE),"")</f>
        <v>tpco-megw-vgw103.rtb.st-net.media.int</v>
      </c>
      <c r="AA658" s="59" t="str">
        <f>IFERROR(VLOOKUP(Tabelle32[[#This Row],[Device ID]],BOM!$B$3:$BQ$35,31,FALSE),"")</f>
        <v>10.120.236.54</v>
      </c>
      <c r="AB658" s="59" t="str">
        <f>IFERROR(VLOOKUP(Tabelle32[[#This Row],[Device ID]],BOM!$B$3:$BQ$35,32,FALSE),"")</f>
        <v>AVCoreB</v>
      </c>
      <c r="AC658" s="59" t="str">
        <f>IFERROR(VLOOKUP(Tabelle32[[#This Row],[Device ID]],BOM!$B$3:$BQ$35,33,FALSE),"")</f>
        <v>5_36_1</v>
      </c>
      <c r="AD658" s="59" t="str">
        <f>IFERROR(VLOOKUP(Tabelle32[[#This Row],[Device ID]],BOM!$B$3:$BQ$35,34,FALSE),"")</f>
        <v>tpco-megw-vgw103.st-net.media.int</v>
      </c>
      <c r="AE658" s="59" t="str">
        <f>IFERROR(VLOOKUP(Tabelle32[[#This Row],[Device ID]],BOM!$B$3:$BQ$35,35,FALSE),"")</f>
        <v>10.120.67.141</v>
      </c>
      <c r="AF658" s="59">
        <f>IFERROR(VLOOKUP(Tabelle32[[#This Row],[Device ID]],BOM!$B$3:$BQ$35,36,FALSE),"")</f>
        <v>0</v>
      </c>
      <c r="AG658" s="59">
        <f>IFERROR(VLOOKUP(Tabelle32[[#This Row],[Device ID]],BOM!$B$3:$BQ$35,37,FALSE),"")</f>
        <v>0</v>
      </c>
      <c r="AH658" s="59"/>
      <c r="AI658" s="59"/>
      <c r="AJ658" s="59"/>
      <c r="AK658" s="59"/>
      <c r="AL658" s="59" t="str">
        <f>IFERROR(VLOOKUP(Tabelle32[[#This Row],[Device ID]],BOM!$B$3:$BQ$35,42,FALSE),"")</f>
        <v>Imagine Communications SNP</v>
      </c>
      <c r="AM658" s="59" t="str">
        <f>IFERROR(VLOOKUP(Tabelle32[[#This Row],[Device ID]],BOM!$B$3:$BQ$35,43,FALSE),"")</f>
        <v>no</v>
      </c>
      <c r="AN658" s="59" t="str">
        <f>IFERROR(VLOOKUP(Tabelle32[[#This Row],[Device ID]],BOM!$B$3:$BQ$35,44,FALSE),"")</f>
        <v>yes</v>
      </c>
      <c r="AO658" s="59" t="str">
        <f>IFERROR(VLOOKUP(Tabelle32[[#This Row],[Device ID]],BOM!$B$3:$BQ$35,45,FALSE),"")</f>
        <v>no</v>
      </c>
      <c r="AP658" s="59" t="str">
        <f>IFERROR(CONCATENATE(Tabelle32[[#This Row],[Family
GFX-Unit]]," | ",Tabelle32[[#This Row],[Label 1
GFX-Unit]]," | ",Tabelle32[[#This Row],[Attached Device if Gateway]]),"")</f>
        <v>MEDEM Edits Out | Out Edit24-01 | EditPC-24</v>
      </c>
      <c r="AQ658" s="59"/>
      <c r="AR658" s="92"/>
      <c r="AS658" s="92"/>
      <c r="AT658" s="92"/>
      <c r="AU658" s="92"/>
      <c r="AV658" s="92"/>
      <c r="AW658" s="92"/>
      <c r="AX658" s="92" t="s">
        <v>199</v>
      </c>
      <c r="AY658" s="92" t="s">
        <v>199</v>
      </c>
      <c r="AZ658" s="92" t="s">
        <v>97</v>
      </c>
      <c r="BA658" s="92"/>
      <c r="BB658" s="92"/>
      <c r="BC658" s="92"/>
      <c r="BD658" s="92"/>
      <c r="BE658" s="92"/>
      <c r="BF658" s="92"/>
      <c r="BG658" s="92"/>
      <c r="BH658" s="73" t="s">
        <v>199</v>
      </c>
      <c r="BI658" s="30" t="str">
        <f>IF(COUNTA(Tabelle32[[#This Row],[Type:Vid_1080i50]:[Type:Anc_Prot]])&gt;0,"x","")</f>
        <v>x</v>
      </c>
      <c r="BJ65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58" s="59"/>
      <c r="BL658" s="59"/>
      <c r="BM658" s="63"/>
      <c r="BN658" s="63"/>
      <c r="BO658" s="97" t="s">
        <v>732</v>
      </c>
      <c r="BP658" s="97" t="s">
        <v>1185</v>
      </c>
      <c r="BQ658" s="75">
        <f>LEN(Tabelle32[[#This Row],[Label 1
GFX-Unit]])</f>
        <v>13</v>
      </c>
      <c r="BR658" s="63"/>
      <c r="BS658" s="63"/>
      <c r="BT658" s="59"/>
      <c r="BU658" s="59"/>
      <c r="BV658" s="59" t="s">
        <v>214</v>
      </c>
      <c r="BW658" s="59" t="s">
        <v>215</v>
      </c>
      <c r="BX658" s="59" t="s">
        <v>1186</v>
      </c>
      <c r="BY658" s="59">
        <v>32</v>
      </c>
    </row>
    <row r="659" spans="1:77" x14ac:dyDescent="0.2">
      <c r="A659" s="58" t="str">
        <f>CONCATENATE(Tabelle32[[#This Row],[Device ID]],".",Tabelle32[[#This Row],[Streamcounter]])</f>
        <v>2157.32202</v>
      </c>
      <c r="B65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VGW-103_SDI32_AUDsend_0002</v>
      </c>
      <c r="C659" s="67"/>
      <c r="D659" s="61"/>
      <c r="E659" s="67"/>
      <c r="F659" s="59" t="str">
        <f>IFERROR(VLOOKUP(Tabelle32[[#This Row],[Device ID]],BOM!$B$3:$BQ$35,16,FALSE),"")</f>
        <v>EditPC-24</v>
      </c>
      <c r="G659" s="63">
        <f>VLOOKUP(Tabelle32[[#This Row],[SDI Interface]],BOM!$A$4:$B$35,2,FALSE)</f>
        <v>2157</v>
      </c>
      <c r="H659" s="59" t="str">
        <f>BOM!$C$4</f>
        <v>VGW-103</v>
      </c>
      <c r="I659" s="59" t="str">
        <f>IFERROR(VLOOKUP(Tabelle32[[#This Row],[Device ID]],BOM!$B$3:$BQ$35,12,FALSE),"")</f>
        <v>Edit Suite</v>
      </c>
      <c r="J659" s="59" t="str">
        <f>IFERROR(VLOOKUP(Tabelle32[[#This Row],[Device ID]],BOM!$B$3:$BQ$35,13,FALSE),"")</f>
        <v>TC.U1.223 | MDC</v>
      </c>
      <c r="K659" s="59" t="str">
        <f>IFERROR(VLOOKUP(Tabelle32[[#This Row],[Device ID]],BOM!$B$3:$BQ$35,14,FALSE),"")</f>
        <v>Imagine Comunications</v>
      </c>
      <c r="L659" s="59" t="str">
        <f>IFERROR(VLOOKUP(Tabelle32[[#This Row],[Device ID]],BOM!$B$3:$BQ$35,16,FALSE),"")</f>
        <v>EditPC-24</v>
      </c>
      <c r="M659" s="63" t="str">
        <f>IFERROR(VLOOKUP(Tabelle32[[#This Row],[Device ID]],BOM!$B$3:$BQ$35,17,FALSE),"")</f>
        <v>EDIT SUITE 24</v>
      </c>
      <c r="N659" s="59" t="str">
        <f>IFERROR(VLOOKUP(Tabelle32[[#This Row],[Device ID]],BOM!$B$3:$BQ$35,18,FALSE),"")</f>
        <v>NEBEZ.V3.14 | Edit 24</v>
      </c>
      <c r="O659" s="64"/>
      <c r="P659" s="64">
        <f>IFERROR(VLOOKUP(Tabelle32[[#This Row],[Device ID]],BOM!$B$3:$BO$50,20,FALSE),"")</f>
        <v>0</v>
      </c>
      <c r="Q659" s="64">
        <f>IFERROR(VLOOKUP(Tabelle32[[#This Row],[Device ID]],BOM!$B$3:$BO$50,21,FALSE),"")</f>
        <v>1</v>
      </c>
      <c r="R659" s="64">
        <f>IFERROR(VLOOKUP(Tabelle32[[#This Row],[Device ID]],BOM!$B$3:$BO$50,22,FALSE),"")</f>
        <v>0</v>
      </c>
      <c r="S659" s="64"/>
      <c r="T659" s="64"/>
      <c r="U659" s="59" t="str">
        <f>IFERROR(VLOOKUP(Tabelle32[[#This Row],[Device ID]],BOM!$B$3:$BQ$35,25,FALSE),"")</f>
        <v>Luis/Ivo</v>
      </c>
      <c r="V659" s="59" t="str">
        <f>IFERROR(VLOOKUP(Tabelle32[[#This Row],[Device ID]],BOM!$B$3:$BQ$35,26,FALSE),"")</f>
        <v>tpco-megw-vgw103.rta.st-net.media.int</v>
      </c>
      <c r="W659" s="59" t="str">
        <f>IFERROR(VLOOKUP(Tabelle32[[#This Row],[Device ID]],BOM!$B$3:$BQ$35,27,FALSE),"")</f>
        <v>10.120.236.50</v>
      </c>
      <c r="X659" s="59" t="str">
        <f>IFERROR(VLOOKUP(Tabelle32[[#This Row],[Device ID]],BOM!$B$3:$BQ$35,28,FALSE),"")</f>
        <v>AVCoreA</v>
      </c>
      <c r="Y659" s="59" t="str">
        <f>IFERROR(VLOOKUP(Tabelle32[[#This Row],[Device ID]],BOM!$B$3:$BQ$35,29,FALSE),"")</f>
        <v>5_36_1</v>
      </c>
      <c r="Z659" s="59" t="str">
        <f>IFERROR(VLOOKUP(Tabelle32[[#This Row],[Device ID]],BOM!$B$3:$BQ$35,30,FALSE),"")</f>
        <v>tpco-megw-vgw103.rtb.st-net.media.int</v>
      </c>
      <c r="AA659" s="59" t="str">
        <f>IFERROR(VLOOKUP(Tabelle32[[#This Row],[Device ID]],BOM!$B$3:$BQ$35,31,FALSE),"")</f>
        <v>10.120.236.54</v>
      </c>
      <c r="AB659" s="59" t="str">
        <f>IFERROR(VLOOKUP(Tabelle32[[#This Row],[Device ID]],BOM!$B$3:$BQ$35,32,FALSE),"")</f>
        <v>AVCoreB</v>
      </c>
      <c r="AC659" s="59" t="str">
        <f>IFERROR(VLOOKUP(Tabelle32[[#This Row],[Device ID]],BOM!$B$3:$BQ$35,33,FALSE),"")</f>
        <v>5_36_1</v>
      </c>
      <c r="AD659" s="59" t="str">
        <f>IFERROR(VLOOKUP(Tabelle32[[#This Row],[Device ID]],BOM!$B$3:$BQ$35,34,FALSE),"")</f>
        <v>tpco-megw-vgw103.st-net.media.int</v>
      </c>
      <c r="AE659" s="59" t="str">
        <f>IFERROR(VLOOKUP(Tabelle32[[#This Row],[Device ID]],BOM!$B$3:$BQ$35,35,FALSE),"")</f>
        <v>10.120.67.141</v>
      </c>
      <c r="AF659" s="59">
        <f>IFERROR(VLOOKUP(Tabelle32[[#This Row],[Device ID]],BOM!$B$3:$BQ$35,36,FALSE),"")</f>
        <v>0</v>
      </c>
      <c r="AG659" s="59">
        <f>IFERROR(VLOOKUP(Tabelle32[[#This Row],[Device ID]],BOM!$B$3:$BQ$35,37,FALSE),"")</f>
        <v>0</v>
      </c>
      <c r="AH659" s="59"/>
      <c r="AI659" s="59"/>
      <c r="AJ659" s="59"/>
      <c r="AK659" s="59"/>
      <c r="AL659" s="59" t="str">
        <f>IFERROR(VLOOKUP(Tabelle32[[#This Row],[Device ID]],BOM!$B$3:$BQ$35,42,FALSE),"")</f>
        <v>Imagine Communications SNP</v>
      </c>
      <c r="AM659" s="59" t="str">
        <f>IFERROR(VLOOKUP(Tabelle32[[#This Row],[Device ID]],BOM!$B$3:$BQ$35,43,FALSE),"")</f>
        <v>no</v>
      </c>
      <c r="AN659" s="59" t="str">
        <f>IFERROR(VLOOKUP(Tabelle32[[#This Row],[Device ID]],BOM!$B$3:$BQ$35,44,FALSE),"")</f>
        <v>yes</v>
      </c>
      <c r="AO659" s="59" t="str">
        <f>IFERROR(VLOOKUP(Tabelle32[[#This Row],[Device ID]],BOM!$B$3:$BQ$35,45,FALSE),"")</f>
        <v>no</v>
      </c>
      <c r="AP659" s="59" t="str">
        <f>IFERROR(CONCATENATE(Tabelle32[[#This Row],[Family
GFX-Unit]]," | ",Tabelle32[[#This Row],[Label 1
GFX-Unit]]," | ",Tabelle32[[#This Row],[Attached Device if Gateway]]),"")</f>
        <v>MEDEM Edits Out | Out Edit24-02 | EditPC-24</v>
      </c>
      <c r="AQ659" s="59"/>
      <c r="AR659" s="92"/>
      <c r="AS659" s="92"/>
      <c r="AT659" s="92"/>
      <c r="AU659" s="92"/>
      <c r="AV659" s="92"/>
      <c r="AW659" s="92" t="s">
        <v>97</v>
      </c>
      <c r="AX659" s="92" t="s">
        <v>199</v>
      </c>
      <c r="AY659" s="92" t="s">
        <v>199</v>
      </c>
      <c r="AZ659" s="92"/>
      <c r="BA659" s="92"/>
      <c r="BB659" s="92"/>
      <c r="BC659" s="92"/>
      <c r="BD659" s="92"/>
      <c r="BE659" s="92"/>
      <c r="BF659" s="92"/>
      <c r="BG659" s="92"/>
      <c r="BH659" s="73" t="s">
        <v>199</v>
      </c>
      <c r="BI659" s="30" t="str">
        <f>IF(COUNTA(Tabelle32[[#This Row],[Type:Vid_1080i50]:[Type:Anc_Prot]])&gt;0,"x","")</f>
        <v>x</v>
      </c>
      <c r="BJ65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59" s="59"/>
      <c r="BL659" s="59"/>
      <c r="BM659" s="63"/>
      <c r="BN659" s="63"/>
      <c r="BO659" s="97" t="s">
        <v>732</v>
      </c>
      <c r="BP659" s="97" t="s">
        <v>1187</v>
      </c>
      <c r="BQ659" s="75">
        <f>LEN(Tabelle32[[#This Row],[Label 1
GFX-Unit]])</f>
        <v>13</v>
      </c>
      <c r="BR659" s="63"/>
      <c r="BS659" s="63"/>
      <c r="BT659" s="59"/>
      <c r="BU659" s="59"/>
      <c r="BV659" s="59" t="s">
        <v>218</v>
      </c>
      <c r="BW659" s="59" t="s">
        <v>219</v>
      </c>
      <c r="BX659" s="59" t="s">
        <v>1188</v>
      </c>
      <c r="BY659" s="59">
        <v>32</v>
      </c>
    </row>
    <row r="660" spans="1:77" x14ac:dyDescent="0.2">
      <c r="A660" s="58" t="str">
        <f>CONCATENATE(Tabelle32[[#This Row],[Device ID]],".",Tabelle32[[#This Row],[Streamcounter]])</f>
        <v>2157.32203</v>
      </c>
      <c r="B66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VGW-103_SDI32_AUDsend_0003</v>
      </c>
      <c r="C660" s="67"/>
      <c r="D660" s="61"/>
      <c r="E660" s="67"/>
      <c r="F660" s="59" t="str">
        <f>IFERROR(VLOOKUP(Tabelle32[[#This Row],[Device ID]],BOM!$B$3:$BQ$35,16,FALSE),"")</f>
        <v>EditPC-24</v>
      </c>
      <c r="G660" s="63">
        <f>VLOOKUP(Tabelle32[[#This Row],[SDI Interface]],BOM!$A$4:$B$35,2,FALSE)</f>
        <v>2157</v>
      </c>
      <c r="H660" s="59" t="str">
        <f>BOM!$C$4</f>
        <v>VGW-103</v>
      </c>
      <c r="I660" s="59" t="str">
        <f>IFERROR(VLOOKUP(Tabelle32[[#This Row],[Device ID]],BOM!$B$3:$BQ$35,12,FALSE),"")</f>
        <v>Edit Suite</v>
      </c>
      <c r="J660" s="59" t="str">
        <f>IFERROR(VLOOKUP(Tabelle32[[#This Row],[Device ID]],BOM!$B$3:$BQ$35,13,FALSE),"")</f>
        <v>TC.U1.223 | MDC</v>
      </c>
      <c r="K660" s="59" t="str">
        <f>IFERROR(VLOOKUP(Tabelle32[[#This Row],[Device ID]],BOM!$B$3:$BQ$35,14,FALSE),"")</f>
        <v>Imagine Comunications</v>
      </c>
      <c r="L660" s="59" t="str">
        <f>IFERROR(VLOOKUP(Tabelle32[[#This Row],[Device ID]],BOM!$B$3:$BQ$35,16,FALSE),"")</f>
        <v>EditPC-24</v>
      </c>
      <c r="M660" s="63" t="str">
        <f>IFERROR(VLOOKUP(Tabelle32[[#This Row],[Device ID]],BOM!$B$3:$BQ$35,17,FALSE),"")</f>
        <v>EDIT SUITE 24</v>
      </c>
      <c r="N660" s="59" t="str">
        <f>IFERROR(VLOOKUP(Tabelle32[[#This Row],[Device ID]],BOM!$B$3:$BQ$35,18,FALSE),"")</f>
        <v>NEBEZ.V3.14 | Edit 24</v>
      </c>
      <c r="O660" s="64"/>
      <c r="P660" s="64">
        <f>IFERROR(VLOOKUP(Tabelle32[[#This Row],[Device ID]],BOM!$B$3:$BO$50,20,FALSE),"")</f>
        <v>0</v>
      </c>
      <c r="Q660" s="64">
        <f>IFERROR(VLOOKUP(Tabelle32[[#This Row],[Device ID]],BOM!$B$3:$BO$50,21,FALSE),"")</f>
        <v>1</v>
      </c>
      <c r="R660" s="64">
        <f>IFERROR(VLOOKUP(Tabelle32[[#This Row],[Device ID]],BOM!$B$3:$BO$50,22,FALSE),"")</f>
        <v>0</v>
      </c>
      <c r="S660" s="64"/>
      <c r="T660" s="64"/>
      <c r="U660" s="59" t="str">
        <f>IFERROR(VLOOKUP(Tabelle32[[#This Row],[Device ID]],BOM!$B$3:$BQ$35,25,FALSE),"")</f>
        <v>Luis/Ivo</v>
      </c>
      <c r="V660" s="59" t="str">
        <f>IFERROR(VLOOKUP(Tabelle32[[#This Row],[Device ID]],BOM!$B$3:$BQ$35,26,FALSE),"")</f>
        <v>tpco-megw-vgw103.rta.st-net.media.int</v>
      </c>
      <c r="W660" s="59" t="str">
        <f>IFERROR(VLOOKUP(Tabelle32[[#This Row],[Device ID]],BOM!$B$3:$BQ$35,27,FALSE),"")</f>
        <v>10.120.236.50</v>
      </c>
      <c r="X660" s="59" t="str">
        <f>IFERROR(VLOOKUP(Tabelle32[[#This Row],[Device ID]],BOM!$B$3:$BQ$35,28,FALSE),"")</f>
        <v>AVCoreA</v>
      </c>
      <c r="Y660" s="59" t="str">
        <f>IFERROR(VLOOKUP(Tabelle32[[#This Row],[Device ID]],BOM!$B$3:$BQ$35,29,FALSE),"")</f>
        <v>5_36_1</v>
      </c>
      <c r="Z660" s="59" t="str">
        <f>IFERROR(VLOOKUP(Tabelle32[[#This Row],[Device ID]],BOM!$B$3:$BQ$35,30,FALSE),"")</f>
        <v>tpco-megw-vgw103.rtb.st-net.media.int</v>
      </c>
      <c r="AA660" s="59" t="str">
        <f>IFERROR(VLOOKUP(Tabelle32[[#This Row],[Device ID]],BOM!$B$3:$BQ$35,31,FALSE),"")</f>
        <v>10.120.236.54</v>
      </c>
      <c r="AB660" s="59" t="str">
        <f>IFERROR(VLOOKUP(Tabelle32[[#This Row],[Device ID]],BOM!$B$3:$BQ$35,32,FALSE),"")</f>
        <v>AVCoreB</v>
      </c>
      <c r="AC660" s="59" t="str">
        <f>IFERROR(VLOOKUP(Tabelle32[[#This Row],[Device ID]],BOM!$B$3:$BQ$35,33,FALSE),"")</f>
        <v>5_36_1</v>
      </c>
      <c r="AD660" s="59" t="str">
        <f>IFERROR(VLOOKUP(Tabelle32[[#This Row],[Device ID]],BOM!$B$3:$BQ$35,34,FALSE),"")</f>
        <v>tpco-megw-vgw103.st-net.media.int</v>
      </c>
      <c r="AE660" s="59" t="str">
        <f>IFERROR(VLOOKUP(Tabelle32[[#This Row],[Device ID]],BOM!$B$3:$BQ$35,35,FALSE),"")</f>
        <v>10.120.67.141</v>
      </c>
      <c r="AF660" s="59">
        <f>IFERROR(VLOOKUP(Tabelle32[[#This Row],[Device ID]],BOM!$B$3:$BQ$35,36,FALSE),"")</f>
        <v>0</v>
      </c>
      <c r="AG660" s="59">
        <f>IFERROR(VLOOKUP(Tabelle32[[#This Row],[Device ID]],BOM!$B$3:$BQ$35,37,FALSE),"")</f>
        <v>0</v>
      </c>
      <c r="AH660" s="59"/>
      <c r="AI660" s="59"/>
      <c r="AJ660" s="59"/>
      <c r="AK660" s="59"/>
      <c r="AL660" s="59" t="str">
        <f>IFERROR(VLOOKUP(Tabelle32[[#This Row],[Device ID]],BOM!$B$3:$BQ$35,42,FALSE),"")</f>
        <v>Imagine Communications SNP</v>
      </c>
      <c r="AM660" s="59" t="str">
        <f>IFERROR(VLOOKUP(Tabelle32[[#This Row],[Device ID]],BOM!$B$3:$BQ$35,43,FALSE),"")</f>
        <v>no</v>
      </c>
      <c r="AN660" s="59" t="str">
        <f>IFERROR(VLOOKUP(Tabelle32[[#This Row],[Device ID]],BOM!$B$3:$BQ$35,44,FALSE),"")</f>
        <v>yes</v>
      </c>
      <c r="AO660" s="59" t="str">
        <f>IFERROR(VLOOKUP(Tabelle32[[#This Row],[Device ID]],BOM!$B$3:$BQ$35,45,FALSE),"")</f>
        <v>no</v>
      </c>
      <c r="AP660" s="59" t="str">
        <f>IFERROR(CONCATENATE(Tabelle32[[#This Row],[Family
GFX-Unit]]," | ",Tabelle32[[#This Row],[Label 1
GFX-Unit]]," | ",Tabelle32[[#This Row],[Attached Device if Gateway]]),"")</f>
        <v>MEDEM Edits Out | Out Edit24-03 | EditPC-24</v>
      </c>
      <c r="AQ660" s="59"/>
      <c r="AR660" s="92"/>
      <c r="AS660" s="92"/>
      <c r="AT660" s="92"/>
      <c r="AU660" s="92"/>
      <c r="AV660" s="92"/>
      <c r="AW660" s="92" t="s">
        <v>97</v>
      </c>
      <c r="AX660" s="92" t="s">
        <v>199</v>
      </c>
      <c r="AY660" s="92" t="s">
        <v>199</v>
      </c>
      <c r="AZ660" s="92"/>
      <c r="BA660" s="92"/>
      <c r="BB660" s="92"/>
      <c r="BC660" s="92"/>
      <c r="BD660" s="92"/>
      <c r="BE660" s="92"/>
      <c r="BF660" s="92"/>
      <c r="BG660" s="92"/>
      <c r="BH660" s="73" t="s">
        <v>199</v>
      </c>
      <c r="BI660" s="30" t="str">
        <f>IF(COUNTA(Tabelle32[[#This Row],[Type:Vid_1080i50]:[Type:Anc_Prot]])&gt;0,"x","")</f>
        <v>x</v>
      </c>
      <c r="BJ66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60" s="59"/>
      <c r="BL660" s="59"/>
      <c r="BM660" s="63"/>
      <c r="BN660" s="63"/>
      <c r="BO660" s="97" t="s">
        <v>732</v>
      </c>
      <c r="BP660" s="97" t="s">
        <v>1189</v>
      </c>
      <c r="BQ660" s="75">
        <f>LEN(Tabelle32[[#This Row],[Label 1
GFX-Unit]])</f>
        <v>13</v>
      </c>
      <c r="BR660" s="63"/>
      <c r="BS660" s="63"/>
      <c r="BT660" s="59"/>
      <c r="BU660" s="59"/>
      <c r="BV660" s="59" t="s">
        <v>222</v>
      </c>
      <c r="BW660" s="59" t="s">
        <v>223</v>
      </c>
      <c r="BX660" s="59" t="s">
        <v>1190</v>
      </c>
      <c r="BY660" s="59">
        <v>32</v>
      </c>
    </row>
    <row r="661" spans="1:77" x14ac:dyDescent="0.2">
      <c r="A661" s="58" t="str">
        <f>CONCATENATE(Tabelle32[[#This Row],[Device ID]],".",Tabelle32[[#This Row],[Streamcounter]])</f>
        <v>2157.32204</v>
      </c>
      <c r="B66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VGW-103_SDI32_AUDsend_0004</v>
      </c>
      <c r="C661" s="67"/>
      <c r="D661" s="61"/>
      <c r="E661" s="67"/>
      <c r="F661" s="59" t="str">
        <f>IFERROR(VLOOKUP(Tabelle32[[#This Row],[Device ID]],BOM!$B$3:$BQ$35,16,FALSE),"")</f>
        <v>EditPC-24</v>
      </c>
      <c r="G661" s="63">
        <f>VLOOKUP(Tabelle32[[#This Row],[SDI Interface]],BOM!$A$4:$B$35,2,FALSE)</f>
        <v>2157</v>
      </c>
      <c r="H661" s="59" t="str">
        <f>BOM!$C$4</f>
        <v>VGW-103</v>
      </c>
      <c r="I661" s="59" t="str">
        <f>IFERROR(VLOOKUP(Tabelle32[[#This Row],[Device ID]],BOM!$B$3:$BQ$35,12,FALSE),"")</f>
        <v>Edit Suite</v>
      </c>
      <c r="J661" s="59" t="str">
        <f>IFERROR(VLOOKUP(Tabelle32[[#This Row],[Device ID]],BOM!$B$3:$BQ$35,13,FALSE),"")</f>
        <v>TC.U1.223 | MDC</v>
      </c>
      <c r="K661" s="59" t="str">
        <f>IFERROR(VLOOKUP(Tabelle32[[#This Row],[Device ID]],BOM!$B$3:$BQ$35,14,FALSE),"")</f>
        <v>Imagine Comunications</v>
      </c>
      <c r="L661" s="59" t="str">
        <f>IFERROR(VLOOKUP(Tabelle32[[#This Row],[Device ID]],BOM!$B$3:$BQ$35,16,FALSE),"")</f>
        <v>EditPC-24</v>
      </c>
      <c r="M661" s="63" t="str">
        <f>IFERROR(VLOOKUP(Tabelle32[[#This Row],[Device ID]],BOM!$B$3:$BQ$35,17,FALSE),"")</f>
        <v>EDIT SUITE 24</v>
      </c>
      <c r="N661" s="59" t="str">
        <f>IFERROR(VLOOKUP(Tabelle32[[#This Row],[Device ID]],BOM!$B$3:$BQ$35,18,FALSE),"")</f>
        <v>NEBEZ.V3.14 | Edit 24</v>
      </c>
      <c r="O661" s="64"/>
      <c r="P661" s="64">
        <f>IFERROR(VLOOKUP(Tabelle32[[#This Row],[Device ID]],BOM!$B$3:$BO$50,20,FALSE),"")</f>
        <v>0</v>
      </c>
      <c r="Q661" s="64">
        <f>IFERROR(VLOOKUP(Tabelle32[[#This Row],[Device ID]],BOM!$B$3:$BO$50,21,FALSE),"")</f>
        <v>1</v>
      </c>
      <c r="R661" s="64">
        <f>IFERROR(VLOOKUP(Tabelle32[[#This Row],[Device ID]],BOM!$B$3:$BO$50,22,FALSE),"")</f>
        <v>0</v>
      </c>
      <c r="S661" s="64"/>
      <c r="T661" s="64"/>
      <c r="U661" s="59" t="str">
        <f>IFERROR(VLOOKUP(Tabelle32[[#This Row],[Device ID]],BOM!$B$3:$BQ$35,25,FALSE),"")</f>
        <v>Luis/Ivo</v>
      </c>
      <c r="V661" s="59" t="str">
        <f>IFERROR(VLOOKUP(Tabelle32[[#This Row],[Device ID]],BOM!$B$3:$BQ$35,26,FALSE),"")</f>
        <v>tpco-megw-vgw103.rta.st-net.media.int</v>
      </c>
      <c r="W661" s="59" t="str">
        <f>IFERROR(VLOOKUP(Tabelle32[[#This Row],[Device ID]],BOM!$B$3:$BQ$35,27,FALSE),"")</f>
        <v>10.120.236.50</v>
      </c>
      <c r="X661" s="59" t="str">
        <f>IFERROR(VLOOKUP(Tabelle32[[#This Row],[Device ID]],BOM!$B$3:$BQ$35,28,FALSE),"")</f>
        <v>AVCoreA</v>
      </c>
      <c r="Y661" s="59" t="str">
        <f>IFERROR(VLOOKUP(Tabelle32[[#This Row],[Device ID]],BOM!$B$3:$BQ$35,29,FALSE),"")</f>
        <v>5_36_1</v>
      </c>
      <c r="Z661" s="59" t="str">
        <f>IFERROR(VLOOKUP(Tabelle32[[#This Row],[Device ID]],BOM!$B$3:$BQ$35,30,FALSE),"")</f>
        <v>tpco-megw-vgw103.rtb.st-net.media.int</v>
      </c>
      <c r="AA661" s="59" t="str">
        <f>IFERROR(VLOOKUP(Tabelle32[[#This Row],[Device ID]],BOM!$B$3:$BQ$35,31,FALSE),"")</f>
        <v>10.120.236.54</v>
      </c>
      <c r="AB661" s="59" t="str">
        <f>IFERROR(VLOOKUP(Tabelle32[[#This Row],[Device ID]],BOM!$B$3:$BQ$35,32,FALSE),"")</f>
        <v>AVCoreB</v>
      </c>
      <c r="AC661" s="59" t="str">
        <f>IFERROR(VLOOKUP(Tabelle32[[#This Row],[Device ID]],BOM!$B$3:$BQ$35,33,FALSE),"")</f>
        <v>5_36_1</v>
      </c>
      <c r="AD661" s="59" t="str">
        <f>IFERROR(VLOOKUP(Tabelle32[[#This Row],[Device ID]],BOM!$B$3:$BQ$35,34,FALSE),"")</f>
        <v>tpco-megw-vgw103.st-net.media.int</v>
      </c>
      <c r="AE661" s="59" t="str">
        <f>IFERROR(VLOOKUP(Tabelle32[[#This Row],[Device ID]],BOM!$B$3:$BQ$35,35,FALSE),"")</f>
        <v>10.120.67.141</v>
      </c>
      <c r="AF661" s="59">
        <f>IFERROR(VLOOKUP(Tabelle32[[#This Row],[Device ID]],BOM!$B$3:$BQ$35,36,FALSE),"")</f>
        <v>0</v>
      </c>
      <c r="AG661" s="59">
        <f>IFERROR(VLOOKUP(Tabelle32[[#This Row],[Device ID]],BOM!$B$3:$BQ$35,37,FALSE),"")</f>
        <v>0</v>
      </c>
      <c r="AH661" s="59"/>
      <c r="AI661" s="59"/>
      <c r="AJ661" s="59"/>
      <c r="AK661" s="59"/>
      <c r="AL661" s="59" t="str">
        <f>IFERROR(VLOOKUP(Tabelle32[[#This Row],[Device ID]],BOM!$B$3:$BQ$35,42,FALSE),"")</f>
        <v>Imagine Communications SNP</v>
      </c>
      <c r="AM661" s="59" t="str">
        <f>IFERROR(VLOOKUP(Tabelle32[[#This Row],[Device ID]],BOM!$B$3:$BQ$35,43,FALSE),"")</f>
        <v>no</v>
      </c>
      <c r="AN661" s="59" t="str">
        <f>IFERROR(VLOOKUP(Tabelle32[[#This Row],[Device ID]],BOM!$B$3:$BQ$35,44,FALSE),"")</f>
        <v>yes</v>
      </c>
      <c r="AO661" s="59" t="str">
        <f>IFERROR(VLOOKUP(Tabelle32[[#This Row],[Device ID]],BOM!$B$3:$BQ$35,45,FALSE),"")</f>
        <v>no</v>
      </c>
      <c r="AP661" s="59" t="str">
        <f>IFERROR(CONCATENATE(Tabelle32[[#This Row],[Family
GFX-Unit]]," | ",Tabelle32[[#This Row],[Label 1
GFX-Unit]]," | ",Tabelle32[[#This Row],[Attached Device if Gateway]]),"")</f>
        <v>MEDEM Edits Out | Out Edit24-04 | EditPC-24</v>
      </c>
      <c r="AQ661" s="59"/>
      <c r="AR661" s="92"/>
      <c r="AS661" s="92"/>
      <c r="AT661" s="92"/>
      <c r="AU661" s="92"/>
      <c r="AV661" s="92"/>
      <c r="AW661" s="92"/>
      <c r="AX661" s="92" t="s">
        <v>199</v>
      </c>
      <c r="AY661" s="92" t="s">
        <v>199</v>
      </c>
      <c r="AZ661" s="92" t="s">
        <v>97</v>
      </c>
      <c r="BA661" s="92"/>
      <c r="BB661" s="92"/>
      <c r="BC661" s="92"/>
      <c r="BD661" s="92"/>
      <c r="BE661" s="92"/>
      <c r="BF661" s="92"/>
      <c r="BG661" s="92"/>
      <c r="BH661" s="73" t="s">
        <v>199</v>
      </c>
      <c r="BI661" s="30" t="str">
        <f>IF(COUNTA(Tabelle32[[#This Row],[Type:Vid_1080i50]:[Type:Anc_Prot]])&gt;0,"x","")</f>
        <v>x</v>
      </c>
      <c r="BJ66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61" s="59"/>
      <c r="BL661" s="59"/>
      <c r="BM661" s="63"/>
      <c r="BN661" s="63"/>
      <c r="BO661" s="97" t="s">
        <v>732</v>
      </c>
      <c r="BP661" s="97" t="s">
        <v>1191</v>
      </c>
      <c r="BQ661" s="75">
        <f>LEN(Tabelle32[[#This Row],[Label 1
GFX-Unit]])</f>
        <v>13</v>
      </c>
      <c r="BR661" s="63"/>
      <c r="BS661" s="63"/>
      <c r="BT661" s="59"/>
      <c r="BU661" s="59"/>
      <c r="BV661" s="59" t="s">
        <v>226</v>
      </c>
      <c r="BW661" s="59" t="s">
        <v>227</v>
      </c>
      <c r="BX661" s="59" t="s">
        <v>1192</v>
      </c>
      <c r="BY661" s="59">
        <v>32</v>
      </c>
    </row>
    <row r="662" spans="1:77" x14ac:dyDescent="0.2">
      <c r="A662" s="58" t="str">
        <f>CONCATENATE(Tabelle32[[#This Row],[Device ID]],".",Tabelle32[[#This Row],[Streamcounter]])</f>
        <v>2157.32205</v>
      </c>
      <c r="B66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VGW-103_SDI32_AUDsend_0005</v>
      </c>
      <c r="C662" s="67"/>
      <c r="D662" s="61"/>
      <c r="E662" s="67"/>
      <c r="F662" s="59" t="str">
        <f>IFERROR(VLOOKUP(Tabelle32[[#This Row],[Device ID]],BOM!$B$3:$BQ$35,16,FALSE),"")</f>
        <v>EditPC-24</v>
      </c>
      <c r="G662" s="63">
        <f>VLOOKUP(Tabelle32[[#This Row],[SDI Interface]],BOM!$A$4:$B$35,2,FALSE)</f>
        <v>2157</v>
      </c>
      <c r="H662" s="59" t="str">
        <f>BOM!$C$4</f>
        <v>VGW-103</v>
      </c>
      <c r="I662" s="59" t="str">
        <f>IFERROR(VLOOKUP(Tabelle32[[#This Row],[Device ID]],BOM!$B$3:$BQ$35,12,FALSE),"")</f>
        <v>Edit Suite</v>
      </c>
      <c r="J662" s="59" t="str">
        <f>IFERROR(VLOOKUP(Tabelle32[[#This Row],[Device ID]],BOM!$B$3:$BQ$35,13,FALSE),"")</f>
        <v>TC.U1.223 | MDC</v>
      </c>
      <c r="K662" s="59" t="str">
        <f>IFERROR(VLOOKUP(Tabelle32[[#This Row],[Device ID]],BOM!$B$3:$BQ$35,14,FALSE),"")</f>
        <v>Imagine Comunications</v>
      </c>
      <c r="L662" s="59" t="str">
        <f>IFERROR(VLOOKUP(Tabelle32[[#This Row],[Device ID]],BOM!$B$3:$BQ$35,16,FALSE),"")</f>
        <v>EditPC-24</v>
      </c>
      <c r="M662" s="63" t="str">
        <f>IFERROR(VLOOKUP(Tabelle32[[#This Row],[Device ID]],BOM!$B$3:$BQ$35,17,FALSE),"")</f>
        <v>EDIT SUITE 24</v>
      </c>
      <c r="N662" s="59" t="str">
        <f>IFERROR(VLOOKUP(Tabelle32[[#This Row],[Device ID]],BOM!$B$3:$BQ$35,18,FALSE),"")</f>
        <v>NEBEZ.V3.14 | Edit 24</v>
      </c>
      <c r="O662" s="64"/>
      <c r="P662" s="64">
        <f>IFERROR(VLOOKUP(Tabelle32[[#This Row],[Device ID]],BOM!$B$3:$BO$50,20,FALSE),"")</f>
        <v>0</v>
      </c>
      <c r="Q662" s="64">
        <f>IFERROR(VLOOKUP(Tabelle32[[#This Row],[Device ID]],BOM!$B$3:$BO$50,21,FALSE),"")</f>
        <v>1</v>
      </c>
      <c r="R662" s="64">
        <f>IFERROR(VLOOKUP(Tabelle32[[#This Row],[Device ID]],BOM!$B$3:$BO$50,22,FALSE),"")</f>
        <v>0</v>
      </c>
      <c r="S662" s="64"/>
      <c r="T662" s="64"/>
      <c r="U662" s="59" t="str">
        <f>IFERROR(VLOOKUP(Tabelle32[[#This Row],[Device ID]],BOM!$B$3:$BQ$35,25,FALSE),"")</f>
        <v>Luis/Ivo</v>
      </c>
      <c r="V662" s="59" t="str">
        <f>IFERROR(VLOOKUP(Tabelle32[[#This Row],[Device ID]],BOM!$B$3:$BQ$35,26,FALSE),"")</f>
        <v>tpco-megw-vgw103.rta.st-net.media.int</v>
      </c>
      <c r="W662" s="59" t="str">
        <f>IFERROR(VLOOKUP(Tabelle32[[#This Row],[Device ID]],BOM!$B$3:$BQ$35,27,FALSE),"")</f>
        <v>10.120.236.50</v>
      </c>
      <c r="X662" s="59" t="str">
        <f>IFERROR(VLOOKUP(Tabelle32[[#This Row],[Device ID]],BOM!$B$3:$BQ$35,28,FALSE),"")</f>
        <v>AVCoreA</v>
      </c>
      <c r="Y662" s="59" t="str">
        <f>IFERROR(VLOOKUP(Tabelle32[[#This Row],[Device ID]],BOM!$B$3:$BQ$35,29,FALSE),"")</f>
        <v>5_36_1</v>
      </c>
      <c r="Z662" s="59" t="str">
        <f>IFERROR(VLOOKUP(Tabelle32[[#This Row],[Device ID]],BOM!$B$3:$BQ$35,30,FALSE),"")</f>
        <v>tpco-megw-vgw103.rtb.st-net.media.int</v>
      </c>
      <c r="AA662" s="59" t="str">
        <f>IFERROR(VLOOKUP(Tabelle32[[#This Row],[Device ID]],BOM!$B$3:$BQ$35,31,FALSE),"")</f>
        <v>10.120.236.54</v>
      </c>
      <c r="AB662" s="59" t="str">
        <f>IFERROR(VLOOKUP(Tabelle32[[#This Row],[Device ID]],BOM!$B$3:$BQ$35,32,FALSE),"")</f>
        <v>AVCoreB</v>
      </c>
      <c r="AC662" s="59" t="str">
        <f>IFERROR(VLOOKUP(Tabelle32[[#This Row],[Device ID]],BOM!$B$3:$BQ$35,33,FALSE),"")</f>
        <v>5_36_1</v>
      </c>
      <c r="AD662" s="59" t="str">
        <f>IFERROR(VLOOKUP(Tabelle32[[#This Row],[Device ID]],BOM!$B$3:$BQ$35,34,FALSE),"")</f>
        <v>tpco-megw-vgw103.st-net.media.int</v>
      </c>
      <c r="AE662" s="59" t="str">
        <f>IFERROR(VLOOKUP(Tabelle32[[#This Row],[Device ID]],BOM!$B$3:$BQ$35,35,FALSE),"")</f>
        <v>10.120.67.141</v>
      </c>
      <c r="AF662" s="59">
        <f>IFERROR(VLOOKUP(Tabelle32[[#This Row],[Device ID]],BOM!$B$3:$BQ$35,36,FALSE),"")</f>
        <v>0</v>
      </c>
      <c r="AG662" s="59">
        <f>IFERROR(VLOOKUP(Tabelle32[[#This Row],[Device ID]],BOM!$B$3:$BQ$35,37,FALSE),"")</f>
        <v>0</v>
      </c>
      <c r="AH662" s="59"/>
      <c r="AI662" s="59"/>
      <c r="AJ662" s="59"/>
      <c r="AK662" s="59"/>
      <c r="AL662" s="59" t="str">
        <f>IFERROR(VLOOKUP(Tabelle32[[#This Row],[Device ID]],BOM!$B$3:$BQ$35,42,FALSE),"")</f>
        <v>Imagine Communications SNP</v>
      </c>
      <c r="AM662" s="59" t="str">
        <f>IFERROR(VLOOKUP(Tabelle32[[#This Row],[Device ID]],BOM!$B$3:$BQ$35,43,FALSE),"")</f>
        <v>no</v>
      </c>
      <c r="AN662" s="59" t="str">
        <f>IFERROR(VLOOKUP(Tabelle32[[#This Row],[Device ID]],BOM!$B$3:$BQ$35,44,FALSE),"")</f>
        <v>yes</v>
      </c>
      <c r="AO662" s="59" t="str">
        <f>IFERROR(VLOOKUP(Tabelle32[[#This Row],[Device ID]],BOM!$B$3:$BQ$35,45,FALSE),"")</f>
        <v>no</v>
      </c>
      <c r="AP662" s="59" t="str">
        <f>IFERROR(CONCATENATE(Tabelle32[[#This Row],[Family
GFX-Unit]]," | ",Tabelle32[[#This Row],[Label 1
GFX-Unit]]," | ",Tabelle32[[#This Row],[Attached Device if Gateway]]),"")</f>
        <v>MEDEM Edits Out | Out Edit24-05 | EditPC-24</v>
      </c>
      <c r="AQ662" s="59"/>
      <c r="AR662" s="92"/>
      <c r="AS662" s="92"/>
      <c r="AT662" s="92"/>
      <c r="AU662" s="92"/>
      <c r="AV662" s="92"/>
      <c r="AW662" s="92" t="s">
        <v>97</v>
      </c>
      <c r="AX662" s="92" t="s">
        <v>199</v>
      </c>
      <c r="AY662" s="92" t="s">
        <v>199</v>
      </c>
      <c r="AZ662" s="92"/>
      <c r="BA662" s="92"/>
      <c r="BB662" s="92"/>
      <c r="BC662" s="92"/>
      <c r="BD662" s="92"/>
      <c r="BE662" s="92"/>
      <c r="BF662" s="92"/>
      <c r="BG662" s="92"/>
      <c r="BH662" s="73" t="s">
        <v>199</v>
      </c>
      <c r="BI662" s="30" t="str">
        <f>IF(COUNTA(Tabelle32[[#This Row],[Type:Vid_1080i50]:[Type:Anc_Prot]])&gt;0,"x","")</f>
        <v>x</v>
      </c>
      <c r="BJ66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62" s="59"/>
      <c r="BL662" s="59"/>
      <c r="BM662" s="63"/>
      <c r="BN662" s="63"/>
      <c r="BO662" s="97" t="s">
        <v>732</v>
      </c>
      <c r="BP662" s="97" t="s">
        <v>1193</v>
      </c>
      <c r="BQ662" s="75">
        <f>LEN(Tabelle32[[#This Row],[Label 1
GFX-Unit]])</f>
        <v>13</v>
      </c>
      <c r="BR662" s="63"/>
      <c r="BS662" s="63"/>
      <c r="BT662" s="59"/>
      <c r="BU662" s="59"/>
      <c r="BV662" s="59" t="s">
        <v>230</v>
      </c>
      <c r="BW662" s="59" t="s">
        <v>231</v>
      </c>
      <c r="BX662" s="59" t="s">
        <v>1194</v>
      </c>
      <c r="BY662" s="59">
        <v>32</v>
      </c>
    </row>
    <row r="663" spans="1:77" x14ac:dyDescent="0.2">
      <c r="A663" s="58" t="str">
        <f>CONCATENATE(Tabelle32[[#This Row],[Device ID]],".",Tabelle32[[#This Row],[Streamcounter]])</f>
        <v>2157.32206</v>
      </c>
      <c r="B66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VGW-103_SDI32_AUDsend_0006</v>
      </c>
      <c r="C663" s="67"/>
      <c r="D663" s="61"/>
      <c r="E663" s="67"/>
      <c r="F663" s="59" t="str">
        <f>IFERROR(VLOOKUP(Tabelle32[[#This Row],[Device ID]],BOM!$B$3:$BQ$35,16,FALSE),"")</f>
        <v>EditPC-24</v>
      </c>
      <c r="G663" s="63">
        <f>VLOOKUP(Tabelle32[[#This Row],[SDI Interface]],BOM!$A$4:$B$35,2,FALSE)</f>
        <v>2157</v>
      </c>
      <c r="H663" s="59" t="str">
        <f>BOM!$C$4</f>
        <v>VGW-103</v>
      </c>
      <c r="I663" s="59" t="str">
        <f>IFERROR(VLOOKUP(Tabelle32[[#This Row],[Device ID]],BOM!$B$3:$BQ$35,12,FALSE),"")</f>
        <v>Edit Suite</v>
      </c>
      <c r="J663" s="59" t="str">
        <f>IFERROR(VLOOKUP(Tabelle32[[#This Row],[Device ID]],BOM!$B$3:$BQ$35,13,FALSE),"")</f>
        <v>TC.U1.223 | MDC</v>
      </c>
      <c r="K663" s="59" t="str">
        <f>IFERROR(VLOOKUP(Tabelle32[[#This Row],[Device ID]],BOM!$B$3:$BQ$35,14,FALSE),"")</f>
        <v>Imagine Comunications</v>
      </c>
      <c r="L663" s="59" t="str">
        <f>IFERROR(VLOOKUP(Tabelle32[[#This Row],[Device ID]],BOM!$B$3:$BQ$35,16,FALSE),"")</f>
        <v>EditPC-24</v>
      </c>
      <c r="M663" s="63" t="str">
        <f>IFERROR(VLOOKUP(Tabelle32[[#This Row],[Device ID]],BOM!$B$3:$BQ$35,17,FALSE),"")</f>
        <v>EDIT SUITE 24</v>
      </c>
      <c r="N663" s="59" t="str">
        <f>IFERROR(VLOOKUP(Tabelle32[[#This Row],[Device ID]],BOM!$B$3:$BQ$35,18,FALSE),"")</f>
        <v>NEBEZ.V3.14 | Edit 24</v>
      </c>
      <c r="O663" s="64"/>
      <c r="P663" s="64">
        <f>IFERROR(VLOOKUP(Tabelle32[[#This Row],[Device ID]],BOM!$B$3:$BO$50,20,FALSE),"")</f>
        <v>0</v>
      </c>
      <c r="Q663" s="64">
        <f>IFERROR(VLOOKUP(Tabelle32[[#This Row],[Device ID]],BOM!$B$3:$BO$50,21,FALSE),"")</f>
        <v>1</v>
      </c>
      <c r="R663" s="64">
        <f>IFERROR(VLOOKUP(Tabelle32[[#This Row],[Device ID]],BOM!$B$3:$BO$50,22,FALSE),"")</f>
        <v>0</v>
      </c>
      <c r="S663" s="64"/>
      <c r="T663" s="64"/>
      <c r="U663" s="59" t="str">
        <f>IFERROR(VLOOKUP(Tabelle32[[#This Row],[Device ID]],BOM!$B$3:$BQ$35,25,FALSE),"")</f>
        <v>Luis/Ivo</v>
      </c>
      <c r="V663" s="59" t="str">
        <f>IFERROR(VLOOKUP(Tabelle32[[#This Row],[Device ID]],BOM!$B$3:$BQ$35,26,FALSE),"")</f>
        <v>tpco-megw-vgw103.rta.st-net.media.int</v>
      </c>
      <c r="W663" s="59" t="str">
        <f>IFERROR(VLOOKUP(Tabelle32[[#This Row],[Device ID]],BOM!$B$3:$BQ$35,27,FALSE),"")</f>
        <v>10.120.236.50</v>
      </c>
      <c r="X663" s="59" t="str">
        <f>IFERROR(VLOOKUP(Tabelle32[[#This Row],[Device ID]],BOM!$B$3:$BQ$35,28,FALSE),"")</f>
        <v>AVCoreA</v>
      </c>
      <c r="Y663" s="59" t="str">
        <f>IFERROR(VLOOKUP(Tabelle32[[#This Row],[Device ID]],BOM!$B$3:$BQ$35,29,FALSE),"")</f>
        <v>5_36_1</v>
      </c>
      <c r="Z663" s="59" t="str">
        <f>IFERROR(VLOOKUP(Tabelle32[[#This Row],[Device ID]],BOM!$B$3:$BQ$35,30,FALSE),"")</f>
        <v>tpco-megw-vgw103.rtb.st-net.media.int</v>
      </c>
      <c r="AA663" s="59" t="str">
        <f>IFERROR(VLOOKUP(Tabelle32[[#This Row],[Device ID]],BOM!$B$3:$BQ$35,31,FALSE),"")</f>
        <v>10.120.236.54</v>
      </c>
      <c r="AB663" s="59" t="str">
        <f>IFERROR(VLOOKUP(Tabelle32[[#This Row],[Device ID]],BOM!$B$3:$BQ$35,32,FALSE),"")</f>
        <v>AVCoreB</v>
      </c>
      <c r="AC663" s="59" t="str">
        <f>IFERROR(VLOOKUP(Tabelle32[[#This Row],[Device ID]],BOM!$B$3:$BQ$35,33,FALSE),"")</f>
        <v>5_36_1</v>
      </c>
      <c r="AD663" s="59" t="str">
        <f>IFERROR(VLOOKUP(Tabelle32[[#This Row],[Device ID]],BOM!$B$3:$BQ$35,34,FALSE),"")</f>
        <v>tpco-megw-vgw103.st-net.media.int</v>
      </c>
      <c r="AE663" s="59" t="str">
        <f>IFERROR(VLOOKUP(Tabelle32[[#This Row],[Device ID]],BOM!$B$3:$BQ$35,35,FALSE),"")</f>
        <v>10.120.67.141</v>
      </c>
      <c r="AF663" s="59">
        <f>IFERROR(VLOOKUP(Tabelle32[[#This Row],[Device ID]],BOM!$B$3:$BQ$35,36,FALSE),"")</f>
        <v>0</v>
      </c>
      <c r="AG663" s="59">
        <f>IFERROR(VLOOKUP(Tabelle32[[#This Row],[Device ID]],BOM!$B$3:$BQ$35,37,FALSE),"")</f>
        <v>0</v>
      </c>
      <c r="AH663" s="59"/>
      <c r="AI663" s="59"/>
      <c r="AJ663" s="59"/>
      <c r="AK663" s="59"/>
      <c r="AL663" s="59" t="str">
        <f>IFERROR(VLOOKUP(Tabelle32[[#This Row],[Device ID]],BOM!$B$3:$BQ$35,42,FALSE),"")</f>
        <v>Imagine Communications SNP</v>
      </c>
      <c r="AM663" s="59" t="str">
        <f>IFERROR(VLOOKUP(Tabelle32[[#This Row],[Device ID]],BOM!$B$3:$BQ$35,43,FALSE),"")</f>
        <v>no</v>
      </c>
      <c r="AN663" s="59" t="str">
        <f>IFERROR(VLOOKUP(Tabelle32[[#This Row],[Device ID]],BOM!$B$3:$BQ$35,44,FALSE),"")</f>
        <v>yes</v>
      </c>
      <c r="AO663" s="59" t="str">
        <f>IFERROR(VLOOKUP(Tabelle32[[#This Row],[Device ID]],BOM!$B$3:$BQ$35,45,FALSE),"")</f>
        <v>no</v>
      </c>
      <c r="AP663" s="59" t="str">
        <f>IFERROR(CONCATENATE(Tabelle32[[#This Row],[Family
GFX-Unit]]," | ",Tabelle32[[#This Row],[Label 1
GFX-Unit]]," | ",Tabelle32[[#This Row],[Attached Device if Gateway]]),"")</f>
        <v>MEDEM Edits Out | Out Edit24-06 | EditPC-24</v>
      </c>
      <c r="AQ663" s="59"/>
      <c r="AR663" s="92"/>
      <c r="AS663" s="92"/>
      <c r="AT663" s="92"/>
      <c r="AU663" s="92"/>
      <c r="AV663" s="92"/>
      <c r="AW663" s="92" t="s">
        <v>97</v>
      </c>
      <c r="AX663" s="92" t="s">
        <v>199</v>
      </c>
      <c r="AY663" s="92" t="s">
        <v>199</v>
      </c>
      <c r="AZ663" s="92"/>
      <c r="BA663" s="92"/>
      <c r="BB663" s="92"/>
      <c r="BC663" s="92"/>
      <c r="BD663" s="92"/>
      <c r="BE663" s="92"/>
      <c r="BF663" s="92"/>
      <c r="BG663" s="92"/>
      <c r="BH663" s="73" t="s">
        <v>199</v>
      </c>
      <c r="BI663" s="30" t="str">
        <f>IF(COUNTA(Tabelle32[[#This Row],[Type:Vid_1080i50]:[Type:Anc_Prot]])&gt;0,"x","")</f>
        <v>x</v>
      </c>
      <c r="BJ66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Type:Aud_1CH_M,#SNP</v>
      </c>
      <c r="BK663" s="59"/>
      <c r="BL663" s="59"/>
      <c r="BM663" s="63"/>
      <c r="BN663" s="63"/>
      <c r="BO663" s="97" t="s">
        <v>732</v>
      </c>
      <c r="BP663" s="97" t="s">
        <v>1195</v>
      </c>
      <c r="BQ663" s="75">
        <f>LEN(Tabelle32[[#This Row],[Label 1
GFX-Unit]])</f>
        <v>13</v>
      </c>
      <c r="BR663" s="63"/>
      <c r="BS663" s="63"/>
      <c r="BT663" s="59"/>
      <c r="BU663" s="59"/>
      <c r="BV663" s="59" t="s">
        <v>234</v>
      </c>
      <c r="BW663" s="59" t="s">
        <v>235</v>
      </c>
      <c r="BX663" s="59" t="s">
        <v>1196</v>
      </c>
      <c r="BY663" s="59">
        <v>32</v>
      </c>
    </row>
    <row r="664" spans="1:77" x14ac:dyDescent="0.2">
      <c r="A664" s="58" t="str">
        <f>CONCATENATE(Tabelle32[[#This Row],[Device ID]],".",Tabelle32[[#This Row],[Streamcounter]])</f>
        <v>2157.32207</v>
      </c>
      <c r="B66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VGW-103_SDI32_AUDsend_0007</v>
      </c>
      <c r="C664" s="67"/>
      <c r="D664" s="61"/>
      <c r="E664" s="67"/>
      <c r="F664" s="59" t="str">
        <f>IFERROR(VLOOKUP(Tabelle32[[#This Row],[Device ID]],BOM!$B$3:$BQ$35,16,FALSE),"")</f>
        <v>EditPC-24</v>
      </c>
      <c r="G664" s="63">
        <f>VLOOKUP(Tabelle32[[#This Row],[SDI Interface]],BOM!$A$4:$B$35,2,FALSE)</f>
        <v>2157</v>
      </c>
      <c r="H664" s="59" t="str">
        <f>BOM!$C$4</f>
        <v>VGW-103</v>
      </c>
      <c r="I664" s="59" t="str">
        <f>IFERROR(VLOOKUP(Tabelle32[[#This Row],[Device ID]],BOM!$B$3:$BQ$35,12,FALSE),"")</f>
        <v>Edit Suite</v>
      </c>
      <c r="J664" s="59" t="str">
        <f>IFERROR(VLOOKUP(Tabelle32[[#This Row],[Device ID]],BOM!$B$3:$BQ$35,13,FALSE),"")</f>
        <v>TC.U1.223 | MDC</v>
      </c>
      <c r="K664" s="59" t="str">
        <f>IFERROR(VLOOKUP(Tabelle32[[#This Row],[Device ID]],BOM!$B$3:$BQ$35,14,FALSE),"")</f>
        <v>Imagine Comunications</v>
      </c>
      <c r="L664" s="59" t="str">
        <f>IFERROR(VLOOKUP(Tabelle32[[#This Row],[Device ID]],BOM!$B$3:$BQ$35,16,FALSE),"")</f>
        <v>EditPC-24</v>
      </c>
      <c r="M664" s="63" t="str">
        <f>IFERROR(VLOOKUP(Tabelle32[[#This Row],[Device ID]],BOM!$B$3:$BQ$35,17,FALSE),"")</f>
        <v>EDIT SUITE 24</v>
      </c>
      <c r="N664" s="59" t="str">
        <f>IFERROR(VLOOKUP(Tabelle32[[#This Row],[Device ID]],BOM!$B$3:$BQ$35,18,FALSE),"")</f>
        <v>NEBEZ.V3.14 | Edit 24</v>
      </c>
      <c r="O664" s="64"/>
      <c r="P664" s="64">
        <f>IFERROR(VLOOKUP(Tabelle32[[#This Row],[Device ID]],BOM!$B$3:$BO$50,20,FALSE),"")</f>
        <v>0</v>
      </c>
      <c r="Q664" s="64">
        <f>IFERROR(VLOOKUP(Tabelle32[[#This Row],[Device ID]],BOM!$B$3:$BO$50,21,FALSE),"")</f>
        <v>1</v>
      </c>
      <c r="R664" s="64">
        <f>IFERROR(VLOOKUP(Tabelle32[[#This Row],[Device ID]],BOM!$B$3:$BO$50,22,FALSE),"")</f>
        <v>0</v>
      </c>
      <c r="S664" s="64"/>
      <c r="T664" s="64"/>
      <c r="U664" s="59" t="str">
        <f>IFERROR(VLOOKUP(Tabelle32[[#This Row],[Device ID]],BOM!$B$3:$BQ$35,25,FALSE),"")</f>
        <v>Luis/Ivo</v>
      </c>
      <c r="V664" s="59" t="str">
        <f>IFERROR(VLOOKUP(Tabelle32[[#This Row],[Device ID]],BOM!$B$3:$BQ$35,26,FALSE),"")</f>
        <v>tpco-megw-vgw103.rta.st-net.media.int</v>
      </c>
      <c r="W664" s="59" t="str">
        <f>IFERROR(VLOOKUP(Tabelle32[[#This Row],[Device ID]],BOM!$B$3:$BQ$35,27,FALSE),"")</f>
        <v>10.120.236.50</v>
      </c>
      <c r="X664" s="59" t="str">
        <f>IFERROR(VLOOKUP(Tabelle32[[#This Row],[Device ID]],BOM!$B$3:$BQ$35,28,FALSE),"")</f>
        <v>AVCoreA</v>
      </c>
      <c r="Y664" s="59" t="str">
        <f>IFERROR(VLOOKUP(Tabelle32[[#This Row],[Device ID]],BOM!$B$3:$BQ$35,29,FALSE),"")</f>
        <v>5_36_1</v>
      </c>
      <c r="Z664" s="59" t="str">
        <f>IFERROR(VLOOKUP(Tabelle32[[#This Row],[Device ID]],BOM!$B$3:$BQ$35,30,FALSE),"")</f>
        <v>tpco-megw-vgw103.rtb.st-net.media.int</v>
      </c>
      <c r="AA664" s="59" t="str">
        <f>IFERROR(VLOOKUP(Tabelle32[[#This Row],[Device ID]],BOM!$B$3:$BQ$35,31,FALSE),"")</f>
        <v>10.120.236.54</v>
      </c>
      <c r="AB664" s="59" t="str">
        <f>IFERROR(VLOOKUP(Tabelle32[[#This Row],[Device ID]],BOM!$B$3:$BQ$35,32,FALSE),"")</f>
        <v>AVCoreB</v>
      </c>
      <c r="AC664" s="59" t="str">
        <f>IFERROR(VLOOKUP(Tabelle32[[#This Row],[Device ID]],BOM!$B$3:$BQ$35,33,FALSE),"")</f>
        <v>5_36_1</v>
      </c>
      <c r="AD664" s="59" t="str">
        <f>IFERROR(VLOOKUP(Tabelle32[[#This Row],[Device ID]],BOM!$B$3:$BQ$35,34,FALSE),"")</f>
        <v>tpco-megw-vgw103.st-net.media.int</v>
      </c>
      <c r="AE664" s="59" t="str">
        <f>IFERROR(VLOOKUP(Tabelle32[[#This Row],[Device ID]],BOM!$B$3:$BQ$35,35,FALSE),"")</f>
        <v>10.120.67.141</v>
      </c>
      <c r="AF664" s="59">
        <f>IFERROR(VLOOKUP(Tabelle32[[#This Row],[Device ID]],BOM!$B$3:$BQ$35,36,FALSE),"")</f>
        <v>0</v>
      </c>
      <c r="AG664" s="59">
        <f>IFERROR(VLOOKUP(Tabelle32[[#This Row],[Device ID]],BOM!$B$3:$BQ$35,37,FALSE),"")</f>
        <v>0</v>
      </c>
      <c r="AH664" s="59"/>
      <c r="AI664" s="59"/>
      <c r="AJ664" s="59"/>
      <c r="AK664" s="59"/>
      <c r="AL664" s="59" t="str">
        <f>IFERROR(VLOOKUP(Tabelle32[[#This Row],[Device ID]],BOM!$B$3:$BQ$35,42,FALSE),"")</f>
        <v>Imagine Communications SNP</v>
      </c>
      <c r="AM664" s="59" t="str">
        <f>IFERROR(VLOOKUP(Tabelle32[[#This Row],[Device ID]],BOM!$B$3:$BQ$35,43,FALSE),"")</f>
        <v>no</v>
      </c>
      <c r="AN664" s="59" t="str">
        <f>IFERROR(VLOOKUP(Tabelle32[[#This Row],[Device ID]],BOM!$B$3:$BQ$35,44,FALSE),"")</f>
        <v>yes</v>
      </c>
      <c r="AO664" s="59" t="str">
        <f>IFERROR(VLOOKUP(Tabelle32[[#This Row],[Device ID]],BOM!$B$3:$BQ$35,45,FALSE),"")</f>
        <v>no</v>
      </c>
      <c r="AP664" s="59" t="str">
        <f>IFERROR(CONCATENATE(Tabelle32[[#This Row],[Family
GFX-Unit]]," | ",Tabelle32[[#This Row],[Label 1
GFX-Unit]]," | ",Tabelle32[[#This Row],[Attached Device if Gateway]]),"")</f>
        <v>MEDEM Edits Out | Out Edit24-07 | EditPC-24</v>
      </c>
      <c r="AQ664" s="59"/>
      <c r="AR664" s="92"/>
      <c r="AS664" s="92"/>
      <c r="AT664" s="92"/>
      <c r="AU664" s="92"/>
      <c r="AV664" s="92"/>
      <c r="AW664" s="92"/>
      <c r="AX664" s="92" t="s">
        <v>199</v>
      </c>
      <c r="AY664" s="92" t="s">
        <v>199</v>
      </c>
      <c r="AZ664" s="92" t="s">
        <v>97</v>
      </c>
      <c r="BA664" s="92"/>
      <c r="BB664" s="92"/>
      <c r="BC664" s="92"/>
      <c r="BD664" s="92"/>
      <c r="BE664" s="92"/>
      <c r="BF664" s="92"/>
      <c r="BG664" s="92"/>
      <c r="BH664" s="73" t="s">
        <v>199</v>
      </c>
      <c r="BI664" s="30" t="str">
        <f>IF(COUNTA(Tabelle32[[#This Row],[Type:Vid_1080i50]:[Type:Anc_Prot]])&gt;0,"x","")</f>
        <v>x</v>
      </c>
      <c r="BJ66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Type:Aud_2CH_LR,#SNP</v>
      </c>
      <c r="BK664" s="59"/>
      <c r="BL664" s="59"/>
      <c r="BM664" s="63"/>
      <c r="BN664" s="63"/>
      <c r="BO664" s="97" t="s">
        <v>732</v>
      </c>
      <c r="BP664" s="97" t="s">
        <v>1197</v>
      </c>
      <c r="BQ664" s="75">
        <f>LEN(Tabelle32[[#This Row],[Label 1
GFX-Unit]])</f>
        <v>13</v>
      </c>
      <c r="BR664" s="63"/>
      <c r="BS664" s="63"/>
      <c r="BT664" s="59"/>
      <c r="BU664" s="59"/>
      <c r="BV664" s="59" t="s">
        <v>238</v>
      </c>
      <c r="BW664" s="59" t="s">
        <v>239</v>
      </c>
      <c r="BX664" s="59" t="s">
        <v>1198</v>
      </c>
      <c r="BY664" s="59">
        <v>32</v>
      </c>
    </row>
    <row r="665" spans="1:77" x14ac:dyDescent="0.2">
      <c r="A665" s="58" t="str">
        <f>CONCATENATE(Tabelle32[[#This Row],[Device ID]],".",Tabelle32[[#This Row],[Streamcounter]])</f>
        <v>2157.32208</v>
      </c>
      <c r="B665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VGW-103_SDI32_AUDsend_0008</v>
      </c>
      <c r="C665" s="67"/>
      <c r="D665" s="61"/>
      <c r="E665" s="67"/>
      <c r="F665" s="59" t="str">
        <f>IFERROR(VLOOKUP(Tabelle32[[#This Row],[Device ID]],BOM!$B$3:$BQ$35,16,FALSE),"")</f>
        <v>EditPC-24</v>
      </c>
      <c r="G665" s="63">
        <f>VLOOKUP(Tabelle32[[#This Row],[SDI Interface]],BOM!$A$4:$B$35,2,FALSE)</f>
        <v>2157</v>
      </c>
      <c r="H665" s="59" t="str">
        <f>BOM!$C$4</f>
        <v>VGW-103</v>
      </c>
      <c r="I665" s="59" t="str">
        <f>IFERROR(VLOOKUP(Tabelle32[[#This Row],[Device ID]],BOM!$B$3:$BQ$35,12,FALSE),"")</f>
        <v>Edit Suite</v>
      </c>
      <c r="J665" s="59" t="str">
        <f>IFERROR(VLOOKUP(Tabelle32[[#This Row],[Device ID]],BOM!$B$3:$BQ$35,13,FALSE),"")</f>
        <v>TC.U1.223 | MDC</v>
      </c>
      <c r="K665" s="59" t="str">
        <f>IFERROR(VLOOKUP(Tabelle32[[#This Row],[Device ID]],BOM!$B$3:$BQ$35,14,FALSE),"")</f>
        <v>Imagine Comunications</v>
      </c>
      <c r="L665" s="59" t="str">
        <f>IFERROR(VLOOKUP(Tabelle32[[#This Row],[Device ID]],BOM!$B$3:$BQ$35,16,FALSE),"")</f>
        <v>EditPC-24</v>
      </c>
      <c r="M665" s="63" t="str">
        <f>IFERROR(VLOOKUP(Tabelle32[[#This Row],[Device ID]],BOM!$B$3:$BQ$35,17,FALSE),"")</f>
        <v>EDIT SUITE 24</v>
      </c>
      <c r="N665" s="59" t="str">
        <f>IFERROR(VLOOKUP(Tabelle32[[#This Row],[Device ID]],BOM!$B$3:$BQ$35,18,FALSE),"")</f>
        <v>NEBEZ.V3.14 | Edit 24</v>
      </c>
      <c r="O665" s="64"/>
      <c r="P665" s="64">
        <f>IFERROR(VLOOKUP(Tabelle32[[#This Row],[Device ID]],BOM!$B$3:$BO$50,20,FALSE),"")</f>
        <v>0</v>
      </c>
      <c r="Q665" s="64">
        <f>IFERROR(VLOOKUP(Tabelle32[[#This Row],[Device ID]],BOM!$B$3:$BO$50,21,FALSE),"")</f>
        <v>1</v>
      </c>
      <c r="R665" s="64">
        <f>IFERROR(VLOOKUP(Tabelle32[[#This Row],[Device ID]],BOM!$B$3:$BO$50,22,FALSE),"")</f>
        <v>0</v>
      </c>
      <c r="S665" s="64"/>
      <c r="T665" s="64"/>
      <c r="U665" s="59" t="str">
        <f>IFERROR(VLOOKUP(Tabelle32[[#This Row],[Device ID]],BOM!$B$3:$BQ$35,25,FALSE),"")</f>
        <v>Luis/Ivo</v>
      </c>
      <c r="V665" s="59" t="str">
        <f>IFERROR(VLOOKUP(Tabelle32[[#This Row],[Device ID]],BOM!$B$3:$BQ$35,26,FALSE),"")</f>
        <v>tpco-megw-vgw103.rta.st-net.media.int</v>
      </c>
      <c r="W665" s="59" t="str">
        <f>IFERROR(VLOOKUP(Tabelle32[[#This Row],[Device ID]],BOM!$B$3:$BQ$35,27,FALSE),"")</f>
        <v>10.120.236.50</v>
      </c>
      <c r="X665" s="59" t="str">
        <f>IFERROR(VLOOKUP(Tabelle32[[#This Row],[Device ID]],BOM!$B$3:$BQ$35,28,FALSE),"")</f>
        <v>AVCoreA</v>
      </c>
      <c r="Y665" s="59" t="str">
        <f>IFERROR(VLOOKUP(Tabelle32[[#This Row],[Device ID]],BOM!$B$3:$BQ$35,29,FALSE),"")</f>
        <v>5_36_1</v>
      </c>
      <c r="Z665" s="59" t="str">
        <f>IFERROR(VLOOKUP(Tabelle32[[#This Row],[Device ID]],BOM!$B$3:$BQ$35,30,FALSE),"")</f>
        <v>tpco-megw-vgw103.rtb.st-net.media.int</v>
      </c>
      <c r="AA665" s="59" t="str">
        <f>IFERROR(VLOOKUP(Tabelle32[[#This Row],[Device ID]],BOM!$B$3:$BQ$35,31,FALSE),"")</f>
        <v>10.120.236.54</v>
      </c>
      <c r="AB665" s="59" t="str">
        <f>IFERROR(VLOOKUP(Tabelle32[[#This Row],[Device ID]],BOM!$B$3:$BQ$35,32,FALSE),"")</f>
        <v>AVCoreB</v>
      </c>
      <c r="AC665" s="59" t="str">
        <f>IFERROR(VLOOKUP(Tabelle32[[#This Row],[Device ID]],BOM!$B$3:$BQ$35,33,FALSE),"")</f>
        <v>5_36_1</v>
      </c>
      <c r="AD665" s="59" t="str">
        <f>IFERROR(VLOOKUP(Tabelle32[[#This Row],[Device ID]],BOM!$B$3:$BQ$35,34,FALSE),"")</f>
        <v>tpco-megw-vgw103.st-net.media.int</v>
      </c>
      <c r="AE665" s="59" t="str">
        <f>IFERROR(VLOOKUP(Tabelle32[[#This Row],[Device ID]],BOM!$B$3:$BQ$35,35,FALSE),"")</f>
        <v>10.120.67.141</v>
      </c>
      <c r="AF665" s="59">
        <f>IFERROR(VLOOKUP(Tabelle32[[#This Row],[Device ID]],BOM!$B$3:$BQ$35,36,FALSE),"")</f>
        <v>0</v>
      </c>
      <c r="AG665" s="59">
        <f>IFERROR(VLOOKUP(Tabelle32[[#This Row],[Device ID]],BOM!$B$3:$BQ$35,37,FALSE),"")</f>
        <v>0</v>
      </c>
      <c r="AH665" s="59"/>
      <c r="AI665" s="59"/>
      <c r="AJ665" s="59"/>
      <c r="AK665" s="59"/>
      <c r="AL665" s="59" t="str">
        <f>IFERROR(VLOOKUP(Tabelle32[[#This Row],[Device ID]],BOM!$B$3:$BQ$35,42,FALSE),"")</f>
        <v>Imagine Communications SNP</v>
      </c>
      <c r="AM665" s="59" t="str">
        <f>IFERROR(VLOOKUP(Tabelle32[[#This Row],[Device ID]],BOM!$B$3:$BQ$35,43,FALSE),"")</f>
        <v>no</v>
      </c>
      <c r="AN665" s="59" t="str">
        <f>IFERROR(VLOOKUP(Tabelle32[[#This Row],[Device ID]],BOM!$B$3:$BQ$35,44,FALSE),"")</f>
        <v>yes</v>
      </c>
      <c r="AO665" s="59" t="str">
        <f>IFERROR(VLOOKUP(Tabelle32[[#This Row],[Device ID]],BOM!$B$3:$BQ$35,45,FALSE),"")</f>
        <v>no</v>
      </c>
      <c r="AP665" s="59" t="str">
        <f>IFERROR(CONCATENATE(Tabelle32[[#This Row],[Family
GFX-Unit]]," | ",Tabelle32[[#This Row],[Label 1
GFX-Unit]]," | ",Tabelle32[[#This Row],[Attached Device if Gateway]]),"")</f>
        <v>MEDEM Edits Out | Out Edit24-08 | EditPC-24</v>
      </c>
      <c r="AQ665" s="59"/>
      <c r="AR665" s="92"/>
      <c r="AS665" s="92"/>
      <c r="AT665" s="92"/>
      <c r="AU665" s="92"/>
      <c r="AV665" s="92"/>
      <c r="AW665" s="92"/>
      <c r="AX665" s="92"/>
      <c r="AY665" s="92"/>
      <c r="AZ665" s="92"/>
      <c r="BA665" s="92"/>
      <c r="BB665" s="92"/>
      <c r="BC665" s="92" t="s">
        <v>97</v>
      </c>
      <c r="BD665" s="92"/>
      <c r="BE665" s="92"/>
      <c r="BF665" s="92"/>
      <c r="BG665" s="92"/>
      <c r="BH665" s="73" t="s">
        <v>199</v>
      </c>
      <c r="BI665" s="30" t="str">
        <f>IF(COUNTA(Tabelle32[[#This Row],[Type:Vid_1080i50]:[Type:Anc_Prot]])&gt;0,"x","")</f>
        <v>x</v>
      </c>
      <c r="BJ665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Type:Aud_6CH_5.1,#SNP</v>
      </c>
      <c r="BK665" s="59"/>
      <c r="BL665" s="59"/>
      <c r="BM665" s="63"/>
      <c r="BN665" s="63"/>
      <c r="BO665" s="97" t="s">
        <v>732</v>
      </c>
      <c r="BP665" s="97" t="s">
        <v>1199</v>
      </c>
      <c r="BQ665" s="75">
        <f>LEN(Tabelle32[[#This Row],[Label 1
GFX-Unit]])</f>
        <v>13</v>
      </c>
      <c r="BR665" s="63"/>
      <c r="BS665" s="63"/>
      <c r="BT665" s="59"/>
      <c r="BU665" s="59"/>
      <c r="BV665" s="59" t="s">
        <v>242</v>
      </c>
      <c r="BW665" s="59" t="s">
        <v>243</v>
      </c>
      <c r="BX665" s="59" t="s">
        <v>1200</v>
      </c>
      <c r="BY665" s="59">
        <v>32</v>
      </c>
    </row>
    <row r="666" spans="1:77" hidden="1" x14ac:dyDescent="0.2">
      <c r="A666" s="58" t="str">
        <f>CONCATENATE(Tabelle32[[#This Row],[Device ID]],".",Tabelle32[[#This Row],[Streamcounter]])</f>
        <v>2157.32209</v>
      </c>
      <c r="B666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VGW-103_SDI32_AUDsend_0009</v>
      </c>
      <c r="C666" s="67"/>
      <c r="D666" s="61"/>
      <c r="E666" s="67"/>
      <c r="F666" s="59" t="str">
        <f>IFERROR(VLOOKUP(Tabelle32[[#This Row],[Device ID]],BOM!$B$3:$BQ$35,16,FALSE),"")</f>
        <v>EditPC-24</v>
      </c>
      <c r="G666" s="63">
        <f>VLOOKUP(Tabelle32[[#This Row],[SDI Interface]],BOM!$A$4:$B$35,2,FALSE)</f>
        <v>2157</v>
      </c>
      <c r="H666" s="59" t="str">
        <f>BOM!$C$4</f>
        <v>VGW-103</v>
      </c>
      <c r="I666" s="59" t="str">
        <f>IFERROR(VLOOKUP(Tabelle32[[#This Row],[Device ID]],BOM!$B$3:$BQ$35,12,FALSE),"")</f>
        <v>Edit Suite</v>
      </c>
      <c r="J666" s="59" t="str">
        <f>IFERROR(VLOOKUP(Tabelle32[[#This Row],[Device ID]],BOM!$B$3:$BQ$35,13,FALSE),"")</f>
        <v>TC.U1.223 | MDC</v>
      </c>
      <c r="K666" s="59" t="str">
        <f>IFERROR(VLOOKUP(Tabelle32[[#This Row],[Device ID]],BOM!$B$3:$BQ$35,14,FALSE),"")</f>
        <v>Imagine Comunications</v>
      </c>
      <c r="L666" s="59" t="str">
        <f>IFERROR(VLOOKUP(Tabelle32[[#This Row],[Device ID]],BOM!$B$3:$BQ$35,16,FALSE),"")</f>
        <v>EditPC-24</v>
      </c>
      <c r="M666" s="63" t="str">
        <f>IFERROR(VLOOKUP(Tabelle32[[#This Row],[Device ID]],BOM!$B$3:$BQ$35,17,FALSE),"")</f>
        <v>EDIT SUITE 24</v>
      </c>
      <c r="N666" s="59" t="str">
        <f>IFERROR(VLOOKUP(Tabelle32[[#This Row],[Device ID]],BOM!$B$3:$BQ$35,18,FALSE),"")</f>
        <v>NEBEZ.V3.14 | Edit 24</v>
      </c>
      <c r="O666" s="64"/>
      <c r="P666" s="64">
        <f>IFERROR(VLOOKUP(Tabelle32[[#This Row],[Device ID]],BOM!$B$3:$BO$50,20,FALSE),"")</f>
        <v>0</v>
      </c>
      <c r="Q666" s="64">
        <f>IFERROR(VLOOKUP(Tabelle32[[#This Row],[Device ID]],BOM!$B$3:$BO$50,21,FALSE),"")</f>
        <v>1</v>
      </c>
      <c r="R666" s="64">
        <f>IFERROR(VLOOKUP(Tabelle32[[#This Row],[Device ID]],BOM!$B$3:$BO$50,22,FALSE),"")</f>
        <v>0</v>
      </c>
      <c r="S666" s="64"/>
      <c r="T666" s="64"/>
      <c r="U666" s="59" t="str">
        <f>IFERROR(VLOOKUP(Tabelle32[[#This Row],[Device ID]],BOM!$B$3:$BQ$35,25,FALSE),"")</f>
        <v>Luis/Ivo</v>
      </c>
      <c r="V666" s="59" t="str">
        <f>IFERROR(VLOOKUP(Tabelle32[[#This Row],[Device ID]],BOM!$B$3:$BQ$35,26,FALSE),"")</f>
        <v>tpco-megw-vgw103.rta.st-net.media.int</v>
      </c>
      <c r="W666" s="59" t="str">
        <f>IFERROR(VLOOKUP(Tabelle32[[#This Row],[Device ID]],BOM!$B$3:$BQ$35,27,FALSE),"")</f>
        <v>10.120.236.50</v>
      </c>
      <c r="X666" s="59" t="str">
        <f>IFERROR(VLOOKUP(Tabelle32[[#This Row],[Device ID]],BOM!$B$3:$BQ$35,28,FALSE),"")</f>
        <v>AVCoreA</v>
      </c>
      <c r="Y666" s="59" t="str">
        <f>IFERROR(VLOOKUP(Tabelle32[[#This Row],[Device ID]],BOM!$B$3:$BQ$35,29,FALSE),"")</f>
        <v>5_36_1</v>
      </c>
      <c r="Z666" s="59" t="str">
        <f>IFERROR(VLOOKUP(Tabelle32[[#This Row],[Device ID]],BOM!$B$3:$BQ$35,30,FALSE),"")</f>
        <v>tpco-megw-vgw103.rtb.st-net.media.int</v>
      </c>
      <c r="AA666" s="59" t="str">
        <f>IFERROR(VLOOKUP(Tabelle32[[#This Row],[Device ID]],BOM!$B$3:$BQ$35,31,FALSE),"")</f>
        <v>10.120.236.54</v>
      </c>
      <c r="AB666" s="59" t="str">
        <f>IFERROR(VLOOKUP(Tabelle32[[#This Row],[Device ID]],BOM!$B$3:$BQ$35,32,FALSE),"")</f>
        <v>AVCoreB</v>
      </c>
      <c r="AC666" s="59" t="str">
        <f>IFERROR(VLOOKUP(Tabelle32[[#This Row],[Device ID]],BOM!$B$3:$BQ$35,33,FALSE),"")</f>
        <v>5_36_1</v>
      </c>
      <c r="AD666" s="59" t="str">
        <f>IFERROR(VLOOKUP(Tabelle32[[#This Row],[Device ID]],BOM!$B$3:$BQ$35,34,FALSE),"")</f>
        <v>tpco-megw-vgw103.st-net.media.int</v>
      </c>
      <c r="AE666" s="59" t="str">
        <f>IFERROR(VLOOKUP(Tabelle32[[#This Row],[Device ID]],BOM!$B$3:$BQ$35,35,FALSE),"")</f>
        <v>10.120.67.141</v>
      </c>
      <c r="AF666" s="59">
        <f>IFERROR(VLOOKUP(Tabelle32[[#This Row],[Device ID]],BOM!$B$3:$BQ$35,36,FALSE),"")</f>
        <v>0</v>
      </c>
      <c r="AG666" s="59">
        <f>IFERROR(VLOOKUP(Tabelle32[[#This Row],[Device ID]],BOM!$B$3:$BQ$35,37,FALSE),"")</f>
        <v>0</v>
      </c>
      <c r="AH666" s="59"/>
      <c r="AI666" s="59"/>
      <c r="AJ666" s="59"/>
      <c r="AK666" s="59"/>
      <c r="AL666" s="59" t="str">
        <f>IFERROR(VLOOKUP(Tabelle32[[#This Row],[Device ID]],BOM!$B$3:$BQ$35,42,FALSE),"")</f>
        <v>Imagine Communications SNP</v>
      </c>
      <c r="AM666" s="59" t="str">
        <f>IFERROR(VLOOKUP(Tabelle32[[#This Row],[Device ID]],BOM!$B$3:$BQ$35,43,FALSE),"")</f>
        <v>no</v>
      </c>
      <c r="AN666" s="59" t="str">
        <f>IFERROR(VLOOKUP(Tabelle32[[#This Row],[Device ID]],BOM!$B$3:$BQ$35,44,FALSE),"")</f>
        <v>yes</v>
      </c>
      <c r="AO666" s="59" t="str">
        <f>IFERROR(VLOOKUP(Tabelle32[[#This Row],[Device ID]],BOM!$B$3:$BQ$35,45,FALSE),"")</f>
        <v>no</v>
      </c>
      <c r="AP666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66" s="59"/>
      <c r="AR666" s="90"/>
      <c r="AS666" s="90"/>
      <c r="AT666" s="90"/>
      <c r="AU666" s="90"/>
      <c r="AV666" s="90"/>
      <c r="AW666" s="90"/>
      <c r="AX666" s="90"/>
      <c r="AY666" s="90"/>
      <c r="AZ666" s="90"/>
      <c r="BA666" s="90"/>
      <c r="BB666" s="90"/>
      <c r="BC666" s="90"/>
      <c r="BD666" s="90"/>
      <c r="BE666" s="90"/>
      <c r="BF666" s="90"/>
      <c r="BG666" s="90"/>
      <c r="BH666" s="73" t="s">
        <v>199</v>
      </c>
      <c r="BI666" s="30" t="str">
        <f>IF(COUNTA(Tabelle32[[#This Row],[Type:Vid_1080i50]:[Type:Anc_Prot]])&gt;0,"x","")</f>
        <v/>
      </c>
      <c r="BJ666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66" s="59"/>
      <c r="BL666" s="59"/>
      <c r="BM666" s="63"/>
      <c r="BN666" s="63"/>
      <c r="BO666" s="96"/>
      <c r="BP666" s="96"/>
      <c r="BQ666" s="75">
        <f>LEN(Tabelle32[[#This Row],[Label 1
GFX-Unit]])</f>
        <v>0</v>
      </c>
      <c r="BR666" s="63"/>
      <c r="BS666" s="63"/>
      <c r="BT666" s="59"/>
      <c r="BU666" s="59"/>
      <c r="BV666" s="59" t="s">
        <v>245</v>
      </c>
      <c r="BW666" s="59" t="s">
        <v>246</v>
      </c>
      <c r="BX666" s="59" t="s">
        <v>1201</v>
      </c>
      <c r="BY666" s="59">
        <v>32</v>
      </c>
    </row>
    <row r="667" spans="1:77" hidden="1" x14ac:dyDescent="0.2">
      <c r="A667" s="58" t="str">
        <f>CONCATENATE(Tabelle32[[#This Row],[Device ID]],".",Tabelle32[[#This Row],[Streamcounter]])</f>
        <v>2157.32210</v>
      </c>
      <c r="B667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VGW-103_SDI32_AUDsend_0010</v>
      </c>
      <c r="C667" s="67"/>
      <c r="D667" s="61"/>
      <c r="E667" s="67"/>
      <c r="F667" s="59" t="str">
        <f>IFERROR(VLOOKUP(Tabelle32[[#This Row],[Device ID]],BOM!$B$3:$BQ$35,16,FALSE),"")</f>
        <v>EditPC-24</v>
      </c>
      <c r="G667" s="63">
        <f>VLOOKUP(Tabelle32[[#This Row],[SDI Interface]],BOM!$A$4:$B$35,2,FALSE)</f>
        <v>2157</v>
      </c>
      <c r="H667" s="59" t="str">
        <f>BOM!$C$4</f>
        <v>VGW-103</v>
      </c>
      <c r="I667" s="59" t="str">
        <f>IFERROR(VLOOKUP(Tabelle32[[#This Row],[Device ID]],BOM!$B$3:$BQ$35,12,FALSE),"")</f>
        <v>Edit Suite</v>
      </c>
      <c r="J667" s="59" t="str">
        <f>IFERROR(VLOOKUP(Tabelle32[[#This Row],[Device ID]],BOM!$B$3:$BQ$35,13,FALSE),"")</f>
        <v>TC.U1.223 | MDC</v>
      </c>
      <c r="K667" s="59" t="str">
        <f>IFERROR(VLOOKUP(Tabelle32[[#This Row],[Device ID]],BOM!$B$3:$BQ$35,14,FALSE),"")</f>
        <v>Imagine Comunications</v>
      </c>
      <c r="L667" s="59" t="str">
        <f>IFERROR(VLOOKUP(Tabelle32[[#This Row],[Device ID]],BOM!$B$3:$BQ$35,16,FALSE),"")</f>
        <v>EditPC-24</v>
      </c>
      <c r="M667" s="63" t="str">
        <f>IFERROR(VLOOKUP(Tabelle32[[#This Row],[Device ID]],BOM!$B$3:$BQ$35,17,FALSE),"")</f>
        <v>EDIT SUITE 24</v>
      </c>
      <c r="N667" s="59" t="str">
        <f>IFERROR(VLOOKUP(Tabelle32[[#This Row],[Device ID]],BOM!$B$3:$BQ$35,18,FALSE),"")</f>
        <v>NEBEZ.V3.14 | Edit 24</v>
      </c>
      <c r="O667" s="64"/>
      <c r="P667" s="64">
        <f>IFERROR(VLOOKUP(Tabelle32[[#This Row],[Device ID]],BOM!$B$3:$BO$50,20,FALSE),"")</f>
        <v>0</v>
      </c>
      <c r="Q667" s="64">
        <f>IFERROR(VLOOKUP(Tabelle32[[#This Row],[Device ID]],BOM!$B$3:$BO$50,21,FALSE),"")</f>
        <v>1</v>
      </c>
      <c r="R667" s="64">
        <f>IFERROR(VLOOKUP(Tabelle32[[#This Row],[Device ID]],BOM!$B$3:$BO$50,22,FALSE),"")</f>
        <v>0</v>
      </c>
      <c r="S667" s="64"/>
      <c r="T667" s="64"/>
      <c r="U667" s="59" t="str">
        <f>IFERROR(VLOOKUP(Tabelle32[[#This Row],[Device ID]],BOM!$B$3:$BQ$35,25,FALSE),"")</f>
        <v>Luis/Ivo</v>
      </c>
      <c r="V667" s="59" t="str">
        <f>IFERROR(VLOOKUP(Tabelle32[[#This Row],[Device ID]],BOM!$B$3:$BQ$35,26,FALSE),"")</f>
        <v>tpco-megw-vgw103.rta.st-net.media.int</v>
      </c>
      <c r="W667" s="59" t="str">
        <f>IFERROR(VLOOKUP(Tabelle32[[#This Row],[Device ID]],BOM!$B$3:$BQ$35,27,FALSE),"")</f>
        <v>10.120.236.50</v>
      </c>
      <c r="X667" s="59" t="str">
        <f>IFERROR(VLOOKUP(Tabelle32[[#This Row],[Device ID]],BOM!$B$3:$BQ$35,28,FALSE),"")</f>
        <v>AVCoreA</v>
      </c>
      <c r="Y667" s="59" t="str">
        <f>IFERROR(VLOOKUP(Tabelle32[[#This Row],[Device ID]],BOM!$B$3:$BQ$35,29,FALSE),"")</f>
        <v>5_36_1</v>
      </c>
      <c r="Z667" s="59" t="str">
        <f>IFERROR(VLOOKUP(Tabelle32[[#This Row],[Device ID]],BOM!$B$3:$BQ$35,30,FALSE),"")</f>
        <v>tpco-megw-vgw103.rtb.st-net.media.int</v>
      </c>
      <c r="AA667" s="59" t="str">
        <f>IFERROR(VLOOKUP(Tabelle32[[#This Row],[Device ID]],BOM!$B$3:$BQ$35,31,FALSE),"")</f>
        <v>10.120.236.54</v>
      </c>
      <c r="AB667" s="59" t="str">
        <f>IFERROR(VLOOKUP(Tabelle32[[#This Row],[Device ID]],BOM!$B$3:$BQ$35,32,FALSE),"")</f>
        <v>AVCoreB</v>
      </c>
      <c r="AC667" s="59" t="str">
        <f>IFERROR(VLOOKUP(Tabelle32[[#This Row],[Device ID]],BOM!$B$3:$BQ$35,33,FALSE),"")</f>
        <v>5_36_1</v>
      </c>
      <c r="AD667" s="59" t="str">
        <f>IFERROR(VLOOKUP(Tabelle32[[#This Row],[Device ID]],BOM!$B$3:$BQ$35,34,FALSE),"")</f>
        <v>tpco-megw-vgw103.st-net.media.int</v>
      </c>
      <c r="AE667" s="59" t="str">
        <f>IFERROR(VLOOKUP(Tabelle32[[#This Row],[Device ID]],BOM!$B$3:$BQ$35,35,FALSE),"")</f>
        <v>10.120.67.141</v>
      </c>
      <c r="AF667" s="59">
        <f>IFERROR(VLOOKUP(Tabelle32[[#This Row],[Device ID]],BOM!$B$3:$BQ$35,36,FALSE),"")</f>
        <v>0</v>
      </c>
      <c r="AG667" s="59">
        <f>IFERROR(VLOOKUP(Tabelle32[[#This Row],[Device ID]],BOM!$B$3:$BQ$35,37,FALSE),"")</f>
        <v>0</v>
      </c>
      <c r="AH667" s="59"/>
      <c r="AI667" s="59"/>
      <c r="AJ667" s="59"/>
      <c r="AK667" s="59"/>
      <c r="AL667" s="59" t="str">
        <f>IFERROR(VLOOKUP(Tabelle32[[#This Row],[Device ID]],BOM!$B$3:$BQ$35,42,FALSE),"")</f>
        <v>Imagine Communications SNP</v>
      </c>
      <c r="AM667" s="59" t="str">
        <f>IFERROR(VLOOKUP(Tabelle32[[#This Row],[Device ID]],BOM!$B$3:$BQ$35,43,FALSE),"")</f>
        <v>no</v>
      </c>
      <c r="AN667" s="59" t="str">
        <f>IFERROR(VLOOKUP(Tabelle32[[#This Row],[Device ID]],BOM!$B$3:$BQ$35,44,FALSE),"")</f>
        <v>yes</v>
      </c>
      <c r="AO667" s="59" t="str">
        <f>IFERROR(VLOOKUP(Tabelle32[[#This Row],[Device ID]],BOM!$B$3:$BQ$35,45,FALSE),"")</f>
        <v>no</v>
      </c>
      <c r="AP667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67" s="59"/>
      <c r="AR667" s="90"/>
      <c r="AS667" s="90"/>
      <c r="AT667" s="90"/>
      <c r="AU667" s="90"/>
      <c r="AV667" s="90"/>
      <c r="AW667" s="90"/>
      <c r="AX667" s="90"/>
      <c r="AY667" s="90"/>
      <c r="AZ667" s="90"/>
      <c r="BA667" s="90"/>
      <c r="BB667" s="90"/>
      <c r="BC667" s="90"/>
      <c r="BD667" s="90"/>
      <c r="BE667" s="90"/>
      <c r="BF667" s="90"/>
      <c r="BG667" s="90"/>
      <c r="BH667" s="73" t="s">
        <v>199</v>
      </c>
      <c r="BI667" s="30" t="str">
        <f>IF(COUNTA(Tabelle32[[#This Row],[Type:Vid_1080i50]:[Type:Anc_Prot]])&gt;0,"x","")</f>
        <v/>
      </c>
      <c r="BJ667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67" s="59"/>
      <c r="BL667" s="59"/>
      <c r="BM667" s="63"/>
      <c r="BN667" s="63"/>
      <c r="BO667" s="96"/>
      <c r="BP667" s="96"/>
      <c r="BQ667" s="75">
        <f>LEN(Tabelle32[[#This Row],[Label 1
GFX-Unit]])</f>
        <v>0</v>
      </c>
      <c r="BR667" s="63"/>
      <c r="BS667" s="63"/>
      <c r="BT667" s="59"/>
      <c r="BU667" s="59"/>
      <c r="BV667" s="59" t="s">
        <v>248</v>
      </c>
      <c r="BW667" s="59" t="s">
        <v>249</v>
      </c>
      <c r="BX667" s="59" t="s">
        <v>1202</v>
      </c>
      <c r="BY667" s="59">
        <v>32</v>
      </c>
    </row>
    <row r="668" spans="1:77" hidden="1" x14ac:dyDescent="0.2">
      <c r="A668" s="58" t="str">
        <f>CONCATENATE(Tabelle32[[#This Row],[Device ID]],".",Tabelle32[[#This Row],[Streamcounter]])</f>
        <v>2157.32211</v>
      </c>
      <c r="B668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VGW-103_SDI32_AUDsend_0011</v>
      </c>
      <c r="C668" s="67"/>
      <c r="D668" s="61"/>
      <c r="E668" s="67"/>
      <c r="F668" s="59" t="str">
        <f>IFERROR(VLOOKUP(Tabelle32[[#This Row],[Device ID]],BOM!$B$3:$BQ$35,16,FALSE),"")</f>
        <v>EditPC-24</v>
      </c>
      <c r="G668" s="63">
        <f>VLOOKUP(Tabelle32[[#This Row],[SDI Interface]],BOM!$A$4:$B$35,2,FALSE)</f>
        <v>2157</v>
      </c>
      <c r="H668" s="59" t="str">
        <f>BOM!$C$4</f>
        <v>VGW-103</v>
      </c>
      <c r="I668" s="59" t="str">
        <f>IFERROR(VLOOKUP(Tabelle32[[#This Row],[Device ID]],BOM!$B$3:$BQ$35,12,FALSE),"")</f>
        <v>Edit Suite</v>
      </c>
      <c r="J668" s="59" t="str">
        <f>IFERROR(VLOOKUP(Tabelle32[[#This Row],[Device ID]],BOM!$B$3:$BQ$35,13,FALSE),"")</f>
        <v>TC.U1.223 | MDC</v>
      </c>
      <c r="K668" s="59" t="str">
        <f>IFERROR(VLOOKUP(Tabelle32[[#This Row],[Device ID]],BOM!$B$3:$BQ$35,14,FALSE),"")</f>
        <v>Imagine Comunications</v>
      </c>
      <c r="L668" s="59" t="str">
        <f>IFERROR(VLOOKUP(Tabelle32[[#This Row],[Device ID]],BOM!$B$3:$BQ$35,16,FALSE),"")</f>
        <v>EditPC-24</v>
      </c>
      <c r="M668" s="63" t="str">
        <f>IFERROR(VLOOKUP(Tabelle32[[#This Row],[Device ID]],BOM!$B$3:$BQ$35,17,FALSE),"")</f>
        <v>EDIT SUITE 24</v>
      </c>
      <c r="N668" s="59" t="str">
        <f>IFERROR(VLOOKUP(Tabelle32[[#This Row],[Device ID]],BOM!$B$3:$BQ$35,18,FALSE),"")</f>
        <v>NEBEZ.V3.14 | Edit 24</v>
      </c>
      <c r="O668" s="64"/>
      <c r="P668" s="64">
        <f>IFERROR(VLOOKUP(Tabelle32[[#This Row],[Device ID]],BOM!$B$3:$BO$50,20,FALSE),"")</f>
        <v>0</v>
      </c>
      <c r="Q668" s="64">
        <f>IFERROR(VLOOKUP(Tabelle32[[#This Row],[Device ID]],BOM!$B$3:$BO$50,21,FALSE),"")</f>
        <v>1</v>
      </c>
      <c r="R668" s="64">
        <f>IFERROR(VLOOKUP(Tabelle32[[#This Row],[Device ID]],BOM!$B$3:$BO$50,22,FALSE),"")</f>
        <v>0</v>
      </c>
      <c r="S668" s="64"/>
      <c r="T668" s="64"/>
      <c r="U668" s="59" t="str">
        <f>IFERROR(VLOOKUP(Tabelle32[[#This Row],[Device ID]],BOM!$B$3:$BQ$35,25,FALSE),"")</f>
        <v>Luis/Ivo</v>
      </c>
      <c r="V668" s="59" t="str">
        <f>IFERROR(VLOOKUP(Tabelle32[[#This Row],[Device ID]],BOM!$B$3:$BQ$35,26,FALSE),"")</f>
        <v>tpco-megw-vgw103.rta.st-net.media.int</v>
      </c>
      <c r="W668" s="59" t="str">
        <f>IFERROR(VLOOKUP(Tabelle32[[#This Row],[Device ID]],BOM!$B$3:$BQ$35,27,FALSE),"")</f>
        <v>10.120.236.50</v>
      </c>
      <c r="X668" s="59" t="str">
        <f>IFERROR(VLOOKUP(Tabelle32[[#This Row],[Device ID]],BOM!$B$3:$BQ$35,28,FALSE),"")</f>
        <v>AVCoreA</v>
      </c>
      <c r="Y668" s="59" t="str">
        <f>IFERROR(VLOOKUP(Tabelle32[[#This Row],[Device ID]],BOM!$B$3:$BQ$35,29,FALSE),"")</f>
        <v>5_36_1</v>
      </c>
      <c r="Z668" s="59" t="str">
        <f>IFERROR(VLOOKUP(Tabelle32[[#This Row],[Device ID]],BOM!$B$3:$BQ$35,30,FALSE),"")</f>
        <v>tpco-megw-vgw103.rtb.st-net.media.int</v>
      </c>
      <c r="AA668" s="59" t="str">
        <f>IFERROR(VLOOKUP(Tabelle32[[#This Row],[Device ID]],BOM!$B$3:$BQ$35,31,FALSE),"")</f>
        <v>10.120.236.54</v>
      </c>
      <c r="AB668" s="59" t="str">
        <f>IFERROR(VLOOKUP(Tabelle32[[#This Row],[Device ID]],BOM!$B$3:$BQ$35,32,FALSE),"")</f>
        <v>AVCoreB</v>
      </c>
      <c r="AC668" s="59" t="str">
        <f>IFERROR(VLOOKUP(Tabelle32[[#This Row],[Device ID]],BOM!$B$3:$BQ$35,33,FALSE),"")</f>
        <v>5_36_1</v>
      </c>
      <c r="AD668" s="59" t="str">
        <f>IFERROR(VLOOKUP(Tabelle32[[#This Row],[Device ID]],BOM!$B$3:$BQ$35,34,FALSE),"")</f>
        <v>tpco-megw-vgw103.st-net.media.int</v>
      </c>
      <c r="AE668" s="59" t="str">
        <f>IFERROR(VLOOKUP(Tabelle32[[#This Row],[Device ID]],BOM!$B$3:$BQ$35,35,FALSE),"")</f>
        <v>10.120.67.141</v>
      </c>
      <c r="AF668" s="59">
        <f>IFERROR(VLOOKUP(Tabelle32[[#This Row],[Device ID]],BOM!$B$3:$BQ$35,36,FALSE),"")</f>
        <v>0</v>
      </c>
      <c r="AG668" s="59">
        <f>IFERROR(VLOOKUP(Tabelle32[[#This Row],[Device ID]],BOM!$B$3:$BQ$35,37,FALSE),"")</f>
        <v>0</v>
      </c>
      <c r="AH668" s="59"/>
      <c r="AI668" s="59"/>
      <c r="AJ668" s="59"/>
      <c r="AK668" s="59"/>
      <c r="AL668" s="59" t="str">
        <f>IFERROR(VLOOKUP(Tabelle32[[#This Row],[Device ID]],BOM!$B$3:$BQ$35,42,FALSE),"")</f>
        <v>Imagine Communications SNP</v>
      </c>
      <c r="AM668" s="59" t="str">
        <f>IFERROR(VLOOKUP(Tabelle32[[#This Row],[Device ID]],BOM!$B$3:$BQ$35,43,FALSE),"")</f>
        <v>no</v>
      </c>
      <c r="AN668" s="59" t="str">
        <f>IFERROR(VLOOKUP(Tabelle32[[#This Row],[Device ID]],BOM!$B$3:$BQ$35,44,FALSE),"")</f>
        <v>yes</v>
      </c>
      <c r="AO668" s="59" t="str">
        <f>IFERROR(VLOOKUP(Tabelle32[[#This Row],[Device ID]],BOM!$B$3:$BQ$35,45,FALSE),"")</f>
        <v>no</v>
      </c>
      <c r="AP668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68" s="59"/>
      <c r="AR668" s="90"/>
      <c r="AS668" s="90"/>
      <c r="AT668" s="90"/>
      <c r="AU668" s="90"/>
      <c r="AV668" s="90"/>
      <c r="AW668" s="90"/>
      <c r="AX668" s="90"/>
      <c r="AY668" s="90"/>
      <c r="AZ668" s="90"/>
      <c r="BA668" s="90"/>
      <c r="BB668" s="90"/>
      <c r="BC668" s="90"/>
      <c r="BD668" s="90"/>
      <c r="BE668" s="90"/>
      <c r="BF668" s="90"/>
      <c r="BG668" s="90"/>
      <c r="BH668" s="73" t="s">
        <v>199</v>
      </c>
      <c r="BI668" s="30" t="str">
        <f>IF(COUNTA(Tabelle32[[#This Row],[Type:Vid_1080i50]:[Type:Anc_Prot]])&gt;0,"x","")</f>
        <v/>
      </c>
      <c r="BJ668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68" s="59"/>
      <c r="BL668" s="59"/>
      <c r="BM668" s="63"/>
      <c r="BN668" s="63"/>
      <c r="BO668" s="96"/>
      <c r="BP668" s="96"/>
      <c r="BQ668" s="75">
        <f>LEN(Tabelle32[[#This Row],[Label 1
GFX-Unit]])</f>
        <v>0</v>
      </c>
      <c r="BR668" s="63"/>
      <c r="BS668" s="63"/>
      <c r="BT668" s="59"/>
      <c r="BU668" s="59"/>
      <c r="BV668" s="59" t="s">
        <v>251</v>
      </c>
      <c r="BW668" s="59" t="s">
        <v>252</v>
      </c>
      <c r="BX668" s="59" t="s">
        <v>1203</v>
      </c>
      <c r="BY668" s="59">
        <v>32</v>
      </c>
    </row>
    <row r="669" spans="1:77" hidden="1" x14ac:dyDescent="0.2">
      <c r="A669" s="58" t="str">
        <f>CONCATENATE(Tabelle32[[#This Row],[Device ID]],".",Tabelle32[[#This Row],[Streamcounter]])</f>
        <v>2157.32212</v>
      </c>
      <c r="B669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VGW-103_SDI32_AUDsend_0012</v>
      </c>
      <c r="C669" s="67"/>
      <c r="D669" s="61"/>
      <c r="E669" s="67"/>
      <c r="F669" s="59" t="str">
        <f>IFERROR(VLOOKUP(Tabelle32[[#This Row],[Device ID]],BOM!$B$3:$BQ$35,16,FALSE),"")</f>
        <v>EditPC-24</v>
      </c>
      <c r="G669" s="63">
        <f>VLOOKUP(Tabelle32[[#This Row],[SDI Interface]],BOM!$A$4:$B$35,2,FALSE)</f>
        <v>2157</v>
      </c>
      <c r="H669" s="59" t="str">
        <f>BOM!$C$4</f>
        <v>VGW-103</v>
      </c>
      <c r="I669" s="59" t="str">
        <f>IFERROR(VLOOKUP(Tabelle32[[#This Row],[Device ID]],BOM!$B$3:$BQ$35,12,FALSE),"")</f>
        <v>Edit Suite</v>
      </c>
      <c r="J669" s="59" t="str">
        <f>IFERROR(VLOOKUP(Tabelle32[[#This Row],[Device ID]],BOM!$B$3:$BQ$35,13,FALSE),"")</f>
        <v>TC.U1.223 | MDC</v>
      </c>
      <c r="K669" s="59" t="str">
        <f>IFERROR(VLOOKUP(Tabelle32[[#This Row],[Device ID]],BOM!$B$3:$BQ$35,14,FALSE),"")</f>
        <v>Imagine Comunications</v>
      </c>
      <c r="L669" s="59" t="str">
        <f>IFERROR(VLOOKUP(Tabelle32[[#This Row],[Device ID]],BOM!$B$3:$BQ$35,16,FALSE),"")</f>
        <v>EditPC-24</v>
      </c>
      <c r="M669" s="63" t="str">
        <f>IFERROR(VLOOKUP(Tabelle32[[#This Row],[Device ID]],BOM!$B$3:$BQ$35,17,FALSE),"")</f>
        <v>EDIT SUITE 24</v>
      </c>
      <c r="N669" s="59" t="str">
        <f>IFERROR(VLOOKUP(Tabelle32[[#This Row],[Device ID]],BOM!$B$3:$BQ$35,18,FALSE),"")</f>
        <v>NEBEZ.V3.14 | Edit 24</v>
      </c>
      <c r="O669" s="64"/>
      <c r="P669" s="64">
        <f>IFERROR(VLOOKUP(Tabelle32[[#This Row],[Device ID]],BOM!$B$3:$BO$50,20,FALSE),"")</f>
        <v>0</v>
      </c>
      <c r="Q669" s="64">
        <f>IFERROR(VLOOKUP(Tabelle32[[#This Row],[Device ID]],BOM!$B$3:$BO$50,21,FALSE),"")</f>
        <v>1</v>
      </c>
      <c r="R669" s="64">
        <f>IFERROR(VLOOKUP(Tabelle32[[#This Row],[Device ID]],BOM!$B$3:$BO$50,22,FALSE),"")</f>
        <v>0</v>
      </c>
      <c r="S669" s="64"/>
      <c r="T669" s="64"/>
      <c r="U669" s="59" t="str">
        <f>IFERROR(VLOOKUP(Tabelle32[[#This Row],[Device ID]],BOM!$B$3:$BQ$35,25,FALSE),"")</f>
        <v>Luis/Ivo</v>
      </c>
      <c r="V669" s="59" t="str">
        <f>IFERROR(VLOOKUP(Tabelle32[[#This Row],[Device ID]],BOM!$B$3:$BQ$35,26,FALSE),"")</f>
        <v>tpco-megw-vgw103.rta.st-net.media.int</v>
      </c>
      <c r="W669" s="59" t="str">
        <f>IFERROR(VLOOKUP(Tabelle32[[#This Row],[Device ID]],BOM!$B$3:$BQ$35,27,FALSE),"")</f>
        <v>10.120.236.50</v>
      </c>
      <c r="X669" s="59" t="str">
        <f>IFERROR(VLOOKUP(Tabelle32[[#This Row],[Device ID]],BOM!$B$3:$BQ$35,28,FALSE),"")</f>
        <v>AVCoreA</v>
      </c>
      <c r="Y669" s="59" t="str">
        <f>IFERROR(VLOOKUP(Tabelle32[[#This Row],[Device ID]],BOM!$B$3:$BQ$35,29,FALSE),"")</f>
        <v>5_36_1</v>
      </c>
      <c r="Z669" s="59" t="str">
        <f>IFERROR(VLOOKUP(Tabelle32[[#This Row],[Device ID]],BOM!$B$3:$BQ$35,30,FALSE),"")</f>
        <v>tpco-megw-vgw103.rtb.st-net.media.int</v>
      </c>
      <c r="AA669" s="59" t="str">
        <f>IFERROR(VLOOKUP(Tabelle32[[#This Row],[Device ID]],BOM!$B$3:$BQ$35,31,FALSE),"")</f>
        <v>10.120.236.54</v>
      </c>
      <c r="AB669" s="59" t="str">
        <f>IFERROR(VLOOKUP(Tabelle32[[#This Row],[Device ID]],BOM!$B$3:$BQ$35,32,FALSE),"")</f>
        <v>AVCoreB</v>
      </c>
      <c r="AC669" s="59" t="str">
        <f>IFERROR(VLOOKUP(Tabelle32[[#This Row],[Device ID]],BOM!$B$3:$BQ$35,33,FALSE),"")</f>
        <v>5_36_1</v>
      </c>
      <c r="AD669" s="59" t="str">
        <f>IFERROR(VLOOKUP(Tabelle32[[#This Row],[Device ID]],BOM!$B$3:$BQ$35,34,FALSE),"")</f>
        <v>tpco-megw-vgw103.st-net.media.int</v>
      </c>
      <c r="AE669" s="59" t="str">
        <f>IFERROR(VLOOKUP(Tabelle32[[#This Row],[Device ID]],BOM!$B$3:$BQ$35,35,FALSE),"")</f>
        <v>10.120.67.141</v>
      </c>
      <c r="AF669" s="59">
        <f>IFERROR(VLOOKUP(Tabelle32[[#This Row],[Device ID]],BOM!$B$3:$BQ$35,36,FALSE),"")</f>
        <v>0</v>
      </c>
      <c r="AG669" s="59">
        <f>IFERROR(VLOOKUP(Tabelle32[[#This Row],[Device ID]],BOM!$B$3:$BQ$35,37,FALSE),"")</f>
        <v>0</v>
      </c>
      <c r="AH669" s="59"/>
      <c r="AI669" s="59"/>
      <c r="AJ669" s="59"/>
      <c r="AK669" s="59"/>
      <c r="AL669" s="59" t="str">
        <f>IFERROR(VLOOKUP(Tabelle32[[#This Row],[Device ID]],BOM!$B$3:$BQ$35,42,FALSE),"")</f>
        <v>Imagine Communications SNP</v>
      </c>
      <c r="AM669" s="59" t="str">
        <f>IFERROR(VLOOKUP(Tabelle32[[#This Row],[Device ID]],BOM!$B$3:$BQ$35,43,FALSE),"")</f>
        <v>no</v>
      </c>
      <c r="AN669" s="59" t="str">
        <f>IFERROR(VLOOKUP(Tabelle32[[#This Row],[Device ID]],BOM!$B$3:$BQ$35,44,FALSE),"")</f>
        <v>yes</v>
      </c>
      <c r="AO669" s="59" t="str">
        <f>IFERROR(VLOOKUP(Tabelle32[[#This Row],[Device ID]],BOM!$B$3:$BQ$35,45,FALSE),"")</f>
        <v>no</v>
      </c>
      <c r="AP669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69" s="59"/>
      <c r="AR669" s="101"/>
      <c r="AS669" s="101"/>
      <c r="AT669" s="101"/>
      <c r="AU669" s="101"/>
      <c r="AV669" s="101"/>
      <c r="AW669" s="101"/>
      <c r="AX669" s="101"/>
      <c r="AY669" s="101"/>
      <c r="AZ669" s="101"/>
      <c r="BA669" s="101"/>
      <c r="BB669" s="101"/>
      <c r="BC669" s="101"/>
      <c r="BD669" s="101"/>
      <c r="BE669" s="101"/>
      <c r="BF669" s="101"/>
      <c r="BG669" s="101"/>
      <c r="BH669" s="73" t="s">
        <v>199</v>
      </c>
      <c r="BI669" s="30" t="str">
        <f>IF(COUNTA(Tabelle32[[#This Row],[Type:Vid_1080i50]:[Type:Anc_Prot]])&gt;0,"x","")</f>
        <v/>
      </c>
      <c r="BJ669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69" s="59"/>
      <c r="BL669" s="59"/>
      <c r="BM669" s="63"/>
      <c r="BN669" s="63"/>
      <c r="BO669" s="96"/>
      <c r="BP669" s="96"/>
      <c r="BQ669" s="75">
        <f>LEN(Tabelle32[[#This Row],[Label 1
GFX-Unit]])</f>
        <v>0</v>
      </c>
      <c r="BR669" s="63"/>
      <c r="BS669" s="63"/>
      <c r="BT669" s="59"/>
      <c r="BU669" s="59"/>
      <c r="BV669" s="59" t="s">
        <v>254</v>
      </c>
      <c r="BW669" s="59" t="s">
        <v>255</v>
      </c>
      <c r="BX669" s="59" t="s">
        <v>1204</v>
      </c>
      <c r="BY669" s="59">
        <v>32</v>
      </c>
    </row>
    <row r="670" spans="1:77" hidden="1" x14ac:dyDescent="0.2">
      <c r="A670" s="58" t="str">
        <f>CONCATENATE(Tabelle32[[#This Row],[Device ID]],".",Tabelle32[[#This Row],[Streamcounter]])</f>
        <v>2157.32213</v>
      </c>
      <c r="B670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VGW-103_SDI32_AUDsend_0013</v>
      </c>
      <c r="C670" s="67"/>
      <c r="D670" s="61"/>
      <c r="E670" s="67"/>
      <c r="F670" s="59" t="str">
        <f>IFERROR(VLOOKUP(Tabelle32[[#This Row],[Device ID]],BOM!$B$3:$BQ$35,16,FALSE),"")</f>
        <v>EditPC-24</v>
      </c>
      <c r="G670" s="63">
        <f>VLOOKUP(Tabelle32[[#This Row],[SDI Interface]],BOM!$A$4:$B$35,2,FALSE)</f>
        <v>2157</v>
      </c>
      <c r="H670" s="59" t="str">
        <f>BOM!$C$4</f>
        <v>VGW-103</v>
      </c>
      <c r="I670" s="59" t="str">
        <f>IFERROR(VLOOKUP(Tabelle32[[#This Row],[Device ID]],BOM!$B$3:$BQ$35,12,FALSE),"")</f>
        <v>Edit Suite</v>
      </c>
      <c r="J670" s="59" t="str">
        <f>IFERROR(VLOOKUP(Tabelle32[[#This Row],[Device ID]],BOM!$B$3:$BQ$35,13,FALSE),"")</f>
        <v>TC.U1.223 | MDC</v>
      </c>
      <c r="K670" s="59" t="str">
        <f>IFERROR(VLOOKUP(Tabelle32[[#This Row],[Device ID]],BOM!$B$3:$BQ$35,14,FALSE),"")</f>
        <v>Imagine Comunications</v>
      </c>
      <c r="L670" s="59" t="str">
        <f>IFERROR(VLOOKUP(Tabelle32[[#This Row],[Device ID]],BOM!$B$3:$BQ$35,16,FALSE),"")</f>
        <v>EditPC-24</v>
      </c>
      <c r="M670" s="63" t="str">
        <f>IFERROR(VLOOKUP(Tabelle32[[#This Row],[Device ID]],BOM!$B$3:$BQ$35,17,FALSE),"")</f>
        <v>EDIT SUITE 24</v>
      </c>
      <c r="N670" s="59" t="str">
        <f>IFERROR(VLOOKUP(Tabelle32[[#This Row],[Device ID]],BOM!$B$3:$BQ$35,18,FALSE),"")</f>
        <v>NEBEZ.V3.14 | Edit 24</v>
      </c>
      <c r="O670" s="64"/>
      <c r="P670" s="64">
        <f>IFERROR(VLOOKUP(Tabelle32[[#This Row],[Device ID]],BOM!$B$3:$BO$50,20,FALSE),"")</f>
        <v>0</v>
      </c>
      <c r="Q670" s="64">
        <f>IFERROR(VLOOKUP(Tabelle32[[#This Row],[Device ID]],BOM!$B$3:$BO$50,21,FALSE),"")</f>
        <v>1</v>
      </c>
      <c r="R670" s="64">
        <f>IFERROR(VLOOKUP(Tabelle32[[#This Row],[Device ID]],BOM!$B$3:$BO$50,22,FALSE),"")</f>
        <v>0</v>
      </c>
      <c r="S670" s="64"/>
      <c r="T670" s="64"/>
      <c r="U670" s="59" t="str">
        <f>IFERROR(VLOOKUP(Tabelle32[[#This Row],[Device ID]],BOM!$B$3:$BQ$35,25,FALSE),"")</f>
        <v>Luis/Ivo</v>
      </c>
      <c r="V670" s="59" t="str">
        <f>IFERROR(VLOOKUP(Tabelle32[[#This Row],[Device ID]],BOM!$B$3:$BQ$35,26,FALSE),"")</f>
        <v>tpco-megw-vgw103.rta.st-net.media.int</v>
      </c>
      <c r="W670" s="59" t="str">
        <f>IFERROR(VLOOKUP(Tabelle32[[#This Row],[Device ID]],BOM!$B$3:$BQ$35,27,FALSE),"")</f>
        <v>10.120.236.50</v>
      </c>
      <c r="X670" s="59" t="str">
        <f>IFERROR(VLOOKUP(Tabelle32[[#This Row],[Device ID]],BOM!$B$3:$BQ$35,28,FALSE),"")</f>
        <v>AVCoreA</v>
      </c>
      <c r="Y670" s="59" t="str">
        <f>IFERROR(VLOOKUP(Tabelle32[[#This Row],[Device ID]],BOM!$B$3:$BQ$35,29,FALSE),"")</f>
        <v>5_36_1</v>
      </c>
      <c r="Z670" s="59" t="str">
        <f>IFERROR(VLOOKUP(Tabelle32[[#This Row],[Device ID]],BOM!$B$3:$BQ$35,30,FALSE),"")</f>
        <v>tpco-megw-vgw103.rtb.st-net.media.int</v>
      </c>
      <c r="AA670" s="59" t="str">
        <f>IFERROR(VLOOKUP(Tabelle32[[#This Row],[Device ID]],BOM!$B$3:$BQ$35,31,FALSE),"")</f>
        <v>10.120.236.54</v>
      </c>
      <c r="AB670" s="59" t="str">
        <f>IFERROR(VLOOKUP(Tabelle32[[#This Row],[Device ID]],BOM!$B$3:$BQ$35,32,FALSE),"")</f>
        <v>AVCoreB</v>
      </c>
      <c r="AC670" s="59" t="str">
        <f>IFERROR(VLOOKUP(Tabelle32[[#This Row],[Device ID]],BOM!$B$3:$BQ$35,33,FALSE),"")</f>
        <v>5_36_1</v>
      </c>
      <c r="AD670" s="59" t="str">
        <f>IFERROR(VLOOKUP(Tabelle32[[#This Row],[Device ID]],BOM!$B$3:$BQ$35,34,FALSE),"")</f>
        <v>tpco-megw-vgw103.st-net.media.int</v>
      </c>
      <c r="AE670" s="59" t="str">
        <f>IFERROR(VLOOKUP(Tabelle32[[#This Row],[Device ID]],BOM!$B$3:$BQ$35,35,FALSE),"")</f>
        <v>10.120.67.141</v>
      </c>
      <c r="AF670" s="59">
        <f>IFERROR(VLOOKUP(Tabelle32[[#This Row],[Device ID]],BOM!$B$3:$BQ$35,36,FALSE),"")</f>
        <v>0</v>
      </c>
      <c r="AG670" s="59">
        <f>IFERROR(VLOOKUP(Tabelle32[[#This Row],[Device ID]],BOM!$B$3:$BQ$35,37,FALSE),"")</f>
        <v>0</v>
      </c>
      <c r="AH670" s="59"/>
      <c r="AI670" s="59"/>
      <c r="AJ670" s="59"/>
      <c r="AK670" s="59"/>
      <c r="AL670" s="59" t="str">
        <f>IFERROR(VLOOKUP(Tabelle32[[#This Row],[Device ID]],BOM!$B$3:$BQ$35,42,FALSE),"")</f>
        <v>Imagine Communications SNP</v>
      </c>
      <c r="AM670" s="59" t="str">
        <f>IFERROR(VLOOKUP(Tabelle32[[#This Row],[Device ID]],BOM!$B$3:$BQ$35,43,FALSE),"")</f>
        <v>no</v>
      </c>
      <c r="AN670" s="59" t="str">
        <f>IFERROR(VLOOKUP(Tabelle32[[#This Row],[Device ID]],BOM!$B$3:$BQ$35,44,FALSE),"")</f>
        <v>yes</v>
      </c>
      <c r="AO670" s="59" t="str">
        <f>IFERROR(VLOOKUP(Tabelle32[[#This Row],[Device ID]],BOM!$B$3:$BQ$35,45,FALSE),"")</f>
        <v>no</v>
      </c>
      <c r="AP670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70" s="59"/>
      <c r="AR670" s="101"/>
      <c r="AS670" s="101"/>
      <c r="AT670" s="101"/>
      <c r="AU670" s="101"/>
      <c r="AV670" s="101"/>
      <c r="AW670" s="101"/>
      <c r="AX670" s="101"/>
      <c r="AY670" s="101"/>
      <c r="AZ670" s="101"/>
      <c r="BA670" s="101"/>
      <c r="BB670" s="101"/>
      <c r="BC670" s="101"/>
      <c r="BD670" s="101"/>
      <c r="BE670" s="101"/>
      <c r="BF670" s="101"/>
      <c r="BG670" s="101"/>
      <c r="BH670" s="73" t="s">
        <v>199</v>
      </c>
      <c r="BI670" s="30" t="str">
        <f>IF(COUNTA(Tabelle32[[#This Row],[Type:Vid_1080i50]:[Type:Anc_Prot]])&gt;0,"x","")</f>
        <v/>
      </c>
      <c r="BJ670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70" s="59"/>
      <c r="BL670" s="59"/>
      <c r="BM670" s="63"/>
      <c r="BN670" s="63"/>
      <c r="BO670" s="96"/>
      <c r="BP670" s="96"/>
      <c r="BQ670" s="75">
        <f>LEN(Tabelle32[[#This Row],[Label 1
GFX-Unit]])</f>
        <v>0</v>
      </c>
      <c r="BR670" s="63"/>
      <c r="BS670" s="63"/>
      <c r="BT670" s="59"/>
      <c r="BU670" s="59"/>
      <c r="BV670" s="59" t="s">
        <v>257</v>
      </c>
      <c r="BW670" s="59" t="s">
        <v>258</v>
      </c>
      <c r="BX670" s="59" t="s">
        <v>1205</v>
      </c>
      <c r="BY670" s="59">
        <v>32</v>
      </c>
    </row>
    <row r="671" spans="1:77" hidden="1" x14ac:dyDescent="0.2">
      <c r="A671" s="58" t="str">
        <f>CONCATENATE(Tabelle32[[#This Row],[Device ID]],".",Tabelle32[[#This Row],[Streamcounter]])</f>
        <v>2157.32214</v>
      </c>
      <c r="B671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VGW-103_SDI32_AUDsend_0014</v>
      </c>
      <c r="C671" s="67"/>
      <c r="D671" s="61"/>
      <c r="E671" s="67"/>
      <c r="F671" s="59" t="str">
        <f>IFERROR(VLOOKUP(Tabelle32[[#This Row],[Device ID]],BOM!$B$3:$BQ$35,16,FALSE),"")</f>
        <v>EditPC-24</v>
      </c>
      <c r="G671" s="63">
        <f>VLOOKUP(Tabelle32[[#This Row],[SDI Interface]],BOM!$A$4:$B$35,2,FALSE)</f>
        <v>2157</v>
      </c>
      <c r="H671" s="59" t="str">
        <f>BOM!$C$4</f>
        <v>VGW-103</v>
      </c>
      <c r="I671" s="59" t="str">
        <f>IFERROR(VLOOKUP(Tabelle32[[#This Row],[Device ID]],BOM!$B$3:$BQ$35,12,FALSE),"")</f>
        <v>Edit Suite</v>
      </c>
      <c r="J671" s="59" t="str">
        <f>IFERROR(VLOOKUP(Tabelle32[[#This Row],[Device ID]],BOM!$B$3:$BQ$35,13,FALSE),"")</f>
        <v>TC.U1.223 | MDC</v>
      </c>
      <c r="K671" s="59" t="str">
        <f>IFERROR(VLOOKUP(Tabelle32[[#This Row],[Device ID]],BOM!$B$3:$BQ$35,14,FALSE),"")</f>
        <v>Imagine Comunications</v>
      </c>
      <c r="L671" s="59" t="str">
        <f>IFERROR(VLOOKUP(Tabelle32[[#This Row],[Device ID]],BOM!$B$3:$BQ$35,16,FALSE),"")</f>
        <v>EditPC-24</v>
      </c>
      <c r="M671" s="63" t="str">
        <f>IFERROR(VLOOKUP(Tabelle32[[#This Row],[Device ID]],BOM!$B$3:$BQ$35,17,FALSE),"")</f>
        <v>EDIT SUITE 24</v>
      </c>
      <c r="N671" s="59" t="str">
        <f>IFERROR(VLOOKUP(Tabelle32[[#This Row],[Device ID]],BOM!$B$3:$BQ$35,18,FALSE),"")</f>
        <v>NEBEZ.V3.14 | Edit 24</v>
      </c>
      <c r="O671" s="64"/>
      <c r="P671" s="64">
        <f>IFERROR(VLOOKUP(Tabelle32[[#This Row],[Device ID]],BOM!$B$3:$BO$50,20,FALSE),"")</f>
        <v>0</v>
      </c>
      <c r="Q671" s="64">
        <f>IFERROR(VLOOKUP(Tabelle32[[#This Row],[Device ID]],BOM!$B$3:$BO$50,21,FALSE),"")</f>
        <v>1</v>
      </c>
      <c r="R671" s="64">
        <f>IFERROR(VLOOKUP(Tabelle32[[#This Row],[Device ID]],BOM!$B$3:$BO$50,22,FALSE),"")</f>
        <v>0</v>
      </c>
      <c r="S671" s="64"/>
      <c r="T671" s="64"/>
      <c r="U671" s="59" t="str">
        <f>IFERROR(VLOOKUP(Tabelle32[[#This Row],[Device ID]],BOM!$B$3:$BQ$35,25,FALSE),"")</f>
        <v>Luis/Ivo</v>
      </c>
      <c r="V671" s="59" t="str">
        <f>IFERROR(VLOOKUP(Tabelle32[[#This Row],[Device ID]],BOM!$B$3:$BQ$35,26,FALSE),"")</f>
        <v>tpco-megw-vgw103.rta.st-net.media.int</v>
      </c>
      <c r="W671" s="59" t="str">
        <f>IFERROR(VLOOKUP(Tabelle32[[#This Row],[Device ID]],BOM!$B$3:$BQ$35,27,FALSE),"")</f>
        <v>10.120.236.50</v>
      </c>
      <c r="X671" s="59" t="str">
        <f>IFERROR(VLOOKUP(Tabelle32[[#This Row],[Device ID]],BOM!$B$3:$BQ$35,28,FALSE),"")</f>
        <v>AVCoreA</v>
      </c>
      <c r="Y671" s="59" t="str">
        <f>IFERROR(VLOOKUP(Tabelle32[[#This Row],[Device ID]],BOM!$B$3:$BQ$35,29,FALSE),"")</f>
        <v>5_36_1</v>
      </c>
      <c r="Z671" s="59" t="str">
        <f>IFERROR(VLOOKUP(Tabelle32[[#This Row],[Device ID]],BOM!$B$3:$BQ$35,30,FALSE),"")</f>
        <v>tpco-megw-vgw103.rtb.st-net.media.int</v>
      </c>
      <c r="AA671" s="59" t="str">
        <f>IFERROR(VLOOKUP(Tabelle32[[#This Row],[Device ID]],BOM!$B$3:$BQ$35,31,FALSE),"")</f>
        <v>10.120.236.54</v>
      </c>
      <c r="AB671" s="59" t="str">
        <f>IFERROR(VLOOKUP(Tabelle32[[#This Row],[Device ID]],BOM!$B$3:$BQ$35,32,FALSE),"")</f>
        <v>AVCoreB</v>
      </c>
      <c r="AC671" s="59" t="str">
        <f>IFERROR(VLOOKUP(Tabelle32[[#This Row],[Device ID]],BOM!$B$3:$BQ$35,33,FALSE),"")</f>
        <v>5_36_1</v>
      </c>
      <c r="AD671" s="59" t="str">
        <f>IFERROR(VLOOKUP(Tabelle32[[#This Row],[Device ID]],BOM!$B$3:$BQ$35,34,FALSE),"")</f>
        <v>tpco-megw-vgw103.st-net.media.int</v>
      </c>
      <c r="AE671" s="59" t="str">
        <f>IFERROR(VLOOKUP(Tabelle32[[#This Row],[Device ID]],BOM!$B$3:$BQ$35,35,FALSE),"")</f>
        <v>10.120.67.141</v>
      </c>
      <c r="AF671" s="59">
        <f>IFERROR(VLOOKUP(Tabelle32[[#This Row],[Device ID]],BOM!$B$3:$BQ$35,36,FALSE),"")</f>
        <v>0</v>
      </c>
      <c r="AG671" s="59">
        <f>IFERROR(VLOOKUP(Tabelle32[[#This Row],[Device ID]],BOM!$B$3:$BQ$35,37,FALSE),"")</f>
        <v>0</v>
      </c>
      <c r="AH671" s="59"/>
      <c r="AI671" s="59"/>
      <c r="AJ671" s="59"/>
      <c r="AK671" s="59"/>
      <c r="AL671" s="59" t="str">
        <f>IFERROR(VLOOKUP(Tabelle32[[#This Row],[Device ID]],BOM!$B$3:$BQ$35,42,FALSE),"")</f>
        <v>Imagine Communications SNP</v>
      </c>
      <c r="AM671" s="59" t="str">
        <f>IFERROR(VLOOKUP(Tabelle32[[#This Row],[Device ID]],BOM!$B$3:$BQ$35,43,FALSE),"")</f>
        <v>no</v>
      </c>
      <c r="AN671" s="59" t="str">
        <f>IFERROR(VLOOKUP(Tabelle32[[#This Row],[Device ID]],BOM!$B$3:$BQ$35,44,FALSE),"")</f>
        <v>yes</v>
      </c>
      <c r="AO671" s="59" t="str">
        <f>IFERROR(VLOOKUP(Tabelle32[[#This Row],[Device ID]],BOM!$B$3:$BQ$35,45,FALSE),"")</f>
        <v>no</v>
      </c>
      <c r="AP671" s="59" t="str">
        <f>IFERROR(CONCATENATE(Tabelle32[[#This Row],[Family
GFX-Unit]]," | ",Tabelle32[[#This Row],[Label 1
GFX-Unit]]," | ",Tabelle32[[#This Row],[Attached Device if Gateway]]),"")</f>
        <v xml:space="preserve"> |  | EditPC-24</v>
      </c>
      <c r="AQ671" s="59"/>
      <c r="AR671" s="90"/>
      <c r="AS671" s="90"/>
      <c r="AT671" s="90"/>
      <c r="AU671" s="90"/>
      <c r="AV671" s="90"/>
      <c r="AW671" s="90"/>
      <c r="AX671" s="90"/>
      <c r="AY671" s="90"/>
      <c r="AZ671" s="90"/>
      <c r="BA671" s="90"/>
      <c r="BB671" s="90"/>
      <c r="BC671" s="90"/>
      <c r="BD671" s="90"/>
      <c r="BE671" s="90"/>
      <c r="BF671" s="90"/>
      <c r="BG671" s="90"/>
      <c r="BH671" s="73" t="s">
        <v>199</v>
      </c>
      <c r="BI671" s="30" t="str">
        <f>IF(COUNTA(Tabelle32[[#This Row],[Type:Vid_1080i50]:[Type:Anc_Prot]])&gt;0,"x","")</f>
        <v/>
      </c>
      <c r="BJ671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#SNP</v>
      </c>
      <c r="BK671" s="59"/>
      <c r="BL671" s="59"/>
      <c r="BM671" s="63"/>
      <c r="BN671" s="63"/>
      <c r="BO671" s="96"/>
      <c r="BP671" s="96"/>
      <c r="BQ671" s="75">
        <f>LEN(Tabelle32[[#This Row],[Label 1
GFX-Unit]])</f>
        <v>0</v>
      </c>
      <c r="BR671" s="63"/>
      <c r="BS671" s="63"/>
      <c r="BT671" s="59"/>
      <c r="BU671" s="59"/>
      <c r="BV671" s="59" t="s">
        <v>260</v>
      </c>
      <c r="BW671" s="59" t="s">
        <v>261</v>
      </c>
      <c r="BX671" s="59" t="s">
        <v>1206</v>
      </c>
      <c r="BY671" s="59">
        <v>32</v>
      </c>
    </row>
    <row r="672" spans="1:77" x14ac:dyDescent="0.2">
      <c r="A672" s="58" t="str">
        <f>CONCATENATE(Tabelle32[[#This Row],[Device ID]],".",Tabelle32[[#This Row],[Streamcounter]])</f>
        <v>2157.32215</v>
      </c>
      <c r="B672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VGW-103_SDI32_AUDsend_0015</v>
      </c>
      <c r="C672" s="67"/>
      <c r="D672" s="61"/>
      <c r="E672" s="67"/>
      <c r="F672" s="59" t="str">
        <f>IFERROR(VLOOKUP(Tabelle32[[#This Row],[Device ID]],BOM!$B$3:$BQ$35,16,FALSE),"")</f>
        <v>EditPC-24</v>
      </c>
      <c r="G672" s="63">
        <f>VLOOKUP(Tabelle32[[#This Row],[SDI Interface]],BOM!$A$4:$B$35,2,FALSE)</f>
        <v>2157</v>
      </c>
      <c r="H672" s="59" t="str">
        <f>BOM!$C$4</f>
        <v>VGW-103</v>
      </c>
      <c r="I672" s="59" t="str">
        <f>IFERROR(VLOOKUP(Tabelle32[[#This Row],[Device ID]],BOM!$B$3:$BQ$35,12,FALSE),"")</f>
        <v>Edit Suite</v>
      </c>
      <c r="J672" s="59" t="str">
        <f>IFERROR(VLOOKUP(Tabelle32[[#This Row],[Device ID]],BOM!$B$3:$BQ$35,13,FALSE),"")</f>
        <v>TC.U1.223 | MDC</v>
      </c>
      <c r="K672" s="59" t="str">
        <f>IFERROR(VLOOKUP(Tabelle32[[#This Row],[Device ID]],BOM!$B$3:$BQ$35,14,FALSE),"")</f>
        <v>Imagine Comunications</v>
      </c>
      <c r="L672" s="59" t="str">
        <f>IFERROR(VLOOKUP(Tabelle32[[#This Row],[Device ID]],BOM!$B$3:$BQ$35,16,FALSE),"")</f>
        <v>EditPC-24</v>
      </c>
      <c r="M672" s="63" t="str">
        <f>IFERROR(VLOOKUP(Tabelle32[[#This Row],[Device ID]],BOM!$B$3:$BQ$35,17,FALSE),"")</f>
        <v>EDIT SUITE 24</v>
      </c>
      <c r="N672" s="59" t="str">
        <f>IFERROR(VLOOKUP(Tabelle32[[#This Row],[Device ID]],BOM!$B$3:$BQ$35,18,FALSE),"")</f>
        <v>NEBEZ.V3.14 | Edit 24</v>
      </c>
      <c r="O672" s="64"/>
      <c r="P672" s="64">
        <f>IFERROR(VLOOKUP(Tabelle32[[#This Row],[Device ID]],BOM!$B$3:$BO$50,20,FALSE),"")</f>
        <v>0</v>
      </c>
      <c r="Q672" s="64">
        <f>IFERROR(VLOOKUP(Tabelle32[[#This Row],[Device ID]],BOM!$B$3:$BO$50,21,FALSE),"")</f>
        <v>1</v>
      </c>
      <c r="R672" s="64">
        <f>IFERROR(VLOOKUP(Tabelle32[[#This Row],[Device ID]],BOM!$B$3:$BO$50,22,FALSE),"")</f>
        <v>0</v>
      </c>
      <c r="S672" s="64"/>
      <c r="T672" s="64"/>
      <c r="U672" s="59" t="str">
        <f>IFERROR(VLOOKUP(Tabelle32[[#This Row],[Device ID]],BOM!$B$3:$BQ$35,25,FALSE),"")</f>
        <v>Luis/Ivo</v>
      </c>
      <c r="V672" s="59" t="str">
        <f>IFERROR(VLOOKUP(Tabelle32[[#This Row],[Device ID]],BOM!$B$3:$BQ$35,26,FALSE),"")</f>
        <v>tpco-megw-vgw103.rta.st-net.media.int</v>
      </c>
      <c r="W672" s="59" t="str">
        <f>IFERROR(VLOOKUP(Tabelle32[[#This Row],[Device ID]],BOM!$B$3:$BQ$35,27,FALSE),"")</f>
        <v>10.120.236.50</v>
      </c>
      <c r="X672" s="59" t="str">
        <f>IFERROR(VLOOKUP(Tabelle32[[#This Row],[Device ID]],BOM!$B$3:$BQ$35,28,FALSE),"")</f>
        <v>AVCoreA</v>
      </c>
      <c r="Y672" s="59" t="str">
        <f>IFERROR(VLOOKUP(Tabelle32[[#This Row],[Device ID]],BOM!$B$3:$BQ$35,29,FALSE),"")</f>
        <v>5_36_1</v>
      </c>
      <c r="Z672" s="59" t="str">
        <f>IFERROR(VLOOKUP(Tabelle32[[#This Row],[Device ID]],BOM!$B$3:$BQ$35,30,FALSE),"")</f>
        <v>tpco-megw-vgw103.rtb.st-net.media.int</v>
      </c>
      <c r="AA672" s="59" t="str">
        <f>IFERROR(VLOOKUP(Tabelle32[[#This Row],[Device ID]],BOM!$B$3:$BQ$35,31,FALSE),"")</f>
        <v>10.120.236.54</v>
      </c>
      <c r="AB672" s="59" t="str">
        <f>IFERROR(VLOOKUP(Tabelle32[[#This Row],[Device ID]],BOM!$B$3:$BQ$35,32,FALSE),"")</f>
        <v>AVCoreB</v>
      </c>
      <c r="AC672" s="59" t="str">
        <f>IFERROR(VLOOKUP(Tabelle32[[#This Row],[Device ID]],BOM!$B$3:$BQ$35,33,FALSE),"")</f>
        <v>5_36_1</v>
      </c>
      <c r="AD672" s="59" t="str">
        <f>IFERROR(VLOOKUP(Tabelle32[[#This Row],[Device ID]],BOM!$B$3:$BQ$35,34,FALSE),"")</f>
        <v>tpco-megw-vgw103.st-net.media.int</v>
      </c>
      <c r="AE672" s="59" t="str">
        <f>IFERROR(VLOOKUP(Tabelle32[[#This Row],[Device ID]],BOM!$B$3:$BQ$35,35,FALSE),"")</f>
        <v>10.120.67.141</v>
      </c>
      <c r="AF672" s="59">
        <f>IFERROR(VLOOKUP(Tabelle32[[#This Row],[Device ID]],BOM!$B$3:$BQ$35,36,FALSE),"")</f>
        <v>0</v>
      </c>
      <c r="AG672" s="59">
        <f>IFERROR(VLOOKUP(Tabelle32[[#This Row],[Device ID]],BOM!$B$3:$BQ$35,37,FALSE),"")</f>
        <v>0</v>
      </c>
      <c r="AH672" s="59"/>
      <c r="AI672" s="59"/>
      <c r="AJ672" s="59"/>
      <c r="AK672" s="59"/>
      <c r="AL672" s="59" t="str">
        <f>IFERROR(VLOOKUP(Tabelle32[[#This Row],[Device ID]],BOM!$B$3:$BQ$35,42,FALSE),"")</f>
        <v>Imagine Communications SNP</v>
      </c>
      <c r="AM672" s="59" t="str">
        <f>IFERROR(VLOOKUP(Tabelle32[[#This Row],[Device ID]],BOM!$B$3:$BQ$35,43,FALSE),"")</f>
        <v>no</v>
      </c>
      <c r="AN672" s="59" t="str">
        <f>IFERROR(VLOOKUP(Tabelle32[[#This Row],[Device ID]],BOM!$B$3:$BQ$35,44,FALSE),"")</f>
        <v>yes</v>
      </c>
      <c r="AO672" s="59" t="str">
        <f>IFERROR(VLOOKUP(Tabelle32[[#This Row],[Device ID]],BOM!$B$3:$BQ$35,45,FALSE),"")</f>
        <v>no</v>
      </c>
      <c r="AP672" s="59" t="str">
        <f>IFERROR(CONCATENATE(Tabelle32[[#This Row],[Family
GFX-Unit]]," | ",Tabelle32[[#This Row],[Label 1
GFX-Unit]]," | ",Tabelle32[[#This Row],[Attached Device if Gateway]]),"")</f>
        <v>MEDEM Edits Out | Out Edit24-15 | EditPC-24</v>
      </c>
      <c r="AQ672" s="59"/>
      <c r="AR672" s="92"/>
      <c r="AS672" s="92"/>
      <c r="AT672" s="92"/>
      <c r="AU672" s="92"/>
      <c r="AV672" s="92"/>
      <c r="AW672" s="92"/>
      <c r="AX672" s="92"/>
      <c r="AY672" s="92"/>
      <c r="AZ672" s="92"/>
      <c r="BA672" s="92"/>
      <c r="BB672" s="92"/>
      <c r="BC672" s="92"/>
      <c r="BD672" s="92" t="s">
        <v>97</v>
      </c>
      <c r="BE672" s="92"/>
      <c r="BF672" s="92"/>
      <c r="BG672" s="92"/>
      <c r="BH672" s="73" t="s">
        <v>199</v>
      </c>
      <c r="BI672" s="30" t="str">
        <f>IF(COUNTA(Tabelle32[[#This Row],[Type:Vid_1080i50]:[Type:Anc_Prot]])&gt;0,"x","")</f>
        <v>x</v>
      </c>
      <c r="BJ672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72" s="59"/>
      <c r="BL672" s="59"/>
      <c r="BM672" s="63"/>
      <c r="BN672" s="63"/>
      <c r="BO672" s="97" t="s">
        <v>732</v>
      </c>
      <c r="BP672" s="97" t="s">
        <v>1207</v>
      </c>
      <c r="BQ672" s="75">
        <f>LEN(Tabelle32[[#This Row],[Label 1
GFX-Unit]])</f>
        <v>13</v>
      </c>
      <c r="BR672" s="63"/>
      <c r="BS672" s="63"/>
      <c r="BT672" s="59"/>
      <c r="BU672" s="59"/>
      <c r="BV672" s="59" t="s">
        <v>264</v>
      </c>
      <c r="BW672" s="59" t="s">
        <v>265</v>
      </c>
      <c r="BX672" s="59" t="s">
        <v>1208</v>
      </c>
      <c r="BY672" s="59">
        <v>32</v>
      </c>
    </row>
    <row r="673" spans="1:77" x14ac:dyDescent="0.2">
      <c r="A673" s="58" t="str">
        <f>CONCATENATE(Tabelle32[[#This Row],[Device ID]],".",Tabelle32[[#This Row],[Streamcounter]])</f>
        <v>2157.32216</v>
      </c>
      <c r="B673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VGW-103_SDI32_AUDsend_0016</v>
      </c>
      <c r="C673" s="67"/>
      <c r="D673" s="61"/>
      <c r="E673" s="67"/>
      <c r="F673" s="59" t="str">
        <f>IFERROR(VLOOKUP(Tabelle32[[#This Row],[Device ID]],BOM!$B$3:$BQ$35,16,FALSE),"")</f>
        <v>EditPC-24</v>
      </c>
      <c r="G673" s="63">
        <f>VLOOKUP(Tabelle32[[#This Row],[SDI Interface]],BOM!$A$4:$B$35,2,FALSE)</f>
        <v>2157</v>
      </c>
      <c r="H673" s="59" t="str">
        <f>BOM!$C$4</f>
        <v>VGW-103</v>
      </c>
      <c r="I673" s="59" t="str">
        <f>IFERROR(VLOOKUP(Tabelle32[[#This Row],[Device ID]],BOM!$B$3:$BQ$35,12,FALSE),"")</f>
        <v>Edit Suite</v>
      </c>
      <c r="J673" s="59" t="str">
        <f>IFERROR(VLOOKUP(Tabelle32[[#This Row],[Device ID]],BOM!$B$3:$BQ$35,13,FALSE),"")</f>
        <v>TC.U1.223 | MDC</v>
      </c>
      <c r="K673" s="59" t="str">
        <f>IFERROR(VLOOKUP(Tabelle32[[#This Row],[Device ID]],BOM!$B$3:$BQ$35,14,FALSE),"")</f>
        <v>Imagine Comunications</v>
      </c>
      <c r="L673" s="59" t="str">
        <f>IFERROR(VLOOKUP(Tabelle32[[#This Row],[Device ID]],BOM!$B$3:$BQ$35,16,FALSE),"")</f>
        <v>EditPC-24</v>
      </c>
      <c r="M673" s="63" t="str">
        <f>IFERROR(VLOOKUP(Tabelle32[[#This Row],[Device ID]],BOM!$B$3:$BQ$35,17,FALSE),"")</f>
        <v>EDIT SUITE 24</v>
      </c>
      <c r="N673" s="59" t="str">
        <f>IFERROR(VLOOKUP(Tabelle32[[#This Row],[Device ID]],BOM!$B$3:$BQ$35,18,FALSE),"")</f>
        <v>NEBEZ.V3.14 | Edit 24</v>
      </c>
      <c r="O673" s="64"/>
      <c r="P673" s="64">
        <f>IFERROR(VLOOKUP(Tabelle32[[#This Row],[Device ID]],BOM!$B$3:$BO$50,20,FALSE),"")</f>
        <v>0</v>
      </c>
      <c r="Q673" s="64">
        <f>IFERROR(VLOOKUP(Tabelle32[[#This Row],[Device ID]],BOM!$B$3:$BO$50,21,FALSE),"")</f>
        <v>1</v>
      </c>
      <c r="R673" s="64">
        <f>IFERROR(VLOOKUP(Tabelle32[[#This Row],[Device ID]],BOM!$B$3:$BO$50,22,FALSE),"")</f>
        <v>0</v>
      </c>
      <c r="S673" s="64"/>
      <c r="T673" s="64"/>
      <c r="U673" s="59" t="str">
        <f>IFERROR(VLOOKUP(Tabelle32[[#This Row],[Device ID]],BOM!$B$3:$BQ$35,25,FALSE),"")</f>
        <v>Luis/Ivo</v>
      </c>
      <c r="V673" s="59" t="str">
        <f>IFERROR(VLOOKUP(Tabelle32[[#This Row],[Device ID]],BOM!$B$3:$BQ$35,26,FALSE),"")</f>
        <v>tpco-megw-vgw103.rta.st-net.media.int</v>
      </c>
      <c r="W673" s="59" t="str">
        <f>IFERROR(VLOOKUP(Tabelle32[[#This Row],[Device ID]],BOM!$B$3:$BQ$35,27,FALSE),"")</f>
        <v>10.120.236.50</v>
      </c>
      <c r="X673" s="59" t="str">
        <f>IFERROR(VLOOKUP(Tabelle32[[#This Row],[Device ID]],BOM!$B$3:$BQ$35,28,FALSE),"")</f>
        <v>AVCoreA</v>
      </c>
      <c r="Y673" s="59" t="str">
        <f>IFERROR(VLOOKUP(Tabelle32[[#This Row],[Device ID]],BOM!$B$3:$BQ$35,29,FALSE),"")</f>
        <v>5_36_1</v>
      </c>
      <c r="Z673" s="59" t="str">
        <f>IFERROR(VLOOKUP(Tabelle32[[#This Row],[Device ID]],BOM!$B$3:$BQ$35,30,FALSE),"")</f>
        <v>tpco-megw-vgw103.rtb.st-net.media.int</v>
      </c>
      <c r="AA673" s="59" t="str">
        <f>IFERROR(VLOOKUP(Tabelle32[[#This Row],[Device ID]],BOM!$B$3:$BQ$35,31,FALSE),"")</f>
        <v>10.120.236.54</v>
      </c>
      <c r="AB673" s="59" t="str">
        <f>IFERROR(VLOOKUP(Tabelle32[[#This Row],[Device ID]],BOM!$B$3:$BQ$35,32,FALSE),"")</f>
        <v>AVCoreB</v>
      </c>
      <c r="AC673" s="59" t="str">
        <f>IFERROR(VLOOKUP(Tabelle32[[#This Row],[Device ID]],BOM!$B$3:$BQ$35,33,FALSE),"")</f>
        <v>5_36_1</v>
      </c>
      <c r="AD673" s="59" t="str">
        <f>IFERROR(VLOOKUP(Tabelle32[[#This Row],[Device ID]],BOM!$B$3:$BQ$35,34,FALSE),"")</f>
        <v>tpco-megw-vgw103.st-net.media.int</v>
      </c>
      <c r="AE673" s="59" t="str">
        <f>IFERROR(VLOOKUP(Tabelle32[[#This Row],[Device ID]],BOM!$B$3:$BQ$35,35,FALSE),"")</f>
        <v>10.120.67.141</v>
      </c>
      <c r="AF673" s="59">
        <f>IFERROR(VLOOKUP(Tabelle32[[#This Row],[Device ID]],BOM!$B$3:$BQ$35,36,FALSE),"")</f>
        <v>0</v>
      </c>
      <c r="AG673" s="59">
        <f>IFERROR(VLOOKUP(Tabelle32[[#This Row],[Device ID]],BOM!$B$3:$BQ$35,37,FALSE),"")</f>
        <v>0</v>
      </c>
      <c r="AH673" s="59"/>
      <c r="AI673" s="59"/>
      <c r="AJ673" s="59"/>
      <c r="AK673" s="59"/>
      <c r="AL673" s="59" t="str">
        <f>IFERROR(VLOOKUP(Tabelle32[[#This Row],[Device ID]],BOM!$B$3:$BQ$35,42,FALSE),"")</f>
        <v>Imagine Communications SNP</v>
      </c>
      <c r="AM673" s="59" t="str">
        <f>IFERROR(VLOOKUP(Tabelle32[[#This Row],[Device ID]],BOM!$B$3:$BQ$35,43,FALSE),"")</f>
        <v>no</v>
      </c>
      <c r="AN673" s="59" t="str">
        <f>IFERROR(VLOOKUP(Tabelle32[[#This Row],[Device ID]],BOM!$B$3:$BQ$35,44,FALSE),"")</f>
        <v>yes</v>
      </c>
      <c r="AO673" s="59" t="str">
        <f>IFERROR(VLOOKUP(Tabelle32[[#This Row],[Device ID]],BOM!$B$3:$BQ$35,45,FALSE),"")</f>
        <v>no</v>
      </c>
      <c r="AP673" s="59" t="str">
        <f>IFERROR(CONCATENATE(Tabelle32[[#This Row],[Family
GFX-Unit]]," | ",Tabelle32[[#This Row],[Label 1
GFX-Unit]]," | ",Tabelle32[[#This Row],[Attached Device if Gateway]]),"")</f>
        <v>MEDEM Edits Out | Out Edit24-16 | EditPC-24</v>
      </c>
      <c r="AQ673" s="59"/>
      <c r="AR673" s="92"/>
      <c r="AS673" s="92"/>
      <c r="AT673" s="92"/>
      <c r="AU673" s="92"/>
      <c r="AV673" s="92"/>
      <c r="AW673" s="92"/>
      <c r="AX673" s="92"/>
      <c r="AY673" s="92"/>
      <c r="AZ673" s="92"/>
      <c r="BA673" s="92"/>
      <c r="BB673" s="92"/>
      <c r="BC673" s="92"/>
      <c r="BD673" s="92" t="s">
        <v>97</v>
      </c>
      <c r="BE673" s="92"/>
      <c r="BF673" s="92"/>
      <c r="BG673" s="92"/>
      <c r="BH673" s="73" t="s">
        <v>199</v>
      </c>
      <c r="BI673" s="30" t="str">
        <f>IF(COUNTA(Tabelle32[[#This Row],[Type:Vid_1080i50]:[Type:Anc_Prot]])&gt;0,"x","")</f>
        <v>x</v>
      </c>
      <c r="BJ673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Type:Aud_8CH_RAW,#SNP</v>
      </c>
      <c r="BK673" s="59"/>
      <c r="BL673" s="59"/>
      <c r="BM673" s="63"/>
      <c r="BN673" s="63"/>
      <c r="BO673" s="97" t="s">
        <v>732</v>
      </c>
      <c r="BP673" s="97" t="s">
        <v>1209</v>
      </c>
      <c r="BQ673" s="75">
        <f>LEN(Tabelle32[[#This Row],[Label 1
GFX-Unit]])</f>
        <v>13</v>
      </c>
      <c r="BR673" s="63"/>
      <c r="BS673" s="63"/>
      <c r="BT673" s="59"/>
      <c r="BU673" s="59"/>
      <c r="BV673" s="59" t="s">
        <v>268</v>
      </c>
      <c r="BW673" s="59" t="s">
        <v>269</v>
      </c>
      <c r="BX673" s="59" t="s">
        <v>1210</v>
      </c>
      <c r="BY673" s="59">
        <v>32</v>
      </c>
    </row>
    <row r="674" spans="1:77" x14ac:dyDescent="0.2">
      <c r="A674" s="58" t="str">
        <f>CONCATENATE(Tabelle32[[#This Row],[Device ID]],".",Tabelle32[[#This Row],[Streamcounter]])</f>
        <v>2157.32101</v>
      </c>
      <c r="B674" s="59" t="str">
        <f xml:space="preserve">
IF(VLOOKUP(Tabelle32[[#This Row],[Device ID]],BOM!$B$4:$F$35,5)="IP&gt;SDI",
CONCATENATE(BOM!$C$4,"_SDI",TEXT(Tabelle32[[#This Row],[SDI Interface]],"00"),"_",Tabelle32[[#This Row],[Streamname IP&gt;SDI]]),
IF(VLOOKUP(Tabelle32[[#This Row],[Device ID]],BOM!$B$4:$F$35,5)="SDI&gt;IP",
CONCATENATE(BOM!$C$4,"_SDI",TEXT(Tabelle32[[#This Row],[SDI Interface]],"00"),"_",Tabelle32[[#This Row],[Streamname SDI&gt;IP]]),"ERROR"))</f>
        <v>VGW-103_SDI32_VIDsend_0001</v>
      </c>
      <c r="C674" s="67"/>
      <c r="D674" s="61"/>
      <c r="E674" s="67"/>
      <c r="F674" s="59" t="str">
        <f>IFERROR(VLOOKUP(Tabelle32[[#This Row],[Device ID]],BOM!$B$3:$BQ$35,16,FALSE),"")</f>
        <v>EditPC-24</v>
      </c>
      <c r="G674" s="63">
        <f>VLOOKUP(Tabelle32[[#This Row],[SDI Interface]],BOM!$A$4:$B$35,2,FALSE)</f>
        <v>2157</v>
      </c>
      <c r="H674" s="59" t="str">
        <f>BOM!$C$4</f>
        <v>VGW-103</v>
      </c>
      <c r="I674" s="59" t="str">
        <f>IFERROR(VLOOKUP(Tabelle32[[#This Row],[Device ID]],BOM!$B$3:$BQ$35,12,FALSE),"")</f>
        <v>Edit Suite</v>
      </c>
      <c r="J674" s="59" t="str">
        <f>IFERROR(VLOOKUP(Tabelle32[[#This Row],[Device ID]],BOM!$B$3:$BQ$35,13,FALSE),"")</f>
        <v>TC.U1.223 | MDC</v>
      </c>
      <c r="K674" s="59" t="str">
        <f>IFERROR(VLOOKUP(Tabelle32[[#This Row],[Device ID]],BOM!$B$3:$BQ$35,14,FALSE),"")</f>
        <v>Imagine Comunications</v>
      </c>
      <c r="L674" s="59" t="str">
        <f>IFERROR(VLOOKUP(Tabelle32[[#This Row],[Device ID]],BOM!$B$3:$BQ$35,16,FALSE),"")</f>
        <v>EditPC-24</v>
      </c>
      <c r="M674" s="63" t="str">
        <f>IFERROR(VLOOKUP(Tabelle32[[#This Row],[Device ID]],BOM!$B$3:$BQ$35,17,FALSE),"")</f>
        <v>EDIT SUITE 24</v>
      </c>
      <c r="N674" s="59" t="str">
        <f>IFERROR(VLOOKUP(Tabelle32[[#This Row],[Device ID]],BOM!$B$3:$BQ$35,18,FALSE),"")</f>
        <v>NEBEZ.V3.14 | Edit 24</v>
      </c>
      <c r="O674" s="64"/>
      <c r="P674" s="64">
        <f>IFERROR(VLOOKUP(Tabelle32[[#This Row],[Device ID]],BOM!$B$3:$BO$50,20,FALSE),"")</f>
        <v>0</v>
      </c>
      <c r="Q674" s="64">
        <f>IFERROR(VLOOKUP(Tabelle32[[#This Row],[Device ID]],BOM!$B$3:$BO$50,21,FALSE),"")</f>
        <v>1</v>
      </c>
      <c r="R674" s="64">
        <f>IFERROR(VLOOKUP(Tabelle32[[#This Row],[Device ID]],BOM!$B$3:$BO$50,22,FALSE),"")</f>
        <v>0</v>
      </c>
      <c r="S674" s="64"/>
      <c r="T674" s="64"/>
      <c r="U674" s="59" t="str">
        <f>IFERROR(VLOOKUP(Tabelle32[[#This Row],[Device ID]],BOM!$B$3:$BQ$35,25,FALSE),"")</f>
        <v>Luis/Ivo</v>
      </c>
      <c r="V674" s="59" t="str">
        <f>IFERROR(VLOOKUP(Tabelle32[[#This Row],[Device ID]],BOM!$B$3:$BQ$35,26,FALSE),"")</f>
        <v>tpco-megw-vgw103.rta.st-net.media.int</v>
      </c>
      <c r="W674" s="59" t="str">
        <f>IFERROR(VLOOKUP(Tabelle32[[#This Row],[Device ID]],BOM!$B$3:$BQ$35,27,FALSE),"")</f>
        <v>10.120.236.50</v>
      </c>
      <c r="X674" s="59" t="str">
        <f>IFERROR(VLOOKUP(Tabelle32[[#This Row],[Device ID]],BOM!$B$3:$BQ$35,28,FALSE),"")</f>
        <v>AVCoreA</v>
      </c>
      <c r="Y674" s="59" t="str">
        <f>IFERROR(VLOOKUP(Tabelle32[[#This Row],[Device ID]],BOM!$B$3:$BQ$35,29,FALSE),"")</f>
        <v>5_36_1</v>
      </c>
      <c r="Z674" s="59" t="str">
        <f>IFERROR(VLOOKUP(Tabelle32[[#This Row],[Device ID]],BOM!$B$3:$BQ$35,30,FALSE),"")</f>
        <v>tpco-megw-vgw103.rtb.st-net.media.int</v>
      </c>
      <c r="AA674" s="59" t="str">
        <f>IFERROR(VLOOKUP(Tabelle32[[#This Row],[Device ID]],BOM!$B$3:$BQ$35,31,FALSE),"")</f>
        <v>10.120.236.54</v>
      </c>
      <c r="AB674" s="59" t="str">
        <f>IFERROR(VLOOKUP(Tabelle32[[#This Row],[Device ID]],BOM!$B$3:$BQ$35,32,FALSE),"")</f>
        <v>AVCoreB</v>
      </c>
      <c r="AC674" s="59" t="str">
        <f>IFERROR(VLOOKUP(Tabelle32[[#This Row],[Device ID]],BOM!$B$3:$BQ$35,33,FALSE),"")</f>
        <v>5_36_1</v>
      </c>
      <c r="AD674" s="59" t="str">
        <f>IFERROR(VLOOKUP(Tabelle32[[#This Row],[Device ID]],BOM!$B$3:$BQ$35,34,FALSE),"")</f>
        <v>tpco-megw-vgw103.st-net.media.int</v>
      </c>
      <c r="AE674" s="59" t="str">
        <f>IFERROR(VLOOKUP(Tabelle32[[#This Row],[Device ID]],BOM!$B$3:$BQ$35,35,FALSE),"")</f>
        <v>10.120.67.141</v>
      </c>
      <c r="AF674" s="59">
        <f>IFERROR(VLOOKUP(Tabelle32[[#This Row],[Device ID]],BOM!$B$3:$BQ$35,36,FALSE),"")</f>
        <v>0</v>
      </c>
      <c r="AG674" s="59">
        <f>IFERROR(VLOOKUP(Tabelle32[[#This Row],[Device ID]],BOM!$B$3:$BQ$35,37,FALSE),"")</f>
        <v>0</v>
      </c>
      <c r="AH674" s="59"/>
      <c r="AI674" s="59"/>
      <c r="AJ674" s="59"/>
      <c r="AK674" s="59"/>
      <c r="AL674" s="59" t="str">
        <f>IFERROR(VLOOKUP(Tabelle32[[#This Row],[Device ID]],BOM!$B$3:$BQ$35,42,FALSE),"")</f>
        <v>Imagine Communications SNP</v>
      </c>
      <c r="AM674" s="59" t="str">
        <f>IFERROR(VLOOKUP(Tabelle32[[#This Row],[Device ID]],BOM!$B$3:$BQ$35,43,FALSE),"")</f>
        <v>no</v>
      </c>
      <c r="AN674" s="59" t="str">
        <f>IFERROR(VLOOKUP(Tabelle32[[#This Row],[Device ID]],BOM!$B$3:$BQ$35,44,FALSE),"")</f>
        <v>yes</v>
      </c>
      <c r="AO674" s="59" t="str">
        <f>IFERROR(VLOOKUP(Tabelle32[[#This Row],[Device ID]],BOM!$B$3:$BQ$35,45,FALSE),"")</f>
        <v>no</v>
      </c>
      <c r="AP674" s="59" t="str">
        <f>IFERROR(CONCATENATE(Tabelle32[[#This Row],[Family
GFX-Unit]]," | ",Tabelle32[[#This Row],[Label 1
GFX-Unit]]," | ",Tabelle32[[#This Row],[Attached Device if Gateway]]),"")</f>
        <v>MEDEM Edits Out | Out Edit24 | EditPC-24</v>
      </c>
      <c r="AQ674" s="59"/>
      <c r="AR674" s="92" t="s">
        <v>97</v>
      </c>
      <c r="AS674" s="92"/>
      <c r="AT674" s="92"/>
      <c r="AU674" s="92"/>
      <c r="AV674" s="92"/>
      <c r="AW674" s="92"/>
      <c r="AX674" s="92"/>
      <c r="AY674" s="92"/>
      <c r="AZ674" s="92"/>
      <c r="BA674" s="92"/>
      <c r="BB674" s="92"/>
      <c r="BC674" s="92"/>
      <c r="BD674" s="92"/>
      <c r="BE674" s="92"/>
      <c r="BF674" s="92"/>
      <c r="BG674" s="92"/>
      <c r="BH674" s="73" t="s">
        <v>199</v>
      </c>
      <c r="BI674" s="30" t="str">
        <f>IF(COUNTA(Tabelle32[[#This Row],[Type:Vid_1080i50]:[Type:Anc_Prot]])&gt;0,"x","")</f>
        <v>x</v>
      </c>
      <c r="BJ674" s="95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Type:Vid_1080i50,#SNP</v>
      </c>
      <c r="BK674" s="59"/>
      <c r="BL674" s="59"/>
      <c r="BM674" s="63"/>
      <c r="BN674" s="63"/>
      <c r="BO674" s="97" t="s">
        <v>732</v>
      </c>
      <c r="BP674" s="97" t="s">
        <v>1211</v>
      </c>
      <c r="BQ674" s="75">
        <f>LEN(Tabelle32[[#This Row],[Label 1
GFX-Unit]])</f>
        <v>10</v>
      </c>
      <c r="BR674" s="63"/>
      <c r="BS674" s="63"/>
      <c r="BT674" s="59"/>
      <c r="BU674" s="59"/>
      <c r="BV674" s="59" t="s">
        <v>272</v>
      </c>
      <c r="BW674" s="59" t="s">
        <v>273</v>
      </c>
      <c r="BX674" s="59" t="s">
        <v>1212</v>
      </c>
      <c r="BY674" s="59">
        <v>32</v>
      </c>
    </row>
    <row r="675" spans="1:77" x14ac:dyDescent="0.2">
      <c r="BI675" s="103"/>
      <c r="BJ675" s="104"/>
    </row>
  </sheetData>
  <sheetProtection formatCells="0" formatColumns="0" formatRows="0" sort="0" autoFilter="0"/>
  <protectedRanges>
    <protectedRange algorithmName="SHA-512" hashValue="DmiGFg4T1mXjD8nQOI9xfAm4r11TBhQ3CbrTpWnyk2RftdZjPuxCxUyxEieFtz/jIl3zZaXhxqW7DXxZHK6oRA==" saltValue="G2+GgwhcVk/JV5hPidDW3A==" spinCount="100000" sqref="A3:E674" name="Bereich1" securityDescriptor="O:WDG:WDD:(A;;CC;;;S-1-5-21-600833887-2581495124-4064593129-453065)"/>
  </protectedRanges>
  <mergeCells count="1">
    <mergeCell ref="G1:J1"/>
  </mergeCells>
  <phoneticPr fontId="10" type="noConversion"/>
  <conditionalFormatting sqref="B1:B1048576">
    <cfRule type="containsText" dxfId="107" priority="1" operator="containsText" text="ERROR">
      <formula>NOT(ISERROR(SEARCH("ERROR",B1)))</formula>
    </cfRule>
    <cfRule type="duplicateValues" dxfId="106" priority="2"/>
  </conditionalFormatting>
  <dataValidations disablePrompts="1" count="1">
    <dataValidation type="list" allowBlank="1" showInputMessage="1" showErrorMessage="1" errorTitle="Error" error="bitte Daten im Sharepoint erfassen" sqref="M3:M674" xr:uid="{02537CEF-13CE-41EB-B0C3-716555E1E757}">
      <formula1>workplace_usage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AA1D-639D-4F1E-ADEA-4040FB1232E2}">
  <dimension ref="A1:Y757"/>
  <sheetViews>
    <sheetView zoomScale="90" zoomScaleNormal="90" workbookViewId="0">
      <selection activeCell="B649" sqref="B649:B652"/>
    </sheetView>
  </sheetViews>
  <sheetFormatPr baseColWidth="10" defaultColWidth="9.140625" defaultRowHeight="12.75" x14ac:dyDescent="0.2"/>
  <cols>
    <col min="2" max="2" width="29.42578125" bestFit="1" customWidth="1"/>
    <col min="3" max="3" width="92.42578125" bestFit="1" customWidth="1"/>
    <col min="4" max="4" width="47.85546875" bestFit="1" customWidth="1"/>
  </cols>
  <sheetData>
    <row r="1" spans="1:25" x14ac:dyDescent="0.2">
      <c r="A1" t="s">
        <v>1213</v>
      </c>
      <c r="B1" t="s">
        <v>1214</v>
      </c>
      <c r="C1" t="s">
        <v>1215</v>
      </c>
      <c r="D1" t="s">
        <v>1216</v>
      </c>
      <c r="E1" t="s">
        <v>1217</v>
      </c>
      <c r="F1" t="s">
        <v>1218</v>
      </c>
      <c r="G1" t="s">
        <v>1219</v>
      </c>
      <c r="H1" t="s">
        <v>1220</v>
      </c>
      <c r="I1" t="s">
        <v>1221</v>
      </c>
      <c r="J1" t="s">
        <v>1222</v>
      </c>
      <c r="K1" t="s">
        <v>1223</v>
      </c>
      <c r="L1" t="s">
        <v>1224</v>
      </c>
      <c r="M1" t="s">
        <v>1225</v>
      </c>
      <c r="N1" t="s">
        <v>1226</v>
      </c>
      <c r="O1" t="s">
        <v>1227</v>
      </c>
      <c r="P1" t="s">
        <v>1228</v>
      </c>
      <c r="Q1" t="s">
        <v>1229</v>
      </c>
      <c r="R1" t="s">
        <v>1230</v>
      </c>
      <c r="S1" t="s">
        <v>1231</v>
      </c>
      <c r="T1" t="s">
        <v>1232</v>
      </c>
      <c r="U1" t="s">
        <v>1233</v>
      </c>
      <c r="V1" t="s">
        <v>1234</v>
      </c>
      <c r="W1" t="s">
        <v>1235</v>
      </c>
      <c r="X1" t="s">
        <v>1236</v>
      </c>
      <c r="Y1" t="s">
        <v>1237</v>
      </c>
    </row>
    <row r="2" spans="1:25" x14ac:dyDescent="0.2">
      <c r="A2" t="s">
        <v>1238</v>
      </c>
      <c r="B2" t="s">
        <v>1239</v>
      </c>
      <c r="C2" t="str">
        <f>IFERROR(VLOOKUP(B2,'Sender-Receiver'!$B$3:$BP$1500,61,FALSE),"")</f>
        <v>Type:Vid_1080i50,#SNP</v>
      </c>
      <c r="D2" t="str">
        <f>IFERROR(VLOOKUP(B2,'Sender-Receiver'!$B$3:$BP$1500,41,FALSE),"")</f>
        <v>PLAYOUT R401 | HD1 Backup | R401 HD1 Backup</v>
      </c>
      <c r="E2" t="s">
        <v>1240</v>
      </c>
      <c r="F2">
        <v>1</v>
      </c>
      <c r="G2" t="s">
        <v>1241</v>
      </c>
      <c r="M2" t="str">
        <f>IF(OR(BOM!$AE$4=FALSE,BOM!$AE$4="-"),IF(ISERROR(SEARCH("send",B2)),"","pool:TPC"),IF(ISERROR(SEARCH("send",B2)),"","pool:TPC|pool:TPC"))</f>
        <v>pool:TPC|pool:TPC</v>
      </c>
      <c r="S2" t="str">
        <f>IFERROR(IF(VLOOKUP(B2,'Sender-Receiver'!$B$3:$BP$1500,60,FALSE)="x","true","false"),"false")</f>
        <v>true</v>
      </c>
      <c r="T2" t="str">
        <f>IF(S2="true","full","off")</f>
        <v>full</v>
      </c>
      <c r="Y2" t="str">
        <f>IF(BOM!$AE$4=FALSE,IF(ISERROR(SEARCH("Embrionix",BOM!$M$4)),"none",IF(ISERROR(SEARCH("Quadsplit",BOM!$N$4)),IF(ISERROR(SEARCH("rec",B2)),"none","merge"),"none")),IF(ISERROR(SEARCH("rec",B2)),"split","merge"))</f>
        <v>split</v>
      </c>
    </row>
    <row r="3" spans="1:25" x14ac:dyDescent="0.2">
      <c r="A3" t="s">
        <v>1238</v>
      </c>
      <c r="B3" t="s">
        <v>1242</v>
      </c>
      <c r="C3" t="str">
        <f>IFERROR(VLOOKUP(B3,'Sender-Receiver'!$B$3:$BP$1500,61,FALSE),"")</f>
        <v>Type:Aud_2CH_LR,#SNP</v>
      </c>
      <c r="D3" t="str">
        <f>IFERROR(VLOOKUP(B3,'Sender-Receiver'!$B$3:$BP$1500,41,FALSE),"")</f>
        <v>PLAYOUT R401 | HD1 Backup-001 | R401 HD1 Backup</v>
      </c>
      <c r="E3" t="s">
        <v>1240</v>
      </c>
      <c r="F3">
        <v>1</v>
      </c>
      <c r="G3" t="s">
        <v>1243</v>
      </c>
      <c r="M3" t="str">
        <f>IF(OR(BOM!$AE$4=FALSE,BOM!$AE$4="-"),IF(ISERROR(SEARCH("send",B3)),"","pool:TPC"),IF(ISERROR(SEARCH("send",B3)),"","pool:TPC|pool:TPC"))</f>
        <v>pool:TPC|pool:TPC</v>
      </c>
      <c r="S3" t="str">
        <f>IFERROR(IF(VLOOKUP(B3,'Sender-Receiver'!$B$3:$BP$1500,60,FALSE)="x","true","false"),"false")</f>
        <v>true</v>
      </c>
      <c r="T3" t="str">
        <f t="shared" ref="T3:T66" si="0">IF(S3="true","full","off")</f>
        <v>full</v>
      </c>
      <c r="Y3" t="str">
        <f>IF(BOM!$AE$4=FALSE,IF(ISERROR(SEARCH("Embrionix",BOM!$M$4)),"none",IF(ISERROR(SEARCH("Quadsplit",BOM!$N$4)),IF(ISERROR(SEARCH("rec",B3)),"none","merge"),"none")),IF(ISERROR(SEARCH("rec",B3)),"split","merge"))</f>
        <v>split</v>
      </c>
    </row>
    <row r="4" spans="1:25" x14ac:dyDescent="0.2">
      <c r="A4" t="s">
        <v>1238</v>
      </c>
      <c r="B4" t="s">
        <v>1244</v>
      </c>
      <c r="C4" t="str">
        <f>IFERROR(VLOOKUP(B4,'Sender-Receiver'!$B$3:$BP$1500,61,FALSE),"")</f>
        <v>Type:Aud_1CH_M,#SNP</v>
      </c>
      <c r="D4" t="str">
        <f>IFERROR(VLOOKUP(B4,'Sender-Receiver'!$B$3:$BP$1500,41,FALSE),"")</f>
        <v>PLAYOUT R401 | HD1 Backup-002 | R401 HD1 Backup</v>
      </c>
      <c r="E4" t="s">
        <v>1240</v>
      </c>
      <c r="F4">
        <v>1</v>
      </c>
      <c r="G4" t="s">
        <v>1245</v>
      </c>
      <c r="M4" t="str">
        <f>IF(OR(BOM!$AE$4=FALSE,BOM!$AE$4="-"),IF(ISERROR(SEARCH("send",B4)),"","pool:TPC"),IF(ISERROR(SEARCH("send",B4)),"","pool:TPC|pool:TPC"))</f>
        <v>pool:TPC|pool:TPC</v>
      </c>
      <c r="S4" t="str">
        <f>IFERROR(IF(VLOOKUP(B4,'Sender-Receiver'!$B$3:$BP$1500,60,FALSE)="x","true","false"),"false")</f>
        <v>true</v>
      </c>
      <c r="T4" t="str">
        <f t="shared" si="0"/>
        <v>full</v>
      </c>
      <c r="Y4" t="str">
        <f>IF(BOM!$AE$4=FALSE,IF(ISERROR(SEARCH("Embrionix",BOM!$M$4)),"none",IF(ISERROR(SEARCH("Quadsplit",BOM!$N$4)),IF(ISERROR(SEARCH("rec",B4)),"none","merge"),"none")),IF(ISERROR(SEARCH("rec",B4)),"split","merge"))</f>
        <v>split</v>
      </c>
    </row>
    <row r="5" spans="1:25" x14ac:dyDescent="0.2">
      <c r="A5" t="s">
        <v>1238</v>
      </c>
      <c r="B5" t="s">
        <v>1246</v>
      </c>
      <c r="C5" t="str">
        <f>IFERROR(VLOOKUP(B5,'Sender-Receiver'!$B$3:$BP$1500,61,FALSE),"")</f>
        <v>Type:Aud_1CH_M,#SNP</v>
      </c>
      <c r="D5" t="str">
        <f>IFERROR(VLOOKUP(B5,'Sender-Receiver'!$B$3:$BP$1500,41,FALSE),"")</f>
        <v>PLAYOUT R401 | HD1 Backup-003 | R401 HD1 Backup</v>
      </c>
      <c r="E5" t="s">
        <v>1240</v>
      </c>
      <c r="F5">
        <v>1</v>
      </c>
      <c r="G5" t="s">
        <v>1247</v>
      </c>
      <c r="M5" t="str">
        <f>IF(OR(BOM!$AE$4=FALSE,BOM!$AE$4="-"),IF(ISERROR(SEARCH("send",B5)),"","pool:TPC"),IF(ISERROR(SEARCH("send",B5)),"","pool:TPC|pool:TPC"))</f>
        <v>pool:TPC|pool:TPC</v>
      </c>
      <c r="S5" t="str">
        <f>IFERROR(IF(VLOOKUP(B5,'Sender-Receiver'!$B$3:$BP$1500,60,FALSE)="x","true","false"),"false")</f>
        <v>true</v>
      </c>
      <c r="T5" t="str">
        <f t="shared" si="0"/>
        <v>full</v>
      </c>
      <c r="Y5" t="str">
        <f>IF(BOM!$AE$4=FALSE,IF(ISERROR(SEARCH("Embrionix",BOM!$M$4)),"none",IF(ISERROR(SEARCH("Quadsplit",BOM!$N$4)),IF(ISERROR(SEARCH("rec",B5)),"none","merge"),"none")),IF(ISERROR(SEARCH("rec",B5)),"split","merge"))</f>
        <v>split</v>
      </c>
    </row>
    <row r="6" spans="1:25" x14ac:dyDescent="0.2">
      <c r="A6" t="s">
        <v>1238</v>
      </c>
      <c r="B6" t="s">
        <v>1248</v>
      </c>
      <c r="C6" t="str">
        <f>IFERROR(VLOOKUP(B6,'Sender-Receiver'!$B$3:$BP$1500,61,FALSE),"")</f>
        <v>Type:Aud_2CH_LR,#SNP</v>
      </c>
      <c r="D6" t="str">
        <f>IFERROR(VLOOKUP(B6,'Sender-Receiver'!$B$3:$BP$1500,41,FALSE),"")</f>
        <v>PLAYOUT R401 | HD1 Backup-004 | R401 HD1 Backup</v>
      </c>
      <c r="E6" t="s">
        <v>1240</v>
      </c>
      <c r="F6">
        <v>1</v>
      </c>
      <c r="G6" t="s">
        <v>1249</v>
      </c>
      <c r="M6" t="str">
        <f>IF(OR(BOM!$AE$4=FALSE,BOM!$AE$4="-"),IF(ISERROR(SEARCH("send",B6)),"","pool:TPC"),IF(ISERROR(SEARCH("send",B6)),"","pool:TPC|pool:TPC"))</f>
        <v>pool:TPC|pool:TPC</v>
      </c>
      <c r="S6" t="str">
        <f>IFERROR(IF(VLOOKUP(B6,'Sender-Receiver'!$B$3:$BP$1500,60,FALSE)="x","true","false"),"false")</f>
        <v>true</v>
      </c>
      <c r="T6" t="str">
        <f t="shared" si="0"/>
        <v>full</v>
      </c>
      <c r="Y6" t="str">
        <f>IF(BOM!$AE$4=FALSE,IF(ISERROR(SEARCH("Embrionix",BOM!$M$4)),"none",IF(ISERROR(SEARCH("Quadsplit",BOM!$N$4)),IF(ISERROR(SEARCH("rec",B6)),"none","merge"),"none")),IF(ISERROR(SEARCH("rec",B6)),"split","merge"))</f>
        <v>split</v>
      </c>
    </row>
    <row r="7" spans="1:25" x14ac:dyDescent="0.2">
      <c r="A7" t="s">
        <v>1238</v>
      </c>
      <c r="B7" t="s">
        <v>1250</v>
      </c>
      <c r="C7" t="str">
        <f>IFERROR(VLOOKUP(B7,'Sender-Receiver'!$B$3:$BP$1500,61,FALSE),"")</f>
        <v>Type:Aud_1CH_M,#SNP</v>
      </c>
      <c r="D7" t="str">
        <f>IFERROR(VLOOKUP(B7,'Sender-Receiver'!$B$3:$BP$1500,41,FALSE),"")</f>
        <v>PLAYOUT R401 | HD1 Backup-005 | R401 HD1 Backup</v>
      </c>
      <c r="E7" t="s">
        <v>1240</v>
      </c>
      <c r="F7">
        <v>1</v>
      </c>
      <c r="G7" t="s">
        <v>1251</v>
      </c>
      <c r="M7" t="str">
        <f>IF(OR(BOM!$AE$4=FALSE,BOM!$AE$4="-"),IF(ISERROR(SEARCH("send",B7)),"","pool:TPC"),IF(ISERROR(SEARCH("send",B7)),"","pool:TPC|pool:TPC"))</f>
        <v>pool:TPC|pool:TPC</v>
      </c>
      <c r="S7" t="str">
        <f>IFERROR(IF(VLOOKUP(B7,'Sender-Receiver'!$B$3:$BP$1500,60,FALSE)="x","true","false"),"false")</f>
        <v>true</v>
      </c>
      <c r="T7" t="str">
        <f t="shared" si="0"/>
        <v>full</v>
      </c>
      <c r="Y7" t="str">
        <f>IF(BOM!$AE$4=FALSE,IF(ISERROR(SEARCH("Embrionix",BOM!$M$4)),"none",IF(ISERROR(SEARCH("Quadsplit",BOM!$N$4)),IF(ISERROR(SEARCH("rec",B7)),"none","merge"),"none")),IF(ISERROR(SEARCH("rec",B7)),"split","merge"))</f>
        <v>split</v>
      </c>
    </row>
    <row r="8" spans="1:25" x14ac:dyDescent="0.2">
      <c r="A8" t="s">
        <v>1238</v>
      </c>
      <c r="B8" t="s">
        <v>1252</v>
      </c>
      <c r="C8" t="str">
        <f>IFERROR(VLOOKUP(B8,'Sender-Receiver'!$B$3:$BP$1500,61,FALSE),"")</f>
        <v>Type:Aud_1CH_M,#SNP</v>
      </c>
      <c r="D8" t="str">
        <f>IFERROR(VLOOKUP(B8,'Sender-Receiver'!$B$3:$BP$1500,41,FALSE),"")</f>
        <v>PLAYOUT R401 | HD1 Backup-006 | R401 HD1 Backup</v>
      </c>
      <c r="E8" t="s">
        <v>1240</v>
      </c>
      <c r="F8">
        <v>1</v>
      </c>
      <c r="G8" t="s">
        <v>1253</v>
      </c>
      <c r="M8" t="str">
        <f>IF(OR(BOM!$AE$4=FALSE,BOM!$AE$4="-"),IF(ISERROR(SEARCH("send",B8)),"","pool:TPC"),IF(ISERROR(SEARCH("send",B8)),"","pool:TPC|pool:TPC"))</f>
        <v>pool:TPC|pool:TPC</v>
      </c>
      <c r="S8" t="str">
        <f>IFERROR(IF(VLOOKUP(B8,'Sender-Receiver'!$B$3:$BP$1500,60,FALSE)="x","true","false"),"false")</f>
        <v>true</v>
      </c>
      <c r="T8" t="str">
        <f t="shared" si="0"/>
        <v>full</v>
      </c>
      <c r="Y8" t="str">
        <f>IF(BOM!$AE$4=FALSE,IF(ISERROR(SEARCH("Embrionix",BOM!$M$4)),"none",IF(ISERROR(SEARCH("Quadsplit",BOM!$N$4)),IF(ISERROR(SEARCH("rec",B8)),"none","merge"),"none")),IF(ISERROR(SEARCH("rec",B8)),"split","merge"))</f>
        <v>split</v>
      </c>
    </row>
    <row r="9" spans="1:25" x14ac:dyDescent="0.2">
      <c r="A9" t="s">
        <v>1238</v>
      </c>
      <c r="B9" t="s">
        <v>1254</v>
      </c>
      <c r="C9" t="str">
        <f>IFERROR(VLOOKUP(B9,'Sender-Receiver'!$B$3:$BP$1500,61,FALSE),"")</f>
        <v>Type:Aud_2CH_LR,#SNP</v>
      </c>
      <c r="D9" t="str">
        <f>IFERROR(VLOOKUP(B9,'Sender-Receiver'!$B$3:$BP$1500,41,FALSE),"")</f>
        <v>PLAYOUT R401 | HD1 Backup-007 | R401 HD1 Backup</v>
      </c>
      <c r="E9" t="s">
        <v>1240</v>
      </c>
      <c r="F9">
        <v>1</v>
      </c>
      <c r="G9" t="s">
        <v>1255</v>
      </c>
      <c r="M9" t="str">
        <f>IF(OR(BOM!$AE$4=FALSE,BOM!$AE$4="-"),IF(ISERROR(SEARCH("send",B9)),"","pool:TPC"),IF(ISERROR(SEARCH("send",B9)),"","pool:TPC|pool:TPC"))</f>
        <v>pool:TPC|pool:TPC</v>
      </c>
      <c r="S9" t="str">
        <f>IFERROR(IF(VLOOKUP(B9,'Sender-Receiver'!$B$3:$BP$1500,60,FALSE)="x","true","false"),"false")</f>
        <v>true</v>
      </c>
      <c r="T9" t="str">
        <f t="shared" si="0"/>
        <v>full</v>
      </c>
      <c r="Y9" t="str">
        <f>IF(BOM!$AE$4=FALSE,IF(ISERROR(SEARCH("Embrionix",BOM!$M$4)),"none",IF(ISERROR(SEARCH("Quadsplit",BOM!$N$4)),IF(ISERROR(SEARCH("rec",B9)),"none","merge"),"none")),IF(ISERROR(SEARCH("rec",B9)),"split","merge"))</f>
        <v>split</v>
      </c>
    </row>
    <row r="10" spans="1:25" x14ac:dyDescent="0.2">
      <c r="A10" t="s">
        <v>1238</v>
      </c>
      <c r="B10" t="s">
        <v>1256</v>
      </c>
      <c r="C10" t="str">
        <f>IFERROR(VLOOKUP(B10,'Sender-Receiver'!$B$3:$BP$1500,61,FALSE),"")</f>
        <v>Type:Aud_6CH_5.1,#SNP</v>
      </c>
      <c r="D10" t="str">
        <f>IFERROR(VLOOKUP(B10,'Sender-Receiver'!$B$3:$BP$1500,41,FALSE),"")</f>
        <v>PLAYOUT R401 | HD1 Backup-008 | R401 HD1 Backup</v>
      </c>
      <c r="E10" t="s">
        <v>1240</v>
      </c>
      <c r="F10">
        <v>1</v>
      </c>
      <c r="G10" t="s">
        <v>1257</v>
      </c>
      <c r="M10" t="str">
        <f>IF(OR(BOM!$AE$4=FALSE,BOM!$AE$4="-"),IF(ISERROR(SEARCH("send",B10)),"","pool:TPC"),IF(ISERROR(SEARCH("send",B10)),"","pool:TPC|pool:TPC"))</f>
        <v>pool:TPC|pool:TPC</v>
      </c>
      <c r="S10" t="str">
        <f>IFERROR(IF(VLOOKUP(B10,'Sender-Receiver'!$B$3:$BP$1500,60,FALSE)="x","true","false"),"false")</f>
        <v>true</v>
      </c>
      <c r="T10" t="str">
        <f t="shared" si="0"/>
        <v>full</v>
      </c>
      <c r="Y10" t="str">
        <f>IF(BOM!$AE$4=FALSE,IF(ISERROR(SEARCH("Embrionix",BOM!$M$4)),"none",IF(ISERROR(SEARCH("Quadsplit",BOM!$N$4)),IF(ISERROR(SEARCH("rec",B10)),"none","merge"),"none")),IF(ISERROR(SEARCH("rec",B10)),"split","merge"))</f>
        <v>split</v>
      </c>
    </row>
    <row r="11" spans="1:25" x14ac:dyDescent="0.2">
      <c r="A11" t="s">
        <v>1238</v>
      </c>
      <c r="B11" t="s">
        <v>1258</v>
      </c>
      <c r="C11" t="str">
        <f>IFERROR(VLOOKUP(B11,'Sender-Receiver'!$B$3:$BP$1500,61,FALSE),"")</f>
        <v>#SNP</v>
      </c>
      <c r="D11" t="str">
        <f>IFERROR(VLOOKUP(B11,'Sender-Receiver'!$B$3:$BP$1500,41,FALSE),"")</f>
        <v xml:space="preserve"> |  | R401 HD1 Backup</v>
      </c>
      <c r="E11" t="s">
        <v>1240</v>
      </c>
      <c r="F11">
        <v>1</v>
      </c>
      <c r="G11" t="s">
        <v>1259</v>
      </c>
      <c r="M11" t="str">
        <f>IF(OR(BOM!$AE$4=FALSE,BOM!$AE$4="-"),IF(ISERROR(SEARCH("send",B11)),"","pool:TPC"),IF(ISERROR(SEARCH("send",B11)),"","pool:TPC|pool:TPC"))</f>
        <v>pool:TPC|pool:TPC</v>
      </c>
      <c r="S11" t="str">
        <f>IFERROR(IF(VLOOKUP(B11,'Sender-Receiver'!$B$3:$BP$1500,60,FALSE)="x","true","false"),"false")</f>
        <v>false</v>
      </c>
      <c r="T11" t="str">
        <f t="shared" si="0"/>
        <v>off</v>
      </c>
      <c r="Y11" t="str">
        <f>IF(BOM!$AE$4=FALSE,IF(ISERROR(SEARCH("Embrionix",BOM!$M$4)),"none",IF(ISERROR(SEARCH("Quadsplit",BOM!$N$4)),IF(ISERROR(SEARCH("rec",B11)),"none","merge"),"none")),IF(ISERROR(SEARCH("rec",B11)),"split","merge"))</f>
        <v>split</v>
      </c>
    </row>
    <row r="12" spans="1:25" x14ac:dyDescent="0.2">
      <c r="A12" t="s">
        <v>1238</v>
      </c>
      <c r="B12" t="s">
        <v>1260</v>
      </c>
      <c r="C12" t="str">
        <f>IFERROR(VLOOKUP(B12,'Sender-Receiver'!$B$3:$BP$1500,61,FALSE),"")</f>
        <v>#SNP</v>
      </c>
      <c r="D12" t="str">
        <f>IFERROR(VLOOKUP(B12,'Sender-Receiver'!$B$3:$BP$1500,41,FALSE),"")</f>
        <v xml:space="preserve"> |  | R401 HD1 Backup</v>
      </c>
      <c r="E12" t="s">
        <v>1240</v>
      </c>
      <c r="F12">
        <v>1</v>
      </c>
      <c r="G12" t="s">
        <v>1261</v>
      </c>
      <c r="M12" t="str">
        <f>IF(OR(BOM!$AE$4=FALSE,BOM!$AE$4="-"),IF(ISERROR(SEARCH("send",B12)),"","pool:TPC"),IF(ISERROR(SEARCH("send",B12)),"","pool:TPC|pool:TPC"))</f>
        <v>pool:TPC|pool:TPC</v>
      </c>
      <c r="S12" t="str">
        <f>IFERROR(IF(VLOOKUP(B12,'Sender-Receiver'!$B$3:$BP$1500,60,FALSE)="x","true","false"),"false")</f>
        <v>false</v>
      </c>
      <c r="T12" t="str">
        <f t="shared" si="0"/>
        <v>off</v>
      </c>
      <c r="Y12" t="str">
        <f>IF(BOM!$AE$4=FALSE,IF(ISERROR(SEARCH("Embrionix",BOM!$M$4)),"none",IF(ISERROR(SEARCH("Quadsplit",BOM!$N$4)),IF(ISERROR(SEARCH("rec",B12)),"none","merge"),"none")),IF(ISERROR(SEARCH("rec",B12)),"split","merge"))</f>
        <v>split</v>
      </c>
    </row>
    <row r="13" spans="1:25" x14ac:dyDescent="0.2">
      <c r="A13" t="s">
        <v>1238</v>
      </c>
      <c r="B13" t="s">
        <v>1262</v>
      </c>
      <c r="C13" t="str">
        <f>IFERROR(VLOOKUP(B13,'Sender-Receiver'!$B$3:$BP$1500,61,FALSE),"")</f>
        <v>#SNP</v>
      </c>
      <c r="D13" t="str">
        <f>IFERROR(VLOOKUP(B13,'Sender-Receiver'!$B$3:$BP$1500,41,FALSE),"")</f>
        <v xml:space="preserve"> |  | R401 HD1 Backup</v>
      </c>
      <c r="E13" t="s">
        <v>1240</v>
      </c>
      <c r="F13">
        <v>1</v>
      </c>
      <c r="G13" t="s">
        <v>1263</v>
      </c>
      <c r="M13" t="str">
        <f>IF(OR(BOM!$AE$4=FALSE,BOM!$AE$4="-"),IF(ISERROR(SEARCH("send",B13)),"","pool:TPC"),IF(ISERROR(SEARCH("send",B13)),"","pool:TPC|pool:TPC"))</f>
        <v>pool:TPC|pool:TPC</v>
      </c>
      <c r="S13" t="str">
        <f>IFERROR(IF(VLOOKUP(B13,'Sender-Receiver'!$B$3:$BP$1500,60,FALSE)="x","true","false"),"false")</f>
        <v>false</v>
      </c>
      <c r="T13" t="str">
        <f t="shared" si="0"/>
        <v>off</v>
      </c>
      <c r="Y13" t="str">
        <f>IF(BOM!$AE$4=FALSE,IF(ISERROR(SEARCH("Embrionix",BOM!$M$4)),"none",IF(ISERROR(SEARCH("Quadsplit",BOM!$N$4)),IF(ISERROR(SEARCH("rec",B13)),"none","merge"),"none")),IF(ISERROR(SEARCH("rec",B13)),"split","merge"))</f>
        <v>split</v>
      </c>
    </row>
    <row r="14" spans="1:25" x14ac:dyDescent="0.2">
      <c r="A14" t="s">
        <v>1238</v>
      </c>
      <c r="B14" t="s">
        <v>1264</v>
      </c>
      <c r="C14" t="str">
        <f>IFERROR(VLOOKUP(B14,'Sender-Receiver'!$B$3:$BP$1500,61,FALSE),"")</f>
        <v>#SNP</v>
      </c>
      <c r="D14" t="str">
        <f>IFERROR(VLOOKUP(B14,'Sender-Receiver'!$B$3:$BP$1500,41,FALSE),"")</f>
        <v xml:space="preserve"> |  | R401 HD1 Backup</v>
      </c>
      <c r="E14" t="s">
        <v>1240</v>
      </c>
      <c r="F14">
        <v>1</v>
      </c>
      <c r="G14" t="s">
        <v>1265</v>
      </c>
      <c r="M14" t="str">
        <f>IF(OR(BOM!$AE$4=FALSE,BOM!$AE$4="-"),IF(ISERROR(SEARCH("send",B14)),"","pool:TPC"),IF(ISERROR(SEARCH("send",B14)),"","pool:TPC|pool:TPC"))</f>
        <v>pool:TPC|pool:TPC</v>
      </c>
      <c r="S14" t="str">
        <f>IFERROR(IF(VLOOKUP(B14,'Sender-Receiver'!$B$3:$BP$1500,60,FALSE)="x","true","false"),"false")</f>
        <v>false</v>
      </c>
      <c r="T14" t="str">
        <f t="shared" si="0"/>
        <v>off</v>
      </c>
      <c r="Y14" t="str">
        <f>IF(BOM!$AE$4=FALSE,IF(ISERROR(SEARCH("Embrionix",BOM!$M$4)),"none",IF(ISERROR(SEARCH("Quadsplit",BOM!$N$4)),IF(ISERROR(SEARCH("rec",B14)),"none","merge"),"none")),IF(ISERROR(SEARCH("rec",B14)),"split","merge"))</f>
        <v>split</v>
      </c>
    </row>
    <row r="15" spans="1:25" x14ac:dyDescent="0.2">
      <c r="A15" t="s">
        <v>1238</v>
      </c>
      <c r="B15" t="s">
        <v>1266</v>
      </c>
      <c r="C15" t="str">
        <f>IFERROR(VLOOKUP(B15,'Sender-Receiver'!$B$3:$BP$1500,61,FALSE),"")</f>
        <v>#SNP</v>
      </c>
      <c r="D15" t="str">
        <f>IFERROR(VLOOKUP(B15,'Sender-Receiver'!$B$3:$BP$1500,41,FALSE),"")</f>
        <v xml:space="preserve"> |  | R401 HD1 Backup</v>
      </c>
      <c r="E15" t="s">
        <v>1240</v>
      </c>
      <c r="F15">
        <v>1</v>
      </c>
      <c r="G15" t="s">
        <v>1267</v>
      </c>
      <c r="M15" t="str">
        <f>IF(OR(BOM!$AE$4=FALSE,BOM!$AE$4="-"),IF(ISERROR(SEARCH("send",B15)),"","pool:TPC"),IF(ISERROR(SEARCH("send",B15)),"","pool:TPC|pool:TPC"))</f>
        <v>pool:TPC|pool:TPC</v>
      </c>
      <c r="S15" t="str">
        <f>IFERROR(IF(VLOOKUP(B15,'Sender-Receiver'!$B$3:$BP$1500,60,FALSE)="x","true","false"),"false")</f>
        <v>false</v>
      </c>
      <c r="T15" t="str">
        <f t="shared" si="0"/>
        <v>off</v>
      </c>
      <c r="Y15" t="str">
        <f>IF(BOM!$AE$4=FALSE,IF(ISERROR(SEARCH("Embrionix",BOM!$M$4)),"none",IF(ISERROR(SEARCH("Quadsplit",BOM!$N$4)),IF(ISERROR(SEARCH("rec",B15)),"none","merge"),"none")),IF(ISERROR(SEARCH("rec",B15)),"split","merge"))</f>
        <v>split</v>
      </c>
    </row>
    <row r="16" spans="1:25" x14ac:dyDescent="0.2">
      <c r="A16" t="s">
        <v>1238</v>
      </c>
      <c r="B16" t="s">
        <v>1268</v>
      </c>
      <c r="C16" t="str">
        <f>IFERROR(VLOOKUP(B16,'Sender-Receiver'!$B$3:$BP$1500,61,FALSE),"")</f>
        <v>#SNP</v>
      </c>
      <c r="D16" t="str">
        <f>IFERROR(VLOOKUP(B16,'Sender-Receiver'!$B$3:$BP$1500,41,FALSE),"")</f>
        <v xml:space="preserve"> |  | R401 HD1 Backup</v>
      </c>
      <c r="E16" t="s">
        <v>1240</v>
      </c>
      <c r="F16">
        <v>1</v>
      </c>
      <c r="G16" t="s">
        <v>1269</v>
      </c>
      <c r="M16" t="str">
        <f>IF(OR(BOM!$AE$4=FALSE,BOM!$AE$4="-"),IF(ISERROR(SEARCH("send",B16)),"","pool:TPC"),IF(ISERROR(SEARCH("send",B16)),"","pool:TPC|pool:TPC"))</f>
        <v>pool:TPC|pool:TPC</v>
      </c>
      <c r="S16" t="str">
        <f>IFERROR(IF(VLOOKUP(B16,'Sender-Receiver'!$B$3:$BP$1500,60,FALSE)="x","true","false"),"false")</f>
        <v>false</v>
      </c>
      <c r="T16" t="str">
        <f t="shared" si="0"/>
        <v>off</v>
      </c>
      <c r="Y16" t="str">
        <f>IF(BOM!$AE$4=FALSE,IF(ISERROR(SEARCH("Embrionix",BOM!$M$4)),"none",IF(ISERROR(SEARCH("Quadsplit",BOM!$N$4)),IF(ISERROR(SEARCH("rec",B16)),"none","merge"),"none")),IF(ISERROR(SEARCH("rec",B16)),"split","merge"))</f>
        <v>split</v>
      </c>
    </row>
    <row r="17" spans="1:25" x14ac:dyDescent="0.2">
      <c r="A17" t="s">
        <v>1238</v>
      </c>
      <c r="B17" t="s">
        <v>1270</v>
      </c>
      <c r="C17" t="str">
        <f>IFERROR(VLOOKUP(B17,'Sender-Receiver'!$B$3:$BP$1500,61,FALSE),"")</f>
        <v>Type:Aud_8CH_RAW,#SNP</v>
      </c>
      <c r="D17" t="str">
        <f>IFERROR(VLOOKUP(B17,'Sender-Receiver'!$B$3:$BP$1500,41,FALSE),"")</f>
        <v>PLAYOUT R401 | HD1 Backup-015 | R401 HD1 Backup</v>
      </c>
      <c r="E17" t="s">
        <v>1240</v>
      </c>
      <c r="F17">
        <v>1</v>
      </c>
      <c r="G17" t="s">
        <v>1271</v>
      </c>
      <c r="M17" t="str">
        <f>IF(OR(BOM!$AE$4=FALSE,BOM!$AE$4="-"),IF(ISERROR(SEARCH("send",B17)),"","pool:TPC"),IF(ISERROR(SEARCH("send",B17)),"","pool:TPC|pool:TPC"))</f>
        <v>pool:TPC|pool:TPC</v>
      </c>
      <c r="S17" t="str">
        <f>IFERROR(IF(VLOOKUP(B17,'Sender-Receiver'!$B$3:$BP$1500,60,FALSE)="x","true","false"),"false")</f>
        <v>true</v>
      </c>
      <c r="T17" t="str">
        <f t="shared" si="0"/>
        <v>full</v>
      </c>
      <c r="Y17" t="str">
        <f>IF(BOM!$AE$4=FALSE,IF(ISERROR(SEARCH("Embrionix",BOM!$M$4)),"none",IF(ISERROR(SEARCH("Quadsplit",BOM!$N$4)),IF(ISERROR(SEARCH("rec",B17)),"none","merge"),"none")),IF(ISERROR(SEARCH("rec",B17)),"split","merge"))</f>
        <v>split</v>
      </c>
    </row>
    <row r="18" spans="1:25" x14ac:dyDescent="0.2">
      <c r="A18" t="s">
        <v>1238</v>
      </c>
      <c r="B18" t="s">
        <v>1272</v>
      </c>
      <c r="C18" t="str">
        <f>IFERROR(VLOOKUP(B18,'Sender-Receiver'!$B$3:$BP$1500,61,FALSE),"")</f>
        <v>Type:Aud_8CH_RAW,#SNP</v>
      </c>
      <c r="D18" t="str">
        <f>IFERROR(VLOOKUP(B18,'Sender-Receiver'!$B$3:$BP$1500,41,FALSE),"")</f>
        <v>PLAYOUT R401 | HD1 Backup-016 | R401 HD1 Backup</v>
      </c>
      <c r="E18" t="s">
        <v>1240</v>
      </c>
      <c r="F18">
        <v>1</v>
      </c>
      <c r="G18" t="s">
        <v>1273</v>
      </c>
      <c r="M18" t="str">
        <f>IF(OR(BOM!$AE$4=FALSE,BOM!$AE$4="-"),IF(ISERROR(SEARCH("send",B18)),"","pool:TPC"),IF(ISERROR(SEARCH("send",B18)),"","pool:TPC|pool:TPC"))</f>
        <v>pool:TPC|pool:TPC</v>
      </c>
      <c r="S18" t="str">
        <f>IFERROR(IF(VLOOKUP(B18,'Sender-Receiver'!$B$3:$BP$1500,60,FALSE)="x","true","false"),"false")</f>
        <v>true</v>
      </c>
      <c r="T18" t="str">
        <f t="shared" si="0"/>
        <v>full</v>
      </c>
      <c r="Y18" t="str">
        <f>IF(BOM!$AE$4=FALSE,IF(ISERROR(SEARCH("Embrionix",BOM!$M$4)),"none",IF(ISERROR(SEARCH("Quadsplit",BOM!$N$4)),IF(ISERROR(SEARCH("rec",B18)),"none","merge"),"none")),IF(ISERROR(SEARCH("rec",B18)),"split","merge"))</f>
        <v>split</v>
      </c>
    </row>
    <row r="19" spans="1:25" x14ac:dyDescent="0.2">
      <c r="A19" t="s">
        <v>1238</v>
      </c>
      <c r="B19" t="s">
        <v>1274</v>
      </c>
      <c r="C19" t="str">
        <f>IFERROR(VLOOKUP(B19,'Sender-Receiver'!$B$3:$BP$1500,61,FALSE),"")</f>
        <v>Type:Anc_Prot,#SNP</v>
      </c>
      <c r="D19" t="str">
        <f>IFERROR(VLOOKUP(B19,'Sender-Receiver'!$B$3:$BP$1500,41,FALSE),"")</f>
        <v>PLAYOUT R401 | HD1 Backup-001 | R401 HD1 Backup</v>
      </c>
      <c r="E19" t="s">
        <v>1240</v>
      </c>
      <c r="F19">
        <v>1</v>
      </c>
      <c r="G19" t="s">
        <v>1275</v>
      </c>
      <c r="M19" t="str">
        <f>IF(OR(BOM!$AE$4=FALSE,BOM!$AE$4="-"),IF(ISERROR(SEARCH("send",B19)),"","pool:TPC"),IF(ISERROR(SEARCH("send",B19)),"","pool:TPC|pool:TPC"))</f>
        <v>pool:TPC|pool:TPC</v>
      </c>
      <c r="S19" t="str">
        <f>IFERROR(IF(VLOOKUP(B19,'Sender-Receiver'!$B$3:$BP$1500,60,FALSE)="x","true","false"),"false")</f>
        <v>true</v>
      </c>
      <c r="T19" t="str">
        <f t="shared" si="0"/>
        <v>full</v>
      </c>
      <c r="Y19" t="str">
        <f>IF(BOM!$AE$4=FALSE,IF(ISERROR(SEARCH("Embrionix",BOM!$M$4)),"none",IF(ISERROR(SEARCH("Quadsplit",BOM!$N$4)),IF(ISERROR(SEARCH("rec",B19)),"none","merge"),"none")),IF(ISERROR(SEARCH("rec",B19)),"split","merge"))</f>
        <v>split</v>
      </c>
    </row>
    <row r="20" spans="1:25" x14ac:dyDescent="0.2">
      <c r="A20" t="s">
        <v>1238</v>
      </c>
      <c r="B20" t="s">
        <v>1276</v>
      </c>
      <c r="C20" t="str">
        <f>IFERROR(VLOOKUP(B20,'Sender-Receiver'!$B$3:$BP$1500,61,FALSE),"")</f>
        <v>#SNP</v>
      </c>
      <c r="D20" t="str">
        <f>IFERROR(VLOOKUP(B20,'Sender-Receiver'!$B$3:$BP$1500,41,FALSE),"")</f>
        <v xml:space="preserve"> |  | R401 HD1 Backup</v>
      </c>
      <c r="E20" t="s">
        <v>1240</v>
      </c>
      <c r="F20">
        <v>1</v>
      </c>
      <c r="G20" t="s">
        <v>1277</v>
      </c>
      <c r="M20" t="str">
        <f>IF(OR(BOM!$AE$4=FALSE,BOM!$AE$4="-"),IF(ISERROR(SEARCH("send",B20)),"","pool:TPC"),IF(ISERROR(SEARCH("send",B20)),"","pool:TPC|pool:TPC"))</f>
        <v>pool:TPC|pool:TPC</v>
      </c>
      <c r="S20" t="str">
        <f>IFERROR(IF(VLOOKUP(B20,'Sender-Receiver'!$B$3:$BP$1500,60,FALSE)="x","true","false"),"false")</f>
        <v>false</v>
      </c>
      <c r="T20" t="str">
        <f t="shared" si="0"/>
        <v>off</v>
      </c>
      <c r="Y20" t="str">
        <f>IF(BOM!$AE$4=FALSE,IF(ISERROR(SEARCH("Embrionix",BOM!$M$4)),"none",IF(ISERROR(SEARCH("Quadsplit",BOM!$N$4)),IF(ISERROR(SEARCH("rec",B20)),"none","merge"),"none")),IF(ISERROR(SEARCH("rec",B20)),"split","merge"))</f>
        <v>split</v>
      </c>
    </row>
    <row r="21" spans="1:25" x14ac:dyDescent="0.2">
      <c r="A21" t="s">
        <v>1238</v>
      </c>
      <c r="B21" t="s">
        <v>1278</v>
      </c>
      <c r="C21" t="str">
        <f>IFERROR(VLOOKUP(B21,'Sender-Receiver'!$B$3:$BP$1500,61,FALSE),"")</f>
        <v>#SNP</v>
      </c>
      <c r="D21" t="str">
        <f>IFERROR(VLOOKUP(B21,'Sender-Receiver'!$B$3:$BP$1500,41,FALSE),"")</f>
        <v xml:space="preserve"> |  | R401 HD1 Backup</v>
      </c>
      <c r="E21" t="s">
        <v>1240</v>
      </c>
      <c r="F21">
        <v>1</v>
      </c>
      <c r="G21" t="s">
        <v>1279</v>
      </c>
      <c r="M21" t="str">
        <f>IF(OR(BOM!$AE$4=FALSE,BOM!$AE$4="-"),IF(ISERROR(SEARCH("send",B21)),"","pool:TPC"),IF(ISERROR(SEARCH("send",B21)),"","pool:TPC|pool:TPC"))</f>
        <v>pool:TPC|pool:TPC</v>
      </c>
      <c r="S21" t="str">
        <f>IFERROR(IF(VLOOKUP(B21,'Sender-Receiver'!$B$3:$BP$1500,60,FALSE)="x","true","false"),"false")</f>
        <v>false</v>
      </c>
      <c r="T21" t="str">
        <f t="shared" si="0"/>
        <v>off</v>
      </c>
      <c r="Y21" t="str">
        <f>IF(BOM!$AE$4=FALSE,IF(ISERROR(SEARCH("Embrionix",BOM!$M$4)),"none",IF(ISERROR(SEARCH("Quadsplit",BOM!$N$4)),IF(ISERROR(SEARCH("rec",B21)),"none","merge"),"none")),IF(ISERROR(SEARCH("rec",B21)),"split","merge"))</f>
        <v>split</v>
      </c>
    </row>
    <row r="22" spans="1:25" x14ac:dyDescent="0.2">
      <c r="A22" t="s">
        <v>1238</v>
      </c>
      <c r="B22" t="s">
        <v>1280</v>
      </c>
      <c r="C22" t="str">
        <f>IFERROR(VLOOKUP(B22,'Sender-Receiver'!$B$3:$BP$1500,61,FALSE),"")</f>
        <v>#SNP</v>
      </c>
      <c r="D22" t="str">
        <f>IFERROR(VLOOKUP(B22,'Sender-Receiver'!$B$3:$BP$1500,41,FALSE),"")</f>
        <v xml:space="preserve"> |  | R401 HD1 Backup</v>
      </c>
      <c r="E22" t="s">
        <v>1240</v>
      </c>
      <c r="F22">
        <v>1</v>
      </c>
      <c r="G22" t="s">
        <v>1281</v>
      </c>
      <c r="M22" t="str">
        <f>IF(OR(BOM!$AE$4=FALSE,BOM!$AE$4="-"),IF(ISERROR(SEARCH("send",B22)),"","pool:TPC"),IF(ISERROR(SEARCH("send",B22)),"","pool:TPC|pool:TPC"))</f>
        <v>pool:TPC|pool:TPC</v>
      </c>
      <c r="S22" t="str">
        <f>IFERROR(IF(VLOOKUP(B22,'Sender-Receiver'!$B$3:$BP$1500,60,FALSE)="x","true","false"),"false")</f>
        <v>false</v>
      </c>
      <c r="T22" t="str">
        <f t="shared" si="0"/>
        <v>off</v>
      </c>
      <c r="Y22" t="str">
        <f>IF(BOM!$AE$4=FALSE,IF(ISERROR(SEARCH("Embrionix",BOM!$M$4)),"none",IF(ISERROR(SEARCH("Quadsplit",BOM!$N$4)),IF(ISERROR(SEARCH("rec",B22)),"none","merge"),"none")),IF(ISERROR(SEARCH("rec",B22)),"split","merge"))</f>
        <v>split</v>
      </c>
    </row>
    <row r="23" spans="1:25" x14ac:dyDescent="0.2">
      <c r="A23" t="s">
        <v>1238</v>
      </c>
      <c r="B23" t="s">
        <v>1282</v>
      </c>
      <c r="C23" t="str">
        <f>IFERROR(VLOOKUP(B23,'Sender-Receiver'!$B$3:$BP$1500,61,FALSE),"")</f>
        <v>Type:Vid_1080i50,#SNP</v>
      </c>
      <c r="D23" t="str">
        <f>IFERROR(VLOOKUP(B23,'Sender-Receiver'!$B$3:$BP$1500,41,FALSE),"")</f>
        <v>PLAYOUT R401 | HD2 Backup | R401 HD2 Backup</v>
      </c>
      <c r="E23" t="s">
        <v>1240</v>
      </c>
      <c r="F23">
        <v>2</v>
      </c>
      <c r="G23" t="s">
        <v>1283</v>
      </c>
      <c r="M23" t="str">
        <f>IF(OR(BOM!$AE$4=FALSE,BOM!$AE$4="-"),IF(ISERROR(SEARCH("send",B23)),"","pool:TPC"),IF(ISERROR(SEARCH("send",B23)),"","pool:TPC|pool:TPC"))</f>
        <v>pool:TPC|pool:TPC</v>
      </c>
      <c r="S23" t="str">
        <f>IFERROR(IF(VLOOKUP(B23,'Sender-Receiver'!$B$3:$BP$1500,60,FALSE)="x","true","false"),"false")</f>
        <v>true</v>
      </c>
      <c r="T23" t="str">
        <f t="shared" si="0"/>
        <v>full</v>
      </c>
      <c r="Y23" t="str">
        <f>IF(BOM!$AE$4=FALSE,IF(ISERROR(SEARCH("Embrionix",BOM!$M$4)),"none",IF(ISERROR(SEARCH("Quadsplit",BOM!$N$4)),IF(ISERROR(SEARCH("rec",B23)),"none","merge"),"none")),IF(ISERROR(SEARCH("rec",B23)),"split","merge"))</f>
        <v>split</v>
      </c>
    </row>
    <row r="24" spans="1:25" x14ac:dyDescent="0.2">
      <c r="A24" t="s">
        <v>1238</v>
      </c>
      <c r="B24" t="s">
        <v>1284</v>
      </c>
      <c r="C24" t="str">
        <f>IFERROR(VLOOKUP(B24,'Sender-Receiver'!$B$3:$BP$1500,61,FALSE),"")</f>
        <v>Type:Aud_2CH_LR,#SNP</v>
      </c>
      <c r="D24" t="str">
        <f>IFERROR(VLOOKUP(B24,'Sender-Receiver'!$B$3:$BP$1500,41,FALSE),"")</f>
        <v>PLAYOUT R401 | HD2 Backup-001 | R401 HD2 Backup</v>
      </c>
      <c r="E24" t="s">
        <v>1240</v>
      </c>
      <c r="F24">
        <v>2</v>
      </c>
      <c r="G24" t="s">
        <v>1285</v>
      </c>
      <c r="M24" t="str">
        <f>IF(OR(BOM!$AE$4=FALSE,BOM!$AE$4="-"),IF(ISERROR(SEARCH("send",B24)),"","pool:TPC"),IF(ISERROR(SEARCH("send",B24)),"","pool:TPC|pool:TPC"))</f>
        <v>pool:TPC|pool:TPC</v>
      </c>
      <c r="S24" t="str">
        <f>IFERROR(IF(VLOOKUP(B24,'Sender-Receiver'!$B$3:$BP$1500,60,FALSE)="x","true","false"),"false")</f>
        <v>true</v>
      </c>
      <c r="T24" t="str">
        <f t="shared" si="0"/>
        <v>full</v>
      </c>
      <c r="Y24" t="str">
        <f>IF(BOM!$AE$4=FALSE,IF(ISERROR(SEARCH("Embrionix",BOM!$M$4)),"none",IF(ISERROR(SEARCH("Quadsplit",BOM!$N$4)),IF(ISERROR(SEARCH("rec",B24)),"none","merge"),"none")),IF(ISERROR(SEARCH("rec",B24)),"split","merge"))</f>
        <v>split</v>
      </c>
    </row>
    <row r="25" spans="1:25" x14ac:dyDescent="0.2">
      <c r="A25" t="s">
        <v>1238</v>
      </c>
      <c r="B25" t="s">
        <v>1286</v>
      </c>
      <c r="C25" t="str">
        <f>IFERROR(VLOOKUP(B25,'Sender-Receiver'!$B$3:$BP$1500,61,FALSE),"")</f>
        <v>Type:Aud_1CH_M,#SNP</v>
      </c>
      <c r="D25" t="str">
        <f>IFERROR(VLOOKUP(B25,'Sender-Receiver'!$B$3:$BP$1500,41,FALSE),"")</f>
        <v>PLAYOUT R401 | HD2 Backup-002 | R401 HD2 Backup</v>
      </c>
      <c r="E25" t="s">
        <v>1240</v>
      </c>
      <c r="F25">
        <v>2</v>
      </c>
      <c r="G25" t="s">
        <v>1287</v>
      </c>
      <c r="M25" t="str">
        <f>IF(OR(BOM!$AE$4=FALSE,BOM!$AE$4="-"),IF(ISERROR(SEARCH("send",B25)),"","pool:TPC"),IF(ISERROR(SEARCH("send",B25)),"","pool:TPC|pool:TPC"))</f>
        <v>pool:TPC|pool:TPC</v>
      </c>
      <c r="S25" t="str">
        <f>IFERROR(IF(VLOOKUP(B25,'Sender-Receiver'!$B$3:$BP$1500,60,FALSE)="x","true","false"),"false")</f>
        <v>true</v>
      </c>
      <c r="T25" t="str">
        <f t="shared" si="0"/>
        <v>full</v>
      </c>
      <c r="Y25" t="str">
        <f>IF(BOM!$AE$4=FALSE,IF(ISERROR(SEARCH("Embrionix",BOM!$M$4)),"none",IF(ISERROR(SEARCH("Quadsplit",BOM!$N$4)),IF(ISERROR(SEARCH("rec",B25)),"none","merge"),"none")),IF(ISERROR(SEARCH("rec",B25)),"split","merge"))</f>
        <v>split</v>
      </c>
    </row>
    <row r="26" spans="1:25" x14ac:dyDescent="0.2">
      <c r="A26" t="s">
        <v>1238</v>
      </c>
      <c r="B26" t="s">
        <v>1288</v>
      </c>
      <c r="C26" t="str">
        <f>IFERROR(VLOOKUP(B26,'Sender-Receiver'!$B$3:$BP$1500,61,FALSE),"")</f>
        <v>Type:Aud_1CH_M,#SNP</v>
      </c>
      <c r="D26" t="str">
        <f>IFERROR(VLOOKUP(B26,'Sender-Receiver'!$B$3:$BP$1500,41,FALSE),"")</f>
        <v>PLAYOUT R401 | HD2 Backup-003 | R401 HD2 Backup</v>
      </c>
      <c r="E26" t="s">
        <v>1240</v>
      </c>
      <c r="F26">
        <v>2</v>
      </c>
      <c r="G26" t="s">
        <v>1289</v>
      </c>
      <c r="M26" t="str">
        <f>IF(OR(BOM!$AE$4=FALSE,BOM!$AE$4="-"),IF(ISERROR(SEARCH("send",B26)),"","pool:TPC"),IF(ISERROR(SEARCH("send",B26)),"","pool:TPC|pool:TPC"))</f>
        <v>pool:TPC|pool:TPC</v>
      </c>
      <c r="S26" t="str">
        <f>IFERROR(IF(VLOOKUP(B26,'Sender-Receiver'!$B$3:$BP$1500,60,FALSE)="x","true","false"),"false")</f>
        <v>true</v>
      </c>
      <c r="T26" t="str">
        <f t="shared" si="0"/>
        <v>full</v>
      </c>
      <c r="Y26" t="str">
        <f>IF(BOM!$AE$4=FALSE,IF(ISERROR(SEARCH("Embrionix",BOM!$M$4)),"none",IF(ISERROR(SEARCH("Quadsplit",BOM!$N$4)),IF(ISERROR(SEARCH("rec",B26)),"none","merge"),"none")),IF(ISERROR(SEARCH("rec",B26)),"split","merge"))</f>
        <v>split</v>
      </c>
    </row>
    <row r="27" spans="1:25" x14ac:dyDescent="0.2">
      <c r="A27" t="s">
        <v>1238</v>
      </c>
      <c r="B27" t="s">
        <v>1290</v>
      </c>
      <c r="C27" t="str">
        <f>IFERROR(VLOOKUP(B27,'Sender-Receiver'!$B$3:$BP$1500,61,FALSE),"")</f>
        <v>Type:Aud_2CH_LR,#SNP</v>
      </c>
      <c r="D27" t="str">
        <f>IFERROR(VLOOKUP(B27,'Sender-Receiver'!$B$3:$BP$1500,41,FALSE),"")</f>
        <v>PLAYOUT R401 | HD2 Backup-004 | R401 HD2 Backup</v>
      </c>
      <c r="E27" t="s">
        <v>1240</v>
      </c>
      <c r="F27">
        <v>2</v>
      </c>
      <c r="G27" t="s">
        <v>1291</v>
      </c>
      <c r="M27" t="str">
        <f>IF(OR(BOM!$AE$4=FALSE,BOM!$AE$4="-"),IF(ISERROR(SEARCH("send",B27)),"","pool:TPC"),IF(ISERROR(SEARCH("send",B27)),"","pool:TPC|pool:TPC"))</f>
        <v>pool:TPC|pool:TPC</v>
      </c>
      <c r="S27" t="str">
        <f>IFERROR(IF(VLOOKUP(B27,'Sender-Receiver'!$B$3:$BP$1500,60,FALSE)="x","true","false"),"false")</f>
        <v>true</v>
      </c>
      <c r="T27" t="str">
        <f t="shared" si="0"/>
        <v>full</v>
      </c>
      <c r="Y27" t="str">
        <f>IF(BOM!$AE$4=FALSE,IF(ISERROR(SEARCH("Embrionix",BOM!$M$4)),"none",IF(ISERROR(SEARCH("Quadsplit",BOM!$N$4)),IF(ISERROR(SEARCH("rec",B27)),"none","merge"),"none")),IF(ISERROR(SEARCH("rec",B27)),"split","merge"))</f>
        <v>split</v>
      </c>
    </row>
    <row r="28" spans="1:25" x14ac:dyDescent="0.2">
      <c r="A28" t="s">
        <v>1238</v>
      </c>
      <c r="B28" t="s">
        <v>1292</v>
      </c>
      <c r="C28" t="str">
        <f>IFERROR(VLOOKUP(B28,'Sender-Receiver'!$B$3:$BP$1500,61,FALSE),"")</f>
        <v>Type:Aud_1CH_M,#SNP</v>
      </c>
      <c r="D28" t="str">
        <f>IFERROR(VLOOKUP(B28,'Sender-Receiver'!$B$3:$BP$1500,41,FALSE),"")</f>
        <v>PLAYOUT R401 | HD2 Backup-005 | R401 HD2 Backup</v>
      </c>
      <c r="E28" t="s">
        <v>1240</v>
      </c>
      <c r="F28">
        <v>2</v>
      </c>
      <c r="G28" t="s">
        <v>1293</v>
      </c>
      <c r="M28" t="str">
        <f>IF(OR(BOM!$AE$4=FALSE,BOM!$AE$4="-"),IF(ISERROR(SEARCH("send",B28)),"","pool:TPC"),IF(ISERROR(SEARCH("send",B28)),"","pool:TPC|pool:TPC"))</f>
        <v>pool:TPC|pool:TPC</v>
      </c>
      <c r="S28" t="str">
        <f>IFERROR(IF(VLOOKUP(B28,'Sender-Receiver'!$B$3:$BP$1500,60,FALSE)="x","true","false"),"false")</f>
        <v>true</v>
      </c>
      <c r="T28" t="str">
        <f t="shared" si="0"/>
        <v>full</v>
      </c>
      <c r="Y28" t="str">
        <f>IF(BOM!$AE$4=FALSE,IF(ISERROR(SEARCH("Embrionix",BOM!$M$4)),"none",IF(ISERROR(SEARCH("Quadsplit",BOM!$N$4)),IF(ISERROR(SEARCH("rec",B28)),"none","merge"),"none")),IF(ISERROR(SEARCH("rec",B28)),"split","merge"))</f>
        <v>split</v>
      </c>
    </row>
    <row r="29" spans="1:25" x14ac:dyDescent="0.2">
      <c r="A29" t="s">
        <v>1238</v>
      </c>
      <c r="B29" t="s">
        <v>1294</v>
      </c>
      <c r="C29" t="str">
        <f>IFERROR(VLOOKUP(B29,'Sender-Receiver'!$B$3:$BP$1500,61,FALSE),"")</f>
        <v>Type:Aud_1CH_M,#SNP</v>
      </c>
      <c r="D29" t="str">
        <f>IFERROR(VLOOKUP(B29,'Sender-Receiver'!$B$3:$BP$1500,41,FALSE),"")</f>
        <v>PLAYOUT R401 | HD2 Backup-006 | R401 HD2 Backup</v>
      </c>
      <c r="E29" t="s">
        <v>1240</v>
      </c>
      <c r="F29">
        <v>2</v>
      </c>
      <c r="G29" t="s">
        <v>1295</v>
      </c>
      <c r="M29" t="str">
        <f>IF(OR(BOM!$AE$4=FALSE,BOM!$AE$4="-"),IF(ISERROR(SEARCH("send",B29)),"","pool:TPC"),IF(ISERROR(SEARCH("send",B29)),"","pool:TPC|pool:TPC"))</f>
        <v>pool:TPC|pool:TPC</v>
      </c>
      <c r="S29" t="str">
        <f>IFERROR(IF(VLOOKUP(B29,'Sender-Receiver'!$B$3:$BP$1500,60,FALSE)="x","true","false"),"false")</f>
        <v>true</v>
      </c>
      <c r="T29" t="str">
        <f t="shared" si="0"/>
        <v>full</v>
      </c>
      <c r="Y29" t="str">
        <f>IF(BOM!$AE$4=FALSE,IF(ISERROR(SEARCH("Embrionix",BOM!$M$4)),"none",IF(ISERROR(SEARCH("Quadsplit",BOM!$N$4)),IF(ISERROR(SEARCH("rec",B29)),"none","merge"),"none")),IF(ISERROR(SEARCH("rec",B29)),"split","merge"))</f>
        <v>split</v>
      </c>
    </row>
    <row r="30" spans="1:25" x14ac:dyDescent="0.2">
      <c r="A30" t="s">
        <v>1238</v>
      </c>
      <c r="B30" t="s">
        <v>1296</v>
      </c>
      <c r="C30" t="str">
        <f>IFERROR(VLOOKUP(B30,'Sender-Receiver'!$B$3:$BP$1500,61,FALSE),"")</f>
        <v>Type:Aud_2CH_LR,#SNP</v>
      </c>
      <c r="D30" t="str">
        <f>IFERROR(VLOOKUP(B30,'Sender-Receiver'!$B$3:$BP$1500,41,FALSE),"")</f>
        <v>PLAYOUT R401 | HD2 Backup-007 | R401 HD2 Backup</v>
      </c>
      <c r="E30" t="s">
        <v>1240</v>
      </c>
      <c r="F30">
        <v>2</v>
      </c>
      <c r="G30" t="s">
        <v>1297</v>
      </c>
      <c r="M30" t="str">
        <f>IF(OR(BOM!$AE$4=FALSE,BOM!$AE$4="-"),IF(ISERROR(SEARCH("send",B30)),"","pool:TPC"),IF(ISERROR(SEARCH("send",B30)),"","pool:TPC|pool:TPC"))</f>
        <v>pool:TPC|pool:TPC</v>
      </c>
      <c r="S30" t="str">
        <f>IFERROR(IF(VLOOKUP(B30,'Sender-Receiver'!$B$3:$BP$1500,60,FALSE)="x","true","false"),"false")</f>
        <v>true</v>
      </c>
      <c r="T30" t="str">
        <f t="shared" si="0"/>
        <v>full</v>
      </c>
      <c r="Y30" t="str">
        <f>IF(BOM!$AE$4=FALSE,IF(ISERROR(SEARCH("Embrionix",BOM!$M$4)),"none",IF(ISERROR(SEARCH("Quadsplit",BOM!$N$4)),IF(ISERROR(SEARCH("rec",B30)),"none","merge"),"none")),IF(ISERROR(SEARCH("rec",B30)),"split","merge"))</f>
        <v>split</v>
      </c>
    </row>
    <row r="31" spans="1:25" x14ac:dyDescent="0.2">
      <c r="A31" t="s">
        <v>1238</v>
      </c>
      <c r="B31" t="s">
        <v>1298</v>
      </c>
      <c r="C31" t="str">
        <f>IFERROR(VLOOKUP(B31,'Sender-Receiver'!$B$3:$BP$1500,61,FALSE),"")</f>
        <v>Type:Aud_6CH_5.1,#SNP</v>
      </c>
      <c r="D31" t="str">
        <f>IFERROR(VLOOKUP(B31,'Sender-Receiver'!$B$3:$BP$1500,41,FALSE),"")</f>
        <v>PLAYOUT R401 | HD2 Backup-008 | R401 HD2 Backup</v>
      </c>
      <c r="E31" t="s">
        <v>1240</v>
      </c>
      <c r="F31">
        <v>2</v>
      </c>
      <c r="G31" t="s">
        <v>1299</v>
      </c>
      <c r="M31" t="str">
        <f>IF(OR(BOM!$AE$4=FALSE,BOM!$AE$4="-"),IF(ISERROR(SEARCH("send",B31)),"","pool:TPC"),IF(ISERROR(SEARCH("send",B31)),"","pool:TPC|pool:TPC"))</f>
        <v>pool:TPC|pool:TPC</v>
      </c>
      <c r="S31" t="str">
        <f>IFERROR(IF(VLOOKUP(B31,'Sender-Receiver'!$B$3:$BP$1500,60,FALSE)="x","true","false"),"false")</f>
        <v>true</v>
      </c>
      <c r="T31" t="str">
        <f t="shared" si="0"/>
        <v>full</v>
      </c>
      <c r="Y31" t="str">
        <f>IF(BOM!$AE$4=FALSE,IF(ISERROR(SEARCH("Embrionix",BOM!$M$4)),"none",IF(ISERROR(SEARCH("Quadsplit",BOM!$N$4)),IF(ISERROR(SEARCH("rec",B31)),"none","merge"),"none")),IF(ISERROR(SEARCH("rec",B31)),"split","merge"))</f>
        <v>split</v>
      </c>
    </row>
    <row r="32" spans="1:25" x14ac:dyDescent="0.2">
      <c r="A32" t="s">
        <v>1238</v>
      </c>
      <c r="B32" t="s">
        <v>1300</v>
      </c>
      <c r="C32" t="str">
        <f>IFERROR(VLOOKUP(B32,'Sender-Receiver'!$B$3:$BP$1500,61,FALSE),"")</f>
        <v>#SNP</v>
      </c>
      <c r="D32" t="str">
        <f>IFERROR(VLOOKUP(B32,'Sender-Receiver'!$B$3:$BP$1500,41,FALSE),"")</f>
        <v xml:space="preserve"> |  | R401 HD2 Backup</v>
      </c>
      <c r="E32" t="s">
        <v>1240</v>
      </c>
      <c r="F32">
        <v>2</v>
      </c>
      <c r="G32" t="s">
        <v>1301</v>
      </c>
      <c r="M32" t="str">
        <f>IF(OR(BOM!$AE$4=FALSE,BOM!$AE$4="-"),IF(ISERROR(SEARCH("send",B32)),"","pool:TPC"),IF(ISERROR(SEARCH("send",B32)),"","pool:TPC|pool:TPC"))</f>
        <v>pool:TPC|pool:TPC</v>
      </c>
      <c r="S32" t="str">
        <f>IFERROR(IF(VLOOKUP(B32,'Sender-Receiver'!$B$3:$BP$1500,60,FALSE)="x","true","false"),"false")</f>
        <v>false</v>
      </c>
      <c r="T32" t="str">
        <f t="shared" si="0"/>
        <v>off</v>
      </c>
      <c r="Y32" t="str">
        <f>IF(BOM!$AE$4=FALSE,IF(ISERROR(SEARCH("Embrionix",BOM!$M$4)),"none",IF(ISERROR(SEARCH("Quadsplit",BOM!$N$4)),IF(ISERROR(SEARCH("rec",B32)),"none","merge"),"none")),IF(ISERROR(SEARCH("rec",B32)),"split","merge"))</f>
        <v>split</v>
      </c>
    </row>
    <row r="33" spans="1:25" x14ac:dyDescent="0.2">
      <c r="A33" t="s">
        <v>1238</v>
      </c>
      <c r="B33" t="s">
        <v>1302</v>
      </c>
      <c r="C33" t="str">
        <f>IFERROR(VLOOKUP(B33,'Sender-Receiver'!$B$3:$BP$1500,61,FALSE),"")</f>
        <v>#SNP</v>
      </c>
      <c r="D33" t="str">
        <f>IFERROR(VLOOKUP(B33,'Sender-Receiver'!$B$3:$BP$1500,41,FALSE),"")</f>
        <v xml:space="preserve"> |  | R401 HD2 Backup</v>
      </c>
      <c r="E33" t="s">
        <v>1240</v>
      </c>
      <c r="F33">
        <v>2</v>
      </c>
      <c r="G33" t="s">
        <v>1303</v>
      </c>
      <c r="M33" t="str">
        <f>IF(OR(BOM!$AE$4=FALSE,BOM!$AE$4="-"),IF(ISERROR(SEARCH("send",B33)),"","pool:TPC"),IF(ISERROR(SEARCH("send",B33)),"","pool:TPC|pool:TPC"))</f>
        <v>pool:TPC|pool:TPC</v>
      </c>
      <c r="S33" t="str">
        <f>IFERROR(IF(VLOOKUP(B33,'Sender-Receiver'!$B$3:$BP$1500,60,FALSE)="x","true","false"),"false")</f>
        <v>false</v>
      </c>
      <c r="T33" t="str">
        <f t="shared" si="0"/>
        <v>off</v>
      </c>
      <c r="Y33" t="str">
        <f>IF(BOM!$AE$4=FALSE,IF(ISERROR(SEARCH("Embrionix",BOM!$M$4)),"none",IF(ISERROR(SEARCH("Quadsplit",BOM!$N$4)),IF(ISERROR(SEARCH("rec",B33)),"none","merge"),"none")),IF(ISERROR(SEARCH("rec",B33)),"split","merge"))</f>
        <v>split</v>
      </c>
    </row>
    <row r="34" spans="1:25" x14ac:dyDescent="0.2">
      <c r="A34" t="s">
        <v>1238</v>
      </c>
      <c r="B34" t="s">
        <v>1304</v>
      </c>
      <c r="C34" t="str">
        <f>IFERROR(VLOOKUP(B34,'Sender-Receiver'!$B$3:$BP$1500,61,FALSE),"")</f>
        <v>#SNP</v>
      </c>
      <c r="D34" t="str">
        <f>IFERROR(VLOOKUP(B34,'Sender-Receiver'!$B$3:$BP$1500,41,FALSE),"")</f>
        <v xml:space="preserve"> |  | R401 HD2 Backup</v>
      </c>
      <c r="E34" t="s">
        <v>1240</v>
      </c>
      <c r="F34">
        <v>2</v>
      </c>
      <c r="G34" t="s">
        <v>1305</v>
      </c>
      <c r="M34" t="str">
        <f>IF(OR(BOM!$AE$4=FALSE,BOM!$AE$4="-"),IF(ISERROR(SEARCH("send",B34)),"","pool:TPC"),IF(ISERROR(SEARCH("send",B34)),"","pool:TPC|pool:TPC"))</f>
        <v>pool:TPC|pool:TPC</v>
      </c>
      <c r="S34" t="str">
        <f>IFERROR(IF(VLOOKUP(B34,'Sender-Receiver'!$B$3:$BP$1500,60,FALSE)="x","true","false"),"false")</f>
        <v>false</v>
      </c>
      <c r="T34" t="str">
        <f t="shared" si="0"/>
        <v>off</v>
      </c>
      <c r="Y34" t="str">
        <f>IF(BOM!$AE$4=FALSE,IF(ISERROR(SEARCH("Embrionix",BOM!$M$4)),"none",IF(ISERROR(SEARCH("Quadsplit",BOM!$N$4)),IF(ISERROR(SEARCH("rec",B34)),"none","merge"),"none")),IF(ISERROR(SEARCH("rec",B34)),"split","merge"))</f>
        <v>split</v>
      </c>
    </row>
    <row r="35" spans="1:25" x14ac:dyDescent="0.2">
      <c r="A35" t="s">
        <v>1238</v>
      </c>
      <c r="B35" t="s">
        <v>1306</v>
      </c>
      <c r="C35" t="str">
        <f>IFERROR(VLOOKUP(B35,'Sender-Receiver'!$B$3:$BP$1500,61,FALSE),"")</f>
        <v>#SNP</v>
      </c>
      <c r="D35" t="str">
        <f>IFERROR(VLOOKUP(B35,'Sender-Receiver'!$B$3:$BP$1500,41,FALSE),"")</f>
        <v xml:space="preserve"> |  | R401 HD2 Backup</v>
      </c>
      <c r="E35" t="s">
        <v>1240</v>
      </c>
      <c r="F35">
        <v>2</v>
      </c>
      <c r="G35" t="s">
        <v>1307</v>
      </c>
      <c r="M35" t="str">
        <f>IF(OR(BOM!$AE$4=FALSE,BOM!$AE$4="-"),IF(ISERROR(SEARCH("send",B35)),"","pool:TPC"),IF(ISERROR(SEARCH("send",B35)),"","pool:TPC|pool:TPC"))</f>
        <v>pool:TPC|pool:TPC</v>
      </c>
      <c r="S35" t="str">
        <f>IFERROR(IF(VLOOKUP(B35,'Sender-Receiver'!$B$3:$BP$1500,60,FALSE)="x","true","false"),"false")</f>
        <v>false</v>
      </c>
      <c r="T35" t="str">
        <f t="shared" si="0"/>
        <v>off</v>
      </c>
      <c r="Y35" t="str">
        <f>IF(BOM!$AE$4=FALSE,IF(ISERROR(SEARCH("Embrionix",BOM!$M$4)),"none",IF(ISERROR(SEARCH("Quadsplit",BOM!$N$4)),IF(ISERROR(SEARCH("rec",B35)),"none","merge"),"none")),IF(ISERROR(SEARCH("rec",B35)),"split","merge"))</f>
        <v>split</v>
      </c>
    </row>
    <row r="36" spans="1:25" x14ac:dyDescent="0.2">
      <c r="A36" t="s">
        <v>1238</v>
      </c>
      <c r="B36" t="s">
        <v>1308</v>
      </c>
      <c r="C36" t="str">
        <f>IFERROR(VLOOKUP(B36,'Sender-Receiver'!$B$3:$BP$1500,61,FALSE),"")</f>
        <v>#SNP</v>
      </c>
      <c r="D36" t="str">
        <f>IFERROR(VLOOKUP(B36,'Sender-Receiver'!$B$3:$BP$1500,41,FALSE),"")</f>
        <v xml:space="preserve"> |  | R401 HD2 Backup</v>
      </c>
      <c r="E36" t="s">
        <v>1240</v>
      </c>
      <c r="F36">
        <v>2</v>
      </c>
      <c r="G36" t="s">
        <v>1309</v>
      </c>
      <c r="M36" t="str">
        <f>IF(OR(BOM!$AE$4=FALSE,BOM!$AE$4="-"),IF(ISERROR(SEARCH("send",B36)),"","pool:TPC"),IF(ISERROR(SEARCH("send",B36)),"","pool:TPC|pool:TPC"))</f>
        <v>pool:TPC|pool:TPC</v>
      </c>
      <c r="S36" t="str">
        <f>IFERROR(IF(VLOOKUP(B36,'Sender-Receiver'!$B$3:$BP$1500,60,FALSE)="x","true","false"),"false")</f>
        <v>false</v>
      </c>
      <c r="T36" t="str">
        <f t="shared" si="0"/>
        <v>off</v>
      </c>
      <c r="Y36" t="str">
        <f>IF(BOM!$AE$4=FALSE,IF(ISERROR(SEARCH("Embrionix",BOM!$M$4)),"none",IF(ISERROR(SEARCH("Quadsplit",BOM!$N$4)),IF(ISERROR(SEARCH("rec",B36)),"none","merge"),"none")),IF(ISERROR(SEARCH("rec",B36)),"split","merge"))</f>
        <v>split</v>
      </c>
    </row>
    <row r="37" spans="1:25" x14ac:dyDescent="0.2">
      <c r="A37" t="s">
        <v>1238</v>
      </c>
      <c r="B37" t="s">
        <v>1310</v>
      </c>
      <c r="C37" t="str">
        <f>IFERROR(VLOOKUP(B37,'Sender-Receiver'!$B$3:$BP$1500,61,FALSE),"")</f>
        <v>#SNP</v>
      </c>
      <c r="D37" t="str">
        <f>IFERROR(VLOOKUP(B37,'Sender-Receiver'!$B$3:$BP$1500,41,FALSE),"")</f>
        <v xml:space="preserve"> |  | R401 HD2 Backup</v>
      </c>
      <c r="E37" t="s">
        <v>1240</v>
      </c>
      <c r="F37">
        <v>2</v>
      </c>
      <c r="G37" t="s">
        <v>1311</v>
      </c>
      <c r="M37" t="str">
        <f>IF(OR(BOM!$AE$4=FALSE,BOM!$AE$4="-"),IF(ISERROR(SEARCH("send",B37)),"","pool:TPC"),IF(ISERROR(SEARCH("send",B37)),"","pool:TPC|pool:TPC"))</f>
        <v>pool:TPC|pool:TPC</v>
      </c>
      <c r="S37" t="str">
        <f>IFERROR(IF(VLOOKUP(B37,'Sender-Receiver'!$B$3:$BP$1500,60,FALSE)="x","true","false"),"false")</f>
        <v>false</v>
      </c>
      <c r="T37" t="str">
        <f t="shared" si="0"/>
        <v>off</v>
      </c>
      <c r="Y37" t="str">
        <f>IF(BOM!$AE$4=FALSE,IF(ISERROR(SEARCH("Embrionix",BOM!$M$4)),"none",IF(ISERROR(SEARCH("Quadsplit",BOM!$N$4)),IF(ISERROR(SEARCH("rec",B37)),"none","merge"),"none")),IF(ISERROR(SEARCH("rec",B37)),"split","merge"))</f>
        <v>split</v>
      </c>
    </row>
    <row r="38" spans="1:25" x14ac:dyDescent="0.2">
      <c r="A38" t="s">
        <v>1238</v>
      </c>
      <c r="B38" t="s">
        <v>1312</v>
      </c>
      <c r="C38" t="str">
        <f>IFERROR(VLOOKUP(B38,'Sender-Receiver'!$B$3:$BP$1500,61,FALSE),"")</f>
        <v>Type:Aud_8CH_RAW,#SNP</v>
      </c>
      <c r="D38" t="str">
        <f>IFERROR(VLOOKUP(B38,'Sender-Receiver'!$B$3:$BP$1500,41,FALSE),"")</f>
        <v>PLAYOUT R401 | HD2 Backup-015 | R401 HD2 Backup</v>
      </c>
      <c r="E38" t="s">
        <v>1240</v>
      </c>
      <c r="F38">
        <v>2</v>
      </c>
      <c r="G38" t="s">
        <v>1313</v>
      </c>
      <c r="M38" t="str">
        <f>IF(OR(BOM!$AE$4=FALSE,BOM!$AE$4="-"),IF(ISERROR(SEARCH("send",B38)),"","pool:TPC"),IF(ISERROR(SEARCH("send",B38)),"","pool:TPC|pool:TPC"))</f>
        <v>pool:TPC|pool:TPC</v>
      </c>
      <c r="S38" t="str">
        <f>IFERROR(IF(VLOOKUP(B38,'Sender-Receiver'!$B$3:$BP$1500,60,FALSE)="x","true","false"),"false")</f>
        <v>true</v>
      </c>
      <c r="T38" t="str">
        <f t="shared" si="0"/>
        <v>full</v>
      </c>
      <c r="Y38" t="str">
        <f>IF(BOM!$AE$4=FALSE,IF(ISERROR(SEARCH("Embrionix",BOM!$M$4)),"none",IF(ISERROR(SEARCH("Quadsplit",BOM!$N$4)),IF(ISERROR(SEARCH("rec",B38)),"none","merge"),"none")),IF(ISERROR(SEARCH("rec",B38)),"split","merge"))</f>
        <v>split</v>
      </c>
    </row>
    <row r="39" spans="1:25" x14ac:dyDescent="0.2">
      <c r="A39" t="s">
        <v>1238</v>
      </c>
      <c r="B39" t="s">
        <v>1314</v>
      </c>
      <c r="C39" t="str">
        <f>IFERROR(VLOOKUP(B39,'Sender-Receiver'!$B$3:$BP$1500,61,FALSE),"")</f>
        <v>Type:Aud_8CH_RAW,#SNP</v>
      </c>
      <c r="D39" t="str">
        <f>IFERROR(VLOOKUP(B39,'Sender-Receiver'!$B$3:$BP$1500,41,FALSE),"")</f>
        <v>PLAYOUT R401 | HD2 Backup-016 | R401 HD2 Backup</v>
      </c>
      <c r="E39" t="s">
        <v>1240</v>
      </c>
      <c r="F39">
        <v>2</v>
      </c>
      <c r="G39" t="s">
        <v>1315</v>
      </c>
      <c r="M39" t="str">
        <f>IF(OR(BOM!$AE$4=FALSE,BOM!$AE$4="-"),IF(ISERROR(SEARCH("send",B39)),"","pool:TPC"),IF(ISERROR(SEARCH("send",B39)),"","pool:TPC|pool:TPC"))</f>
        <v>pool:TPC|pool:TPC</v>
      </c>
      <c r="S39" t="str">
        <f>IFERROR(IF(VLOOKUP(B39,'Sender-Receiver'!$B$3:$BP$1500,60,FALSE)="x","true","false"),"false")</f>
        <v>true</v>
      </c>
      <c r="T39" t="str">
        <f t="shared" si="0"/>
        <v>full</v>
      </c>
      <c r="Y39" t="str">
        <f>IF(BOM!$AE$4=FALSE,IF(ISERROR(SEARCH("Embrionix",BOM!$M$4)),"none",IF(ISERROR(SEARCH("Quadsplit",BOM!$N$4)),IF(ISERROR(SEARCH("rec",B39)),"none","merge"),"none")),IF(ISERROR(SEARCH("rec",B39)),"split","merge"))</f>
        <v>split</v>
      </c>
    </row>
    <row r="40" spans="1:25" x14ac:dyDescent="0.2">
      <c r="A40" t="s">
        <v>1238</v>
      </c>
      <c r="B40" t="s">
        <v>1316</v>
      </c>
      <c r="C40" t="str">
        <f>IFERROR(VLOOKUP(B40,'Sender-Receiver'!$B$3:$BP$1500,61,FALSE),"")</f>
        <v>Type:Anc_Prot,#SNP</v>
      </c>
      <c r="D40" t="str">
        <f>IFERROR(VLOOKUP(B40,'Sender-Receiver'!$B$3:$BP$1500,41,FALSE),"")</f>
        <v>PLAYOUT R401 | HD2 Backup-001 | R401 HD2 Backup</v>
      </c>
      <c r="E40" t="s">
        <v>1240</v>
      </c>
      <c r="F40">
        <v>2</v>
      </c>
      <c r="G40" t="s">
        <v>1317</v>
      </c>
      <c r="M40" t="str">
        <f>IF(OR(BOM!$AE$4=FALSE,BOM!$AE$4="-"),IF(ISERROR(SEARCH("send",B40)),"","pool:TPC"),IF(ISERROR(SEARCH("send",B40)),"","pool:TPC|pool:TPC"))</f>
        <v>pool:TPC|pool:TPC</v>
      </c>
      <c r="S40" t="str">
        <f>IFERROR(IF(VLOOKUP(B40,'Sender-Receiver'!$B$3:$BP$1500,60,FALSE)="x","true","false"),"false")</f>
        <v>true</v>
      </c>
      <c r="T40" t="str">
        <f t="shared" si="0"/>
        <v>full</v>
      </c>
      <c r="Y40" t="str">
        <f>IF(BOM!$AE$4=FALSE,IF(ISERROR(SEARCH("Embrionix",BOM!$M$4)),"none",IF(ISERROR(SEARCH("Quadsplit",BOM!$N$4)),IF(ISERROR(SEARCH("rec",B40)),"none","merge"),"none")),IF(ISERROR(SEARCH("rec",B40)),"split","merge"))</f>
        <v>split</v>
      </c>
    </row>
    <row r="41" spans="1:25" x14ac:dyDescent="0.2">
      <c r="A41" t="s">
        <v>1238</v>
      </c>
      <c r="B41" t="s">
        <v>1318</v>
      </c>
      <c r="C41" t="str">
        <f>IFERROR(VLOOKUP(B41,'Sender-Receiver'!$B$3:$BP$1500,61,FALSE),"")</f>
        <v>#SNP</v>
      </c>
      <c r="D41" t="str">
        <f>IFERROR(VLOOKUP(B41,'Sender-Receiver'!$B$3:$BP$1500,41,FALSE),"")</f>
        <v xml:space="preserve"> |  | R401 HD2 Backup</v>
      </c>
      <c r="E41" t="s">
        <v>1240</v>
      </c>
      <c r="F41">
        <v>2</v>
      </c>
      <c r="G41" t="s">
        <v>1319</v>
      </c>
      <c r="M41" t="str">
        <f>IF(OR(BOM!$AE$4=FALSE,BOM!$AE$4="-"),IF(ISERROR(SEARCH("send",B41)),"","pool:TPC"),IF(ISERROR(SEARCH("send",B41)),"","pool:TPC|pool:TPC"))</f>
        <v>pool:TPC|pool:TPC</v>
      </c>
      <c r="S41" t="str">
        <f>IFERROR(IF(VLOOKUP(B41,'Sender-Receiver'!$B$3:$BP$1500,60,FALSE)="x","true","false"),"false")</f>
        <v>false</v>
      </c>
      <c r="T41" t="str">
        <f t="shared" si="0"/>
        <v>off</v>
      </c>
      <c r="Y41" t="str">
        <f>IF(BOM!$AE$4=FALSE,IF(ISERROR(SEARCH("Embrionix",BOM!$M$4)),"none",IF(ISERROR(SEARCH("Quadsplit",BOM!$N$4)),IF(ISERROR(SEARCH("rec",B41)),"none","merge"),"none")),IF(ISERROR(SEARCH("rec",B41)),"split","merge"))</f>
        <v>split</v>
      </c>
    </row>
    <row r="42" spans="1:25" x14ac:dyDescent="0.2">
      <c r="A42" t="s">
        <v>1238</v>
      </c>
      <c r="B42" t="s">
        <v>1320</v>
      </c>
      <c r="C42" t="str">
        <f>IFERROR(VLOOKUP(B42,'Sender-Receiver'!$B$3:$BP$1500,61,FALSE),"")</f>
        <v>#SNP</v>
      </c>
      <c r="D42" t="str">
        <f>IFERROR(VLOOKUP(B42,'Sender-Receiver'!$B$3:$BP$1500,41,FALSE),"")</f>
        <v xml:space="preserve"> |  | R401 HD2 Backup</v>
      </c>
      <c r="E42" t="s">
        <v>1240</v>
      </c>
      <c r="F42">
        <v>2</v>
      </c>
      <c r="G42" t="s">
        <v>1321</v>
      </c>
      <c r="M42" t="str">
        <f>IF(OR(BOM!$AE$4=FALSE,BOM!$AE$4="-"),IF(ISERROR(SEARCH("send",B42)),"","pool:TPC"),IF(ISERROR(SEARCH("send",B42)),"","pool:TPC|pool:TPC"))</f>
        <v>pool:TPC|pool:TPC</v>
      </c>
      <c r="S42" t="str">
        <f>IFERROR(IF(VLOOKUP(B42,'Sender-Receiver'!$B$3:$BP$1500,60,FALSE)="x","true","false"),"false")</f>
        <v>false</v>
      </c>
      <c r="T42" t="str">
        <f t="shared" si="0"/>
        <v>off</v>
      </c>
      <c r="Y42" t="str">
        <f>IF(BOM!$AE$4=FALSE,IF(ISERROR(SEARCH("Embrionix",BOM!$M$4)),"none",IF(ISERROR(SEARCH("Quadsplit",BOM!$N$4)),IF(ISERROR(SEARCH("rec",B42)),"none","merge"),"none")),IF(ISERROR(SEARCH("rec",B42)),"split","merge"))</f>
        <v>split</v>
      </c>
    </row>
    <row r="43" spans="1:25" x14ac:dyDescent="0.2">
      <c r="A43" t="s">
        <v>1238</v>
      </c>
      <c r="B43" t="s">
        <v>1322</v>
      </c>
      <c r="C43" t="str">
        <f>IFERROR(VLOOKUP(B43,'Sender-Receiver'!$B$3:$BP$1500,61,FALSE),"")</f>
        <v>#SNP</v>
      </c>
      <c r="D43" t="str">
        <f>IFERROR(VLOOKUP(B43,'Sender-Receiver'!$B$3:$BP$1500,41,FALSE),"")</f>
        <v xml:space="preserve"> |  | R401 HD2 Backup</v>
      </c>
      <c r="E43" t="s">
        <v>1240</v>
      </c>
      <c r="F43">
        <v>2</v>
      </c>
      <c r="G43" t="s">
        <v>1323</v>
      </c>
      <c r="M43" t="str">
        <f>IF(OR(BOM!$AE$4=FALSE,BOM!$AE$4="-"),IF(ISERROR(SEARCH("send",B43)),"","pool:TPC"),IF(ISERROR(SEARCH("send",B43)),"","pool:TPC|pool:TPC"))</f>
        <v>pool:TPC|pool:TPC</v>
      </c>
      <c r="S43" t="str">
        <f>IFERROR(IF(VLOOKUP(B43,'Sender-Receiver'!$B$3:$BP$1500,60,FALSE)="x","true","false"),"false")</f>
        <v>false</v>
      </c>
      <c r="T43" t="str">
        <f t="shared" si="0"/>
        <v>off</v>
      </c>
      <c r="Y43" t="str">
        <f>IF(BOM!$AE$4=FALSE,IF(ISERROR(SEARCH("Embrionix",BOM!$M$4)),"none",IF(ISERROR(SEARCH("Quadsplit",BOM!$N$4)),IF(ISERROR(SEARCH("rec",B43)),"none","merge"),"none")),IF(ISERROR(SEARCH("rec",B43)),"split","merge"))</f>
        <v>split</v>
      </c>
    </row>
    <row r="44" spans="1:25" x14ac:dyDescent="0.2">
      <c r="A44" t="s">
        <v>1238</v>
      </c>
      <c r="B44" t="s">
        <v>1324</v>
      </c>
      <c r="C44" t="str">
        <f>IFERROR(VLOOKUP(B44,'Sender-Receiver'!$B$3:$BP$1500,61,FALSE),"")</f>
        <v>Type:Vid_1080i50,#SNP</v>
      </c>
      <c r="D44" t="str">
        <f>IFERROR(VLOOKUP(B44,'Sender-Receiver'!$B$3:$BP$1500,41,FALSE),"")</f>
        <v>PLAYOUT MPA421 | HD1 | MPA 421 HD1</v>
      </c>
      <c r="E44" t="s">
        <v>1240</v>
      </c>
      <c r="F44">
        <v>3</v>
      </c>
      <c r="G44" t="s">
        <v>1325</v>
      </c>
      <c r="M44" t="str">
        <f>IF(OR(BOM!$AE$4=FALSE,BOM!$AE$4="-"),IF(ISERROR(SEARCH("send",B44)),"","pool:TPC"),IF(ISERROR(SEARCH("send",B44)),"","pool:TPC|pool:TPC"))</f>
        <v>pool:TPC|pool:TPC</v>
      </c>
      <c r="S44" t="str">
        <f>IFERROR(IF(VLOOKUP(B44,'Sender-Receiver'!$B$3:$BP$1500,60,FALSE)="x","true","false"),"false")</f>
        <v>true</v>
      </c>
      <c r="T44" t="str">
        <f t="shared" si="0"/>
        <v>full</v>
      </c>
      <c r="Y44" t="str">
        <f>IF(BOM!$AE$4=FALSE,IF(ISERROR(SEARCH("Embrionix",BOM!$M$4)),"none",IF(ISERROR(SEARCH("Quadsplit",BOM!$N$4)),IF(ISERROR(SEARCH("rec",B44)),"none","merge"),"none")),IF(ISERROR(SEARCH("rec",B44)),"split","merge"))</f>
        <v>split</v>
      </c>
    </row>
    <row r="45" spans="1:25" x14ac:dyDescent="0.2">
      <c r="A45" t="s">
        <v>1238</v>
      </c>
      <c r="B45" t="s">
        <v>1326</v>
      </c>
      <c r="C45" t="str">
        <f>IFERROR(VLOOKUP(B45,'Sender-Receiver'!$B$3:$BP$1500,61,FALSE),"")</f>
        <v>Type:Aud_2CH_LR,#SNP</v>
      </c>
      <c r="D45" t="str">
        <f>IFERROR(VLOOKUP(B45,'Sender-Receiver'!$B$3:$BP$1500,41,FALSE),"")</f>
        <v>PLAYOUT MPA421 | HD1-001 | MPA 421 HD1</v>
      </c>
      <c r="E45" t="s">
        <v>1240</v>
      </c>
      <c r="F45">
        <v>3</v>
      </c>
      <c r="G45" t="s">
        <v>1327</v>
      </c>
      <c r="M45" t="str">
        <f>IF(OR(BOM!$AE$4=FALSE,BOM!$AE$4="-"),IF(ISERROR(SEARCH("send",B45)),"","pool:TPC"),IF(ISERROR(SEARCH("send",B45)),"","pool:TPC|pool:TPC"))</f>
        <v>pool:TPC|pool:TPC</v>
      </c>
      <c r="S45" t="str">
        <f>IFERROR(IF(VLOOKUP(B45,'Sender-Receiver'!$B$3:$BP$1500,60,FALSE)="x","true","false"),"false")</f>
        <v>true</v>
      </c>
      <c r="T45" t="str">
        <f t="shared" si="0"/>
        <v>full</v>
      </c>
      <c r="Y45" t="str">
        <f>IF(BOM!$AE$4=FALSE,IF(ISERROR(SEARCH("Embrionix",BOM!$M$4)),"none",IF(ISERROR(SEARCH("Quadsplit",BOM!$N$4)),IF(ISERROR(SEARCH("rec",B45)),"none","merge"),"none")),IF(ISERROR(SEARCH("rec",B45)),"split","merge"))</f>
        <v>split</v>
      </c>
    </row>
    <row r="46" spans="1:25" x14ac:dyDescent="0.2">
      <c r="A46" t="s">
        <v>1238</v>
      </c>
      <c r="B46" t="s">
        <v>1328</v>
      </c>
      <c r="C46" t="str">
        <f>IFERROR(VLOOKUP(B46,'Sender-Receiver'!$B$3:$BP$1500,61,FALSE),"")</f>
        <v>Type:Aud_1CH_M,#SNP</v>
      </c>
      <c r="D46" t="str">
        <f>IFERROR(VLOOKUP(B46,'Sender-Receiver'!$B$3:$BP$1500,41,FALSE),"")</f>
        <v>PLAYOUT MPA421 | HD1-002 | MPA 421 HD1</v>
      </c>
      <c r="E46" t="s">
        <v>1240</v>
      </c>
      <c r="F46">
        <v>3</v>
      </c>
      <c r="G46" t="s">
        <v>1329</v>
      </c>
      <c r="M46" t="str">
        <f>IF(OR(BOM!$AE$4=FALSE,BOM!$AE$4="-"),IF(ISERROR(SEARCH("send",B46)),"","pool:TPC"),IF(ISERROR(SEARCH("send",B46)),"","pool:TPC|pool:TPC"))</f>
        <v>pool:TPC|pool:TPC</v>
      </c>
      <c r="S46" t="str">
        <f>IFERROR(IF(VLOOKUP(B46,'Sender-Receiver'!$B$3:$BP$1500,60,FALSE)="x","true","false"),"false")</f>
        <v>true</v>
      </c>
      <c r="T46" t="str">
        <f t="shared" si="0"/>
        <v>full</v>
      </c>
      <c r="Y46" t="str">
        <f>IF(BOM!$AE$4=FALSE,IF(ISERROR(SEARCH("Embrionix",BOM!$M$4)),"none",IF(ISERROR(SEARCH("Quadsplit",BOM!$N$4)),IF(ISERROR(SEARCH("rec",B46)),"none","merge"),"none")),IF(ISERROR(SEARCH("rec",B46)),"split","merge"))</f>
        <v>split</v>
      </c>
    </row>
    <row r="47" spans="1:25" x14ac:dyDescent="0.2">
      <c r="A47" t="s">
        <v>1238</v>
      </c>
      <c r="B47" t="s">
        <v>1330</v>
      </c>
      <c r="C47" t="str">
        <f>IFERROR(VLOOKUP(B47,'Sender-Receiver'!$B$3:$BP$1500,61,FALSE),"")</f>
        <v>Type:Aud_1CH_M,#SNP</v>
      </c>
      <c r="D47" t="str">
        <f>IFERROR(VLOOKUP(B47,'Sender-Receiver'!$B$3:$BP$1500,41,FALSE),"")</f>
        <v>PLAYOUT MPA421 | HD1-003 | MPA 421 HD1</v>
      </c>
      <c r="E47" t="s">
        <v>1240</v>
      </c>
      <c r="F47">
        <v>3</v>
      </c>
      <c r="G47" t="s">
        <v>1331</v>
      </c>
      <c r="M47" t="str">
        <f>IF(OR(BOM!$AE$4=FALSE,BOM!$AE$4="-"),IF(ISERROR(SEARCH("send",B47)),"","pool:TPC"),IF(ISERROR(SEARCH("send",B47)),"","pool:TPC|pool:TPC"))</f>
        <v>pool:TPC|pool:TPC</v>
      </c>
      <c r="S47" t="str">
        <f>IFERROR(IF(VLOOKUP(B47,'Sender-Receiver'!$B$3:$BP$1500,60,FALSE)="x","true","false"),"false")</f>
        <v>true</v>
      </c>
      <c r="T47" t="str">
        <f t="shared" si="0"/>
        <v>full</v>
      </c>
      <c r="Y47" t="str">
        <f>IF(BOM!$AE$4=FALSE,IF(ISERROR(SEARCH("Embrionix",BOM!$M$4)),"none",IF(ISERROR(SEARCH("Quadsplit",BOM!$N$4)),IF(ISERROR(SEARCH("rec",B47)),"none","merge"),"none")),IF(ISERROR(SEARCH("rec",B47)),"split","merge"))</f>
        <v>split</v>
      </c>
    </row>
    <row r="48" spans="1:25" x14ac:dyDescent="0.2">
      <c r="A48" t="s">
        <v>1238</v>
      </c>
      <c r="B48" t="s">
        <v>1332</v>
      </c>
      <c r="C48" t="str">
        <f>IFERROR(VLOOKUP(B48,'Sender-Receiver'!$B$3:$BP$1500,61,FALSE),"")</f>
        <v>Type:Aud_2CH_LR,#SNP</v>
      </c>
      <c r="D48" t="str">
        <f>IFERROR(VLOOKUP(B48,'Sender-Receiver'!$B$3:$BP$1500,41,FALSE),"")</f>
        <v>PLAYOUT MPA421 | HD1-004 | MPA 421 HD1</v>
      </c>
      <c r="E48" t="s">
        <v>1240</v>
      </c>
      <c r="F48">
        <v>3</v>
      </c>
      <c r="G48" t="s">
        <v>1333</v>
      </c>
      <c r="M48" t="str">
        <f>IF(OR(BOM!$AE$4=FALSE,BOM!$AE$4="-"),IF(ISERROR(SEARCH("send",B48)),"","pool:TPC"),IF(ISERROR(SEARCH("send",B48)),"","pool:TPC|pool:TPC"))</f>
        <v>pool:TPC|pool:TPC</v>
      </c>
      <c r="S48" t="str">
        <f>IFERROR(IF(VLOOKUP(B48,'Sender-Receiver'!$B$3:$BP$1500,60,FALSE)="x","true","false"),"false")</f>
        <v>true</v>
      </c>
      <c r="T48" t="str">
        <f t="shared" si="0"/>
        <v>full</v>
      </c>
      <c r="Y48" t="str">
        <f>IF(BOM!$AE$4=FALSE,IF(ISERROR(SEARCH("Embrionix",BOM!$M$4)),"none",IF(ISERROR(SEARCH("Quadsplit",BOM!$N$4)),IF(ISERROR(SEARCH("rec",B48)),"none","merge"),"none")),IF(ISERROR(SEARCH("rec",B48)),"split","merge"))</f>
        <v>split</v>
      </c>
    </row>
    <row r="49" spans="1:25" x14ac:dyDescent="0.2">
      <c r="A49" t="s">
        <v>1238</v>
      </c>
      <c r="B49" t="s">
        <v>1334</v>
      </c>
      <c r="C49" t="str">
        <f>IFERROR(VLOOKUP(B49,'Sender-Receiver'!$B$3:$BP$1500,61,FALSE),"")</f>
        <v>Type:Aud_1CH_M,#SNP</v>
      </c>
      <c r="D49" t="str">
        <f>IFERROR(VLOOKUP(B49,'Sender-Receiver'!$B$3:$BP$1500,41,FALSE),"")</f>
        <v>PLAYOUT MPA421 | HD1-005 | MPA 421 HD1</v>
      </c>
      <c r="E49" t="s">
        <v>1240</v>
      </c>
      <c r="F49">
        <v>3</v>
      </c>
      <c r="G49" t="s">
        <v>1335</v>
      </c>
      <c r="M49" t="str">
        <f>IF(OR(BOM!$AE$4=FALSE,BOM!$AE$4="-"),IF(ISERROR(SEARCH("send",B49)),"","pool:TPC"),IF(ISERROR(SEARCH("send",B49)),"","pool:TPC|pool:TPC"))</f>
        <v>pool:TPC|pool:TPC</v>
      </c>
      <c r="S49" t="str">
        <f>IFERROR(IF(VLOOKUP(B49,'Sender-Receiver'!$B$3:$BP$1500,60,FALSE)="x","true","false"),"false")</f>
        <v>true</v>
      </c>
      <c r="T49" t="str">
        <f t="shared" si="0"/>
        <v>full</v>
      </c>
      <c r="Y49" t="str">
        <f>IF(BOM!$AE$4=FALSE,IF(ISERROR(SEARCH("Embrionix",BOM!$M$4)),"none",IF(ISERROR(SEARCH("Quadsplit",BOM!$N$4)),IF(ISERROR(SEARCH("rec",B49)),"none","merge"),"none")),IF(ISERROR(SEARCH("rec",B49)),"split","merge"))</f>
        <v>split</v>
      </c>
    </row>
    <row r="50" spans="1:25" x14ac:dyDescent="0.2">
      <c r="A50" t="s">
        <v>1238</v>
      </c>
      <c r="B50" t="s">
        <v>1336</v>
      </c>
      <c r="C50" t="str">
        <f>IFERROR(VLOOKUP(B50,'Sender-Receiver'!$B$3:$BP$1500,61,FALSE),"")</f>
        <v>Type:Aud_1CH_M,#SNP</v>
      </c>
      <c r="D50" t="str">
        <f>IFERROR(VLOOKUP(B50,'Sender-Receiver'!$B$3:$BP$1500,41,FALSE),"")</f>
        <v>PLAYOUT MPA421 | HD1-006 | MPA 421 HD1</v>
      </c>
      <c r="E50" t="s">
        <v>1240</v>
      </c>
      <c r="F50">
        <v>3</v>
      </c>
      <c r="G50" t="s">
        <v>1337</v>
      </c>
      <c r="M50" t="str">
        <f>IF(OR(BOM!$AE$4=FALSE,BOM!$AE$4="-"),IF(ISERROR(SEARCH("send",B50)),"","pool:TPC"),IF(ISERROR(SEARCH("send",B50)),"","pool:TPC|pool:TPC"))</f>
        <v>pool:TPC|pool:TPC</v>
      </c>
      <c r="S50" t="str">
        <f>IFERROR(IF(VLOOKUP(B50,'Sender-Receiver'!$B$3:$BP$1500,60,FALSE)="x","true","false"),"false")</f>
        <v>true</v>
      </c>
      <c r="T50" t="str">
        <f t="shared" si="0"/>
        <v>full</v>
      </c>
      <c r="Y50" t="str">
        <f>IF(BOM!$AE$4=FALSE,IF(ISERROR(SEARCH("Embrionix",BOM!$M$4)),"none",IF(ISERROR(SEARCH("Quadsplit",BOM!$N$4)),IF(ISERROR(SEARCH("rec",B50)),"none","merge"),"none")),IF(ISERROR(SEARCH("rec",B50)),"split","merge"))</f>
        <v>split</v>
      </c>
    </row>
    <row r="51" spans="1:25" x14ac:dyDescent="0.2">
      <c r="A51" t="s">
        <v>1238</v>
      </c>
      <c r="B51" t="s">
        <v>1338</v>
      </c>
      <c r="C51" t="str">
        <f>IFERROR(VLOOKUP(B51,'Sender-Receiver'!$B$3:$BP$1500,61,FALSE),"")</f>
        <v>Type:Aud_2CH_LR,#SNP</v>
      </c>
      <c r="D51" t="str">
        <f>IFERROR(VLOOKUP(B51,'Sender-Receiver'!$B$3:$BP$1500,41,FALSE),"")</f>
        <v>PLAYOUT MPA421 | HD1-007 | MPA 421 HD1</v>
      </c>
      <c r="E51" t="s">
        <v>1240</v>
      </c>
      <c r="F51">
        <v>3</v>
      </c>
      <c r="G51" t="s">
        <v>1339</v>
      </c>
      <c r="M51" t="str">
        <f>IF(OR(BOM!$AE$4=FALSE,BOM!$AE$4="-"),IF(ISERROR(SEARCH("send",B51)),"","pool:TPC"),IF(ISERROR(SEARCH("send",B51)),"","pool:TPC|pool:TPC"))</f>
        <v>pool:TPC|pool:TPC</v>
      </c>
      <c r="S51" t="str">
        <f>IFERROR(IF(VLOOKUP(B51,'Sender-Receiver'!$B$3:$BP$1500,60,FALSE)="x","true","false"),"false")</f>
        <v>true</v>
      </c>
      <c r="T51" t="str">
        <f t="shared" si="0"/>
        <v>full</v>
      </c>
      <c r="Y51" t="str">
        <f>IF(BOM!$AE$4=FALSE,IF(ISERROR(SEARCH("Embrionix",BOM!$M$4)),"none",IF(ISERROR(SEARCH("Quadsplit",BOM!$N$4)),IF(ISERROR(SEARCH("rec",B51)),"none","merge"),"none")),IF(ISERROR(SEARCH("rec",B51)),"split","merge"))</f>
        <v>split</v>
      </c>
    </row>
    <row r="52" spans="1:25" x14ac:dyDescent="0.2">
      <c r="A52" t="s">
        <v>1238</v>
      </c>
      <c r="B52" t="s">
        <v>1340</v>
      </c>
      <c r="C52" t="str">
        <f>IFERROR(VLOOKUP(B52,'Sender-Receiver'!$B$3:$BP$1500,61,FALSE),"")</f>
        <v>Type:Aud_6CH_5.1,#SNP</v>
      </c>
      <c r="D52" t="str">
        <f>IFERROR(VLOOKUP(B52,'Sender-Receiver'!$B$3:$BP$1500,41,FALSE),"")</f>
        <v>PLAYOUT MPA421 | HD1-008 | MPA 421 HD1</v>
      </c>
      <c r="E52" t="s">
        <v>1240</v>
      </c>
      <c r="F52">
        <v>3</v>
      </c>
      <c r="G52" t="s">
        <v>1341</v>
      </c>
      <c r="M52" t="str">
        <f>IF(OR(BOM!$AE$4=FALSE,BOM!$AE$4="-"),IF(ISERROR(SEARCH("send",B52)),"","pool:TPC"),IF(ISERROR(SEARCH("send",B52)),"","pool:TPC|pool:TPC"))</f>
        <v>pool:TPC|pool:TPC</v>
      </c>
      <c r="S52" t="str">
        <f>IFERROR(IF(VLOOKUP(B52,'Sender-Receiver'!$B$3:$BP$1500,60,FALSE)="x","true","false"),"false")</f>
        <v>true</v>
      </c>
      <c r="T52" t="str">
        <f t="shared" si="0"/>
        <v>full</v>
      </c>
      <c r="Y52" t="str">
        <f>IF(BOM!$AE$4=FALSE,IF(ISERROR(SEARCH("Embrionix",BOM!$M$4)),"none",IF(ISERROR(SEARCH("Quadsplit",BOM!$N$4)),IF(ISERROR(SEARCH("rec",B52)),"none","merge"),"none")),IF(ISERROR(SEARCH("rec",B52)),"split","merge"))</f>
        <v>split</v>
      </c>
    </row>
    <row r="53" spans="1:25" x14ac:dyDescent="0.2">
      <c r="A53" t="s">
        <v>1238</v>
      </c>
      <c r="B53" t="s">
        <v>1342</v>
      </c>
      <c r="C53" t="str">
        <f>IFERROR(VLOOKUP(B53,'Sender-Receiver'!$B$3:$BP$1500,61,FALSE),"")</f>
        <v>#SNP</v>
      </c>
      <c r="D53" t="str">
        <f>IFERROR(VLOOKUP(B53,'Sender-Receiver'!$B$3:$BP$1500,41,FALSE),"")</f>
        <v xml:space="preserve"> |  | MPA 421 HD1</v>
      </c>
      <c r="E53" t="s">
        <v>1240</v>
      </c>
      <c r="F53">
        <v>3</v>
      </c>
      <c r="G53" t="s">
        <v>1343</v>
      </c>
      <c r="M53" t="str">
        <f>IF(OR(BOM!$AE$4=FALSE,BOM!$AE$4="-"),IF(ISERROR(SEARCH("send",B53)),"","pool:TPC"),IF(ISERROR(SEARCH("send",B53)),"","pool:TPC|pool:TPC"))</f>
        <v>pool:TPC|pool:TPC</v>
      </c>
      <c r="S53" t="str">
        <f>IFERROR(IF(VLOOKUP(B53,'Sender-Receiver'!$B$3:$BP$1500,60,FALSE)="x","true","false"),"false")</f>
        <v>false</v>
      </c>
      <c r="T53" t="str">
        <f t="shared" si="0"/>
        <v>off</v>
      </c>
      <c r="Y53" t="str">
        <f>IF(BOM!$AE$4=FALSE,IF(ISERROR(SEARCH("Embrionix",BOM!$M$4)),"none",IF(ISERROR(SEARCH("Quadsplit",BOM!$N$4)),IF(ISERROR(SEARCH("rec",B53)),"none","merge"),"none")),IF(ISERROR(SEARCH("rec",B53)),"split","merge"))</f>
        <v>split</v>
      </c>
    </row>
    <row r="54" spans="1:25" x14ac:dyDescent="0.2">
      <c r="A54" t="s">
        <v>1238</v>
      </c>
      <c r="B54" t="s">
        <v>1344</v>
      </c>
      <c r="C54" t="str">
        <f>IFERROR(VLOOKUP(B54,'Sender-Receiver'!$B$3:$BP$1500,61,FALSE),"")</f>
        <v>#SNP</v>
      </c>
      <c r="D54" t="str">
        <f>IFERROR(VLOOKUP(B54,'Sender-Receiver'!$B$3:$BP$1500,41,FALSE),"")</f>
        <v xml:space="preserve"> |  | MPA 421 HD1</v>
      </c>
      <c r="E54" t="s">
        <v>1240</v>
      </c>
      <c r="F54">
        <v>3</v>
      </c>
      <c r="G54" t="s">
        <v>1345</v>
      </c>
      <c r="M54" t="str">
        <f>IF(OR(BOM!$AE$4=FALSE,BOM!$AE$4="-"),IF(ISERROR(SEARCH("send",B54)),"","pool:TPC"),IF(ISERROR(SEARCH("send",B54)),"","pool:TPC|pool:TPC"))</f>
        <v>pool:TPC|pool:TPC</v>
      </c>
      <c r="S54" t="str">
        <f>IFERROR(IF(VLOOKUP(B54,'Sender-Receiver'!$B$3:$BP$1500,60,FALSE)="x","true","false"),"false")</f>
        <v>false</v>
      </c>
      <c r="T54" t="str">
        <f t="shared" si="0"/>
        <v>off</v>
      </c>
      <c r="Y54" t="str">
        <f>IF(BOM!$AE$4=FALSE,IF(ISERROR(SEARCH("Embrionix",BOM!$M$4)),"none",IF(ISERROR(SEARCH("Quadsplit",BOM!$N$4)),IF(ISERROR(SEARCH("rec",B54)),"none","merge"),"none")),IF(ISERROR(SEARCH("rec",B54)),"split","merge"))</f>
        <v>split</v>
      </c>
    </row>
    <row r="55" spans="1:25" x14ac:dyDescent="0.2">
      <c r="A55" t="s">
        <v>1238</v>
      </c>
      <c r="B55" t="s">
        <v>1346</v>
      </c>
      <c r="C55" t="str">
        <f>IFERROR(VLOOKUP(B55,'Sender-Receiver'!$B$3:$BP$1500,61,FALSE),"")</f>
        <v>#SNP</v>
      </c>
      <c r="D55" t="str">
        <f>IFERROR(VLOOKUP(B55,'Sender-Receiver'!$B$3:$BP$1500,41,FALSE),"")</f>
        <v xml:space="preserve"> |  | MPA 421 HD1</v>
      </c>
      <c r="E55" t="s">
        <v>1240</v>
      </c>
      <c r="F55">
        <v>3</v>
      </c>
      <c r="G55" t="s">
        <v>1347</v>
      </c>
      <c r="M55" t="str">
        <f>IF(OR(BOM!$AE$4=FALSE,BOM!$AE$4="-"),IF(ISERROR(SEARCH("send",B55)),"","pool:TPC"),IF(ISERROR(SEARCH("send",B55)),"","pool:TPC|pool:TPC"))</f>
        <v>pool:TPC|pool:TPC</v>
      </c>
      <c r="S55" t="str">
        <f>IFERROR(IF(VLOOKUP(B55,'Sender-Receiver'!$B$3:$BP$1500,60,FALSE)="x","true","false"),"false")</f>
        <v>false</v>
      </c>
      <c r="T55" t="str">
        <f t="shared" si="0"/>
        <v>off</v>
      </c>
      <c r="Y55" t="str">
        <f>IF(BOM!$AE$4=FALSE,IF(ISERROR(SEARCH("Embrionix",BOM!$M$4)),"none",IF(ISERROR(SEARCH("Quadsplit",BOM!$N$4)),IF(ISERROR(SEARCH("rec",B55)),"none","merge"),"none")),IF(ISERROR(SEARCH("rec",B55)),"split","merge"))</f>
        <v>split</v>
      </c>
    </row>
    <row r="56" spans="1:25" x14ac:dyDescent="0.2">
      <c r="A56" t="s">
        <v>1238</v>
      </c>
      <c r="B56" t="s">
        <v>1348</v>
      </c>
      <c r="C56" t="str">
        <f>IFERROR(VLOOKUP(B56,'Sender-Receiver'!$B$3:$BP$1500,61,FALSE),"")</f>
        <v>#SNP</v>
      </c>
      <c r="D56" t="str">
        <f>IFERROR(VLOOKUP(B56,'Sender-Receiver'!$B$3:$BP$1500,41,FALSE),"")</f>
        <v xml:space="preserve"> |  | MPA 421 HD1</v>
      </c>
      <c r="E56" t="s">
        <v>1240</v>
      </c>
      <c r="F56">
        <v>3</v>
      </c>
      <c r="G56" t="s">
        <v>1349</v>
      </c>
      <c r="M56" t="str">
        <f>IF(OR(BOM!$AE$4=FALSE,BOM!$AE$4="-"),IF(ISERROR(SEARCH("send",B56)),"","pool:TPC"),IF(ISERROR(SEARCH("send",B56)),"","pool:TPC|pool:TPC"))</f>
        <v>pool:TPC|pool:TPC</v>
      </c>
      <c r="S56" t="str">
        <f>IFERROR(IF(VLOOKUP(B56,'Sender-Receiver'!$B$3:$BP$1500,60,FALSE)="x","true","false"),"false")</f>
        <v>false</v>
      </c>
      <c r="T56" t="str">
        <f t="shared" si="0"/>
        <v>off</v>
      </c>
      <c r="Y56" t="str">
        <f>IF(BOM!$AE$4=FALSE,IF(ISERROR(SEARCH("Embrionix",BOM!$M$4)),"none",IF(ISERROR(SEARCH("Quadsplit",BOM!$N$4)),IF(ISERROR(SEARCH("rec",B56)),"none","merge"),"none")),IF(ISERROR(SEARCH("rec",B56)),"split","merge"))</f>
        <v>split</v>
      </c>
    </row>
    <row r="57" spans="1:25" x14ac:dyDescent="0.2">
      <c r="A57" t="s">
        <v>1238</v>
      </c>
      <c r="B57" t="s">
        <v>1350</v>
      </c>
      <c r="C57" t="str">
        <f>IFERROR(VLOOKUP(B57,'Sender-Receiver'!$B$3:$BP$1500,61,FALSE),"")</f>
        <v>#SNP</v>
      </c>
      <c r="D57" t="str">
        <f>IFERROR(VLOOKUP(B57,'Sender-Receiver'!$B$3:$BP$1500,41,FALSE),"")</f>
        <v xml:space="preserve"> |  | MPA 421 HD1</v>
      </c>
      <c r="E57" t="s">
        <v>1240</v>
      </c>
      <c r="F57">
        <v>3</v>
      </c>
      <c r="G57" t="s">
        <v>1351</v>
      </c>
      <c r="M57" t="str">
        <f>IF(OR(BOM!$AE$4=FALSE,BOM!$AE$4="-"),IF(ISERROR(SEARCH("send",B57)),"","pool:TPC"),IF(ISERROR(SEARCH("send",B57)),"","pool:TPC|pool:TPC"))</f>
        <v>pool:TPC|pool:TPC</v>
      </c>
      <c r="S57" t="str">
        <f>IFERROR(IF(VLOOKUP(B57,'Sender-Receiver'!$B$3:$BP$1500,60,FALSE)="x","true","false"),"false")</f>
        <v>false</v>
      </c>
      <c r="T57" t="str">
        <f t="shared" si="0"/>
        <v>off</v>
      </c>
      <c r="Y57" t="str">
        <f>IF(BOM!$AE$4=FALSE,IF(ISERROR(SEARCH("Embrionix",BOM!$M$4)),"none",IF(ISERROR(SEARCH("Quadsplit",BOM!$N$4)),IF(ISERROR(SEARCH("rec",B57)),"none","merge"),"none")),IF(ISERROR(SEARCH("rec",B57)),"split","merge"))</f>
        <v>split</v>
      </c>
    </row>
    <row r="58" spans="1:25" x14ac:dyDescent="0.2">
      <c r="A58" t="s">
        <v>1238</v>
      </c>
      <c r="B58" t="s">
        <v>1352</v>
      </c>
      <c r="C58" t="str">
        <f>IFERROR(VLOOKUP(B58,'Sender-Receiver'!$B$3:$BP$1500,61,FALSE),"")</f>
        <v>#SNP</v>
      </c>
      <c r="D58" t="str">
        <f>IFERROR(VLOOKUP(B58,'Sender-Receiver'!$B$3:$BP$1500,41,FALSE),"")</f>
        <v xml:space="preserve"> |  | MPA 421 HD1</v>
      </c>
      <c r="E58" t="s">
        <v>1240</v>
      </c>
      <c r="F58">
        <v>3</v>
      </c>
      <c r="G58" t="s">
        <v>1353</v>
      </c>
      <c r="M58" t="str">
        <f>IF(OR(BOM!$AE$4=FALSE,BOM!$AE$4="-"),IF(ISERROR(SEARCH("send",B58)),"","pool:TPC"),IF(ISERROR(SEARCH("send",B58)),"","pool:TPC|pool:TPC"))</f>
        <v>pool:TPC|pool:TPC</v>
      </c>
      <c r="S58" t="str">
        <f>IFERROR(IF(VLOOKUP(B58,'Sender-Receiver'!$B$3:$BP$1500,60,FALSE)="x","true","false"),"false")</f>
        <v>false</v>
      </c>
      <c r="T58" t="str">
        <f t="shared" si="0"/>
        <v>off</v>
      </c>
      <c r="Y58" t="str">
        <f>IF(BOM!$AE$4=FALSE,IF(ISERROR(SEARCH("Embrionix",BOM!$M$4)),"none",IF(ISERROR(SEARCH("Quadsplit",BOM!$N$4)),IF(ISERROR(SEARCH("rec",B58)),"none","merge"),"none")),IF(ISERROR(SEARCH("rec",B58)),"split","merge"))</f>
        <v>split</v>
      </c>
    </row>
    <row r="59" spans="1:25" x14ac:dyDescent="0.2">
      <c r="A59" t="s">
        <v>1238</v>
      </c>
      <c r="B59" t="s">
        <v>1354</v>
      </c>
      <c r="C59" t="str">
        <f>IFERROR(VLOOKUP(B59,'Sender-Receiver'!$B$3:$BP$1500,61,FALSE),"")</f>
        <v>Type:Aud_8CH_RAW,#SNP</v>
      </c>
      <c r="D59" t="str">
        <f>IFERROR(VLOOKUP(B59,'Sender-Receiver'!$B$3:$BP$1500,41,FALSE),"")</f>
        <v>PLAYOUT MPA421 | HD1-015 | MPA 421 HD1</v>
      </c>
      <c r="E59" t="s">
        <v>1240</v>
      </c>
      <c r="F59">
        <v>3</v>
      </c>
      <c r="G59" t="s">
        <v>1355</v>
      </c>
      <c r="M59" t="str">
        <f>IF(OR(BOM!$AE$4=FALSE,BOM!$AE$4="-"),IF(ISERROR(SEARCH("send",B59)),"","pool:TPC"),IF(ISERROR(SEARCH("send",B59)),"","pool:TPC|pool:TPC"))</f>
        <v>pool:TPC|pool:TPC</v>
      </c>
      <c r="S59" t="str">
        <f>IFERROR(IF(VLOOKUP(B59,'Sender-Receiver'!$B$3:$BP$1500,60,FALSE)="x","true","false"),"false")</f>
        <v>true</v>
      </c>
      <c r="T59" t="str">
        <f t="shared" si="0"/>
        <v>full</v>
      </c>
      <c r="Y59" t="str">
        <f>IF(BOM!$AE$4=FALSE,IF(ISERROR(SEARCH("Embrionix",BOM!$M$4)),"none",IF(ISERROR(SEARCH("Quadsplit",BOM!$N$4)),IF(ISERROR(SEARCH("rec",B59)),"none","merge"),"none")),IF(ISERROR(SEARCH("rec",B59)),"split","merge"))</f>
        <v>split</v>
      </c>
    </row>
    <row r="60" spans="1:25" x14ac:dyDescent="0.2">
      <c r="A60" t="s">
        <v>1238</v>
      </c>
      <c r="B60" t="s">
        <v>1356</v>
      </c>
      <c r="C60" t="str">
        <f>IFERROR(VLOOKUP(B60,'Sender-Receiver'!$B$3:$BP$1500,61,FALSE),"")</f>
        <v>Type:Aud_8CH_RAW,#SNP</v>
      </c>
      <c r="D60" t="str">
        <f>IFERROR(VLOOKUP(B60,'Sender-Receiver'!$B$3:$BP$1500,41,FALSE),"")</f>
        <v>PLAYOUT MPA421 | HD1-016 | MPA 421 HD1</v>
      </c>
      <c r="E60" t="s">
        <v>1240</v>
      </c>
      <c r="F60">
        <v>3</v>
      </c>
      <c r="G60" t="s">
        <v>1357</v>
      </c>
      <c r="M60" t="str">
        <f>IF(OR(BOM!$AE$4=FALSE,BOM!$AE$4="-"),IF(ISERROR(SEARCH("send",B60)),"","pool:TPC"),IF(ISERROR(SEARCH("send",B60)),"","pool:TPC|pool:TPC"))</f>
        <v>pool:TPC|pool:TPC</v>
      </c>
      <c r="S60" t="str">
        <f>IFERROR(IF(VLOOKUP(B60,'Sender-Receiver'!$B$3:$BP$1500,60,FALSE)="x","true","false"),"false")</f>
        <v>true</v>
      </c>
      <c r="T60" t="str">
        <f t="shared" si="0"/>
        <v>full</v>
      </c>
      <c r="Y60" t="str">
        <f>IF(BOM!$AE$4=FALSE,IF(ISERROR(SEARCH("Embrionix",BOM!$M$4)),"none",IF(ISERROR(SEARCH("Quadsplit",BOM!$N$4)),IF(ISERROR(SEARCH("rec",B60)),"none","merge"),"none")),IF(ISERROR(SEARCH("rec",B60)),"split","merge"))</f>
        <v>split</v>
      </c>
    </row>
    <row r="61" spans="1:25" x14ac:dyDescent="0.2">
      <c r="A61" t="s">
        <v>1238</v>
      </c>
      <c r="B61" t="s">
        <v>1358</v>
      </c>
      <c r="C61" t="str">
        <f>IFERROR(VLOOKUP(B61,'Sender-Receiver'!$B$3:$BP$1500,61,FALSE),"")</f>
        <v>Type:Anc_Prot,#SNP</v>
      </c>
      <c r="D61" t="str">
        <f>IFERROR(VLOOKUP(B61,'Sender-Receiver'!$B$3:$BP$1500,41,FALSE),"")</f>
        <v>PLAYOUT MPA421 | HD1-001 | MPA 421 HD1</v>
      </c>
      <c r="E61" t="s">
        <v>1240</v>
      </c>
      <c r="F61">
        <v>3</v>
      </c>
      <c r="G61" t="s">
        <v>1359</v>
      </c>
      <c r="M61" t="str">
        <f>IF(OR(BOM!$AE$4=FALSE,BOM!$AE$4="-"),IF(ISERROR(SEARCH("send",B61)),"","pool:TPC"),IF(ISERROR(SEARCH("send",B61)),"","pool:TPC|pool:TPC"))</f>
        <v>pool:TPC|pool:TPC</v>
      </c>
      <c r="S61" t="str">
        <f>IFERROR(IF(VLOOKUP(B61,'Sender-Receiver'!$B$3:$BP$1500,60,FALSE)="x","true","false"),"false")</f>
        <v>true</v>
      </c>
      <c r="T61" t="str">
        <f t="shared" si="0"/>
        <v>full</v>
      </c>
      <c r="Y61" t="str">
        <f>IF(BOM!$AE$4=FALSE,IF(ISERROR(SEARCH("Embrionix",BOM!$M$4)),"none",IF(ISERROR(SEARCH("Quadsplit",BOM!$N$4)),IF(ISERROR(SEARCH("rec",B61)),"none","merge"),"none")),IF(ISERROR(SEARCH("rec",B61)),"split","merge"))</f>
        <v>split</v>
      </c>
    </row>
    <row r="62" spans="1:25" x14ac:dyDescent="0.2">
      <c r="A62" t="s">
        <v>1238</v>
      </c>
      <c r="B62" t="s">
        <v>1360</v>
      </c>
      <c r="C62" t="str">
        <f>IFERROR(VLOOKUP(B62,'Sender-Receiver'!$B$3:$BP$1500,61,FALSE),"")</f>
        <v>#SNP</v>
      </c>
      <c r="D62" t="str">
        <f>IFERROR(VLOOKUP(B62,'Sender-Receiver'!$B$3:$BP$1500,41,FALSE),"")</f>
        <v xml:space="preserve"> |  | MPA 421 HD1</v>
      </c>
      <c r="E62" t="s">
        <v>1240</v>
      </c>
      <c r="F62">
        <v>3</v>
      </c>
      <c r="G62" t="s">
        <v>1361</v>
      </c>
      <c r="M62" t="str">
        <f>IF(OR(BOM!$AE$4=FALSE,BOM!$AE$4="-"),IF(ISERROR(SEARCH("send",B62)),"","pool:TPC"),IF(ISERROR(SEARCH("send",B62)),"","pool:TPC|pool:TPC"))</f>
        <v>pool:TPC|pool:TPC</v>
      </c>
      <c r="S62" t="str">
        <f>IFERROR(IF(VLOOKUP(B62,'Sender-Receiver'!$B$3:$BP$1500,60,FALSE)="x","true","false"),"false")</f>
        <v>false</v>
      </c>
      <c r="T62" t="str">
        <f t="shared" si="0"/>
        <v>off</v>
      </c>
      <c r="Y62" t="str">
        <f>IF(BOM!$AE$4=FALSE,IF(ISERROR(SEARCH("Embrionix",BOM!$M$4)),"none",IF(ISERROR(SEARCH("Quadsplit",BOM!$N$4)),IF(ISERROR(SEARCH("rec",B62)),"none","merge"),"none")),IF(ISERROR(SEARCH("rec",B62)),"split","merge"))</f>
        <v>split</v>
      </c>
    </row>
    <row r="63" spans="1:25" x14ac:dyDescent="0.2">
      <c r="A63" t="s">
        <v>1238</v>
      </c>
      <c r="B63" t="s">
        <v>1362</v>
      </c>
      <c r="C63" t="str">
        <f>IFERROR(VLOOKUP(B63,'Sender-Receiver'!$B$3:$BP$1500,61,FALSE),"")</f>
        <v>#SNP</v>
      </c>
      <c r="D63" t="str">
        <f>IFERROR(VLOOKUP(B63,'Sender-Receiver'!$B$3:$BP$1500,41,FALSE),"")</f>
        <v xml:space="preserve"> |  | MPA 421 HD1</v>
      </c>
      <c r="E63" t="s">
        <v>1240</v>
      </c>
      <c r="F63">
        <v>3</v>
      </c>
      <c r="G63" t="s">
        <v>1363</v>
      </c>
      <c r="M63" t="str">
        <f>IF(OR(BOM!$AE$4=FALSE,BOM!$AE$4="-"),IF(ISERROR(SEARCH("send",B63)),"","pool:TPC"),IF(ISERROR(SEARCH("send",B63)),"","pool:TPC|pool:TPC"))</f>
        <v>pool:TPC|pool:TPC</v>
      </c>
      <c r="S63" t="str">
        <f>IFERROR(IF(VLOOKUP(B63,'Sender-Receiver'!$B$3:$BP$1500,60,FALSE)="x","true","false"),"false")</f>
        <v>false</v>
      </c>
      <c r="T63" t="str">
        <f t="shared" si="0"/>
        <v>off</v>
      </c>
      <c r="Y63" t="str">
        <f>IF(BOM!$AE$4=FALSE,IF(ISERROR(SEARCH("Embrionix",BOM!$M$4)),"none",IF(ISERROR(SEARCH("Quadsplit",BOM!$N$4)),IF(ISERROR(SEARCH("rec",B63)),"none","merge"),"none")),IF(ISERROR(SEARCH("rec",B63)),"split","merge"))</f>
        <v>split</v>
      </c>
    </row>
    <row r="64" spans="1:25" x14ac:dyDescent="0.2">
      <c r="A64" t="s">
        <v>1238</v>
      </c>
      <c r="B64" t="s">
        <v>1364</v>
      </c>
      <c r="C64" t="str">
        <f>IFERROR(VLOOKUP(B64,'Sender-Receiver'!$B$3:$BP$1500,61,FALSE),"")</f>
        <v>#SNP</v>
      </c>
      <c r="D64" t="str">
        <f>IFERROR(VLOOKUP(B64,'Sender-Receiver'!$B$3:$BP$1500,41,FALSE),"")</f>
        <v xml:space="preserve"> |  | MPA 421 HD1</v>
      </c>
      <c r="E64" t="s">
        <v>1240</v>
      </c>
      <c r="F64">
        <v>3</v>
      </c>
      <c r="G64" t="s">
        <v>1365</v>
      </c>
      <c r="M64" t="str">
        <f>IF(OR(BOM!$AE$4=FALSE,BOM!$AE$4="-"),IF(ISERROR(SEARCH("send",B64)),"","pool:TPC"),IF(ISERROR(SEARCH("send",B64)),"","pool:TPC|pool:TPC"))</f>
        <v>pool:TPC|pool:TPC</v>
      </c>
      <c r="S64" t="str">
        <f>IFERROR(IF(VLOOKUP(B64,'Sender-Receiver'!$B$3:$BP$1500,60,FALSE)="x","true","false"),"false")</f>
        <v>false</v>
      </c>
      <c r="T64" t="str">
        <f t="shared" si="0"/>
        <v>off</v>
      </c>
      <c r="Y64" t="str">
        <f>IF(BOM!$AE$4=FALSE,IF(ISERROR(SEARCH("Embrionix",BOM!$M$4)),"none",IF(ISERROR(SEARCH("Quadsplit",BOM!$N$4)),IF(ISERROR(SEARCH("rec",B64)),"none","merge"),"none")),IF(ISERROR(SEARCH("rec",B64)),"split","merge"))</f>
        <v>split</v>
      </c>
    </row>
    <row r="65" spans="1:25" x14ac:dyDescent="0.2">
      <c r="A65" t="s">
        <v>1238</v>
      </c>
      <c r="B65" t="s">
        <v>1366</v>
      </c>
      <c r="C65" t="str">
        <f>IFERROR(VLOOKUP(B65,'Sender-Receiver'!$B$3:$BP$1500,61,FALSE),"")</f>
        <v>Type:Vid_1080i50,#SNP</v>
      </c>
      <c r="D65" t="str">
        <f>IFERROR(VLOOKUP(B65,'Sender-Receiver'!$B$3:$BP$1500,41,FALSE),"")</f>
        <v>PLAYOUT MPA421 | HD2 | MPA 421 HD2</v>
      </c>
      <c r="E65" t="s">
        <v>1240</v>
      </c>
      <c r="F65">
        <v>4</v>
      </c>
      <c r="G65" t="s">
        <v>1367</v>
      </c>
      <c r="M65" t="str">
        <f>IF(OR(BOM!$AE$4=FALSE,BOM!$AE$4="-"),IF(ISERROR(SEARCH("send",B65)),"","pool:TPC"),IF(ISERROR(SEARCH("send",B65)),"","pool:TPC|pool:TPC"))</f>
        <v>pool:TPC|pool:TPC</v>
      </c>
      <c r="S65" t="str">
        <f>IFERROR(IF(VLOOKUP(B65,'Sender-Receiver'!$B$3:$BP$1500,60,FALSE)="x","true","false"),"false")</f>
        <v>true</v>
      </c>
      <c r="T65" t="str">
        <f t="shared" si="0"/>
        <v>full</v>
      </c>
      <c r="Y65" t="str">
        <f>IF(BOM!$AE$4=FALSE,IF(ISERROR(SEARCH("Embrionix",BOM!$M$4)),"none",IF(ISERROR(SEARCH("Quadsplit",BOM!$N$4)),IF(ISERROR(SEARCH("rec",B65)),"none","merge"),"none")),IF(ISERROR(SEARCH("rec",B65)),"split","merge"))</f>
        <v>split</v>
      </c>
    </row>
    <row r="66" spans="1:25" x14ac:dyDescent="0.2">
      <c r="A66" t="s">
        <v>1238</v>
      </c>
      <c r="B66" t="s">
        <v>1368</v>
      </c>
      <c r="C66" t="str">
        <f>IFERROR(VLOOKUP(B66,'Sender-Receiver'!$B$3:$BP$1500,61,FALSE),"")</f>
        <v>Type:Aud_2CH_LR,#SNP</v>
      </c>
      <c r="D66" t="str">
        <f>IFERROR(VLOOKUP(B66,'Sender-Receiver'!$B$3:$BP$1500,41,FALSE),"")</f>
        <v>PLAYOUT MPA421 | HD2-001 | MPA 421 HD2</v>
      </c>
      <c r="E66" t="s">
        <v>1240</v>
      </c>
      <c r="F66">
        <v>4</v>
      </c>
      <c r="G66" t="s">
        <v>1369</v>
      </c>
      <c r="M66" t="str">
        <f>IF(OR(BOM!$AE$4=FALSE,BOM!$AE$4="-"),IF(ISERROR(SEARCH("send",B66)),"","pool:TPC"),IF(ISERROR(SEARCH("send",B66)),"","pool:TPC|pool:TPC"))</f>
        <v>pool:TPC|pool:TPC</v>
      </c>
      <c r="S66" t="str">
        <f>IFERROR(IF(VLOOKUP(B66,'Sender-Receiver'!$B$3:$BP$1500,60,FALSE)="x","true","false"),"false")</f>
        <v>true</v>
      </c>
      <c r="T66" t="str">
        <f t="shared" si="0"/>
        <v>full</v>
      </c>
      <c r="Y66" t="str">
        <f>IF(BOM!$AE$4=FALSE,IF(ISERROR(SEARCH("Embrionix",BOM!$M$4)),"none",IF(ISERROR(SEARCH("Quadsplit",BOM!$N$4)),IF(ISERROR(SEARCH("rec",B66)),"none","merge"),"none")),IF(ISERROR(SEARCH("rec",B66)),"split","merge"))</f>
        <v>split</v>
      </c>
    </row>
    <row r="67" spans="1:25" x14ac:dyDescent="0.2">
      <c r="A67" t="s">
        <v>1238</v>
      </c>
      <c r="B67" t="s">
        <v>1370</v>
      </c>
      <c r="C67" t="str">
        <f>IFERROR(VLOOKUP(B67,'Sender-Receiver'!$B$3:$BP$1500,61,FALSE),"")</f>
        <v>Type:Aud_1CH_M,#SNP</v>
      </c>
      <c r="D67" t="str">
        <f>IFERROR(VLOOKUP(B67,'Sender-Receiver'!$B$3:$BP$1500,41,FALSE),"")</f>
        <v>PLAYOUT MPA421 | HD2-002 | MPA 421 HD2</v>
      </c>
      <c r="E67" t="s">
        <v>1240</v>
      </c>
      <c r="F67">
        <v>4</v>
      </c>
      <c r="G67" t="s">
        <v>1371</v>
      </c>
      <c r="M67" t="str">
        <f>IF(OR(BOM!$AE$4=FALSE,BOM!$AE$4="-"),IF(ISERROR(SEARCH("send",B67)),"","pool:TPC"),IF(ISERROR(SEARCH("send",B67)),"","pool:TPC|pool:TPC"))</f>
        <v>pool:TPC|pool:TPC</v>
      </c>
      <c r="S67" t="str">
        <f>IFERROR(IF(VLOOKUP(B67,'Sender-Receiver'!$B$3:$BP$1500,60,FALSE)="x","true","false"),"false")</f>
        <v>true</v>
      </c>
      <c r="T67" t="str">
        <f t="shared" ref="T67:T130" si="1">IF(S67="true","full","off")</f>
        <v>full</v>
      </c>
      <c r="Y67" t="str">
        <f>IF(BOM!$AE$4=FALSE,IF(ISERROR(SEARCH("Embrionix",BOM!$M$4)),"none",IF(ISERROR(SEARCH("Quadsplit",BOM!$N$4)),IF(ISERROR(SEARCH("rec",B67)),"none","merge"),"none")),IF(ISERROR(SEARCH("rec",B67)),"split","merge"))</f>
        <v>split</v>
      </c>
    </row>
    <row r="68" spans="1:25" x14ac:dyDescent="0.2">
      <c r="A68" t="s">
        <v>1238</v>
      </c>
      <c r="B68" t="s">
        <v>1372</v>
      </c>
      <c r="C68" t="str">
        <f>IFERROR(VLOOKUP(B68,'Sender-Receiver'!$B$3:$BP$1500,61,FALSE),"")</f>
        <v>Type:Aud_1CH_M,#SNP</v>
      </c>
      <c r="D68" t="str">
        <f>IFERROR(VLOOKUP(B68,'Sender-Receiver'!$B$3:$BP$1500,41,FALSE),"")</f>
        <v>PLAYOUT MPA421 | HD2-003 | MPA 421 HD2</v>
      </c>
      <c r="E68" t="s">
        <v>1240</v>
      </c>
      <c r="F68">
        <v>4</v>
      </c>
      <c r="G68" t="s">
        <v>1373</v>
      </c>
      <c r="M68" t="str">
        <f>IF(OR(BOM!$AE$4=FALSE,BOM!$AE$4="-"),IF(ISERROR(SEARCH("send",B68)),"","pool:TPC"),IF(ISERROR(SEARCH("send",B68)),"","pool:TPC|pool:TPC"))</f>
        <v>pool:TPC|pool:TPC</v>
      </c>
      <c r="S68" t="str">
        <f>IFERROR(IF(VLOOKUP(B68,'Sender-Receiver'!$B$3:$BP$1500,60,FALSE)="x","true","false"),"false")</f>
        <v>true</v>
      </c>
      <c r="T68" t="str">
        <f t="shared" si="1"/>
        <v>full</v>
      </c>
      <c r="Y68" t="str">
        <f>IF(BOM!$AE$4=FALSE,IF(ISERROR(SEARCH("Embrionix",BOM!$M$4)),"none",IF(ISERROR(SEARCH("Quadsplit",BOM!$N$4)),IF(ISERROR(SEARCH("rec",B68)),"none","merge"),"none")),IF(ISERROR(SEARCH("rec",B68)),"split","merge"))</f>
        <v>split</v>
      </c>
    </row>
    <row r="69" spans="1:25" x14ac:dyDescent="0.2">
      <c r="A69" t="s">
        <v>1238</v>
      </c>
      <c r="B69" t="s">
        <v>1374</v>
      </c>
      <c r="C69" t="str">
        <f>IFERROR(VLOOKUP(B69,'Sender-Receiver'!$B$3:$BP$1500,61,FALSE),"")</f>
        <v>Type:Aud_2CH_LR,#SNP</v>
      </c>
      <c r="D69" t="str">
        <f>IFERROR(VLOOKUP(B69,'Sender-Receiver'!$B$3:$BP$1500,41,FALSE),"")</f>
        <v>PLAYOUT MPA421 | HD2-004 | MPA 421 HD2</v>
      </c>
      <c r="E69" t="s">
        <v>1240</v>
      </c>
      <c r="F69">
        <v>4</v>
      </c>
      <c r="G69" t="s">
        <v>1375</v>
      </c>
      <c r="M69" t="str">
        <f>IF(OR(BOM!$AE$4=FALSE,BOM!$AE$4="-"),IF(ISERROR(SEARCH("send",B69)),"","pool:TPC"),IF(ISERROR(SEARCH("send",B69)),"","pool:TPC|pool:TPC"))</f>
        <v>pool:TPC|pool:TPC</v>
      </c>
      <c r="S69" t="str">
        <f>IFERROR(IF(VLOOKUP(B69,'Sender-Receiver'!$B$3:$BP$1500,60,FALSE)="x","true","false"),"false")</f>
        <v>true</v>
      </c>
      <c r="T69" t="str">
        <f t="shared" si="1"/>
        <v>full</v>
      </c>
      <c r="Y69" t="str">
        <f>IF(BOM!$AE$4=FALSE,IF(ISERROR(SEARCH("Embrionix",BOM!$M$4)),"none",IF(ISERROR(SEARCH("Quadsplit",BOM!$N$4)),IF(ISERROR(SEARCH("rec",B69)),"none","merge"),"none")),IF(ISERROR(SEARCH("rec",B69)),"split","merge"))</f>
        <v>split</v>
      </c>
    </row>
    <row r="70" spans="1:25" x14ac:dyDescent="0.2">
      <c r="A70" t="s">
        <v>1238</v>
      </c>
      <c r="B70" t="s">
        <v>1376</v>
      </c>
      <c r="C70" t="str">
        <f>IFERROR(VLOOKUP(B70,'Sender-Receiver'!$B$3:$BP$1500,61,FALSE),"")</f>
        <v>Type:Aud_1CH_M,#SNP</v>
      </c>
      <c r="D70" t="str">
        <f>IFERROR(VLOOKUP(B70,'Sender-Receiver'!$B$3:$BP$1500,41,FALSE),"")</f>
        <v>PLAYOUT MPA421 | HD2-005 | MPA 421 HD2</v>
      </c>
      <c r="E70" t="s">
        <v>1240</v>
      </c>
      <c r="F70">
        <v>4</v>
      </c>
      <c r="G70" t="s">
        <v>1377</v>
      </c>
      <c r="M70" t="str">
        <f>IF(OR(BOM!$AE$4=FALSE,BOM!$AE$4="-"),IF(ISERROR(SEARCH("send",B70)),"","pool:TPC"),IF(ISERROR(SEARCH("send",B70)),"","pool:TPC|pool:TPC"))</f>
        <v>pool:TPC|pool:TPC</v>
      </c>
      <c r="S70" t="str">
        <f>IFERROR(IF(VLOOKUP(B70,'Sender-Receiver'!$B$3:$BP$1500,60,FALSE)="x","true","false"),"false")</f>
        <v>true</v>
      </c>
      <c r="T70" t="str">
        <f t="shared" si="1"/>
        <v>full</v>
      </c>
      <c r="Y70" t="str">
        <f>IF(BOM!$AE$4=FALSE,IF(ISERROR(SEARCH("Embrionix",BOM!$M$4)),"none",IF(ISERROR(SEARCH("Quadsplit",BOM!$N$4)),IF(ISERROR(SEARCH("rec",B70)),"none","merge"),"none")),IF(ISERROR(SEARCH("rec",B70)),"split","merge"))</f>
        <v>split</v>
      </c>
    </row>
    <row r="71" spans="1:25" x14ac:dyDescent="0.2">
      <c r="A71" t="s">
        <v>1238</v>
      </c>
      <c r="B71" t="s">
        <v>1378</v>
      </c>
      <c r="C71" t="str">
        <f>IFERROR(VLOOKUP(B71,'Sender-Receiver'!$B$3:$BP$1500,61,FALSE),"")</f>
        <v>Type:Aud_1CH_M,#SNP</v>
      </c>
      <c r="D71" t="str">
        <f>IFERROR(VLOOKUP(B71,'Sender-Receiver'!$B$3:$BP$1500,41,FALSE),"")</f>
        <v>PLAYOUT MPA421 | HD2-006 | MPA 421 HD2</v>
      </c>
      <c r="E71" t="s">
        <v>1240</v>
      </c>
      <c r="F71">
        <v>4</v>
      </c>
      <c r="G71" t="s">
        <v>1379</v>
      </c>
      <c r="M71" t="str">
        <f>IF(OR(BOM!$AE$4=FALSE,BOM!$AE$4="-"),IF(ISERROR(SEARCH("send",B71)),"","pool:TPC"),IF(ISERROR(SEARCH("send",B71)),"","pool:TPC|pool:TPC"))</f>
        <v>pool:TPC|pool:TPC</v>
      </c>
      <c r="S71" t="str">
        <f>IFERROR(IF(VLOOKUP(B71,'Sender-Receiver'!$B$3:$BP$1500,60,FALSE)="x","true","false"),"false")</f>
        <v>true</v>
      </c>
      <c r="T71" t="str">
        <f t="shared" si="1"/>
        <v>full</v>
      </c>
      <c r="Y71" t="str">
        <f>IF(BOM!$AE$4=FALSE,IF(ISERROR(SEARCH("Embrionix",BOM!$M$4)),"none",IF(ISERROR(SEARCH("Quadsplit",BOM!$N$4)),IF(ISERROR(SEARCH("rec",B71)),"none","merge"),"none")),IF(ISERROR(SEARCH("rec",B71)),"split","merge"))</f>
        <v>split</v>
      </c>
    </row>
    <row r="72" spans="1:25" x14ac:dyDescent="0.2">
      <c r="A72" t="s">
        <v>1238</v>
      </c>
      <c r="B72" t="s">
        <v>1380</v>
      </c>
      <c r="C72" t="str">
        <f>IFERROR(VLOOKUP(B72,'Sender-Receiver'!$B$3:$BP$1500,61,FALSE),"")</f>
        <v>Type:Aud_2CH_LR,#SNP</v>
      </c>
      <c r="D72" t="str">
        <f>IFERROR(VLOOKUP(B72,'Sender-Receiver'!$B$3:$BP$1500,41,FALSE),"")</f>
        <v>PLAYOUT MPA421 | HD2-007 | MPA 421 HD2</v>
      </c>
      <c r="E72" t="s">
        <v>1240</v>
      </c>
      <c r="F72">
        <v>4</v>
      </c>
      <c r="G72" t="s">
        <v>1381</v>
      </c>
      <c r="M72" t="str">
        <f>IF(OR(BOM!$AE$4=FALSE,BOM!$AE$4="-"),IF(ISERROR(SEARCH("send",B72)),"","pool:TPC"),IF(ISERROR(SEARCH("send",B72)),"","pool:TPC|pool:TPC"))</f>
        <v>pool:TPC|pool:TPC</v>
      </c>
      <c r="S72" t="str">
        <f>IFERROR(IF(VLOOKUP(B72,'Sender-Receiver'!$B$3:$BP$1500,60,FALSE)="x","true","false"),"false")</f>
        <v>true</v>
      </c>
      <c r="T72" t="str">
        <f t="shared" si="1"/>
        <v>full</v>
      </c>
      <c r="Y72" t="str">
        <f>IF(BOM!$AE$4=FALSE,IF(ISERROR(SEARCH("Embrionix",BOM!$M$4)),"none",IF(ISERROR(SEARCH("Quadsplit",BOM!$N$4)),IF(ISERROR(SEARCH("rec",B72)),"none","merge"),"none")),IF(ISERROR(SEARCH("rec",B72)),"split","merge"))</f>
        <v>split</v>
      </c>
    </row>
    <row r="73" spans="1:25" x14ac:dyDescent="0.2">
      <c r="A73" t="s">
        <v>1238</v>
      </c>
      <c r="B73" t="s">
        <v>1382</v>
      </c>
      <c r="C73" t="str">
        <f>IFERROR(VLOOKUP(B73,'Sender-Receiver'!$B$3:$BP$1500,61,FALSE),"")</f>
        <v>Type:Aud_6CH_5.1,#SNP</v>
      </c>
      <c r="D73" t="str">
        <f>IFERROR(VLOOKUP(B73,'Sender-Receiver'!$B$3:$BP$1500,41,FALSE),"")</f>
        <v>PLAYOUT MPA421 | HD2-008 | MPA 421 HD2</v>
      </c>
      <c r="E73" t="s">
        <v>1240</v>
      </c>
      <c r="F73">
        <v>4</v>
      </c>
      <c r="G73" t="s">
        <v>1383</v>
      </c>
      <c r="M73" t="str">
        <f>IF(OR(BOM!$AE$4=FALSE,BOM!$AE$4="-"),IF(ISERROR(SEARCH("send",B73)),"","pool:TPC"),IF(ISERROR(SEARCH("send",B73)),"","pool:TPC|pool:TPC"))</f>
        <v>pool:TPC|pool:TPC</v>
      </c>
      <c r="S73" t="str">
        <f>IFERROR(IF(VLOOKUP(B73,'Sender-Receiver'!$B$3:$BP$1500,60,FALSE)="x","true","false"),"false")</f>
        <v>true</v>
      </c>
      <c r="T73" t="str">
        <f t="shared" si="1"/>
        <v>full</v>
      </c>
      <c r="Y73" t="str">
        <f>IF(BOM!$AE$4=FALSE,IF(ISERROR(SEARCH("Embrionix",BOM!$M$4)),"none",IF(ISERROR(SEARCH("Quadsplit",BOM!$N$4)),IF(ISERROR(SEARCH("rec",B73)),"none","merge"),"none")),IF(ISERROR(SEARCH("rec",B73)),"split","merge"))</f>
        <v>split</v>
      </c>
    </row>
    <row r="74" spans="1:25" x14ac:dyDescent="0.2">
      <c r="A74" t="s">
        <v>1238</v>
      </c>
      <c r="B74" t="s">
        <v>1384</v>
      </c>
      <c r="C74" t="str">
        <f>IFERROR(VLOOKUP(B74,'Sender-Receiver'!$B$3:$BP$1500,61,FALSE),"")</f>
        <v>#SNP</v>
      </c>
      <c r="D74" t="str">
        <f>IFERROR(VLOOKUP(B74,'Sender-Receiver'!$B$3:$BP$1500,41,FALSE),"")</f>
        <v xml:space="preserve"> |  | MPA 421 HD2</v>
      </c>
      <c r="E74" t="s">
        <v>1240</v>
      </c>
      <c r="F74">
        <v>4</v>
      </c>
      <c r="G74" t="s">
        <v>1385</v>
      </c>
      <c r="M74" t="str">
        <f>IF(OR(BOM!$AE$4=FALSE,BOM!$AE$4="-"),IF(ISERROR(SEARCH("send",B74)),"","pool:TPC"),IF(ISERROR(SEARCH("send",B74)),"","pool:TPC|pool:TPC"))</f>
        <v>pool:TPC|pool:TPC</v>
      </c>
      <c r="S74" t="str">
        <f>IFERROR(IF(VLOOKUP(B74,'Sender-Receiver'!$B$3:$BP$1500,60,FALSE)="x","true","false"),"false")</f>
        <v>false</v>
      </c>
      <c r="T74" t="str">
        <f t="shared" si="1"/>
        <v>off</v>
      </c>
      <c r="Y74" t="str">
        <f>IF(BOM!$AE$4=FALSE,IF(ISERROR(SEARCH("Embrionix",BOM!$M$4)),"none",IF(ISERROR(SEARCH("Quadsplit",BOM!$N$4)),IF(ISERROR(SEARCH("rec",B74)),"none","merge"),"none")),IF(ISERROR(SEARCH("rec",B74)),"split","merge"))</f>
        <v>split</v>
      </c>
    </row>
    <row r="75" spans="1:25" x14ac:dyDescent="0.2">
      <c r="A75" t="s">
        <v>1238</v>
      </c>
      <c r="B75" t="s">
        <v>1386</v>
      </c>
      <c r="C75" t="str">
        <f>IFERROR(VLOOKUP(B75,'Sender-Receiver'!$B$3:$BP$1500,61,FALSE),"")</f>
        <v>#SNP</v>
      </c>
      <c r="D75" t="str">
        <f>IFERROR(VLOOKUP(B75,'Sender-Receiver'!$B$3:$BP$1500,41,FALSE),"")</f>
        <v xml:space="preserve"> |  | MPA 421 HD2</v>
      </c>
      <c r="E75" t="s">
        <v>1240</v>
      </c>
      <c r="F75">
        <v>4</v>
      </c>
      <c r="G75" t="s">
        <v>1387</v>
      </c>
      <c r="M75" t="str">
        <f>IF(OR(BOM!$AE$4=FALSE,BOM!$AE$4="-"),IF(ISERROR(SEARCH("send",B75)),"","pool:TPC"),IF(ISERROR(SEARCH("send",B75)),"","pool:TPC|pool:TPC"))</f>
        <v>pool:TPC|pool:TPC</v>
      </c>
      <c r="S75" t="str">
        <f>IFERROR(IF(VLOOKUP(B75,'Sender-Receiver'!$B$3:$BP$1500,60,FALSE)="x","true","false"),"false")</f>
        <v>false</v>
      </c>
      <c r="T75" t="str">
        <f t="shared" si="1"/>
        <v>off</v>
      </c>
      <c r="Y75" t="str">
        <f>IF(BOM!$AE$4=FALSE,IF(ISERROR(SEARCH("Embrionix",BOM!$M$4)),"none",IF(ISERROR(SEARCH("Quadsplit",BOM!$N$4)),IF(ISERROR(SEARCH("rec",B75)),"none","merge"),"none")),IF(ISERROR(SEARCH("rec",B75)),"split","merge"))</f>
        <v>split</v>
      </c>
    </row>
    <row r="76" spans="1:25" x14ac:dyDescent="0.2">
      <c r="A76" t="s">
        <v>1238</v>
      </c>
      <c r="B76" t="s">
        <v>1388</v>
      </c>
      <c r="C76" t="str">
        <f>IFERROR(VLOOKUP(B76,'Sender-Receiver'!$B$3:$BP$1500,61,FALSE),"")</f>
        <v>#SNP</v>
      </c>
      <c r="D76" t="str">
        <f>IFERROR(VLOOKUP(B76,'Sender-Receiver'!$B$3:$BP$1500,41,FALSE),"")</f>
        <v xml:space="preserve"> |  | MPA 421 HD2</v>
      </c>
      <c r="E76" t="s">
        <v>1240</v>
      </c>
      <c r="F76">
        <v>4</v>
      </c>
      <c r="G76" t="s">
        <v>1389</v>
      </c>
      <c r="M76" t="str">
        <f>IF(OR(BOM!$AE$4=FALSE,BOM!$AE$4="-"),IF(ISERROR(SEARCH("send",B76)),"","pool:TPC"),IF(ISERROR(SEARCH("send",B76)),"","pool:TPC|pool:TPC"))</f>
        <v>pool:TPC|pool:TPC</v>
      </c>
      <c r="S76" t="str">
        <f>IFERROR(IF(VLOOKUP(B76,'Sender-Receiver'!$B$3:$BP$1500,60,FALSE)="x","true","false"),"false")</f>
        <v>false</v>
      </c>
      <c r="T76" t="str">
        <f t="shared" si="1"/>
        <v>off</v>
      </c>
      <c r="Y76" t="str">
        <f>IF(BOM!$AE$4=FALSE,IF(ISERROR(SEARCH("Embrionix",BOM!$M$4)),"none",IF(ISERROR(SEARCH("Quadsplit",BOM!$N$4)),IF(ISERROR(SEARCH("rec",B76)),"none","merge"),"none")),IF(ISERROR(SEARCH("rec",B76)),"split","merge"))</f>
        <v>split</v>
      </c>
    </row>
    <row r="77" spans="1:25" x14ac:dyDescent="0.2">
      <c r="A77" t="s">
        <v>1238</v>
      </c>
      <c r="B77" t="s">
        <v>1390</v>
      </c>
      <c r="C77" t="str">
        <f>IFERROR(VLOOKUP(B77,'Sender-Receiver'!$B$3:$BP$1500,61,FALSE),"")</f>
        <v>#SNP</v>
      </c>
      <c r="D77" t="str">
        <f>IFERROR(VLOOKUP(B77,'Sender-Receiver'!$B$3:$BP$1500,41,FALSE),"")</f>
        <v xml:space="preserve"> |  | MPA 421 HD2</v>
      </c>
      <c r="E77" t="s">
        <v>1240</v>
      </c>
      <c r="F77">
        <v>4</v>
      </c>
      <c r="G77" t="s">
        <v>1391</v>
      </c>
      <c r="M77" t="str">
        <f>IF(OR(BOM!$AE$4=FALSE,BOM!$AE$4="-"),IF(ISERROR(SEARCH("send",B77)),"","pool:TPC"),IF(ISERROR(SEARCH("send",B77)),"","pool:TPC|pool:TPC"))</f>
        <v>pool:TPC|pool:TPC</v>
      </c>
      <c r="S77" t="str">
        <f>IFERROR(IF(VLOOKUP(B77,'Sender-Receiver'!$B$3:$BP$1500,60,FALSE)="x","true","false"),"false")</f>
        <v>false</v>
      </c>
      <c r="T77" t="str">
        <f t="shared" si="1"/>
        <v>off</v>
      </c>
      <c r="Y77" t="str">
        <f>IF(BOM!$AE$4=FALSE,IF(ISERROR(SEARCH("Embrionix",BOM!$M$4)),"none",IF(ISERROR(SEARCH("Quadsplit",BOM!$N$4)),IF(ISERROR(SEARCH("rec",B77)),"none","merge"),"none")),IF(ISERROR(SEARCH("rec",B77)),"split","merge"))</f>
        <v>split</v>
      </c>
    </row>
    <row r="78" spans="1:25" x14ac:dyDescent="0.2">
      <c r="A78" t="s">
        <v>1238</v>
      </c>
      <c r="B78" t="s">
        <v>1392</v>
      </c>
      <c r="C78" t="str">
        <f>IFERROR(VLOOKUP(B78,'Sender-Receiver'!$B$3:$BP$1500,61,FALSE),"")</f>
        <v>#SNP</v>
      </c>
      <c r="D78" t="str">
        <f>IFERROR(VLOOKUP(B78,'Sender-Receiver'!$B$3:$BP$1500,41,FALSE),"")</f>
        <v xml:space="preserve"> |  | MPA 421 HD2</v>
      </c>
      <c r="E78" t="s">
        <v>1240</v>
      </c>
      <c r="F78">
        <v>4</v>
      </c>
      <c r="G78" t="s">
        <v>1393</v>
      </c>
      <c r="M78" t="str">
        <f>IF(OR(BOM!$AE$4=FALSE,BOM!$AE$4="-"),IF(ISERROR(SEARCH("send",B78)),"","pool:TPC"),IF(ISERROR(SEARCH("send",B78)),"","pool:TPC|pool:TPC"))</f>
        <v>pool:TPC|pool:TPC</v>
      </c>
      <c r="S78" t="str">
        <f>IFERROR(IF(VLOOKUP(B78,'Sender-Receiver'!$B$3:$BP$1500,60,FALSE)="x","true","false"),"false")</f>
        <v>false</v>
      </c>
      <c r="T78" t="str">
        <f t="shared" si="1"/>
        <v>off</v>
      </c>
      <c r="Y78" t="str">
        <f>IF(BOM!$AE$4=FALSE,IF(ISERROR(SEARCH("Embrionix",BOM!$M$4)),"none",IF(ISERROR(SEARCH("Quadsplit",BOM!$N$4)),IF(ISERROR(SEARCH("rec",B78)),"none","merge"),"none")),IF(ISERROR(SEARCH("rec",B78)),"split","merge"))</f>
        <v>split</v>
      </c>
    </row>
    <row r="79" spans="1:25" x14ac:dyDescent="0.2">
      <c r="A79" t="s">
        <v>1238</v>
      </c>
      <c r="B79" t="s">
        <v>1394</v>
      </c>
      <c r="C79" t="str">
        <f>IFERROR(VLOOKUP(B79,'Sender-Receiver'!$B$3:$BP$1500,61,FALSE),"")</f>
        <v>#SNP</v>
      </c>
      <c r="D79" t="str">
        <f>IFERROR(VLOOKUP(B79,'Sender-Receiver'!$B$3:$BP$1500,41,FALSE),"")</f>
        <v xml:space="preserve"> |  | MPA 421 HD2</v>
      </c>
      <c r="E79" t="s">
        <v>1240</v>
      </c>
      <c r="F79">
        <v>4</v>
      </c>
      <c r="G79" t="s">
        <v>1395</v>
      </c>
      <c r="M79" t="str">
        <f>IF(OR(BOM!$AE$4=FALSE,BOM!$AE$4="-"),IF(ISERROR(SEARCH("send",B79)),"","pool:TPC"),IF(ISERROR(SEARCH("send",B79)),"","pool:TPC|pool:TPC"))</f>
        <v>pool:TPC|pool:TPC</v>
      </c>
      <c r="S79" t="str">
        <f>IFERROR(IF(VLOOKUP(B79,'Sender-Receiver'!$B$3:$BP$1500,60,FALSE)="x","true","false"),"false")</f>
        <v>false</v>
      </c>
      <c r="T79" t="str">
        <f t="shared" si="1"/>
        <v>off</v>
      </c>
      <c r="Y79" t="str">
        <f>IF(BOM!$AE$4=FALSE,IF(ISERROR(SEARCH("Embrionix",BOM!$M$4)),"none",IF(ISERROR(SEARCH("Quadsplit",BOM!$N$4)),IF(ISERROR(SEARCH("rec",B79)),"none","merge"),"none")),IF(ISERROR(SEARCH("rec",B79)),"split","merge"))</f>
        <v>split</v>
      </c>
    </row>
    <row r="80" spans="1:25" x14ac:dyDescent="0.2">
      <c r="A80" t="s">
        <v>1238</v>
      </c>
      <c r="B80" t="s">
        <v>1396</v>
      </c>
      <c r="C80" t="str">
        <f>IFERROR(VLOOKUP(B80,'Sender-Receiver'!$B$3:$BP$1500,61,FALSE),"")</f>
        <v>Type:Aud_8CH_RAW,#SNP</v>
      </c>
      <c r="D80" t="str">
        <f>IFERROR(VLOOKUP(B80,'Sender-Receiver'!$B$3:$BP$1500,41,FALSE),"")</f>
        <v>PLAYOUT MPA421 | HD2-015 | MPA 421 HD2</v>
      </c>
      <c r="E80" t="s">
        <v>1240</v>
      </c>
      <c r="F80">
        <v>4</v>
      </c>
      <c r="G80" t="s">
        <v>1397</v>
      </c>
      <c r="M80" t="str">
        <f>IF(OR(BOM!$AE$4=FALSE,BOM!$AE$4="-"),IF(ISERROR(SEARCH("send",B80)),"","pool:TPC"),IF(ISERROR(SEARCH("send",B80)),"","pool:TPC|pool:TPC"))</f>
        <v>pool:TPC|pool:TPC</v>
      </c>
      <c r="S80" t="str">
        <f>IFERROR(IF(VLOOKUP(B80,'Sender-Receiver'!$B$3:$BP$1500,60,FALSE)="x","true","false"),"false")</f>
        <v>true</v>
      </c>
      <c r="T80" t="str">
        <f t="shared" si="1"/>
        <v>full</v>
      </c>
      <c r="Y80" t="str">
        <f>IF(BOM!$AE$4=FALSE,IF(ISERROR(SEARCH("Embrionix",BOM!$M$4)),"none",IF(ISERROR(SEARCH("Quadsplit",BOM!$N$4)),IF(ISERROR(SEARCH("rec",B80)),"none","merge"),"none")),IF(ISERROR(SEARCH("rec",B80)),"split","merge"))</f>
        <v>split</v>
      </c>
    </row>
    <row r="81" spans="1:25" x14ac:dyDescent="0.2">
      <c r="A81" t="s">
        <v>1238</v>
      </c>
      <c r="B81" t="s">
        <v>1398</v>
      </c>
      <c r="C81" t="str">
        <f>IFERROR(VLOOKUP(B81,'Sender-Receiver'!$B$3:$BP$1500,61,FALSE),"")</f>
        <v>Type:Aud_8CH_RAW,#SNP</v>
      </c>
      <c r="D81" t="str">
        <f>IFERROR(VLOOKUP(B81,'Sender-Receiver'!$B$3:$BP$1500,41,FALSE),"")</f>
        <v>PLAYOUT MPA421 | HD2-016 | MPA 421 HD2</v>
      </c>
      <c r="E81" t="s">
        <v>1240</v>
      </c>
      <c r="F81">
        <v>4</v>
      </c>
      <c r="G81" t="s">
        <v>1399</v>
      </c>
      <c r="M81" t="str">
        <f>IF(OR(BOM!$AE$4=FALSE,BOM!$AE$4="-"),IF(ISERROR(SEARCH("send",B81)),"","pool:TPC"),IF(ISERROR(SEARCH("send",B81)),"","pool:TPC|pool:TPC"))</f>
        <v>pool:TPC|pool:TPC</v>
      </c>
      <c r="S81" t="str">
        <f>IFERROR(IF(VLOOKUP(B81,'Sender-Receiver'!$B$3:$BP$1500,60,FALSE)="x","true","false"),"false")</f>
        <v>true</v>
      </c>
      <c r="T81" t="str">
        <f t="shared" si="1"/>
        <v>full</v>
      </c>
      <c r="Y81" t="str">
        <f>IF(BOM!$AE$4=FALSE,IF(ISERROR(SEARCH("Embrionix",BOM!$M$4)),"none",IF(ISERROR(SEARCH("Quadsplit",BOM!$N$4)),IF(ISERROR(SEARCH("rec",B81)),"none","merge"),"none")),IF(ISERROR(SEARCH("rec",B81)),"split","merge"))</f>
        <v>split</v>
      </c>
    </row>
    <row r="82" spans="1:25" x14ac:dyDescent="0.2">
      <c r="A82" t="s">
        <v>1238</v>
      </c>
      <c r="B82" t="s">
        <v>1400</v>
      </c>
      <c r="C82" t="str">
        <f>IFERROR(VLOOKUP(B82,'Sender-Receiver'!$B$3:$BP$1500,61,FALSE),"")</f>
        <v>Type:Anc_Prot,#SNP</v>
      </c>
      <c r="D82" t="str">
        <f>IFERROR(VLOOKUP(B82,'Sender-Receiver'!$B$3:$BP$1500,41,FALSE),"")</f>
        <v>PLAYOUT MPA421 | HD2-001 | MPA 421 HD2</v>
      </c>
      <c r="E82" t="s">
        <v>1240</v>
      </c>
      <c r="F82">
        <v>4</v>
      </c>
      <c r="G82" t="s">
        <v>1401</v>
      </c>
      <c r="M82" t="str">
        <f>IF(OR(BOM!$AE$4=FALSE,BOM!$AE$4="-"),IF(ISERROR(SEARCH("send",B82)),"","pool:TPC"),IF(ISERROR(SEARCH("send",B82)),"","pool:TPC|pool:TPC"))</f>
        <v>pool:TPC|pool:TPC</v>
      </c>
      <c r="S82" t="str">
        <f>IFERROR(IF(VLOOKUP(B82,'Sender-Receiver'!$B$3:$BP$1500,60,FALSE)="x","true","false"),"false")</f>
        <v>true</v>
      </c>
      <c r="T82" t="str">
        <f t="shared" si="1"/>
        <v>full</v>
      </c>
      <c r="Y82" t="str">
        <f>IF(BOM!$AE$4=FALSE,IF(ISERROR(SEARCH("Embrionix",BOM!$M$4)),"none",IF(ISERROR(SEARCH("Quadsplit",BOM!$N$4)),IF(ISERROR(SEARCH("rec",B82)),"none","merge"),"none")),IF(ISERROR(SEARCH("rec",B82)),"split","merge"))</f>
        <v>split</v>
      </c>
    </row>
    <row r="83" spans="1:25" x14ac:dyDescent="0.2">
      <c r="A83" t="s">
        <v>1238</v>
      </c>
      <c r="B83" t="s">
        <v>1402</v>
      </c>
      <c r="C83" t="str">
        <f>IFERROR(VLOOKUP(B83,'Sender-Receiver'!$B$3:$BP$1500,61,FALSE),"")</f>
        <v>#SNP</v>
      </c>
      <c r="D83" t="str">
        <f>IFERROR(VLOOKUP(B83,'Sender-Receiver'!$B$3:$BP$1500,41,FALSE),"")</f>
        <v xml:space="preserve"> |  | MPA 421 HD2</v>
      </c>
      <c r="E83" t="s">
        <v>1240</v>
      </c>
      <c r="F83">
        <v>4</v>
      </c>
      <c r="G83" t="s">
        <v>1403</v>
      </c>
      <c r="M83" t="str">
        <f>IF(OR(BOM!$AE$4=FALSE,BOM!$AE$4="-"),IF(ISERROR(SEARCH("send",B83)),"","pool:TPC"),IF(ISERROR(SEARCH("send",B83)),"","pool:TPC|pool:TPC"))</f>
        <v>pool:TPC|pool:TPC</v>
      </c>
      <c r="S83" t="str">
        <f>IFERROR(IF(VLOOKUP(B83,'Sender-Receiver'!$B$3:$BP$1500,60,FALSE)="x","true","false"),"false")</f>
        <v>false</v>
      </c>
      <c r="T83" t="str">
        <f t="shared" si="1"/>
        <v>off</v>
      </c>
      <c r="Y83" t="str">
        <f>IF(BOM!$AE$4=FALSE,IF(ISERROR(SEARCH("Embrionix",BOM!$M$4)),"none",IF(ISERROR(SEARCH("Quadsplit",BOM!$N$4)),IF(ISERROR(SEARCH("rec",B83)),"none","merge"),"none")),IF(ISERROR(SEARCH("rec",B83)),"split","merge"))</f>
        <v>split</v>
      </c>
    </row>
    <row r="84" spans="1:25" x14ac:dyDescent="0.2">
      <c r="A84" t="s">
        <v>1238</v>
      </c>
      <c r="B84" t="s">
        <v>1404</v>
      </c>
      <c r="C84" t="str">
        <f>IFERROR(VLOOKUP(B84,'Sender-Receiver'!$B$3:$BP$1500,61,FALSE),"")</f>
        <v>#SNP</v>
      </c>
      <c r="D84" t="str">
        <f>IFERROR(VLOOKUP(B84,'Sender-Receiver'!$B$3:$BP$1500,41,FALSE),"")</f>
        <v xml:space="preserve"> |  | MPA 421 HD2</v>
      </c>
      <c r="E84" t="s">
        <v>1240</v>
      </c>
      <c r="F84">
        <v>4</v>
      </c>
      <c r="G84" t="s">
        <v>1405</v>
      </c>
      <c r="M84" t="str">
        <f>IF(OR(BOM!$AE$4=FALSE,BOM!$AE$4="-"),IF(ISERROR(SEARCH("send",B84)),"","pool:TPC"),IF(ISERROR(SEARCH("send",B84)),"","pool:TPC|pool:TPC"))</f>
        <v>pool:TPC|pool:TPC</v>
      </c>
      <c r="S84" t="str">
        <f>IFERROR(IF(VLOOKUP(B84,'Sender-Receiver'!$B$3:$BP$1500,60,FALSE)="x","true","false"),"false")</f>
        <v>false</v>
      </c>
      <c r="T84" t="str">
        <f t="shared" si="1"/>
        <v>off</v>
      </c>
      <c r="Y84" t="str">
        <f>IF(BOM!$AE$4=FALSE,IF(ISERROR(SEARCH("Embrionix",BOM!$M$4)),"none",IF(ISERROR(SEARCH("Quadsplit",BOM!$N$4)),IF(ISERROR(SEARCH("rec",B84)),"none","merge"),"none")),IF(ISERROR(SEARCH("rec",B84)),"split","merge"))</f>
        <v>split</v>
      </c>
    </row>
    <row r="85" spans="1:25" x14ac:dyDescent="0.2">
      <c r="A85" t="s">
        <v>1238</v>
      </c>
      <c r="B85" t="s">
        <v>1406</v>
      </c>
      <c r="C85" t="str">
        <f>IFERROR(VLOOKUP(B85,'Sender-Receiver'!$B$3:$BP$1500,61,FALSE),"")</f>
        <v>#SNP</v>
      </c>
      <c r="D85" t="str">
        <f>IFERROR(VLOOKUP(B85,'Sender-Receiver'!$B$3:$BP$1500,41,FALSE),"")</f>
        <v xml:space="preserve"> |  | MPA 421 HD2</v>
      </c>
      <c r="E85" t="s">
        <v>1240</v>
      </c>
      <c r="F85">
        <v>4</v>
      </c>
      <c r="G85" t="s">
        <v>1407</v>
      </c>
      <c r="M85" t="str">
        <f>IF(OR(BOM!$AE$4=FALSE,BOM!$AE$4="-"),IF(ISERROR(SEARCH("send",B85)),"","pool:TPC"),IF(ISERROR(SEARCH("send",B85)),"","pool:TPC|pool:TPC"))</f>
        <v>pool:TPC|pool:TPC</v>
      </c>
      <c r="S85" t="str">
        <f>IFERROR(IF(VLOOKUP(B85,'Sender-Receiver'!$B$3:$BP$1500,60,FALSE)="x","true","false"),"false")</f>
        <v>false</v>
      </c>
      <c r="T85" t="str">
        <f t="shared" si="1"/>
        <v>off</v>
      </c>
      <c r="Y85" t="str">
        <f>IF(BOM!$AE$4=FALSE,IF(ISERROR(SEARCH("Embrionix",BOM!$M$4)),"none",IF(ISERROR(SEARCH("Quadsplit",BOM!$N$4)),IF(ISERROR(SEARCH("rec",B85)),"none","merge"),"none")),IF(ISERROR(SEARCH("rec",B85)),"split","merge"))</f>
        <v>split</v>
      </c>
    </row>
    <row r="86" spans="1:25" x14ac:dyDescent="0.2">
      <c r="A86" t="s">
        <v>1238</v>
      </c>
      <c r="B86" t="s">
        <v>1408</v>
      </c>
      <c r="C86" t="str">
        <f>IFERROR(VLOOKUP(B86,'Sender-Receiver'!$B$3:$BP$1500,61,FALSE),"")</f>
        <v>Type:Vid_1080i50,#SNP</v>
      </c>
      <c r="D86" t="str">
        <f>IFERROR(VLOOKUP(B86,'Sender-Receiver'!$B$3:$BP$1500,41,FALSE),"")</f>
        <v>PLAYOUT R421 | HD1 Backup | R421 HD1 Backup</v>
      </c>
      <c r="E86" t="s">
        <v>1240</v>
      </c>
      <c r="F86">
        <v>5</v>
      </c>
      <c r="G86" t="s">
        <v>1409</v>
      </c>
      <c r="M86" t="str">
        <f>IF(OR(BOM!$AE$4=FALSE,BOM!$AE$4="-"),IF(ISERROR(SEARCH("send",B86)),"","pool:TPC"),IF(ISERROR(SEARCH("send",B86)),"","pool:TPC|pool:TPC"))</f>
        <v>pool:TPC|pool:TPC</v>
      </c>
      <c r="S86" t="str">
        <f>IFERROR(IF(VLOOKUP(B86,'Sender-Receiver'!$B$3:$BP$1500,60,FALSE)="x","true","false"),"false")</f>
        <v>true</v>
      </c>
      <c r="T86" t="str">
        <f t="shared" si="1"/>
        <v>full</v>
      </c>
      <c r="Y86" t="str">
        <f>IF(BOM!$AE$4=FALSE,IF(ISERROR(SEARCH("Embrionix",BOM!$M$4)),"none",IF(ISERROR(SEARCH("Quadsplit",BOM!$N$4)),IF(ISERROR(SEARCH("rec",B86)),"none","merge"),"none")),IF(ISERROR(SEARCH("rec",B86)),"split","merge"))</f>
        <v>split</v>
      </c>
    </row>
    <row r="87" spans="1:25" x14ac:dyDescent="0.2">
      <c r="A87" t="s">
        <v>1238</v>
      </c>
      <c r="B87" t="s">
        <v>1410</v>
      </c>
      <c r="C87" t="str">
        <f>IFERROR(VLOOKUP(B87,'Sender-Receiver'!$B$3:$BP$1500,61,FALSE),"")</f>
        <v>Type:Aud_2CH_LR,#SNP</v>
      </c>
      <c r="D87" t="str">
        <f>IFERROR(VLOOKUP(B87,'Sender-Receiver'!$B$3:$BP$1500,41,FALSE),"")</f>
        <v>PLAYOUT R421 | HD1 Backup-001 | R421 HD1 Backup</v>
      </c>
      <c r="E87" t="s">
        <v>1240</v>
      </c>
      <c r="F87">
        <v>5</v>
      </c>
      <c r="G87" t="s">
        <v>1411</v>
      </c>
      <c r="M87" t="str">
        <f>IF(OR(BOM!$AE$4=FALSE,BOM!$AE$4="-"),IF(ISERROR(SEARCH("send",B87)),"","pool:TPC"),IF(ISERROR(SEARCH("send",B87)),"","pool:TPC|pool:TPC"))</f>
        <v>pool:TPC|pool:TPC</v>
      </c>
      <c r="S87" t="str">
        <f>IFERROR(IF(VLOOKUP(B87,'Sender-Receiver'!$B$3:$BP$1500,60,FALSE)="x","true","false"),"false")</f>
        <v>true</v>
      </c>
      <c r="T87" t="str">
        <f t="shared" si="1"/>
        <v>full</v>
      </c>
      <c r="Y87" t="str">
        <f>IF(BOM!$AE$4=FALSE,IF(ISERROR(SEARCH("Embrionix",BOM!$M$4)),"none",IF(ISERROR(SEARCH("Quadsplit",BOM!$N$4)),IF(ISERROR(SEARCH("rec",B87)),"none","merge"),"none")),IF(ISERROR(SEARCH("rec",B87)),"split","merge"))</f>
        <v>split</v>
      </c>
    </row>
    <row r="88" spans="1:25" x14ac:dyDescent="0.2">
      <c r="A88" t="s">
        <v>1238</v>
      </c>
      <c r="B88" t="s">
        <v>1412</v>
      </c>
      <c r="C88" t="str">
        <f>IFERROR(VLOOKUP(B88,'Sender-Receiver'!$B$3:$BP$1500,61,FALSE),"")</f>
        <v>Type:Aud_1CH_M,#SNP</v>
      </c>
      <c r="D88" t="str">
        <f>IFERROR(VLOOKUP(B88,'Sender-Receiver'!$B$3:$BP$1500,41,FALSE),"")</f>
        <v>PLAYOUT R421 | HD1 Backup-002 | R421 HD1 Backup</v>
      </c>
      <c r="E88" t="s">
        <v>1240</v>
      </c>
      <c r="F88">
        <v>5</v>
      </c>
      <c r="G88" t="s">
        <v>1413</v>
      </c>
      <c r="M88" t="str">
        <f>IF(OR(BOM!$AE$4=FALSE,BOM!$AE$4="-"),IF(ISERROR(SEARCH("send",B88)),"","pool:TPC"),IF(ISERROR(SEARCH("send",B88)),"","pool:TPC|pool:TPC"))</f>
        <v>pool:TPC|pool:TPC</v>
      </c>
      <c r="S88" t="str">
        <f>IFERROR(IF(VLOOKUP(B88,'Sender-Receiver'!$B$3:$BP$1500,60,FALSE)="x","true","false"),"false")</f>
        <v>true</v>
      </c>
      <c r="T88" t="str">
        <f t="shared" si="1"/>
        <v>full</v>
      </c>
      <c r="Y88" t="str">
        <f>IF(BOM!$AE$4=FALSE,IF(ISERROR(SEARCH("Embrionix",BOM!$M$4)),"none",IF(ISERROR(SEARCH("Quadsplit",BOM!$N$4)),IF(ISERROR(SEARCH("rec",B88)),"none","merge"),"none")),IF(ISERROR(SEARCH("rec",B88)),"split","merge"))</f>
        <v>split</v>
      </c>
    </row>
    <row r="89" spans="1:25" x14ac:dyDescent="0.2">
      <c r="A89" t="s">
        <v>1238</v>
      </c>
      <c r="B89" t="s">
        <v>1414</v>
      </c>
      <c r="C89" t="str">
        <f>IFERROR(VLOOKUP(B89,'Sender-Receiver'!$B$3:$BP$1500,61,FALSE),"")</f>
        <v>Type:Aud_1CH_M,#SNP</v>
      </c>
      <c r="D89" t="str">
        <f>IFERROR(VLOOKUP(B89,'Sender-Receiver'!$B$3:$BP$1500,41,FALSE),"")</f>
        <v>PLAYOUT R421 | HD1 Backup-003 | R421 HD1 Backup</v>
      </c>
      <c r="E89" t="s">
        <v>1240</v>
      </c>
      <c r="F89">
        <v>5</v>
      </c>
      <c r="G89" t="s">
        <v>1415</v>
      </c>
      <c r="M89" t="str">
        <f>IF(OR(BOM!$AE$4=FALSE,BOM!$AE$4="-"),IF(ISERROR(SEARCH("send",B89)),"","pool:TPC"),IF(ISERROR(SEARCH("send",B89)),"","pool:TPC|pool:TPC"))</f>
        <v>pool:TPC|pool:TPC</v>
      </c>
      <c r="S89" t="str">
        <f>IFERROR(IF(VLOOKUP(B89,'Sender-Receiver'!$B$3:$BP$1500,60,FALSE)="x","true","false"),"false")</f>
        <v>true</v>
      </c>
      <c r="T89" t="str">
        <f t="shared" si="1"/>
        <v>full</v>
      </c>
      <c r="Y89" t="str">
        <f>IF(BOM!$AE$4=FALSE,IF(ISERROR(SEARCH("Embrionix",BOM!$M$4)),"none",IF(ISERROR(SEARCH("Quadsplit",BOM!$N$4)),IF(ISERROR(SEARCH("rec",B89)),"none","merge"),"none")),IF(ISERROR(SEARCH("rec",B89)),"split","merge"))</f>
        <v>split</v>
      </c>
    </row>
    <row r="90" spans="1:25" x14ac:dyDescent="0.2">
      <c r="A90" t="s">
        <v>1238</v>
      </c>
      <c r="B90" t="s">
        <v>1416</v>
      </c>
      <c r="C90" t="str">
        <f>IFERROR(VLOOKUP(B90,'Sender-Receiver'!$B$3:$BP$1500,61,FALSE),"")</f>
        <v>Type:Aud_2CH_LR,#SNP</v>
      </c>
      <c r="D90" t="str">
        <f>IFERROR(VLOOKUP(B90,'Sender-Receiver'!$B$3:$BP$1500,41,FALSE),"")</f>
        <v>PLAYOUT R421 | HD1 Backup-004 | R421 HD1 Backup</v>
      </c>
      <c r="E90" t="s">
        <v>1240</v>
      </c>
      <c r="F90">
        <v>5</v>
      </c>
      <c r="G90" t="s">
        <v>1417</v>
      </c>
      <c r="M90" t="str">
        <f>IF(OR(BOM!$AE$4=FALSE,BOM!$AE$4="-"),IF(ISERROR(SEARCH("send",B90)),"","pool:TPC"),IF(ISERROR(SEARCH("send",B90)),"","pool:TPC|pool:TPC"))</f>
        <v>pool:TPC|pool:TPC</v>
      </c>
      <c r="S90" t="str">
        <f>IFERROR(IF(VLOOKUP(B90,'Sender-Receiver'!$B$3:$BP$1500,60,FALSE)="x","true","false"),"false")</f>
        <v>true</v>
      </c>
      <c r="T90" t="str">
        <f t="shared" si="1"/>
        <v>full</v>
      </c>
      <c r="Y90" t="str">
        <f>IF(BOM!$AE$4=FALSE,IF(ISERROR(SEARCH("Embrionix",BOM!$M$4)),"none",IF(ISERROR(SEARCH("Quadsplit",BOM!$N$4)),IF(ISERROR(SEARCH("rec",B90)),"none","merge"),"none")),IF(ISERROR(SEARCH("rec",B90)),"split","merge"))</f>
        <v>split</v>
      </c>
    </row>
    <row r="91" spans="1:25" x14ac:dyDescent="0.2">
      <c r="A91" t="s">
        <v>1238</v>
      </c>
      <c r="B91" t="s">
        <v>1418</v>
      </c>
      <c r="C91" t="str">
        <f>IFERROR(VLOOKUP(B91,'Sender-Receiver'!$B$3:$BP$1500,61,FALSE),"")</f>
        <v>Type:Aud_1CH_M,#SNP</v>
      </c>
      <c r="D91" t="str">
        <f>IFERROR(VLOOKUP(B91,'Sender-Receiver'!$B$3:$BP$1500,41,FALSE),"")</f>
        <v>PLAYOUT R421 | HD1 Backup-005 | R421 HD1 Backup</v>
      </c>
      <c r="E91" t="s">
        <v>1240</v>
      </c>
      <c r="F91">
        <v>5</v>
      </c>
      <c r="G91" t="s">
        <v>1419</v>
      </c>
      <c r="M91" t="str">
        <f>IF(OR(BOM!$AE$4=FALSE,BOM!$AE$4="-"),IF(ISERROR(SEARCH("send",B91)),"","pool:TPC"),IF(ISERROR(SEARCH("send",B91)),"","pool:TPC|pool:TPC"))</f>
        <v>pool:TPC|pool:TPC</v>
      </c>
      <c r="S91" t="str">
        <f>IFERROR(IF(VLOOKUP(B91,'Sender-Receiver'!$B$3:$BP$1500,60,FALSE)="x","true","false"),"false")</f>
        <v>true</v>
      </c>
      <c r="T91" t="str">
        <f t="shared" si="1"/>
        <v>full</v>
      </c>
      <c r="Y91" t="str">
        <f>IF(BOM!$AE$4=FALSE,IF(ISERROR(SEARCH("Embrionix",BOM!$M$4)),"none",IF(ISERROR(SEARCH("Quadsplit",BOM!$N$4)),IF(ISERROR(SEARCH("rec",B91)),"none","merge"),"none")),IF(ISERROR(SEARCH("rec",B91)),"split","merge"))</f>
        <v>split</v>
      </c>
    </row>
    <row r="92" spans="1:25" x14ac:dyDescent="0.2">
      <c r="A92" t="s">
        <v>1238</v>
      </c>
      <c r="B92" t="s">
        <v>1420</v>
      </c>
      <c r="C92" t="str">
        <f>IFERROR(VLOOKUP(B92,'Sender-Receiver'!$B$3:$BP$1500,61,FALSE),"")</f>
        <v>Type:Aud_1CH_M,#SNP</v>
      </c>
      <c r="D92" t="str">
        <f>IFERROR(VLOOKUP(B92,'Sender-Receiver'!$B$3:$BP$1500,41,FALSE),"")</f>
        <v>PLAYOUT R421 | HD1 Backup-006 | R421 HD1 Backup</v>
      </c>
      <c r="E92" t="s">
        <v>1240</v>
      </c>
      <c r="F92">
        <v>5</v>
      </c>
      <c r="G92" t="s">
        <v>1421</v>
      </c>
      <c r="M92" t="str">
        <f>IF(OR(BOM!$AE$4=FALSE,BOM!$AE$4="-"),IF(ISERROR(SEARCH("send",B92)),"","pool:TPC"),IF(ISERROR(SEARCH("send",B92)),"","pool:TPC|pool:TPC"))</f>
        <v>pool:TPC|pool:TPC</v>
      </c>
      <c r="S92" t="str">
        <f>IFERROR(IF(VLOOKUP(B92,'Sender-Receiver'!$B$3:$BP$1500,60,FALSE)="x","true","false"),"false")</f>
        <v>true</v>
      </c>
      <c r="T92" t="str">
        <f t="shared" si="1"/>
        <v>full</v>
      </c>
      <c r="Y92" t="str">
        <f>IF(BOM!$AE$4=FALSE,IF(ISERROR(SEARCH("Embrionix",BOM!$M$4)),"none",IF(ISERROR(SEARCH("Quadsplit",BOM!$N$4)),IF(ISERROR(SEARCH("rec",B92)),"none","merge"),"none")),IF(ISERROR(SEARCH("rec",B92)),"split","merge"))</f>
        <v>split</v>
      </c>
    </row>
    <row r="93" spans="1:25" x14ac:dyDescent="0.2">
      <c r="A93" t="s">
        <v>1238</v>
      </c>
      <c r="B93" t="s">
        <v>1422</v>
      </c>
      <c r="C93" t="str">
        <f>IFERROR(VLOOKUP(B93,'Sender-Receiver'!$B$3:$BP$1500,61,FALSE),"")</f>
        <v>Type:Aud_2CH_LR,#SNP</v>
      </c>
      <c r="D93" t="str">
        <f>IFERROR(VLOOKUP(B93,'Sender-Receiver'!$B$3:$BP$1500,41,FALSE),"")</f>
        <v>PLAYOUT R421 | HD1 Backup-007 | R421 HD1 Backup</v>
      </c>
      <c r="E93" t="s">
        <v>1240</v>
      </c>
      <c r="F93">
        <v>5</v>
      </c>
      <c r="G93" t="s">
        <v>1423</v>
      </c>
      <c r="M93" t="str">
        <f>IF(OR(BOM!$AE$4=FALSE,BOM!$AE$4="-"),IF(ISERROR(SEARCH("send",B93)),"","pool:TPC"),IF(ISERROR(SEARCH("send",B93)),"","pool:TPC|pool:TPC"))</f>
        <v>pool:TPC|pool:TPC</v>
      </c>
      <c r="S93" t="str">
        <f>IFERROR(IF(VLOOKUP(B93,'Sender-Receiver'!$B$3:$BP$1500,60,FALSE)="x","true","false"),"false")</f>
        <v>true</v>
      </c>
      <c r="T93" t="str">
        <f t="shared" si="1"/>
        <v>full</v>
      </c>
      <c r="Y93" t="str">
        <f>IF(BOM!$AE$4=FALSE,IF(ISERROR(SEARCH("Embrionix",BOM!$M$4)),"none",IF(ISERROR(SEARCH("Quadsplit",BOM!$N$4)),IF(ISERROR(SEARCH("rec",B93)),"none","merge"),"none")),IF(ISERROR(SEARCH("rec",B93)),"split","merge"))</f>
        <v>split</v>
      </c>
    </row>
    <row r="94" spans="1:25" x14ac:dyDescent="0.2">
      <c r="A94" t="s">
        <v>1238</v>
      </c>
      <c r="B94" t="s">
        <v>1424</v>
      </c>
      <c r="C94" t="str">
        <f>IFERROR(VLOOKUP(B94,'Sender-Receiver'!$B$3:$BP$1500,61,FALSE),"")</f>
        <v>Type:Aud_6CH_5.1,#SNP</v>
      </c>
      <c r="D94" t="str">
        <f>IFERROR(VLOOKUP(B94,'Sender-Receiver'!$B$3:$BP$1500,41,FALSE),"")</f>
        <v>PLAYOUT R421 | HD1 Backup-008 | R421 HD1 Backup</v>
      </c>
      <c r="E94" t="s">
        <v>1240</v>
      </c>
      <c r="F94">
        <v>5</v>
      </c>
      <c r="G94" t="s">
        <v>1425</v>
      </c>
      <c r="M94" t="str">
        <f>IF(OR(BOM!$AE$4=FALSE,BOM!$AE$4="-"),IF(ISERROR(SEARCH("send",B94)),"","pool:TPC"),IF(ISERROR(SEARCH("send",B94)),"","pool:TPC|pool:TPC"))</f>
        <v>pool:TPC|pool:TPC</v>
      </c>
      <c r="S94" t="str">
        <f>IFERROR(IF(VLOOKUP(B94,'Sender-Receiver'!$B$3:$BP$1500,60,FALSE)="x","true","false"),"false")</f>
        <v>true</v>
      </c>
      <c r="T94" t="str">
        <f t="shared" si="1"/>
        <v>full</v>
      </c>
      <c r="Y94" t="str">
        <f>IF(BOM!$AE$4=FALSE,IF(ISERROR(SEARCH("Embrionix",BOM!$M$4)),"none",IF(ISERROR(SEARCH("Quadsplit",BOM!$N$4)),IF(ISERROR(SEARCH("rec",B94)),"none","merge"),"none")),IF(ISERROR(SEARCH("rec",B94)),"split","merge"))</f>
        <v>split</v>
      </c>
    </row>
    <row r="95" spans="1:25" x14ac:dyDescent="0.2">
      <c r="A95" t="s">
        <v>1238</v>
      </c>
      <c r="B95" t="s">
        <v>1426</v>
      </c>
      <c r="C95" t="str">
        <f>IFERROR(VLOOKUP(B95,'Sender-Receiver'!$B$3:$BP$1500,61,FALSE),"")</f>
        <v>#SNP</v>
      </c>
      <c r="D95" t="str">
        <f>IFERROR(VLOOKUP(B95,'Sender-Receiver'!$B$3:$BP$1500,41,FALSE),"")</f>
        <v xml:space="preserve"> |  | R421 HD1 Backup</v>
      </c>
      <c r="E95" t="s">
        <v>1240</v>
      </c>
      <c r="F95">
        <v>5</v>
      </c>
      <c r="G95" t="s">
        <v>1427</v>
      </c>
      <c r="M95" t="str">
        <f>IF(OR(BOM!$AE$4=FALSE,BOM!$AE$4="-"),IF(ISERROR(SEARCH("send",B95)),"","pool:TPC"),IF(ISERROR(SEARCH("send",B95)),"","pool:TPC|pool:TPC"))</f>
        <v>pool:TPC|pool:TPC</v>
      </c>
      <c r="S95" t="str">
        <f>IFERROR(IF(VLOOKUP(B95,'Sender-Receiver'!$B$3:$BP$1500,60,FALSE)="x","true","false"),"false")</f>
        <v>false</v>
      </c>
      <c r="T95" t="str">
        <f t="shared" si="1"/>
        <v>off</v>
      </c>
      <c r="Y95" t="str">
        <f>IF(BOM!$AE$4=FALSE,IF(ISERROR(SEARCH("Embrionix",BOM!$M$4)),"none",IF(ISERROR(SEARCH("Quadsplit",BOM!$N$4)),IF(ISERROR(SEARCH("rec",B95)),"none","merge"),"none")),IF(ISERROR(SEARCH("rec",B95)),"split","merge"))</f>
        <v>split</v>
      </c>
    </row>
    <row r="96" spans="1:25" x14ac:dyDescent="0.2">
      <c r="A96" t="s">
        <v>1238</v>
      </c>
      <c r="B96" t="s">
        <v>1428</v>
      </c>
      <c r="C96" t="str">
        <f>IFERROR(VLOOKUP(B96,'Sender-Receiver'!$B$3:$BP$1500,61,FALSE),"")</f>
        <v>#SNP</v>
      </c>
      <c r="D96" t="str">
        <f>IFERROR(VLOOKUP(B96,'Sender-Receiver'!$B$3:$BP$1500,41,FALSE),"")</f>
        <v xml:space="preserve"> |  | R421 HD1 Backup</v>
      </c>
      <c r="E96" t="s">
        <v>1240</v>
      </c>
      <c r="F96">
        <v>5</v>
      </c>
      <c r="G96" t="s">
        <v>1429</v>
      </c>
      <c r="M96" t="str">
        <f>IF(OR(BOM!$AE$4=FALSE,BOM!$AE$4="-"),IF(ISERROR(SEARCH("send",B96)),"","pool:TPC"),IF(ISERROR(SEARCH("send",B96)),"","pool:TPC|pool:TPC"))</f>
        <v>pool:TPC|pool:TPC</v>
      </c>
      <c r="S96" t="str">
        <f>IFERROR(IF(VLOOKUP(B96,'Sender-Receiver'!$B$3:$BP$1500,60,FALSE)="x","true","false"),"false")</f>
        <v>false</v>
      </c>
      <c r="T96" t="str">
        <f t="shared" si="1"/>
        <v>off</v>
      </c>
      <c r="Y96" t="str">
        <f>IF(BOM!$AE$4=FALSE,IF(ISERROR(SEARCH("Embrionix",BOM!$M$4)),"none",IF(ISERROR(SEARCH("Quadsplit",BOM!$N$4)),IF(ISERROR(SEARCH("rec",B96)),"none","merge"),"none")),IF(ISERROR(SEARCH("rec",B96)),"split","merge"))</f>
        <v>split</v>
      </c>
    </row>
    <row r="97" spans="1:25" x14ac:dyDescent="0.2">
      <c r="A97" t="s">
        <v>1238</v>
      </c>
      <c r="B97" t="s">
        <v>1430</v>
      </c>
      <c r="C97" t="str">
        <f>IFERROR(VLOOKUP(B97,'Sender-Receiver'!$B$3:$BP$1500,61,FALSE),"")</f>
        <v>#SNP</v>
      </c>
      <c r="D97" t="str">
        <f>IFERROR(VLOOKUP(B97,'Sender-Receiver'!$B$3:$BP$1500,41,FALSE),"")</f>
        <v xml:space="preserve"> |  | R421 HD1 Backup</v>
      </c>
      <c r="E97" t="s">
        <v>1240</v>
      </c>
      <c r="F97">
        <v>5</v>
      </c>
      <c r="G97" t="s">
        <v>1431</v>
      </c>
      <c r="M97" t="str">
        <f>IF(OR(BOM!$AE$4=FALSE,BOM!$AE$4="-"),IF(ISERROR(SEARCH("send",B97)),"","pool:TPC"),IF(ISERROR(SEARCH("send",B97)),"","pool:TPC|pool:TPC"))</f>
        <v>pool:TPC|pool:TPC</v>
      </c>
      <c r="S97" t="str">
        <f>IFERROR(IF(VLOOKUP(B97,'Sender-Receiver'!$B$3:$BP$1500,60,FALSE)="x","true","false"),"false")</f>
        <v>false</v>
      </c>
      <c r="T97" t="str">
        <f t="shared" si="1"/>
        <v>off</v>
      </c>
      <c r="Y97" t="str">
        <f>IF(BOM!$AE$4=FALSE,IF(ISERROR(SEARCH("Embrionix",BOM!$M$4)),"none",IF(ISERROR(SEARCH("Quadsplit",BOM!$N$4)),IF(ISERROR(SEARCH("rec",B97)),"none","merge"),"none")),IF(ISERROR(SEARCH("rec",B97)),"split","merge"))</f>
        <v>split</v>
      </c>
    </row>
    <row r="98" spans="1:25" x14ac:dyDescent="0.2">
      <c r="A98" t="s">
        <v>1238</v>
      </c>
      <c r="B98" t="s">
        <v>1432</v>
      </c>
      <c r="C98" t="str">
        <f>IFERROR(VLOOKUP(B98,'Sender-Receiver'!$B$3:$BP$1500,61,FALSE),"")</f>
        <v>#SNP</v>
      </c>
      <c r="D98" t="str">
        <f>IFERROR(VLOOKUP(B98,'Sender-Receiver'!$B$3:$BP$1500,41,FALSE),"")</f>
        <v xml:space="preserve"> |  | R421 HD1 Backup</v>
      </c>
      <c r="E98" t="s">
        <v>1240</v>
      </c>
      <c r="F98">
        <v>5</v>
      </c>
      <c r="G98" t="s">
        <v>1433</v>
      </c>
      <c r="M98" t="str">
        <f>IF(OR(BOM!$AE$4=FALSE,BOM!$AE$4="-"),IF(ISERROR(SEARCH("send",B98)),"","pool:TPC"),IF(ISERROR(SEARCH("send",B98)),"","pool:TPC|pool:TPC"))</f>
        <v>pool:TPC|pool:TPC</v>
      </c>
      <c r="S98" t="str">
        <f>IFERROR(IF(VLOOKUP(B98,'Sender-Receiver'!$B$3:$BP$1500,60,FALSE)="x","true","false"),"false")</f>
        <v>false</v>
      </c>
      <c r="T98" t="str">
        <f t="shared" si="1"/>
        <v>off</v>
      </c>
      <c r="Y98" t="str">
        <f>IF(BOM!$AE$4=FALSE,IF(ISERROR(SEARCH("Embrionix",BOM!$M$4)),"none",IF(ISERROR(SEARCH("Quadsplit",BOM!$N$4)),IF(ISERROR(SEARCH("rec",B98)),"none","merge"),"none")),IF(ISERROR(SEARCH("rec",B98)),"split","merge"))</f>
        <v>split</v>
      </c>
    </row>
    <row r="99" spans="1:25" x14ac:dyDescent="0.2">
      <c r="A99" t="s">
        <v>1238</v>
      </c>
      <c r="B99" t="s">
        <v>1434</v>
      </c>
      <c r="C99" t="str">
        <f>IFERROR(VLOOKUP(B99,'Sender-Receiver'!$B$3:$BP$1500,61,FALSE),"")</f>
        <v>#SNP</v>
      </c>
      <c r="D99" t="str">
        <f>IFERROR(VLOOKUP(B99,'Sender-Receiver'!$B$3:$BP$1500,41,FALSE),"")</f>
        <v xml:space="preserve"> |  | R421 HD1 Backup</v>
      </c>
      <c r="E99" t="s">
        <v>1240</v>
      </c>
      <c r="F99">
        <v>5</v>
      </c>
      <c r="G99" t="s">
        <v>1435</v>
      </c>
      <c r="M99" t="str">
        <f>IF(OR(BOM!$AE$4=FALSE,BOM!$AE$4="-"),IF(ISERROR(SEARCH("send",B99)),"","pool:TPC"),IF(ISERROR(SEARCH("send",B99)),"","pool:TPC|pool:TPC"))</f>
        <v>pool:TPC|pool:TPC</v>
      </c>
      <c r="S99" t="str">
        <f>IFERROR(IF(VLOOKUP(B99,'Sender-Receiver'!$B$3:$BP$1500,60,FALSE)="x","true","false"),"false")</f>
        <v>false</v>
      </c>
      <c r="T99" t="str">
        <f t="shared" si="1"/>
        <v>off</v>
      </c>
      <c r="Y99" t="str">
        <f>IF(BOM!$AE$4=FALSE,IF(ISERROR(SEARCH("Embrionix",BOM!$M$4)),"none",IF(ISERROR(SEARCH("Quadsplit",BOM!$N$4)),IF(ISERROR(SEARCH("rec",B99)),"none","merge"),"none")),IF(ISERROR(SEARCH("rec",B99)),"split","merge"))</f>
        <v>split</v>
      </c>
    </row>
    <row r="100" spans="1:25" x14ac:dyDescent="0.2">
      <c r="A100" t="s">
        <v>1238</v>
      </c>
      <c r="B100" t="s">
        <v>1436</v>
      </c>
      <c r="C100" t="str">
        <f>IFERROR(VLOOKUP(B100,'Sender-Receiver'!$B$3:$BP$1500,61,FALSE),"")</f>
        <v>#SNP</v>
      </c>
      <c r="D100" t="str">
        <f>IFERROR(VLOOKUP(B100,'Sender-Receiver'!$B$3:$BP$1500,41,FALSE),"")</f>
        <v xml:space="preserve"> |  | R421 HD1 Backup</v>
      </c>
      <c r="E100" t="s">
        <v>1240</v>
      </c>
      <c r="F100">
        <v>5</v>
      </c>
      <c r="G100" t="s">
        <v>1437</v>
      </c>
      <c r="M100" t="str">
        <f>IF(OR(BOM!$AE$4=FALSE,BOM!$AE$4="-"),IF(ISERROR(SEARCH("send",B100)),"","pool:TPC"),IF(ISERROR(SEARCH("send",B100)),"","pool:TPC|pool:TPC"))</f>
        <v>pool:TPC|pool:TPC</v>
      </c>
      <c r="S100" t="str">
        <f>IFERROR(IF(VLOOKUP(B100,'Sender-Receiver'!$B$3:$BP$1500,60,FALSE)="x","true","false"),"false")</f>
        <v>false</v>
      </c>
      <c r="T100" t="str">
        <f t="shared" si="1"/>
        <v>off</v>
      </c>
      <c r="Y100" t="str">
        <f>IF(BOM!$AE$4=FALSE,IF(ISERROR(SEARCH("Embrionix",BOM!$M$4)),"none",IF(ISERROR(SEARCH("Quadsplit",BOM!$N$4)),IF(ISERROR(SEARCH("rec",B100)),"none","merge"),"none")),IF(ISERROR(SEARCH("rec",B100)),"split","merge"))</f>
        <v>split</v>
      </c>
    </row>
    <row r="101" spans="1:25" x14ac:dyDescent="0.2">
      <c r="A101" t="s">
        <v>1238</v>
      </c>
      <c r="B101" t="s">
        <v>1438</v>
      </c>
      <c r="C101" t="str">
        <f>IFERROR(VLOOKUP(B101,'Sender-Receiver'!$B$3:$BP$1500,61,FALSE),"")</f>
        <v>Type:Aud_8CH_RAW,#SNP</v>
      </c>
      <c r="D101" t="str">
        <f>IFERROR(VLOOKUP(B101,'Sender-Receiver'!$B$3:$BP$1500,41,FALSE),"")</f>
        <v>PLAYOUT R421 | HD1 Backup-015 | R421 HD1 Backup</v>
      </c>
      <c r="E101" t="s">
        <v>1240</v>
      </c>
      <c r="F101">
        <v>5</v>
      </c>
      <c r="G101" t="s">
        <v>1439</v>
      </c>
      <c r="M101" t="str">
        <f>IF(OR(BOM!$AE$4=FALSE,BOM!$AE$4="-"),IF(ISERROR(SEARCH("send",B101)),"","pool:TPC"),IF(ISERROR(SEARCH("send",B101)),"","pool:TPC|pool:TPC"))</f>
        <v>pool:TPC|pool:TPC</v>
      </c>
      <c r="S101" t="str">
        <f>IFERROR(IF(VLOOKUP(B101,'Sender-Receiver'!$B$3:$BP$1500,60,FALSE)="x","true","false"),"false")</f>
        <v>true</v>
      </c>
      <c r="T101" t="str">
        <f t="shared" si="1"/>
        <v>full</v>
      </c>
      <c r="Y101" t="str">
        <f>IF(BOM!$AE$4=FALSE,IF(ISERROR(SEARCH("Embrionix",BOM!$M$4)),"none",IF(ISERROR(SEARCH("Quadsplit",BOM!$N$4)),IF(ISERROR(SEARCH("rec",B101)),"none","merge"),"none")),IF(ISERROR(SEARCH("rec",B101)),"split","merge"))</f>
        <v>split</v>
      </c>
    </row>
    <row r="102" spans="1:25" x14ac:dyDescent="0.2">
      <c r="A102" t="s">
        <v>1238</v>
      </c>
      <c r="B102" t="s">
        <v>1440</v>
      </c>
      <c r="C102" t="str">
        <f>IFERROR(VLOOKUP(B102,'Sender-Receiver'!$B$3:$BP$1500,61,FALSE),"")</f>
        <v>Type:Aud_8CH_RAW,#SNP</v>
      </c>
      <c r="D102" t="str">
        <f>IFERROR(VLOOKUP(B102,'Sender-Receiver'!$B$3:$BP$1500,41,FALSE),"")</f>
        <v>PLAYOUT R421 | HD1 Backup-016 | R421 HD1 Backup</v>
      </c>
      <c r="E102" t="s">
        <v>1240</v>
      </c>
      <c r="F102">
        <v>5</v>
      </c>
      <c r="G102" t="s">
        <v>1441</v>
      </c>
      <c r="M102" t="str">
        <f>IF(OR(BOM!$AE$4=FALSE,BOM!$AE$4="-"),IF(ISERROR(SEARCH("send",B102)),"","pool:TPC"),IF(ISERROR(SEARCH("send",B102)),"","pool:TPC|pool:TPC"))</f>
        <v>pool:TPC|pool:TPC</v>
      </c>
      <c r="S102" t="str">
        <f>IFERROR(IF(VLOOKUP(B102,'Sender-Receiver'!$B$3:$BP$1500,60,FALSE)="x","true","false"),"false")</f>
        <v>true</v>
      </c>
      <c r="T102" t="str">
        <f t="shared" si="1"/>
        <v>full</v>
      </c>
      <c r="Y102" t="str">
        <f>IF(BOM!$AE$4=FALSE,IF(ISERROR(SEARCH("Embrionix",BOM!$M$4)),"none",IF(ISERROR(SEARCH("Quadsplit",BOM!$N$4)),IF(ISERROR(SEARCH("rec",B102)),"none","merge"),"none")),IF(ISERROR(SEARCH("rec",B102)),"split","merge"))</f>
        <v>split</v>
      </c>
    </row>
    <row r="103" spans="1:25" x14ac:dyDescent="0.2">
      <c r="A103" t="s">
        <v>1238</v>
      </c>
      <c r="B103" t="s">
        <v>1442</v>
      </c>
      <c r="C103" t="str">
        <f>IFERROR(VLOOKUP(B103,'Sender-Receiver'!$B$3:$BP$1500,61,FALSE),"")</f>
        <v>Type:Anc_Prot,#SNP</v>
      </c>
      <c r="D103" t="str">
        <f>IFERROR(VLOOKUP(B103,'Sender-Receiver'!$B$3:$BP$1500,41,FALSE),"")</f>
        <v>PLAYOUT R421 | HD1 Backup-001 | R421 HD1 Backup</v>
      </c>
      <c r="E103" t="s">
        <v>1240</v>
      </c>
      <c r="F103">
        <v>5</v>
      </c>
      <c r="G103" t="s">
        <v>1443</v>
      </c>
      <c r="M103" t="str">
        <f>IF(OR(BOM!$AE$4=FALSE,BOM!$AE$4="-"),IF(ISERROR(SEARCH("send",B103)),"","pool:TPC"),IF(ISERROR(SEARCH("send",B103)),"","pool:TPC|pool:TPC"))</f>
        <v>pool:TPC|pool:TPC</v>
      </c>
      <c r="S103" t="str">
        <f>IFERROR(IF(VLOOKUP(B103,'Sender-Receiver'!$B$3:$BP$1500,60,FALSE)="x","true","false"),"false")</f>
        <v>true</v>
      </c>
      <c r="T103" t="str">
        <f t="shared" si="1"/>
        <v>full</v>
      </c>
      <c r="Y103" t="str">
        <f>IF(BOM!$AE$4=FALSE,IF(ISERROR(SEARCH("Embrionix",BOM!$M$4)),"none",IF(ISERROR(SEARCH("Quadsplit",BOM!$N$4)),IF(ISERROR(SEARCH("rec",B103)),"none","merge"),"none")),IF(ISERROR(SEARCH("rec",B103)),"split","merge"))</f>
        <v>split</v>
      </c>
    </row>
    <row r="104" spans="1:25" x14ac:dyDescent="0.2">
      <c r="A104" t="s">
        <v>1238</v>
      </c>
      <c r="B104" t="s">
        <v>1444</v>
      </c>
      <c r="C104" t="str">
        <f>IFERROR(VLOOKUP(B104,'Sender-Receiver'!$B$3:$BP$1500,61,FALSE),"")</f>
        <v>#SNP</v>
      </c>
      <c r="D104" t="str">
        <f>IFERROR(VLOOKUP(B104,'Sender-Receiver'!$B$3:$BP$1500,41,FALSE),"")</f>
        <v xml:space="preserve"> |  | R421 HD1 Backup</v>
      </c>
      <c r="E104" t="s">
        <v>1240</v>
      </c>
      <c r="F104">
        <v>5</v>
      </c>
      <c r="G104" t="s">
        <v>1445</v>
      </c>
      <c r="M104" t="str">
        <f>IF(OR(BOM!$AE$4=FALSE,BOM!$AE$4="-"),IF(ISERROR(SEARCH("send",B104)),"","pool:TPC"),IF(ISERROR(SEARCH("send",B104)),"","pool:TPC|pool:TPC"))</f>
        <v>pool:TPC|pool:TPC</v>
      </c>
      <c r="S104" t="str">
        <f>IFERROR(IF(VLOOKUP(B104,'Sender-Receiver'!$B$3:$BP$1500,60,FALSE)="x","true","false"),"false")</f>
        <v>false</v>
      </c>
      <c r="T104" t="str">
        <f t="shared" si="1"/>
        <v>off</v>
      </c>
      <c r="Y104" t="str">
        <f>IF(BOM!$AE$4=FALSE,IF(ISERROR(SEARCH("Embrionix",BOM!$M$4)),"none",IF(ISERROR(SEARCH("Quadsplit",BOM!$N$4)),IF(ISERROR(SEARCH("rec",B104)),"none","merge"),"none")),IF(ISERROR(SEARCH("rec",B104)),"split","merge"))</f>
        <v>split</v>
      </c>
    </row>
    <row r="105" spans="1:25" x14ac:dyDescent="0.2">
      <c r="A105" t="s">
        <v>1238</v>
      </c>
      <c r="B105" t="s">
        <v>1446</v>
      </c>
      <c r="C105" t="str">
        <f>IFERROR(VLOOKUP(B105,'Sender-Receiver'!$B$3:$BP$1500,61,FALSE),"")</f>
        <v>#SNP</v>
      </c>
      <c r="D105" t="str">
        <f>IFERROR(VLOOKUP(B105,'Sender-Receiver'!$B$3:$BP$1500,41,FALSE),"")</f>
        <v xml:space="preserve"> |  | R421 HD1 Backup</v>
      </c>
      <c r="E105" t="s">
        <v>1240</v>
      </c>
      <c r="F105">
        <v>5</v>
      </c>
      <c r="G105" t="s">
        <v>1447</v>
      </c>
      <c r="M105" t="str">
        <f>IF(OR(BOM!$AE$4=FALSE,BOM!$AE$4="-"),IF(ISERROR(SEARCH("send",B105)),"","pool:TPC"),IF(ISERROR(SEARCH("send",B105)),"","pool:TPC|pool:TPC"))</f>
        <v>pool:TPC|pool:TPC</v>
      </c>
      <c r="S105" t="str">
        <f>IFERROR(IF(VLOOKUP(B105,'Sender-Receiver'!$B$3:$BP$1500,60,FALSE)="x","true","false"),"false")</f>
        <v>false</v>
      </c>
      <c r="T105" t="str">
        <f t="shared" si="1"/>
        <v>off</v>
      </c>
      <c r="Y105" t="str">
        <f>IF(BOM!$AE$4=FALSE,IF(ISERROR(SEARCH("Embrionix",BOM!$M$4)),"none",IF(ISERROR(SEARCH("Quadsplit",BOM!$N$4)),IF(ISERROR(SEARCH("rec",B105)),"none","merge"),"none")),IF(ISERROR(SEARCH("rec",B105)),"split","merge"))</f>
        <v>split</v>
      </c>
    </row>
    <row r="106" spans="1:25" x14ac:dyDescent="0.2">
      <c r="A106" t="s">
        <v>1238</v>
      </c>
      <c r="B106" t="s">
        <v>1448</v>
      </c>
      <c r="C106" t="str">
        <f>IFERROR(VLOOKUP(B106,'Sender-Receiver'!$B$3:$BP$1500,61,FALSE),"")</f>
        <v>#SNP</v>
      </c>
      <c r="D106" t="str">
        <f>IFERROR(VLOOKUP(B106,'Sender-Receiver'!$B$3:$BP$1500,41,FALSE),"")</f>
        <v xml:space="preserve"> |  | R421 HD1 Backup</v>
      </c>
      <c r="E106" t="s">
        <v>1240</v>
      </c>
      <c r="F106">
        <v>5</v>
      </c>
      <c r="G106" t="s">
        <v>1449</v>
      </c>
      <c r="M106" t="str">
        <f>IF(OR(BOM!$AE$4=FALSE,BOM!$AE$4="-"),IF(ISERROR(SEARCH("send",B106)),"","pool:TPC"),IF(ISERROR(SEARCH("send",B106)),"","pool:TPC|pool:TPC"))</f>
        <v>pool:TPC|pool:TPC</v>
      </c>
      <c r="S106" t="str">
        <f>IFERROR(IF(VLOOKUP(B106,'Sender-Receiver'!$B$3:$BP$1500,60,FALSE)="x","true","false"),"false")</f>
        <v>false</v>
      </c>
      <c r="T106" t="str">
        <f t="shared" si="1"/>
        <v>off</v>
      </c>
      <c r="Y106" t="str">
        <f>IF(BOM!$AE$4=FALSE,IF(ISERROR(SEARCH("Embrionix",BOM!$M$4)),"none",IF(ISERROR(SEARCH("Quadsplit",BOM!$N$4)),IF(ISERROR(SEARCH("rec",B106)),"none","merge"),"none")),IF(ISERROR(SEARCH("rec",B106)),"split","merge"))</f>
        <v>split</v>
      </c>
    </row>
    <row r="107" spans="1:25" x14ac:dyDescent="0.2">
      <c r="A107" t="s">
        <v>1238</v>
      </c>
      <c r="B107" t="s">
        <v>1450</v>
      </c>
      <c r="C107" t="str">
        <f>IFERROR(VLOOKUP(B107,'Sender-Receiver'!$B$3:$BP$1500,61,FALSE),"")</f>
        <v>Type:Vid_1080i50,#SNP</v>
      </c>
      <c r="D107" t="str">
        <f>IFERROR(VLOOKUP(B107,'Sender-Receiver'!$B$3:$BP$1500,41,FALSE),"")</f>
        <v>PLAYOUT R421 | HD2 Backup | R421 HD2 Backup</v>
      </c>
      <c r="E107" t="s">
        <v>1240</v>
      </c>
      <c r="F107">
        <v>6</v>
      </c>
      <c r="G107" t="s">
        <v>1451</v>
      </c>
      <c r="M107" t="str">
        <f>IF(OR(BOM!$AE$4=FALSE,BOM!$AE$4="-"),IF(ISERROR(SEARCH("send",B107)),"","pool:TPC"),IF(ISERROR(SEARCH("send",B107)),"","pool:TPC|pool:TPC"))</f>
        <v>pool:TPC|pool:TPC</v>
      </c>
      <c r="S107" t="str">
        <f>IFERROR(IF(VLOOKUP(B107,'Sender-Receiver'!$B$3:$BP$1500,60,FALSE)="x","true","false"),"false")</f>
        <v>true</v>
      </c>
      <c r="T107" t="str">
        <f t="shared" si="1"/>
        <v>full</v>
      </c>
      <c r="Y107" t="str">
        <f>IF(BOM!$AE$4=FALSE,IF(ISERROR(SEARCH("Embrionix",BOM!$M$4)),"none",IF(ISERROR(SEARCH("Quadsplit",BOM!$N$4)),IF(ISERROR(SEARCH("rec",B107)),"none","merge"),"none")),IF(ISERROR(SEARCH("rec",B107)),"split","merge"))</f>
        <v>split</v>
      </c>
    </row>
    <row r="108" spans="1:25" x14ac:dyDescent="0.2">
      <c r="A108" t="s">
        <v>1238</v>
      </c>
      <c r="B108" t="s">
        <v>1452</v>
      </c>
      <c r="C108" t="str">
        <f>IFERROR(VLOOKUP(B108,'Sender-Receiver'!$B$3:$BP$1500,61,FALSE),"")</f>
        <v>Type:Aud_2CH_LR,#SNP</v>
      </c>
      <c r="D108" t="str">
        <f>IFERROR(VLOOKUP(B108,'Sender-Receiver'!$B$3:$BP$1500,41,FALSE),"")</f>
        <v>PLAYOUT R421 | HD2 Backup-001 | R421 HD2 Backup</v>
      </c>
      <c r="E108" t="s">
        <v>1240</v>
      </c>
      <c r="F108">
        <v>6</v>
      </c>
      <c r="G108" t="s">
        <v>1453</v>
      </c>
      <c r="M108" t="str">
        <f>IF(OR(BOM!$AE$4=FALSE,BOM!$AE$4="-"),IF(ISERROR(SEARCH("send",B108)),"","pool:TPC"),IF(ISERROR(SEARCH("send",B108)),"","pool:TPC|pool:TPC"))</f>
        <v>pool:TPC|pool:TPC</v>
      </c>
      <c r="S108" t="str">
        <f>IFERROR(IF(VLOOKUP(B108,'Sender-Receiver'!$B$3:$BP$1500,60,FALSE)="x","true","false"),"false")</f>
        <v>true</v>
      </c>
      <c r="T108" t="str">
        <f t="shared" si="1"/>
        <v>full</v>
      </c>
      <c r="Y108" t="str">
        <f>IF(BOM!$AE$4=FALSE,IF(ISERROR(SEARCH("Embrionix",BOM!$M$4)),"none",IF(ISERROR(SEARCH("Quadsplit",BOM!$N$4)),IF(ISERROR(SEARCH("rec",B108)),"none","merge"),"none")),IF(ISERROR(SEARCH("rec",B108)),"split","merge"))</f>
        <v>split</v>
      </c>
    </row>
    <row r="109" spans="1:25" x14ac:dyDescent="0.2">
      <c r="A109" t="s">
        <v>1238</v>
      </c>
      <c r="B109" t="s">
        <v>1454</v>
      </c>
      <c r="C109" t="str">
        <f>IFERROR(VLOOKUP(B109,'Sender-Receiver'!$B$3:$BP$1500,61,FALSE),"")</f>
        <v>Type:Aud_1CH_M,#SNP</v>
      </c>
      <c r="D109" t="str">
        <f>IFERROR(VLOOKUP(B109,'Sender-Receiver'!$B$3:$BP$1500,41,FALSE),"")</f>
        <v>PLAYOUT R421 | HD2 Backup-002 | R421 HD2 Backup</v>
      </c>
      <c r="E109" t="s">
        <v>1240</v>
      </c>
      <c r="F109">
        <v>6</v>
      </c>
      <c r="G109" t="s">
        <v>1455</v>
      </c>
      <c r="M109" t="str">
        <f>IF(OR(BOM!$AE$4=FALSE,BOM!$AE$4="-"),IF(ISERROR(SEARCH("send",B109)),"","pool:TPC"),IF(ISERROR(SEARCH("send",B109)),"","pool:TPC|pool:TPC"))</f>
        <v>pool:TPC|pool:TPC</v>
      </c>
      <c r="S109" t="str">
        <f>IFERROR(IF(VLOOKUP(B109,'Sender-Receiver'!$B$3:$BP$1500,60,FALSE)="x","true","false"),"false")</f>
        <v>true</v>
      </c>
      <c r="T109" t="str">
        <f t="shared" si="1"/>
        <v>full</v>
      </c>
      <c r="Y109" t="str">
        <f>IF(BOM!$AE$4=FALSE,IF(ISERROR(SEARCH("Embrionix",BOM!$M$4)),"none",IF(ISERROR(SEARCH("Quadsplit",BOM!$N$4)),IF(ISERROR(SEARCH("rec",B109)),"none","merge"),"none")),IF(ISERROR(SEARCH("rec",B109)),"split","merge"))</f>
        <v>split</v>
      </c>
    </row>
    <row r="110" spans="1:25" x14ac:dyDescent="0.2">
      <c r="A110" t="s">
        <v>1238</v>
      </c>
      <c r="B110" t="s">
        <v>1456</v>
      </c>
      <c r="C110" t="str">
        <f>IFERROR(VLOOKUP(B110,'Sender-Receiver'!$B$3:$BP$1500,61,FALSE),"")</f>
        <v>Type:Aud_1CH_M,#SNP</v>
      </c>
      <c r="D110" t="str">
        <f>IFERROR(VLOOKUP(B110,'Sender-Receiver'!$B$3:$BP$1500,41,FALSE),"")</f>
        <v>PLAYOUT R421 | HD2 Backup-003 | R421 HD2 Backup</v>
      </c>
      <c r="E110" t="s">
        <v>1240</v>
      </c>
      <c r="F110">
        <v>6</v>
      </c>
      <c r="G110" t="s">
        <v>1457</v>
      </c>
      <c r="M110" t="str">
        <f>IF(OR(BOM!$AE$4=FALSE,BOM!$AE$4="-"),IF(ISERROR(SEARCH("send",B110)),"","pool:TPC"),IF(ISERROR(SEARCH("send",B110)),"","pool:TPC|pool:TPC"))</f>
        <v>pool:TPC|pool:TPC</v>
      </c>
      <c r="S110" t="str">
        <f>IFERROR(IF(VLOOKUP(B110,'Sender-Receiver'!$B$3:$BP$1500,60,FALSE)="x","true","false"),"false")</f>
        <v>true</v>
      </c>
      <c r="T110" t="str">
        <f t="shared" si="1"/>
        <v>full</v>
      </c>
      <c r="Y110" t="str">
        <f>IF(BOM!$AE$4=FALSE,IF(ISERROR(SEARCH("Embrionix",BOM!$M$4)),"none",IF(ISERROR(SEARCH("Quadsplit",BOM!$N$4)),IF(ISERROR(SEARCH("rec",B110)),"none","merge"),"none")),IF(ISERROR(SEARCH("rec",B110)),"split","merge"))</f>
        <v>split</v>
      </c>
    </row>
    <row r="111" spans="1:25" x14ac:dyDescent="0.2">
      <c r="A111" t="s">
        <v>1238</v>
      </c>
      <c r="B111" t="s">
        <v>1458</v>
      </c>
      <c r="C111" t="str">
        <f>IFERROR(VLOOKUP(B111,'Sender-Receiver'!$B$3:$BP$1500,61,FALSE),"")</f>
        <v>Type:Aud_2CH_LR,#SNP</v>
      </c>
      <c r="D111" t="str">
        <f>IFERROR(VLOOKUP(B111,'Sender-Receiver'!$B$3:$BP$1500,41,FALSE),"")</f>
        <v>PLAYOUT R421 | HD2 Backup-004 | R421 HD2 Backup</v>
      </c>
      <c r="E111" t="s">
        <v>1240</v>
      </c>
      <c r="F111">
        <v>6</v>
      </c>
      <c r="G111" t="s">
        <v>1459</v>
      </c>
      <c r="M111" t="str">
        <f>IF(OR(BOM!$AE$4=FALSE,BOM!$AE$4="-"),IF(ISERROR(SEARCH("send",B111)),"","pool:TPC"),IF(ISERROR(SEARCH("send",B111)),"","pool:TPC|pool:TPC"))</f>
        <v>pool:TPC|pool:TPC</v>
      </c>
      <c r="S111" t="str">
        <f>IFERROR(IF(VLOOKUP(B111,'Sender-Receiver'!$B$3:$BP$1500,60,FALSE)="x","true","false"),"false")</f>
        <v>true</v>
      </c>
      <c r="T111" t="str">
        <f t="shared" si="1"/>
        <v>full</v>
      </c>
      <c r="Y111" t="str">
        <f>IF(BOM!$AE$4=FALSE,IF(ISERROR(SEARCH("Embrionix",BOM!$M$4)),"none",IF(ISERROR(SEARCH("Quadsplit",BOM!$N$4)),IF(ISERROR(SEARCH("rec",B111)),"none","merge"),"none")),IF(ISERROR(SEARCH("rec",B111)),"split","merge"))</f>
        <v>split</v>
      </c>
    </row>
    <row r="112" spans="1:25" x14ac:dyDescent="0.2">
      <c r="A112" t="s">
        <v>1238</v>
      </c>
      <c r="B112" t="s">
        <v>1460</v>
      </c>
      <c r="C112" t="str">
        <f>IFERROR(VLOOKUP(B112,'Sender-Receiver'!$B$3:$BP$1500,61,FALSE),"")</f>
        <v>Type:Aud_1CH_M,#SNP</v>
      </c>
      <c r="D112" t="str">
        <f>IFERROR(VLOOKUP(B112,'Sender-Receiver'!$B$3:$BP$1500,41,FALSE),"")</f>
        <v>PLAYOUT R421 | HD2 Backup-005 | R421 HD2 Backup</v>
      </c>
      <c r="E112" t="s">
        <v>1240</v>
      </c>
      <c r="F112">
        <v>6</v>
      </c>
      <c r="G112" t="s">
        <v>1461</v>
      </c>
      <c r="M112" t="str">
        <f>IF(OR(BOM!$AE$4=FALSE,BOM!$AE$4="-"),IF(ISERROR(SEARCH("send",B112)),"","pool:TPC"),IF(ISERROR(SEARCH("send",B112)),"","pool:TPC|pool:TPC"))</f>
        <v>pool:TPC|pool:TPC</v>
      </c>
      <c r="S112" t="str">
        <f>IFERROR(IF(VLOOKUP(B112,'Sender-Receiver'!$B$3:$BP$1500,60,FALSE)="x","true","false"),"false")</f>
        <v>true</v>
      </c>
      <c r="T112" t="str">
        <f t="shared" si="1"/>
        <v>full</v>
      </c>
      <c r="Y112" t="str">
        <f>IF(BOM!$AE$4=FALSE,IF(ISERROR(SEARCH("Embrionix",BOM!$M$4)),"none",IF(ISERROR(SEARCH("Quadsplit",BOM!$N$4)),IF(ISERROR(SEARCH("rec",B112)),"none","merge"),"none")),IF(ISERROR(SEARCH("rec",B112)),"split","merge"))</f>
        <v>split</v>
      </c>
    </row>
    <row r="113" spans="1:25" x14ac:dyDescent="0.2">
      <c r="A113" t="s">
        <v>1238</v>
      </c>
      <c r="B113" t="s">
        <v>1462</v>
      </c>
      <c r="C113" t="str">
        <f>IFERROR(VLOOKUP(B113,'Sender-Receiver'!$B$3:$BP$1500,61,FALSE),"")</f>
        <v>Type:Aud_1CH_M,#SNP</v>
      </c>
      <c r="D113" t="str">
        <f>IFERROR(VLOOKUP(B113,'Sender-Receiver'!$B$3:$BP$1500,41,FALSE),"")</f>
        <v>PLAYOUT R421 | HD2 Backup-006 | R421 HD2 Backup</v>
      </c>
      <c r="E113" t="s">
        <v>1240</v>
      </c>
      <c r="F113">
        <v>6</v>
      </c>
      <c r="G113" t="s">
        <v>1463</v>
      </c>
      <c r="M113" t="str">
        <f>IF(OR(BOM!$AE$4=FALSE,BOM!$AE$4="-"),IF(ISERROR(SEARCH("send",B113)),"","pool:TPC"),IF(ISERROR(SEARCH("send",B113)),"","pool:TPC|pool:TPC"))</f>
        <v>pool:TPC|pool:TPC</v>
      </c>
      <c r="S113" t="str">
        <f>IFERROR(IF(VLOOKUP(B113,'Sender-Receiver'!$B$3:$BP$1500,60,FALSE)="x","true","false"),"false")</f>
        <v>true</v>
      </c>
      <c r="T113" t="str">
        <f t="shared" si="1"/>
        <v>full</v>
      </c>
      <c r="Y113" t="str">
        <f>IF(BOM!$AE$4=FALSE,IF(ISERROR(SEARCH("Embrionix",BOM!$M$4)),"none",IF(ISERROR(SEARCH("Quadsplit",BOM!$N$4)),IF(ISERROR(SEARCH("rec",B113)),"none","merge"),"none")),IF(ISERROR(SEARCH("rec",B113)),"split","merge"))</f>
        <v>split</v>
      </c>
    </row>
    <row r="114" spans="1:25" x14ac:dyDescent="0.2">
      <c r="A114" t="s">
        <v>1238</v>
      </c>
      <c r="B114" t="s">
        <v>1464</v>
      </c>
      <c r="C114" t="str">
        <f>IFERROR(VLOOKUP(B114,'Sender-Receiver'!$B$3:$BP$1500,61,FALSE),"")</f>
        <v>Type:Aud_2CH_LR,#SNP</v>
      </c>
      <c r="D114" t="str">
        <f>IFERROR(VLOOKUP(B114,'Sender-Receiver'!$B$3:$BP$1500,41,FALSE),"")</f>
        <v>PLAYOUT R421 | HD2 Backup-007 | R421 HD2 Backup</v>
      </c>
      <c r="E114" t="s">
        <v>1240</v>
      </c>
      <c r="F114">
        <v>6</v>
      </c>
      <c r="G114" t="s">
        <v>1465</v>
      </c>
      <c r="M114" t="str">
        <f>IF(OR(BOM!$AE$4=FALSE,BOM!$AE$4="-"),IF(ISERROR(SEARCH("send",B114)),"","pool:TPC"),IF(ISERROR(SEARCH("send",B114)),"","pool:TPC|pool:TPC"))</f>
        <v>pool:TPC|pool:TPC</v>
      </c>
      <c r="S114" t="str">
        <f>IFERROR(IF(VLOOKUP(B114,'Sender-Receiver'!$B$3:$BP$1500,60,FALSE)="x","true","false"),"false")</f>
        <v>true</v>
      </c>
      <c r="T114" t="str">
        <f t="shared" si="1"/>
        <v>full</v>
      </c>
      <c r="Y114" t="str">
        <f>IF(BOM!$AE$4=FALSE,IF(ISERROR(SEARCH("Embrionix",BOM!$M$4)),"none",IF(ISERROR(SEARCH("Quadsplit",BOM!$N$4)),IF(ISERROR(SEARCH("rec",B114)),"none","merge"),"none")),IF(ISERROR(SEARCH("rec",B114)),"split","merge"))</f>
        <v>split</v>
      </c>
    </row>
    <row r="115" spans="1:25" x14ac:dyDescent="0.2">
      <c r="A115" t="s">
        <v>1238</v>
      </c>
      <c r="B115" t="s">
        <v>1466</v>
      </c>
      <c r="C115" t="str">
        <f>IFERROR(VLOOKUP(B115,'Sender-Receiver'!$B$3:$BP$1500,61,FALSE),"")</f>
        <v>Type:Aud_6CH_5.1,#SNP</v>
      </c>
      <c r="D115" t="str">
        <f>IFERROR(VLOOKUP(B115,'Sender-Receiver'!$B$3:$BP$1500,41,FALSE),"")</f>
        <v>PLAYOUT R421 | HD2 Backup-008 | R421 HD2 Backup</v>
      </c>
      <c r="E115" t="s">
        <v>1240</v>
      </c>
      <c r="F115">
        <v>6</v>
      </c>
      <c r="G115" t="s">
        <v>1467</v>
      </c>
      <c r="M115" t="str">
        <f>IF(OR(BOM!$AE$4=FALSE,BOM!$AE$4="-"),IF(ISERROR(SEARCH("send",B115)),"","pool:TPC"),IF(ISERROR(SEARCH("send",B115)),"","pool:TPC|pool:TPC"))</f>
        <v>pool:TPC|pool:TPC</v>
      </c>
      <c r="S115" t="str">
        <f>IFERROR(IF(VLOOKUP(B115,'Sender-Receiver'!$B$3:$BP$1500,60,FALSE)="x","true","false"),"false")</f>
        <v>true</v>
      </c>
      <c r="T115" t="str">
        <f t="shared" si="1"/>
        <v>full</v>
      </c>
      <c r="Y115" t="str">
        <f>IF(BOM!$AE$4=FALSE,IF(ISERROR(SEARCH("Embrionix",BOM!$M$4)),"none",IF(ISERROR(SEARCH("Quadsplit",BOM!$N$4)),IF(ISERROR(SEARCH("rec",B115)),"none","merge"),"none")),IF(ISERROR(SEARCH("rec",B115)),"split","merge"))</f>
        <v>split</v>
      </c>
    </row>
    <row r="116" spans="1:25" x14ac:dyDescent="0.2">
      <c r="A116" t="s">
        <v>1238</v>
      </c>
      <c r="B116" t="s">
        <v>1468</v>
      </c>
      <c r="C116" t="str">
        <f>IFERROR(VLOOKUP(B116,'Sender-Receiver'!$B$3:$BP$1500,61,FALSE),"")</f>
        <v>#SNP</v>
      </c>
      <c r="D116" t="str">
        <f>IFERROR(VLOOKUP(B116,'Sender-Receiver'!$B$3:$BP$1500,41,FALSE),"")</f>
        <v xml:space="preserve"> |  | R421 HD2 Backup</v>
      </c>
      <c r="E116" t="s">
        <v>1240</v>
      </c>
      <c r="F116">
        <v>6</v>
      </c>
      <c r="G116" t="s">
        <v>1469</v>
      </c>
      <c r="M116" t="str">
        <f>IF(OR(BOM!$AE$4=FALSE,BOM!$AE$4="-"),IF(ISERROR(SEARCH("send",B116)),"","pool:TPC"),IF(ISERROR(SEARCH("send",B116)),"","pool:TPC|pool:TPC"))</f>
        <v>pool:TPC|pool:TPC</v>
      </c>
      <c r="S116" t="str">
        <f>IFERROR(IF(VLOOKUP(B116,'Sender-Receiver'!$B$3:$BP$1500,60,FALSE)="x","true","false"),"false")</f>
        <v>false</v>
      </c>
      <c r="T116" t="str">
        <f t="shared" si="1"/>
        <v>off</v>
      </c>
      <c r="Y116" t="str">
        <f>IF(BOM!$AE$4=FALSE,IF(ISERROR(SEARCH("Embrionix",BOM!$M$4)),"none",IF(ISERROR(SEARCH("Quadsplit",BOM!$N$4)),IF(ISERROR(SEARCH("rec",B116)),"none","merge"),"none")),IF(ISERROR(SEARCH("rec",B116)),"split","merge"))</f>
        <v>split</v>
      </c>
    </row>
    <row r="117" spans="1:25" x14ac:dyDescent="0.2">
      <c r="A117" t="s">
        <v>1238</v>
      </c>
      <c r="B117" t="s">
        <v>1470</v>
      </c>
      <c r="C117" t="str">
        <f>IFERROR(VLOOKUP(B117,'Sender-Receiver'!$B$3:$BP$1500,61,FALSE),"")</f>
        <v>#SNP</v>
      </c>
      <c r="D117" t="str">
        <f>IFERROR(VLOOKUP(B117,'Sender-Receiver'!$B$3:$BP$1500,41,FALSE),"")</f>
        <v xml:space="preserve"> |  | R421 HD2 Backup</v>
      </c>
      <c r="E117" t="s">
        <v>1240</v>
      </c>
      <c r="F117">
        <v>6</v>
      </c>
      <c r="G117" t="s">
        <v>1471</v>
      </c>
      <c r="M117" t="str">
        <f>IF(OR(BOM!$AE$4=FALSE,BOM!$AE$4="-"),IF(ISERROR(SEARCH("send",B117)),"","pool:TPC"),IF(ISERROR(SEARCH("send",B117)),"","pool:TPC|pool:TPC"))</f>
        <v>pool:TPC|pool:TPC</v>
      </c>
      <c r="S117" t="str">
        <f>IFERROR(IF(VLOOKUP(B117,'Sender-Receiver'!$B$3:$BP$1500,60,FALSE)="x","true","false"),"false")</f>
        <v>false</v>
      </c>
      <c r="T117" t="str">
        <f t="shared" si="1"/>
        <v>off</v>
      </c>
      <c r="Y117" t="str">
        <f>IF(BOM!$AE$4=FALSE,IF(ISERROR(SEARCH("Embrionix",BOM!$M$4)),"none",IF(ISERROR(SEARCH("Quadsplit",BOM!$N$4)),IF(ISERROR(SEARCH("rec",B117)),"none","merge"),"none")),IF(ISERROR(SEARCH("rec",B117)),"split","merge"))</f>
        <v>split</v>
      </c>
    </row>
    <row r="118" spans="1:25" x14ac:dyDescent="0.2">
      <c r="A118" t="s">
        <v>1238</v>
      </c>
      <c r="B118" t="s">
        <v>1472</v>
      </c>
      <c r="C118" t="str">
        <f>IFERROR(VLOOKUP(B118,'Sender-Receiver'!$B$3:$BP$1500,61,FALSE),"")</f>
        <v>#SNP</v>
      </c>
      <c r="D118" t="str">
        <f>IFERROR(VLOOKUP(B118,'Sender-Receiver'!$B$3:$BP$1500,41,FALSE),"")</f>
        <v xml:space="preserve"> |  | R421 HD2 Backup</v>
      </c>
      <c r="E118" t="s">
        <v>1240</v>
      </c>
      <c r="F118">
        <v>6</v>
      </c>
      <c r="G118" t="s">
        <v>1473</v>
      </c>
      <c r="M118" t="str">
        <f>IF(OR(BOM!$AE$4=FALSE,BOM!$AE$4="-"),IF(ISERROR(SEARCH("send",B118)),"","pool:TPC"),IF(ISERROR(SEARCH("send",B118)),"","pool:TPC|pool:TPC"))</f>
        <v>pool:TPC|pool:TPC</v>
      </c>
      <c r="S118" t="str">
        <f>IFERROR(IF(VLOOKUP(B118,'Sender-Receiver'!$B$3:$BP$1500,60,FALSE)="x","true","false"),"false")</f>
        <v>false</v>
      </c>
      <c r="T118" t="str">
        <f t="shared" si="1"/>
        <v>off</v>
      </c>
      <c r="Y118" t="str">
        <f>IF(BOM!$AE$4=FALSE,IF(ISERROR(SEARCH("Embrionix",BOM!$M$4)),"none",IF(ISERROR(SEARCH("Quadsplit",BOM!$N$4)),IF(ISERROR(SEARCH("rec",B118)),"none","merge"),"none")),IF(ISERROR(SEARCH("rec",B118)),"split","merge"))</f>
        <v>split</v>
      </c>
    </row>
    <row r="119" spans="1:25" x14ac:dyDescent="0.2">
      <c r="A119" t="s">
        <v>1238</v>
      </c>
      <c r="B119" t="s">
        <v>1474</v>
      </c>
      <c r="C119" t="str">
        <f>IFERROR(VLOOKUP(B119,'Sender-Receiver'!$B$3:$BP$1500,61,FALSE),"")</f>
        <v>#SNP</v>
      </c>
      <c r="D119" t="str">
        <f>IFERROR(VLOOKUP(B119,'Sender-Receiver'!$B$3:$BP$1500,41,FALSE),"")</f>
        <v xml:space="preserve"> |  | R421 HD2 Backup</v>
      </c>
      <c r="E119" t="s">
        <v>1240</v>
      </c>
      <c r="F119">
        <v>6</v>
      </c>
      <c r="G119" t="s">
        <v>1475</v>
      </c>
      <c r="M119" t="str">
        <f>IF(OR(BOM!$AE$4=FALSE,BOM!$AE$4="-"),IF(ISERROR(SEARCH("send",B119)),"","pool:TPC"),IF(ISERROR(SEARCH("send",B119)),"","pool:TPC|pool:TPC"))</f>
        <v>pool:TPC|pool:TPC</v>
      </c>
      <c r="S119" t="str">
        <f>IFERROR(IF(VLOOKUP(B119,'Sender-Receiver'!$B$3:$BP$1500,60,FALSE)="x","true","false"),"false")</f>
        <v>false</v>
      </c>
      <c r="T119" t="str">
        <f t="shared" si="1"/>
        <v>off</v>
      </c>
      <c r="Y119" t="str">
        <f>IF(BOM!$AE$4=FALSE,IF(ISERROR(SEARCH("Embrionix",BOM!$M$4)),"none",IF(ISERROR(SEARCH("Quadsplit",BOM!$N$4)),IF(ISERROR(SEARCH("rec",B119)),"none","merge"),"none")),IF(ISERROR(SEARCH("rec",B119)),"split","merge"))</f>
        <v>split</v>
      </c>
    </row>
    <row r="120" spans="1:25" x14ac:dyDescent="0.2">
      <c r="A120" t="s">
        <v>1238</v>
      </c>
      <c r="B120" t="s">
        <v>1476</v>
      </c>
      <c r="C120" t="str">
        <f>IFERROR(VLOOKUP(B120,'Sender-Receiver'!$B$3:$BP$1500,61,FALSE),"")</f>
        <v>#SNP</v>
      </c>
      <c r="D120" t="str">
        <f>IFERROR(VLOOKUP(B120,'Sender-Receiver'!$B$3:$BP$1500,41,FALSE),"")</f>
        <v xml:space="preserve"> |  | R421 HD2 Backup</v>
      </c>
      <c r="E120" t="s">
        <v>1240</v>
      </c>
      <c r="F120">
        <v>6</v>
      </c>
      <c r="G120" t="s">
        <v>1477</v>
      </c>
      <c r="M120" t="str">
        <f>IF(OR(BOM!$AE$4=FALSE,BOM!$AE$4="-"),IF(ISERROR(SEARCH("send",B120)),"","pool:TPC"),IF(ISERROR(SEARCH("send",B120)),"","pool:TPC|pool:TPC"))</f>
        <v>pool:TPC|pool:TPC</v>
      </c>
      <c r="S120" t="str">
        <f>IFERROR(IF(VLOOKUP(B120,'Sender-Receiver'!$B$3:$BP$1500,60,FALSE)="x","true","false"),"false")</f>
        <v>false</v>
      </c>
      <c r="T120" t="str">
        <f t="shared" si="1"/>
        <v>off</v>
      </c>
      <c r="Y120" t="str">
        <f>IF(BOM!$AE$4=FALSE,IF(ISERROR(SEARCH("Embrionix",BOM!$M$4)),"none",IF(ISERROR(SEARCH("Quadsplit",BOM!$N$4)),IF(ISERROR(SEARCH("rec",B120)),"none","merge"),"none")),IF(ISERROR(SEARCH("rec",B120)),"split","merge"))</f>
        <v>split</v>
      </c>
    </row>
    <row r="121" spans="1:25" x14ac:dyDescent="0.2">
      <c r="A121" t="s">
        <v>1238</v>
      </c>
      <c r="B121" t="s">
        <v>1478</v>
      </c>
      <c r="C121" t="str">
        <f>IFERROR(VLOOKUP(B121,'Sender-Receiver'!$B$3:$BP$1500,61,FALSE),"")</f>
        <v>#SNP</v>
      </c>
      <c r="D121" t="str">
        <f>IFERROR(VLOOKUP(B121,'Sender-Receiver'!$B$3:$BP$1500,41,FALSE),"")</f>
        <v xml:space="preserve"> |  | R421 HD2 Backup</v>
      </c>
      <c r="E121" t="s">
        <v>1240</v>
      </c>
      <c r="F121">
        <v>6</v>
      </c>
      <c r="G121" t="s">
        <v>1479</v>
      </c>
      <c r="M121" t="str">
        <f>IF(OR(BOM!$AE$4=FALSE,BOM!$AE$4="-"),IF(ISERROR(SEARCH("send",B121)),"","pool:TPC"),IF(ISERROR(SEARCH("send",B121)),"","pool:TPC|pool:TPC"))</f>
        <v>pool:TPC|pool:TPC</v>
      </c>
      <c r="S121" t="str">
        <f>IFERROR(IF(VLOOKUP(B121,'Sender-Receiver'!$B$3:$BP$1500,60,FALSE)="x","true","false"),"false")</f>
        <v>false</v>
      </c>
      <c r="T121" t="str">
        <f t="shared" si="1"/>
        <v>off</v>
      </c>
      <c r="Y121" t="str">
        <f>IF(BOM!$AE$4=FALSE,IF(ISERROR(SEARCH("Embrionix",BOM!$M$4)),"none",IF(ISERROR(SEARCH("Quadsplit",BOM!$N$4)),IF(ISERROR(SEARCH("rec",B121)),"none","merge"),"none")),IF(ISERROR(SEARCH("rec",B121)),"split","merge"))</f>
        <v>split</v>
      </c>
    </row>
    <row r="122" spans="1:25" x14ac:dyDescent="0.2">
      <c r="A122" t="s">
        <v>1238</v>
      </c>
      <c r="B122" t="s">
        <v>1480</v>
      </c>
      <c r="C122" t="str">
        <f>IFERROR(VLOOKUP(B122,'Sender-Receiver'!$B$3:$BP$1500,61,FALSE),"")</f>
        <v>Type:Aud_8CH_RAW,#SNP</v>
      </c>
      <c r="D122" t="str">
        <f>IFERROR(VLOOKUP(B122,'Sender-Receiver'!$B$3:$BP$1500,41,FALSE),"")</f>
        <v>PLAYOUT R421 | HD2 Backup-015 | R421 HD2 Backup</v>
      </c>
      <c r="E122" t="s">
        <v>1240</v>
      </c>
      <c r="F122">
        <v>6</v>
      </c>
      <c r="G122" t="s">
        <v>1481</v>
      </c>
      <c r="M122" t="str">
        <f>IF(OR(BOM!$AE$4=FALSE,BOM!$AE$4="-"),IF(ISERROR(SEARCH("send",B122)),"","pool:TPC"),IF(ISERROR(SEARCH("send",B122)),"","pool:TPC|pool:TPC"))</f>
        <v>pool:TPC|pool:TPC</v>
      </c>
      <c r="S122" t="str">
        <f>IFERROR(IF(VLOOKUP(B122,'Sender-Receiver'!$B$3:$BP$1500,60,FALSE)="x","true","false"),"false")</f>
        <v>true</v>
      </c>
      <c r="T122" t="str">
        <f t="shared" si="1"/>
        <v>full</v>
      </c>
      <c r="Y122" t="str">
        <f>IF(BOM!$AE$4=FALSE,IF(ISERROR(SEARCH("Embrionix",BOM!$M$4)),"none",IF(ISERROR(SEARCH("Quadsplit",BOM!$N$4)),IF(ISERROR(SEARCH("rec",B122)),"none","merge"),"none")),IF(ISERROR(SEARCH("rec",B122)),"split","merge"))</f>
        <v>split</v>
      </c>
    </row>
    <row r="123" spans="1:25" x14ac:dyDescent="0.2">
      <c r="A123" t="s">
        <v>1238</v>
      </c>
      <c r="B123" t="s">
        <v>1482</v>
      </c>
      <c r="C123" t="str">
        <f>IFERROR(VLOOKUP(B123,'Sender-Receiver'!$B$3:$BP$1500,61,FALSE),"")</f>
        <v>Type:Aud_8CH_RAW,#SNP</v>
      </c>
      <c r="D123" t="str">
        <f>IFERROR(VLOOKUP(B123,'Sender-Receiver'!$B$3:$BP$1500,41,FALSE),"")</f>
        <v>PLAYOUT R421 | HD2 Backup-016 | R421 HD2 Backup</v>
      </c>
      <c r="E123" t="s">
        <v>1240</v>
      </c>
      <c r="F123">
        <v>6</v>
      </c>
      <c r="G123" t="s">
        <v>1483</v>
      </c>
      <c r="M123" t="str">
        <f>IF(OR(BOM!$AE$4=FALSE,BOM!$AE$4="-"),IF(ISERROR(SEARCH("send",B123)),"","pool:TPC"),IF(ISERROR(SEARCH("send",B123)),"","pool:TPC|pool:TPC"))</f>
        <v>pool:TPC|pool:TPC</v>
      </c>
      <c r="S123" t="str">
        <f>IFERROR(IF(VLOOKUP(B123,'Sender-Receiver'!$B$3:$BP$1500,60,FALSE)="x","true","false"),"false")</f>
        <v>true</v>
      </c>
      <c r="T123" t="str">
        <f t="shared" si="1"/>
        <v>full</v>
      </c>
      <c r="Y123" t="str">
        <f>IF(BOM!$AE$4=FALSE,IF(ISERROR(SEARCH("Embrionix",BOM!$M$4)),"none",IF(ISERROR(SEARCH("Quadsplit",BOM!$N$4)),IF(ISERROR(SEARCH("rec",B123)),"none","merge"),"none")),IF(ISERROR(SEARCH("rec",B123)),"split","merge"))</f>
        <v>split</v>
      </c>
    </row>
    <row r="124" spans="1:25" x14ac:dyDescent="0.2">
      <c r="A124" t="s">
        <v>1238</v>
      </c>
      <c r="B124" t="s">
        <v>1484</v>
      </c>
      <c r="C124" t="str">
        <f>IFERROR(VLOOKUP(B124,'Sender-Receiver'!$B$3:$BP$1500,61,FALSE),"")</f>
        <v>Type:Anc_Prot,#SNP</v>
      </c>
      <c r="D124" t="str">
        <f>IFERROR(VLOOKUP(B124,'Sender-Receiver'!$B$3:$BP$1500,41,FALSE),"")</f>
        <v>PLAYOUT R421 | HD2 Backup-001 | R421 HD2 Backup</v>
      </c>
      <c r="E124" t="s">
        <v>1240</v>
      </c>
      <c r="F124">
        <v>6</v>
      </c>
      <c r="G124" t="s">
        <v>1485</v>
      </c>
      <c r="M124" t="str">
        <f>IF(OR(BOM!$AE$4=FALSE,BOM!$AE$4="-"),IF(ISERROR(SEARCH("send",B124)),"","pool:TPC"),IF(ISERROR(SEARCH("send",B124)),"","pool:TPC|pool:TPC"))</f>
        <v>pool:TPC|pool:TPC</v>
      </c>
      <c r="S124" t="str">
        <f>IFERROR(IF(VLOOKUP(B124,'Sender-Receiver'!$B$3:$BP$1500,60,FALSE)="x","true","false"),"false")</f>
        <v>true</v>
      </c>
      <c r="T124" t="str">
        <f t="shared" si="1"/>
        <v>full</v>
      </c>
      <c r="Y124" t="str">
        <f>IF(BOM!$AE$4=FALSE,IF(ISERROR(SEARCH("Embrionix",BOM!$M$4)),"none",IF(ISERROR(SEARCH("Quadsplit",BOM!$N$4)),IF(ISERROR(SEARCH("rec",B124)),"none","merge"),"none")),IF(ISERROR(SEARCH("rec",B124)),"split","merge"))</f>
        <v>split</v>
      </c>
    </row>
    <row r="125" spans="1:25" x14ac:dyDescent="0.2">
      <c r="A125" t="s">
        <v>1238</v>
      </c>
      <c r="B125" t="s">
        <v>1486</v>
      </c>
      <c r="C125" t="str">
        <f>IFERROR(VLOOKUP(B125,'Sender-Receiver'!$B$3:$BP$1500,61,FALSE),"")</f>
        <v>#SNP</v>
      </c>
      <c r="D125" t="str">
        <f>IFERROR(VLOOKUP(B125,'Sender-Receiver'!$B$3:$BP$1500,41,FALSE),"")</f>
        <v xml:space="preserve"> |  | R421 HD2 Backup</v>
      </c>
      <c r="E125" t="s">
        <v>1240</v>
      </c>
      <c r="F125">
        <v>6</v>
      </c>
      <c r="G125" t="s">
        <v>1487</v>
      </c>
      <c r="M125" t="str">
        <f>IF(OR(BOM!$AE$4=FALSE,BOM!$AE$4="-"),IF(ISERROR(SEARCH("send",B125)),"","pool:TPC"),IF(ISERROR(SEARCH("send",B125)),"","pool:TPC|pool:TPC"))</f>
        <v>pool:TPC|pool:TPC</v>
      </c>
      <c r="S125" t="str">
        <f>IFERROR(IF(VLOOKUP(B125,'Sender-Receiver'!$B$3:$BP$1500,60,FALSE)="x","true","false"),"false")</f>
        <v>false</v>
      </c>
      <c r="T125" t="str">
        <f t="shared" si="1"/>
        <v>off</v>
      </c>
      <c r="Y125" t="str">
        <f>IF(BOM!$AE$4=FALSE,IF(ISERROR(SEARCH("Embrionix",BOM!$M$4)),"none",IF(ISERROR(SEARCH("Quadsplit",BOM!$N$4)),IF(ISERROR(SEARCH("rec",B125)),"none","merge"),"none")),IF(ISERROR(SEARCH("rec",B125)),"split","merge"))</f>
        <v>split</v>
      </c>
    </row>
    <row r="126" spans="1:25" x14ac:dyDescent="0.2">
      <c r="A126" t="s">
        <v>1238</v>
      </c>
      <c r="B126" t="s">
        <v>1488</v>
      </c>
      <c r="C126" t="str">
        <f>IFERROR(VLOOKUP(B126,'Sender-Receiver'!$B$3:$BP$1500,61,FALSE),"")</f>
        <v>#SNP</v>
      </c>
      <c r="D126" t="str">
        <f>IFERROR(VLOOKUP(B126,'Sender-Receiver'!$B$3:$BP$1500,41,FALSE),"")</f>
        <v xml:space="preserve"> |  | R421 HD2 Backup</v>
      </c>
      <c r="E126" t="s">
        <v>1240</v>
      </c>
      <c r="F126">
        <v>6</v>
      </c>
      <c r="G126" t="s">
        <v>1489</v>
      </c>
      <c r="M126" t="str">
        <f>IF(OR(BOM!$AE$4=FALSE,BOM!$AE$4="-"),IF(ISERROR(SEARCH("send",B126)),"","pool:TPC"),IF(ISERROR(SEARCH("send",B126)),"","pool:TPC|pool:TPC"))</f>
        <v>pool:TPC|pool:TPC</v>
      </c>
      <c r="S126" t="str">
        <f>IFERROR(IF(VLOOKUP(B126,'Sender-Receiver'!$B$3:$BP$1500,60,FALSE)="x","true","false"),"false")</f>
        <v>false</v>
      </c>
      <c r="T126" t="str">
        <f t="shared" si="1"/>
        <v>off</v>
      </c>
      <c r="Y126" t="str">
        <f>IF(BOM!$AE$4=FALSE,IF(ISERROR(SEARCH("Embrionix",BOM!$M$4)),"none",IF(ISERROR(SEARCH("Quadsplit",BOM!$N$4)),IF(ISERROR(SEARCH("rec",B126)),"none","merge"),"none")),IF(ISERROR(SEARCH("rec",B126)),"split","merge"))</f>
        <v>split</v>
      </c>
    </row>
    <row r="127" spans="1:25" x14ac:dyDescent="0.2">
      <c r="A127" t="s">
        <v>1238</v>
      </c>
      <c r="B127" t="s">
        <v>1490</v>
      </c>
      <c r="C127" t="str">
        <f>IFERROR(VLOOKUP(B127,'Sender-Receiver'!$B$3:$BP$1500,61,FALSE),"")</f>
        <v>#SNP</v>
      </c>
      <c r="D127" t="str">
        <f>IFERROR(VLOOKUP(B127,'Sender-Receiver'!$B$3:$BP$1500,41,FALSE),"")</f>
        <v xml:space="preserve"> |  | R421 HD2 Backup</v>
      </c>
      <c r="E127" t="s">
        <v>1240</v>
      </c>
      <c r="F127">
        <v>6</v>
      </c>
      <c r="G127" t="s">
        <v>1491</v>
      </c>
      <c r="M127" t="str">
        <f>IF(OR(BOM!$AE$4=FALSE,BOM!$AE$4="-"),IF(ISERROR(SEARCH("send",B127)),"","pool:TPC"),IF(ISERROR(SEARCH("send",B127)),"","pool:TPC|pool:TPC"))</f>
        <v>pool:TPC|pool:TPC</v>
      </c>
      <c r="S127" t="str">
        <f>IFERROR(IF(VLOOKUP(B127,'Sender-Receiver'!$B$3:$BP$1500,60,FALSE)="x","true","false"),"false")</f>
        <v>false</v>
      </c>
      <c r="T127" t="str">
        <f t="shared" si="1"/>
        <v>off</v>
      </c>
      <c r="Y127" t="str">
        <f>IF(BOM!$AE$4=FALSE,IF(ISERROR(SEARCH("Embrionix",BOM!$M$4)),"none",IF(ISERROR(SEARCH("Quadsplit",BOM!$N$4)),IF(ISERROR(SEARCH("rec",B127)),"none","merge"),"none")),IF(ISERROR(SEARCH("rec",B127)),"split","merge"))</f>
        <v>split</v>
      </c>
    </row>
    <row r="128" spans="1:25" x14ac:dyDescent="0.2">
      <c r="A128" t="s">
        <v>1238</v>
      </c>
      <c r="B128" t="s">
        <v>1492</v>
      </c>
      <c r="C128" t="str">
        <f>IFERROR(VLOOKUP(B128,'Sender-Receiver'!$B$3:$BP$1500,61,FALSE),"")</f>
        <v>Type:Vid_1080i50,#SNP</v>
      </c>
      <c r="D128" t="str">
        <f>IFERROR(VLOOKUP(B128,'Sender-Receiver'!$B$3:$BP$1500,41,FALSE),"")</f>
        <v>PLAYOUT MPA431 | HD1 | MPA 431 HD1</v>
      </c>
      <c r="E128" t="s">
        <v>1240</v>
      </c>
      <c r="F128">
        <v>7</v>
      </c>
      <c r="G128" t="s">
        <v>1493</v>
      </c>
      <c r="M128" t="str">
        <f>IF(OR(BOM!$AE$4=FALSE,BOM!$AE$4="-"),IF(ISERROR(SEARCH("send",B128)),"","pool:TPC"),IF(ISERROR(SEARCH("send",B128)),"","pool:TPC|pool:TPC"))</f>
        <v>pool:TPC|pool:TPC</v>
      </c>
      <c r="S128" t="str">
        <f>IFERROR(IF(VLOOKUP(B128,'Sender-Receiver'!$B$3:$BP$1500,60,FALSE)="x","true","false"),"false")</f>
        <v>true</v>
      </c>
      <c r="T128" t="str">
        <f t="shared" si="1"/>
        <v>full</v>
      </c>
      <c r="Y128" t="str">
        <f>IF(BOM!$AE$4=FALSE,IF(ISERROR(SEARCH("Embrionix",BOM!$M$4)),"none",IF(ISERROR(SEARCH("Quadsplit",BOM!$N$4)),IF(ISERROR(SEARCH("rec",B128)),"none","merge"),"none")),IF(ISERROR(SEARCH("rec",B128)),"split","merge"))</f>
        <v>split</v>
      </c>
    </row>
    <row r="129" spans="1:25" x14ac:dyDescent="0.2">
      <c r="A129" t="s">
        <v>1238</v>
      </c>
      <c r="B129" t="s">
        <v>1494</v>
      </c>
      <c r="C129" t="str">
        <f>IFERROR(VLOOKUP(B129,'Sender-Receiver'!$B$3:$BP$1500,61,FALSE),"")</f>
        <v>Type:Aud_2CH_LR,#SNP</v>
      </c>
      <c r="D129" t="str">
        <f>IFERROR(VLOOKUP(B129,'Sender-Receiver'!$B$3:$BP$1500,41,FALSE),"")</f>
        <v>PLAYOUT MPA431 | HD1-001 | MPA 431 HD1</v>
      </c>
      <c r="E129" t="s">
        <v>1240</v>
      </c>
      <c r="F129">
        <v>7</v>
      </c>
      <c r="G129" t="s">
        <v>1495</v>
      </c>
      <c r="M129" t="str">
        <f>IF(OR(BOM!$AE$4=FALSE,BOM!$AE$4="-"),IF(ISERROR(SEARCH("send",B129)),"","pool:TPC"),IF(ISERROR(SEARCH("send",B129)),"","pool:TPC|pool:TPC"))</f>
        <v>pool:TPC|pool:TPC</v>
      </c>
      <c r="S129" t="str">
        <f>IFERROR(IF(VLOOKUP(B129,'Sender-Receiver'!$B$3:$BP$1500,60,FALSE)="x","true","false"),"false")</f>
        <v>true</v>
      </c>
      <c r="T129" t="str">
        <f t="shared" si="1"/>
        <v>full</v>
      </c>
      <c r="Y129" t="str">
        <f>IF(BOM!$AE$4=FALSE,IF(ISERROR(SEARCH("Embrionix",BOM!$M$4)),"none",IF(ISERROR(SEARCH("Quadsplit",BOM!$N$4)),IF(ISERROR(SEARCH("rec",B129)),"none","merge"),"none")),IF(ISERROR(SEARCH("rec",B129)),"split","merge"))</f>
        <v>split</v>
      </c>
    </row>
    <row r="130" spans="1:25" x14ac:dyDescent="0.2">
      <c r="A130" t="s">
        <v>1238</v>
      </c>
      <c r="B130" t="s">
        <v>1496</v>
      </c>
      <c r="C130" t="str">
        <f>IFERROR(VLOOKUP(B130,'Sender-Receiver'!$B$3:$BP$1500,61,FALSE),"")</f>
        <v>Type:Aud_1CH_M,#SNP</v>
      </c>
      <c r="D130" t="str">
        <f>IFERROR(VLOOKUP(B130,'Sender-Receiver'!$B$3:$BP$1500,41,FALSE),"")</f>
        <v>PLAYOUT MPA431 | HD1-002 | MPA 431 HD1</v>
      </c>
      <c r="E130" t="s">
        <v>1240</v>
      </c>
      <c r="F130">
        <v>7</v>
      </c>
      <c r="G130" t="s">
        <v>1497</v>
      </c>
      <c r="M130" t="str">
        <f>IF(OR(BOM!$AE$4=FALSE,BOM!$AE$4="-"),IF(ISERROR(SEARCH("send",B130)),"","pool:TPC"),IF(ISERROR(SEARCH("send",B130)),"","pool:TPC|pool:TPC"))</f>
        <v>pool:TPC|pool:TPC</v>
      </c>
      <c r="S130" t="str">
        <f>IFERROR(IF(VLOOKUP(B130,'Sender-Receiver'!$B$3:$BP$1500,60,FALSE)="x","true","false"),"false")</f>
        <v>true</v>
      </c>
      <c r="T130" t="str">
        <f t="shared" si="1"/>
        <v>full</v>
      </c>
      <c r="Y130" t="str">
        <f>IF(BOM!$AE$4=FALSE,IF(ISERROR(SEARCH("Embrionix",BOM!$M$4)),"none",IF(ISERROR(SEARCH("Quadsplit",BOM!$N$4)),IF(ISERROR(SEARCH("rec",B130)),"none","merge"),"none")),IF(ISERROR(SEARCH("rec",B130)),"split","merge"))</f>
        <v>split</v>
      </c>
    </row>
    <row r="131" spans="1:25" x14ac:dyDescent="0.2">
      <c r="A131" t="s">
        <v>1238</v>
      </c>
      <c r="B131" t="s">
        <v>1498</v>
      </c>
      <c r="C131" t="str">
        <f>IFERROR(VLOOKUP(B131,'Sender-Receiver'!$B$3:$BP$1500,61,FALSE),"")</f>
        <v>Type:Aud_1CH_M,#SNP</v>
      </c>
      <c r="D131" t="str">
        <f>IFERROR(VLOOKUP(B131,'Sender-Receiver'!$B$3:$BP$1500,41,FALSE),"")</f>
        <v>PLAYOUT MPA431 | HD1-003 | MPA 431 HD1</v>
      </c>
      <c r="E131" t="s">
        <v>1240</v>
      </c>
      <c r="F131">
        <v>7</v>
      </c>
      <c r="G131" t="s">
        <v>1499</v>
      </c>
      <c r="M131" t="str">
        <f>IF(OR(BOM!$AE$4=FALSE,BOM!$AE$4="-"),IF(ISERROR(SEARCH("send",B131)),"","pool:TPC"),IF(ISERROR(SEARCH("send",B131)),"","pool:TPC|pool:TPC"))</f>
        <v>pool:TPC|pool:TPC</v>
      </c>
      <c r="S131" t="str">
        <f>IFERROR(IF(VLOOKUP(B131,'Sender-Receiver'!$B$3:$BP$1500,60,FALSE)="x","true","false"),"false")</f>
        <v>true</v>
      </c>
      <c r="T131" t="str">
        <f t="shared" ref="T131:T194" si="2">IF(S131="true","full","off")</f>
        <v>full</v>
      </c>
      <c r="Y131" t="str">
        <f>IF(BOM!$AE$4=FALSE,IF(ISERROR(SEARCH("Embrionix",BOM!$M$4)),"none",IF(ISERROR(SEARCH("Quadsplit",BOM!$N$4)),IF(ISERROR(SEARCH("rec",B131)),"none","merge"),"none")),IF(ISERROR(SEARCH("rec",B131)),"split","merge"))</f>
        <v>split</v>
      </c>
    </row>
    <row r="132" spans="1:25" x14ac:dyDescent="0.2">
      <c r="A132" t="s">
        <v>1238</v>
      </c>
      <c r="B132" t="s">
        <v>1500</v>
      </c>
      <c r="C132" t="str">
        <f>IFERROR(VLOOKUP(B132,'Sender-Receiver'!$B$3:$BP$1500,61,FALSE),"")</f>
        <v>Type:Aud_2CH_LR,#SNP</v>
      </c>
      <c r="D132" t="str">
        <f>IFERROR(VLOOKUP(B132,'Sender-Receiver'!$B$3:$BP$1500,41,FALSE),"")</f>
        <v>PLAYOUT MPA431 | HD1-004 | MPA 431 HD1</v>
      </c>
      <c r="E132" t="s">
        <v>1240</v>
      </c>
      <c r="F132">
        <v>7</v>
      </c>
      <c r="G132" t="s">
        <v>1501</v>
      </c>
      <c r="M132" t="str">
        <f>IF(OR(BOM!$AE$4=FALSE,BOM!$AE$4="-"),IF(ISERROR(SEARCH("send",B132)),"","pool:TPC"),IF(ISERROR(SEARCH("send",B132)),"","pool:TPC|pool:TPC"))</f>
        <v>pool:TPC|pool:TPC</v>
      </c>
      <c r="S132" t="str">
        <f>IFERROR(IF(VLOOKUP(B132,'Sender-Receiver'!$B$3:$BP$1500,60,FALSE)="x","true","false"),"false")</f>
        <v>true</v>
      </c>
      <c r="T132" t="str">
        <f t="shared" si="2"/>
        <v>full</v>
      </c>
      <c r="Y132" t="str">
        <f>IF(BOM!$AE$4=FALSE,IF(ISERROR(SEARCH("Embrionix",BOM!$M$4)),"none",IF(ISERROR(SEARCH("Quadsplit",BOM!$N$4)),IF(ISERROR(SEARCH("rec",B132)),"none","merge"),"none")),IF(ISERROR(SEARCH("rec",B132)),"split","merge"))</f>
        <v>split</v>
      </c>
    </row>
    <row r="133" spans="1:25" x14ac:dyDescent="0.2">
      <c r="A133" t="s">
        <v>1238</v>
      </c>
      <c r="B133" t="s">
        <v>1502</v>
      </c>
      <c r="C133" t="str">
        <f>IFERROR(VLOOKUP(B133,'Sender-Receiver'!$B$3:$BP$1500,61,FALSE),"")</f>
        <v>Type:Aud_1CH_M,#SNP</v>
      </c>
      <c r="D133" t="str">
        <f>IFERROR(VLOOKUP(B133,'Sender-Receiver'!$B$3:$BP$1500,41,FALSE),"")</f>
        <v>PLAYOUT MPA431 | HD1-005 | MPA 431 HD1</v>
      </c>
      <c r="E133" t="s">
        <v>1240</v>
      </c>
      <c r="F133">
        <v>7</v>
      </c>
      <c r="G133" t="s">
        <v>1503</v>
      </c>
      <c r="M133" t="str">
        <f>IF(OR(BOM!$AE$4=FALSE,BOM!$AE$4="-"),IF(ISERROR(SEARCH("send",B133)),"","pool:TPC"),IF(ISERROR(SEARCH("send",B133)),"","pool:TPC|pool:TPC"))</f>
        <v>pool:TPC|pool:TPC</v>
      </c>
      <c r="S133" t="str">
        <f>IFERROR(IF(VLOOKUP(B133,'Sender-Receiver'!$B$3:$BP$1500,60,FALSE)="x","true","false"),"false")</f>
        <v>true</v>
      </c>
      <c r="T133" t="str">
        <f t="shared" si="2"/>
        <v>full</v>
      </c>
      <c r="Y133" t="str">
        <f>IF(BOM!$AE$4=FALSE,IF(ISERROR(SEARCH("Embrionix",BOM!$M$4)),"none",IF(ISERROR(SEARCH("Quadsplit",BOM!$N$4)),IF(ISERROR(SEARCH("rec",B133)),"none","merge"),"none")),IF(ISERROR(SEARCH("rec",B133)),"split","merge"))</f>
        <v>split</v>
      </c>
    </row>
    <row r="134" spans="1:25" x14ac:dyDescent="0.2">
      <c r="A134" t="s">
        <v>1238</v>
      </c>
      <c r="B134" t="s">
        <v>1504</v>
      </c>
      <c r="C134" t="str">
        <f>IFERROR(VLOOKUP(B134,'Sender-Receiver'!$B$3:$BP$1500,61,FALSE),"")</f>
        <v>Type:Aud_1CH_M,#SNP</v>
      </c>
      <c r="D134" t="str">
        <f>IFERROR(VLOOKUP(B134,'Sender-Receiver'!$B$3:$BP$1500,41,FALSE),"")</f>
        <v>PLAYOUT MPA431 | HD1-006 | MPA 431 HD1</v>
      </c>
      <c r="E134" t="s">
        <v>1240</v>
      </c>
      <c r="F134">
        <v>7</v>
      </c>
      <c r="G134" t="s">
        <v>1505</v>
      </c>
      <c r="M134" t="str">
        <f>IF(OR(BOM!$AE$4=FALSE,BOM!$AE$4="-"),IF(ISERROR(SEARCH("send",B134)),"","pool:TPC"),IF(ISERROR(SEARCH("send",B134)),"","pool:TPC|pool:TPC"))</f>
        <v>pool:TPC|pool:TPC</v>
      </c>
      <c r="S134" t="str">
        <f>IFERROR(IF(VLOOKUP(B134,'Sender-Receiver'!$B$3:$BP$1500,60,FALSE)="x","true","false"),"false")</f>
        <v>true</v>
      </c>
      <c r="T134" t="str">
        <f t="shared" si="2"/>
        <v>full</v>
      </c>
      <c r="Y134" t="str">
        <f>IF(BOM!$AE$4=FALSE,IF(ISERROR(SEARCH("Embrionix",BOM!$M$4)),"none",IF(ISERROR(SEARCH("Quadsplit",BOM!$N$4)),IF(ISERROR(SEARCH("rec",B134)),"none","merge"),"none")),IF(ISERROR(SEARCH("rec",B134)),"split","merge"))</f>
        <v>split</v>
      </c>
    </row>
    <row r="135" spans="1:25" x14ac:dyDescent="0.2">
      <c r="A135" t="s">
        <v>1238</v>
      </c>
      <c r="B135" t="s">
        <v>1506</v>
      </c>
      <c r="C135" t="str">
        <f>IFERROR(VLOOKUP(B135,'Sender-Receiver'!$B$3:$BP$1500,61,FALSE),"")</f>
        <v>Type:Aud_2CH_LR,#SNP</v>
      </c>
      <c r="D135" t="str">
        <f>IFERROR(VLOOKUP(B135,'Sender-Receiver'!$B$3:$BP$1500,41,FALSE),"")</f>
        <v>PLAYOUT MPA431 | HD1-007 | MPA 431 HD1</v>
      </c>
      <c r="E135" t="s">
        <v>1240</v>
      </c>
      <c r="F135">
        <v>7</v>
      </c>
      <c r="G135" t="s">
        <v>1507</v>
      </c>
      <c r="M135" t="str">
        <f>IF(OR(BOM!$AE$4=FALSE,BOM!$AE$4="-"),IF(ISERROR(SEARCH("send",B135)),"","pool:TPC"),IF(ISERROR(SEARCH("send",B135)),"","pool:TPC|pool:TPC"))</f>
        <v>pool:TPC|pool:TPC</v>
      </c>
      <c r="S135" t="str">
        <f>IFERROR(IF(VLOOKUP(B135,'Sender-Receiver'!$B$3:$BP$1500,60,FALSE)="x","true","false"),"false")</f>
        <v>true</v>
      </c>
      <c r="T135" t="str">
        <f t="shared" si="2"/>
        <v>full</v>
      </c>
      <c r="Y135" t="str">
        <f>IF(BOM!$AE$4=FALSE,IF(ISERROR(SEARCH("Embrionix",BOM!$M$4)),"none",IF(ISERROR(SEARCH("Quadsplit",BOM!$N$4)),IF(ISERROR(SEARCH("rec",B135)),"none","merge"),"none")),IF(ISERROR(SEARCH("rec",B135)),"split","merge"))</f>
        <v>split</v>
      </c>
    </row>
    <row r="136" spans="1:25" x14ac:dyDescent="0.2">
      <c r="A136" t="s">
        <v>1238</v>
      </c>
      <c r="B136" t="s">
        <v>1508</v>
      </c>
      <c r="C136" t="str">
        <f>IFERROR(VLOOKUP(B136,'Sender-Receiver'!$B$3:$BP$1500,61,FALSE),"")</f>
        <v>Type:Aud_6CH_5.1,#SNP</v>
      </c>
      <c r="D136" t="str">
        <f>IFERROR(VLOOKUP(B136,'Sender-Receiver'!$B$3:$BP$1500,41,FALSE),"")</f>
        <v>PLAYOUT MPA431 | HD1-008 | MPA 431 HD1</v>
      </c>
      <c r="E136" t="s">
        <v>1240</v>
      </c>
      <c r="F136">
        <v>7</v>
      </c>
      <c r="G136" t="s">
        <v>1509</v>
      </c>
      <c r="M136" t="str">
        <f>IF(OR(BOM!$AE$4=FALSE,BOM!$AE$4="-"),IF(ISERROR(SEARCH("send",B136)),"","pool:TPC"),IF(ISERROR(SEARCH("send",B136)),"","pool:TPC|pool:TPC"))</f>
        <v>pool:TPC|pool:TPC</v>
      </c>
      <c r="S136" t="str">
        <f>IFERROR(IF(VLOOKUP(B136,'Sender-Receiver'!$B$3:$BP$1500,60,FALSE)="x","true","false"),"false")</f>
        <v>true</v>
      </c>
      <c r="T136" t="str">
        <f t="shared" si="2"/>
        <v>full</v>
      </c>
      <c r="Y136" t="str">
        <f>IF(BOM!$AE$4=FALSE,IF(ISERROR(SEARCH("Embrionix",BOM!$M$4)),"none",IF(ISERROR(SEARCH("Quadsplit",BOM!$N$4)),IF(ISERROR(SEARCH("rec",B136)),"none","merge"),"none")),IF(ISERROR(SEARCH("rec",B136)),"split","merge"))</f>
        <v>split</v>
      </c>
    </row>
    <row r="137" spans="1:25" x14ac:dyDescent="0.2">
      <c r="A137" t="s">
        <v>1238</v>
      </c>
      <c r="B137" t="s">
        <v>1510</v>
      </c>
      <c r="C137" t="str">
        <f>IFERROR(VLOOKUP(B137,'Sender-Receiver'!$B$3:$BP$1500,61,FALSE),"")</f>
        <v>#SNP</v>
      </c>
      <c r="D137" t="str">
        <f>IFERROR(VLOOKUP(B137,'Sender-Receiver'!$B$3:$BP$1500,41,FALSE),"")</f>
        <v xml:space="preserve"> |  | MPA 431 HD1</v>
      </c>
      <c r="E137" t="s">
        <v>1240</v>
      </c>
      <c r="F137">
        <v>7</v>
      </c>
      <c r="G137" t="s">
        <v>1511</v>
      </c>
      <c r="M137" t="str">
        <f>IF(OR(BOM!$AE$4=FALSE,BOM!$AE$4="-"),IF(ISERROR(SEARCH("send",B137)),"","pool:TPC"),IF(ISERROR(SEARCH("send",B137)),"","pool:TPC|pool:TPC"))</f>
        <v>pool:TPC|pool:TPC</v>
      </c>
      <c r="S137" t="str">
        <f>IFERROR(IF(VLOOKUP(B137,'Sender-Receiver'!$B$3:$BP$1500,60,FALSE)="x","true","false"),"false")</f>
        <v>false</v>
      </c>
      <c r="T137" t="str">
        <f t="shared" si="2"/>
        <v>off</v>
      </c>
      <c r="Y137" t="str">
        <f>IF(BOM!$AE$4=FALSE,IF(ISERROR(SEARCH("Embrionix",BOM!$M$4)),"none",IF(ISERROR(SEARCH("Quadsplit",BOM!$N$4)),IF(ISERROR(SEARCH("rec",B137)),"none","merge"),"none")),IF(ISERROR(SEARCH("rec",B137)),"split","merge"))</f>
        <v>split</v>
      </c>
    </row>
    <row r="138" spans="1:25" x14ac:dyDescent="0.2">
      <c r="A138" t="s">
        <v>1238</v>
      </c>
      <c r="B138" t="s">
        <v>1512</v>
      </c>
      <c r="C138" t="str">
        <f>IFERROR(VLOOKUP(B138,'Sender-Receiver'!$B$3:$BP$1500,61,FALSE),"")</f>
        <v>#SNP</v>
      </c>
      <c r="D138" t="str">
        <f>IFERROR(VLOOKUP(B138,'Sender-Receiver'!$B$3:$BP$1500,41,FALSE),"")</f>
        <v xml:space="preserve"> |  | MPA 431 HD1</v>
      </c>
      <c r="E138" t="s">
        <v>1240</v>
      </c>
      <c r="F138">
        <v>7</v>
      </c>
      <c r="G138" t="s">
        <v>1513</v>
      </c>
      <c r="M138" t="str">
        <f>IF(OR(BOM!$AE$4=FALSE,BOM!$AE$4="-"),IF(ISERROR(SEARCH("send",B138)),"","pool:TPC"),IF(ISERROR(SEARCH("send",B138)),"","pool:TPC|pool:TPC"))</f>
        <v>pool:TPC|pool:TPC</v>
      </c>
      <c r="S138" t="str">
        <f>IFERROR(IF(VLOOKUP(B138,'Sender-Receiver'!$B$3:$BP$1500,60,FALSE)="x","true","false"),"false")</f>
        <v>false</v>
      </c>
      <c r="T138" t="str">
        <f t="shared" si="2"/>
        <v>off</v>
      </c>
      <c r="Y138" t="str">
        <f>IF(BOM!$AE$4=FALSE,IF(ISERROR(SEARCH("Embrionix",BOM!$M$4)),"none",IF(ISERROR(SEARCH("Quadsplit",BOM!$N$4)),IF(ISERROR(SEARCH("rec",B138)),"none","merge"),"none")),IF(ISERROR(SEARCH("rec",B138)),"split","merge"))</f>
        <v>split</v>
      </c>
    </row>
    <row r="139" spans="1:25" x14ac:dyDescent="0.2">
      <c r="A139" t="s">
        <v>1238</v>
      </c>
      <c r="B139" t="s">
        <v>1514</v>
      </c>
      <c r="C139" t="str">
        <f>IFERROR(VLOOKUP(B139,'Sender-Receiver'!$B$3:$BP$1500,61,FALSE),"")</f>
        <v>#SNP</v>
      </c>
      <c r="D139" t="str">
        <f>IFERROR(VLOOKUP(B139,'Sender-Receiver'!$B$3:$BP$1500,41,FALSE),"")</f>
        <v xml:space="preserve"> |  | MPA 431 HD1</v>
      </c>
      <c r="E139" t="s">
        <v>1240</v>
      </c>
      <c r="F139">
        <v>7</v>
      </c>
      <c r="G139" t="s">
        <v>1515</v>
      </c>
      <c r="M139" t="str">
        <f>IF(OR(BOM!$AE$4=FALSE,BOM!$AE$4="-"),IF(ISERROR(SEARCH("send",B139)),"","pool:TPC"),IF(ISERROR(SEARCH("send",B139)),"","pool:TPC|pool:TPC"))</f>
        <v>pool:TPC|pool:TPC</v>
      </c>
      <c r="S139" t="str">
        <f>IFERROR(IF(VLOOKUP(B139,'Sender-Receiver'!$B$3:$BP$1500,60,FALSE)="x","true","false"),"false")</f>
        <v>false</v>
      </c>
      <c r="T139" t="str">
        <f t="shared" si="2"/>
        <v>off</v>
      </c>
      <c r="Y139" t="str">
        <f>IF(BOM!$AE$4=FALSE,IF(ISERROR(SEARCH("Embrionix",BOM!$M$4)),"none",IF(ISERROR(SEARCH("Quadsplit",BOM!$N$4)),IF(ISERROR(SEARCH("rec",B139)),"none","merge"),"none")),IF(ISERROR(SEARCH("rec",B139)),"split","merge"))</f>
        <v>split</v>
      </c>
    </row>
    <row r="140" spans="1:25" x14ac:dyDescent="0.2">
      <c r="A140" t="s">
        <v>1238</v>
      </c>
      <c r="B140" t="s">
        <v>1516</v>
      </c>
      <c r="C140" t="str">
        <f>IFERROR(VLOOKUP(B140,'Sender-Receiver'!$B$3:$BP$1500,61,FALSE),"")</f>
        <v>#SNP</v>
      </c>
      <c r="D140" t="str">
        <f>IFERROR(VLOOKUP(B140,'Sender-Receiver'!$B$3:$BP$1500,41,FALSE),"")</f>
        <v xml:space="preserve"> |  | MPA 431 HD1</v>
      </c>
      <c r="E140" t="s">
        <v>1240</v>
      </c>
      <c r="F140">
        <v>7</v>
      </c>
      <c r="G140" t="s">
        <v>1517</v>
      </c>
      <c r="M140" t="str">
        <f>IF(OR(BOM!$AE$4=FALSE,BOM!$AE$4="-"),IF(ISERROR(SEARCH("send",B140)),"","pool:TPC"),IF(ISERROR(SEARCH("send",B140)),"","pool:TPC|pool:TPC"))</f>
        <v>pool:TPC|pool:TPC</v>
      </c>
      <c r="S140" t="str">
        <f>IFERROR(IF(VLOOKUP(B140,'Sender-Receiver'!$B$3:$BP$1500,60,FALSE)="x","true","false"),"false")</f>
        <v>false</v>
      </c>
      <c r="T140" t="str">
        <f t="shared" si="2"/>
        <v>off</v>
      </c>
      <c r="Y140" t="str">
        <f>IF(BOM!$AE$4=FALSE,IF(ISERROR(SEARCH("Embrionix",BOM!$M$4)),"none",IF(ISERROR(SEARCH("Quadsplit",BOM!$N$4)),IF(ISERROR(SEARCH("rec",B140)),"none","merge"),"none")),IF(ISERROR(SEARCH("rec",B140)),"split","merge"))</f>
        <v>split</v>
      </c>
    </row>
    <row r="141" spans="1:25" x14ac:dyDescent="0.2">
      <c r="A141" t="s">
        <v>1238</v>
      </c>
      <c r="B141" t="s">
        <v>1518</v>
      </c>
      <c r="C141" t="str">
        <f>IFERROR(VLOOKUP(B141,'Sender-Receiver'!$B$3:$BP$1500,61,FALSE),"")</f>
        <v>#SNP</v>
      </c>
      <c r="D141" t="str">
        <f>IFERROR(VLOOKUP(B141,'Sender-Receiver'!$B$3:$BP$1500,41,FALSE),"")</f>
        <v xml:space="preserve"> |  | MPA 431 HD1</v>
      </c>
      <c r="E141" t="s">
        <v>1240</v>
      </c>
      <c r="F141">
        <v>7</v>
      </c>
      <c r="G141" t="s">
        <v>1519</v>
      </c>
      <c r="M141" t="str">
        <f>IF(OR(BOM!$AE$4=FALSE,BOM!$AE$4="-"),IF(ISERROR(SEARCH("send",B141)),"","pool:TPC"),IF(ISERROR(SEARCH("send",B141)),"","pool:TPC|pool:TPC"))</f>
        <v>pool:TPC|pool:TPC</v>
      </c>
      <c r="S141" t="str">
        <f>IFERROR(IF(VLOOKUP(B141,'Sender-Receiver'!$B$3:$BP$1500,60,FALSE)="x","true","false"),"false")</f>
        <v>false</v>
      </c>
      <c r="T141" t="str">
        <f t="shared" si="2"/>
        <v>off</v>
      </c>
      <c r="Y141" t="str">
        <f>IF(BOM!$AE$4=FALSE,IF(ISERROR(SEARCH("Embrionix",BOM!$M$4)),"none",IF(ISERROR(SEARCH("Quadsplit",BOM!$N$4)),IF(ISERROR(SEARCH("rec",B141)),"none","merge"),"none")),IF(ISERROR(SEARCH("rec",B141)),"split","merge"))</f>
        <v>split</v>
      </c>
    </row>
    <row r="142" spans="1:25" x14ac:dyDescent="0.2">
      <c r="A142" t="s">
        <v>1238</v>
      </c>
      <c r="B142" t="s">
        <v>1520</v>
      </c>
      <c r="C142" t="str">
        <f>IFERROR(VLOOKUP(B142,'Sender-Receiver'!$B$3:$BP$1500,61,FALSE),"")</f>
        <v>#SNP</v>
      </c>
      <c r="D142" t="str">
        <f>IFERROR(VLOOKUP(B142,'Sender-Receiver'!$B$3:$BP$1500,41,FALSE),"")</f>
        <v xml:space="preserve"> |  | MPA 431 HD1</v>
      </c>
      <c r="E142" t="s">
        <v>1240</v>
      </c>
      <c r="F142">
        <v>7</v>
      </c>
      <c r="G142" t="s">
        <v>1521</v>
      </c>
      <c r="M142" t="str">
        <f>IF(OR(BOM!$AE$4=FALSE,BOM!$AE$4="-"),IF(ISERROR(SEARCH("send",B142)),"","pool:TPC"),IF(ISERROR(SEARCH("send",B142)),"","pool:TPC|pool:TPC"))</f>
        <v>pool:TPC|pool:TPC</v>
      </c>
      <c r="S142" t="str">
        <f>IFERROR(IF(VLOOKUP(B142,'Sender-Receiver'!$B$3:$BP$1500,60,FALSE)="x","true","false"),"false")</f>
        <v>false</v>
      </c>
      <c r="T142" t="str">
        <f t="shared" si="2"/>
        <v>off</v>
      </c>
      <c r="Y142" t="str">
        <f>IF(BOM!$AE$4=FALSE,IF(ISERROR(SEARCH("Embrionix",BOM!$M$4)),"none",IF(ISERROR(SEARCH("Quadsplit",BOM!$N$4)),IF(ISERROR(SEARCH("rec",B142)),"none","merge"),"none")),IF(ISERROR(SEARCH("rec",B142)),"split","merge"))</f>
        <v>split</v>
      </c>
    </row>
    <row r="143" spans="1:25" x14ac:dyDescent="0.2">
      <c r="A143" t="s">
        <v>1238</v>
      </c>
      <c r="B143" t="s">
        <v>1522</v>
      </c>
      <c r="C143" t="str">
        <f>IFERROR(VLOOKUP(B143,'Sender-Receiver'!$B$3:$BP$1500,61,FALSE),"")</f>
        <v>Type:Aud_8CH_RAW,#SNP</v>
      </c>
      <c r="D143" t="str">
        <f>IFERROR(VLOOKUP(B143,'Sender-Receiver'!$B$3:$BP$1500,41,FALSE),"")</f>
        <v>PLAYOUT MPA431 | HD1-015 | MPA 431 HD1</v>
      </c>
      <c r="E143" t="s">
        <v>1240</v>
      </c>
      <c r="F143">
        <v>7</v>
      </c>
      <c r="G143" t="s">
        <v>1523</v>
      </c>
      <c r="M143" t="str">
        <f>IF(OR(BOM!$AE$4=FALSE,BOM!$AE$4="-"),IF(ISERROR(SEARCH("send",B143)),"","pool:TPC"),IF(ISERROR(SEARCH("send",B143)),"","pool:TPC|pool:TPC"))</f>
        <v>pool:TPC|pool:TPC</v>
      </c>
      <c r="S143" t="str">
        <f>IFERROR(IF(VLOOKUP(B143,'Sender-Receiver'!$B$3:$BP$1500,60,FALSE)="x","true","false"),"false")</f>
        <v>true</v>
      </c>
      <c r="T143" t="str">
        <f t="shared" si="2"/>
        <v>full</v>
      </c>
      <c r="Y143" t="str">
        <f>IF(BOM!$AE$4=FALSE,IF(ISERROR(SEARCH("Embrionix",BOM!$M$4)),"none",IF(ISERROR(SEARCH("Quadsplit",BOM!$N$4)),IF(ISERROR(SEARCH("rec",B143)),"none","merge"),"none")),IF(ISERROR(SEARCH("rec",B143)),"split","merge"))</f>
        <v>split</v>
      </c>
    </row>
    <row r="144" spans="1:25" x14ac:dyDescent="0.2">
      <c r="A144" t="s">
        <v>1238</v>
      </c>
      <c r="B144" t="s">
        <v>1524</v>
      </c>
      <c r="C144" t="str">
        <f>IFERROR(VLOOKUP(B144,'Sender-Receiver'!$B$3:$BP$1500,61,FALSE),"")</f>
        <v>Type:Aud_8CH_RAW,#SNP</v>
      </c>
      <c r="D144" t="str">
        <f>IFERROR(VLOOKUP(B144,'Sender-Receiver'!$B$3:$BP$1500,41,FALSE),"")</f>
        <v>PLAYOUT MPA431 | HD1-016 | MPA 431 HD1</v>
      </c>
      <c r="E144" t="s">
        <v>1240</v>
      </c>
      <c r="F144">
        <v>7</v>
      </c>
      <c r="G144" t="s">
        <v>1525</v>
      </c>
      <c r="M144" t="str">
        <f>IF(OR(BOM!$AE$4=FALSE,BOM!$AE$4="-"),IF(ISERROR(SEARCH("send",B144)),"","pool:TPC"),IF(ISERROR(SEARCH("send",B144)),"","pool:TPC|pool:TPC"))</f>
        <v>pool:TPC|pool:TPC</v>
      </c>
      <c r="S144" t="str">
        <f>IFERROR(IF(VLOOKUP(B144,'Sender-Receiver'!$B$3:$BP$1500,60,FALSE)="x","true","false"),"false")</f>
        <v>true</v>
      </c>
      <c r="T144" t="str">
        <f t="shared" si="2"/>
        <v>full</v>
      </c>
      <c r="Y144" t="str">
        <f>IF(BOM!$AE$4=FALSE,IF(ISERROR(SEARCH("Embrionix",BOM!$M$4)),"none",IF(ISERROR(SEARCH("Quadsplit",BOM!$N$4)),IF(ISERROR(SEARCH("rec",B144)),"none","merge"),"none")),IF(ISERROR(SEARCH("rec",B144)),"split","merge"))</f>
        <v>split</v>
      </c>
    </row>
    <row r="145" spans="1:25" x14ac:dyDescent="0.2">
      <c r="A145" t="s">
        <v>1238</v>
      </c>
      <c r="B145" t="s">
        <v>1526</v>
      </c>
      <c r="C145" t="str">
        <f>IFERROR(VLOOKUP(B145,'Sender-Receiver'!$B$3:$BP$1500,61,FALSE),"")</f>
        <v>Type:Anc_Prot,#SNP</v>
      </c>
      <c r="D145" t="str">
        <f>IFERROR(VLOOKUP(B145,'Sender-Receiver'!$B$3:$BP$1500,41,FALSE),"")</f>
        <v>PLAYOUT MPA431 | HD1-001 | MPA 431 HD1</v>
      </c>
      <c r="E145" t="s">
        <v>1240</v>
      </c>
      <c r="F145">
        <v>7</v>
      </c>
      <c r="G145" t="s">
        <v>1527</v>
      </c>
      <c r="M145" t="str">
        <f>IF(OR(BOM!$AE$4=FALSE,BOM!$AE$4="-"),IF(ISERROR(SEARCH("send",B145)),"","pool:TPC"),IF(ISERROR(SEARCH("send",B145)),"","pool:TPC|pool:TPC"))</f>
        <v>pool:TPC|pool:TPC</v>
      </c>
      <c r="S145" t="str">
        <f>IFERROR(IF(VLOOKUP(B145,'Sender-Receiver'!$B$3:$BP$1500,60,FALSE)="x","true","false"),"false")</f>
        <v>true</v>
      </c>
      <c r="T145" t="str">
        <f t="shared" si="2"/>
        <v>full</v>
      </c>
      <c r="Y145" t="str">
        <f>IF(BOM!$AE$4=FALSE,IF(ISERROR(SEARCH("Embrionix",BOM!$M$4)),"none",IF(ISERROR(SEARCH("Quadsplit",BOM!$N$4)),IF(ISERROR(SEARCH("rec",B145)),"none","merge"),"none")),IF(ISERROR(SEARCH("rec",B145)),"split","merge"))</f>
        <v>split</v>
      </c>
    </row>
    <row r="146" spans="1:25" x14ac:dyDescent="0.2">
      <c r="A146" t="s">
        <v>1238</v>
      </c>
      <c r="B146" t="s">
        <v>1528</v>
      </c>
      <c r="C146" t="str">
        <f>IFERROR(VLOOKUP(B146,'Sender-Receiver'!$B$3:$BP$1500,61,FALSE),"")</f>
        <v>#SNP</v>
      </c>
      <c r="D146" t="str">
        <f>IFERROR(VLOOKUP(B146,'Sender-Receiver'!$B$3:$BP$1500,41,FALSE),"")</f>
        <v xml:space="preserve"> |  | MPA 431 HD1</v>
      </c>
      <c r="E146" t="s">
        <v>1240</v>
      </c>
      <c r="F146">
        <v>7</v>
      </c>
      <c r="G146" t="s">
        <v>1529</v>
      </c>
      <c r="M146" t="str">
        <f>IF(OR(BOM!$AE$4=FALSE,BOM!$AE$4="-"),IF(ISERROR(SEARCH("send",B146)),"","pool:TPC"),IF(ISERROR(SEARCH("send",B146)),"","pool:TPC|pool:TPC"))</f>
        <v>pool:TPC|pool:TPC</v>
      </c>
      <c r="S146" t="str">
        <f>IFERROR(IF(VLOOKUP(B146,'Sender-Receiver'!$B$3:$BP$1500,60,FALSE)="x","true","false"),"false")</f>
        <v>false</v>
      </c>
      <c r="T146" t="str">
        <f t="shared" si="2"/>
        <v>off</v>
      </c>
      <c r="Y146" t="str">
        <f>IF(BOM!$AE$4=FALSE,IF(ISERROR(SEARCH("Embrionix",BOM!$M$4)),"none",IF(ISERROR(SEARCH("Quadsplit",BOM!$N$4)),IF(ISERROR(SEARCH("rec",B146)),"none","merge"),"none")),IF(ISERROR(SEARCH("rec",B146)),"split","merge"))</f>
        <v>split</v>
      </c>
    </row>
    <row r="147" spans="1:25" x14ac:dyDescent="0.2">
      <c r="A147" t="s">
        <v>1238</v>
      </c>
      <c r="B147" t="s">
        <v>1530</v>
      </c>
      <c r="C147" t="str">
        <f>IFERROR(VLOOKUP(B147,'Sender-Receiver'!$B$3:$BP$1500,61,FALSE),"")</f>
        <v>#SNP</v>
      </c>
      <c r="D147" t="str">
        <f>IFERROR(VLOOKUP(B147,'Sender-Receiver'!$B$3:$BP$1500,41,FALSE),"")</f>
        <v xml:space="preserve"> |  | MPA 431 HD1</v>
      </c>
      <c r="E147" t="s">
        <v>1240</v>
      </c>
      <c r="F147">
        <v>7</v>
      </c>
      <c r="G147" t="s">
        <v>1531</v>
      </c>
      <c r="M147" t="str">
        <f>IF(OR(BOM!$AE$4=FALSE,BOM!$AE$4="-"),IF(ISERROR(SEARCH("send",B147)),"","pool:TPC"),IF(ISERROR(SEARCH("send",B147)),"","pool:TPC|pool:TPC"))</f>
        <v>pool:TPC|pool:TPC</v>
      </c>
      <c r="S147" t="str">
        <f>IFERROR(IF(VLOOKUP(B147,'Sender-Receiver'!$B$3:$BP$1500,60,FALSE)="x","true","false"),"false")</f>
        <v>false</v>
      </c>
      <c r="T147" t="str">
        <f t="shared" si="2"/>
        <v>off</v>
      </c>
      <c r="Y147" t="str">
        <f>IF(BOM!$AE$4=FALSE,IF(ISERROR(SEARCH("Embrionix",BOM!$M$4)),"none",IF(ISERROR(SEARCH("Quadsplit",BOM!$N$4)),IF(ISERROR(SEARCH("rec",B147)),"none","merge"),"none")),IF(ISERROR(SEARCH("rec",B147)),"split","merge"))</f>
        <v>split</v>
      </c>
    </row>
    <row r="148" spans="1:25" x14ac:dyDescent="0.2">
      <c r="A148" t="s">
        <v>1238</v>
      </c>
      <c r="B148" t="s">
        <v>1532</v>
      </c>
      <c r="C148" t="str">
        <f>IFERROR(VLOOKUP(B148,'Sender-Receiver'!$B$3:$BP$1500,61,FALSE),"")</f>
        <v>#SNP</v>
      </c>
      <c r="D148" t="str">
        <f>IFERROR(VLOOKUP(B148,'Sender-Receiver'!$B$3:$BP$1500,41,FALSE),"")</f>
        <v xml:space="preserve"> |  | MPA 431 HD1</v>
      </c>
      <c r="E148" t="s">
        <v>1240</v>
      </c>
      <c r="F148">
        <v>7</v>
      </c>
      <c r="G148" t="s">
        <v>1533</v>
      </c>
      <c r="M148" t="str">
        <f>IF(OR(BOM!$AE$4=FALSE,BOM!$AE$4="-"),IF(ISERROR(SEARCH("send",B148)),"","pool:TPC"),IF(ISERROR(SEARCH("send",B148)),"","pool:TPC|pool:TPC"))</f>
        <v>pool:TPC|pool:TPC</v>
      </c>
      <c r="S148" t="str">
        <f>IFERROR(IF(VLOOKUP(B148,'Sender-Receiver'!$B$3:$BP$1500,60,FALSE)="x","true","false"),"false")</f>
        <v>false</v>
      </c>
      <c r="T148" t="str">
        <f t="shared" si="2"/>
        <v>off</v>
      </c>
      <c r="Y148" t="str">
        <f>IF(BOM!$AE$4=FALSE,IF(ISERROR(SEARCH("Embrionix",BOM!$M$4)),"none",IF(ISERROR(SEARCH("Quadsplit",BOM!$N$4)),IF(ISERROR(SEARCH("rec",B148)),"none","merge"),"none")),IF(ISERROR(SEARCH("rec",B148)),"split","merge"))</f>
        <v>split</v>
      </c>
    </row>
    <row r="149" spans="1:25" x14ac:dyDescent="0.2">
      <c r="A149" t="s">
        <v>1238</v>
      </c>
      <c r="B149" t="s">
        <v>1534</v>
      </c>
      <c r="C149" t="str">
        <f>IFERROR(VLOOKUP(B149,'Sender-Receiver'!$B$3:$BP$1500,61,FALSE),"")</f>
        <v>Type:Vid_1080i50,#SNP</v>
      </c>
      <c r="D149" t="str">
        <f>IFERROR(VLOOKUP(B149,'Sender-Receiver'!$B$3:$BP$1500,41,FALSE),"")</f>
        <v>PLAYOUT MPA431 | HD2 | MPA 431 HD2</v>
      </c>
      <c r="E149" t="s">
        <v>1240</v>
      </c>
      <c r="F149">
        <v>8</v>
      </c>
      <c r="G149" t="s">
        <v>1535</v>
      </c>
      <c r="M149" t="str">
        <f>IF(OR(BOM!$AE$4=FALSE,BOM!$AE$4="-"),IF(ISERROR(SEARCH("send",B149)),"","pool:TPC"),IF(ISERROR(SEARCH("send",B149)),"","pool:TPC|pool:TPC"))</f>
        <v>pool:TPC|pool:TPC</v>
      </c>
      <c r="S149" t="str">
        <f>IFERROR(IF(VLOOKUP(B149,'Sender-Receiver'!$B$3:$BP$1500,60,FALSE)="x","true","false"),"false")</f>
        <v>true</v>
      </c>
      <c r="T149" t="str">
        <f t="shared" si="2"/>
        <v>full</v>
      </c>
      <c r="Y149" t="str">
        <f>IF(BOM!$AE$4=FALSE,IF(ISERROR(SEARCH("Embrionix",BOM!$M$4)),"none",IF(ISERROR(SEARCH("Quadsplit",BOM!$N$4)),IF(ISERROR(SEARCH("rec",B149)),"none","merge"),"none")),IF(ISERROR(SEARCH("rec",B149)),"split","merge"))</f>
        <v>split</v>
      </c>
    </row>
    <row r="150" spans="1:25" x14ac:dyDescent="0.2">
      <c r="A150" t="s">
        <v>1238</v>
      </c>
      <c r="B150" t="s">
        <v>1536</v>
      </c>
      <c r="C150" t="str">
        <f>IFERROR(VLOOKUP(B150,'Sender-Receiver'!$B$3:$BP$1500,61,FALSE),"")</f>
        <v>Type:Aud_2CH_LR,#SNP</v>
      </c>
      <c r="D150" t="str">
        <f>IFERROR(VLOOKUP(B150,'Sender-Receiver'!$B$3:$BP$1500,41,FALSE),"")</f>
        <v>PLAYOUT MPA431 | HD2-001 | MPA 431 HD2</v>
      </c>
      <c r="E150" t="s">
        <v>1240</v>
      </c>
      <c r="F150">
        <v>8</v>
      </c>
      <c r="G150" t="s">
        <v>1537</v>
      </c>
      <c r="M150" t="str">
        <f>IF(OR(BOM!$AE$4=FALSE,BOM!$AE$4="-"),IF(ISERROR(SEARCH("send",B150)),"","pool:TPC"),IF(ISERROR(SEARCH("send",B150)),"","pool:TPC|pool:TPC"))</f>
        <v>pool:TPC|pool:TPC</v>
      </c>
      <c r="S150" t="str">
        <f>IFERROR(IF(VLOOKUP(B150,'Sender-Receiver'!$B$3:$BP$1500,60,FALSE)="x","true","false"),"false")</f>
        <v>true</v>
      </c>
      <c r="T150" t="str">
        <f t="shared" si="2"/>
        <v>full</v>
      </c>
      <c r="Y150" t="str">
        <f>IF(BOM!$AE$4=FALSE,IF(ISERROR(SEARCH("Embrionix",BOM!$M$4)),"none",IF(ISERROR(SEARCH("Quadsplit",BOM!$N$4)),IF(ISERROR(SEARCH("rec",B150)),"none","merge"),"none")),IF(ISERROR(SEARCH("rec",B150)),"split","merge"))</f>
        <v>split</v>
      </c>
    </row>
    <row r="151" spans="1:25" x14ac:dyDescent="0.2">
      <c r="A151" t="s">
        <v>1238</v>
      </c>
      <c r="B151" t="s">
        <v>1538</v>
      </c>
      <c r="C151" t="str">
        <f>IFERROR(VLOOKUP(B151,'Sender-Receiver'!$B$3:$BP$1500,61,FALSE),"")</f>
        <v>Type:Aud_1CH_M,#SNP</v>
      </c>
      <c r="D151" t="str">
        <f>IFERROR(VLOOKUP(B151,'Sender-Receiver'!$B$3:$BP$1500,41,FALSE),"")</f>
        <v>PLAYOUT MPA431 | HD2-002 | MPA 431 HD2</v>
      </c>
      <c r="E151" t="s">
        <v>1240</v>
      </c>
      <c r="F151">
        <v>8</v>
      </c>
      <c r="G151" t="s">
        <v>1539</v>
      </c>
      <c r="M151" t="str">
        <f>IF(OR(BOM!$AE$4=FALSE,BOM!$AE$4="-"),IF(ISERROR(SEARCH("send",B151)),"","pool:TPC"),IF(ISERROR(SEARCH("send",B151)),"","pool:TPC|pool:TPC"))</f>
        <v>pool:TPC|pool:TPC</v>
      </c>
      <c r="S151" t="str">
        <f>IFERROR(IF(VLOOKUP(B151,'Sender-Receiver'!$B$3:$BP$1500,60,FALSE)="x","true","false"),"false")</f>
        <v>true</v>
      </c>
      <c r="T151" t="str">
        <f t="shared" si="2"/>
        <v>full</v>
      </c>
      <c r="Y151" t="str">
        <f>IF(BOM!$AE$4=FALSE,IF(ISERROR(SEARCH("Embrionix",BOM!$M$4)),"none",IF(ISERROR(SEARCH("Quadsplit",BOM!$N$4)),IF(ISERROR(SEARCH("rec",B151)),"none","merge"),"none")),IF(ISERROR(SEARCH("rec",B151)),"split","merge"))</f>
        <v>split</v>
      </c>
    </row>
    <row r="152" spans="1:25" x14ac:dyDescent="0.2">
      <c r="A152" t="s">
        <v>1238</v>
      </c>
      <c r="B152" t="s">
        <v>1540</v>
      </c>
      <c r="C152" t="str">
        <f>IFERROR(VLOOKUP(B152,'Sender-Receiver'!$B$3:$BP$1500,61,FALSE),"")</f>
        <v>Type:Aud_1CH_M,#SNP</v>
      </c>
      <c r="D152" t="str">
        <f>IFERROR(VLOOKUP(B152,'Sender-Receiver'!$B$3:$BP$1500,41,FALSE),"")</f>
        <v>PLAYOUT MPA431 | HD2-003 | MPA 431 HD2</v>
      </c>
      <c r="E152" t="s">
        <v>1240</v>
      </c>
      <c r="F152">
        <v>8</v>
      </c>
      <c r="G152" t="s">
        <v>1541</v>
      </c>
      <c r="M152" t="str">
        <f>IF(OR(BOM!$AE$4=FALSE,BOM!$AE$4="-"),IF(ISERROR(SEARCH("send",B152)),"","pool:TPC"),IF(ISERROR(SEARCH("send",B152)),"","pool:TPC|pool:TPC"))</f>
        <v>pool:TPC|pool:TPC</v>
      </c>
      <c r="S152" t="str">
        <f>IFERROR(IF(VLOOKUP(B152,'Sender-Receiver'!$B$3:$BP$1500,60,FALSE)="x","true","false"),"false")</f>
        <v>true</v>
      </c>
      <c r="T152" t="str">
        <f t="shared" si="2"/>
        <v>full</v>
      </c>
      <c r="Y152" t="str">
        <f>IF(BOM!$AE$4=FALSE,IF(ISERROR(SEARCH("Embrionix",BOM!$M$4)),"none",IF(ISERROR(SEARCH("Quadsplit",BOM!$N$4)),IF(ISERROR(SEARCH("rec",B152)),"none","merge"),"none")),IF(ISERROR(SEARCH("rec",B152)),"split","merge"))</f>
        <v>split</v>
      </c>
    </row>
    <row r="153" spans="1:25" x14ac:dyDescent="0.2">
      <c r="A153" t="s">
        <v>1238</v>
      </c>
      <c r="B153" t="s">
        <v>1542</v>
      </c>
      <c r="C153" t="str">
        <f>IFERROR(VLOOKUP(B153,'Sender-Receiver'!$B$3:$BP$1500,61,FALSE),"")</f>
        <v>Type:Aud_2CH_LR,#SNP</v>
      </c>
      <c r="D153" t="str">
        <f>IFERROR(VLOOKUP(B153,'Sender-Receiver'!$B$3:$BP$1500,41,FALSE),"")</f>
        <v>PLAYOUT MPA431 | HD2-004 | MPA 431 HD2</v>
      </c>
      <c r="E153" t="s">
        <v>1240</v>
      </c>
      <c r="F153">
        <v>8</v>
      </c>
      <c r="G153" t="s">
        <v>1543</v>
      </c>
      <c r="M153" t="str">
        <f>IF(OR(BOM!$AE$4=FALSE,BOM!$AE$4="-"),IF(ISERROR(SEARCH("send",B153)),"","pool:TPC"),IF(ISERROR(SEARCH("send",B153)),"","pool:TPC|pool:TPC"))</f>
        <v>pool:TPC|pool:TPC</v>
      </c>
      <c r="S153" t="str">
        <f>IFERROR(IF(VLOOKUP(B153,'Sender-Receiver'!$B$3:$BP$1500,60,FALSE)="x","true","false"),"false")</f>
        <v>true</v>
      </c>
      <c r="T153" t="str">
        <f t="shared" si="2"/>
        <v>full</v>
      </c>
      <c r="Y153" t="str">
        <f>IF(BOM!$AE$4=FALSE,IF(ISERROR(SEARCH("Embrionix",BOM!$M$4)),"none",IF(ISERROR(SEARCH("Quadsplit",BOM!$N$4)),IF(ISERROR(SEARCH("rec",B153)),"none","merge"),"none")),IF(ISERROR(SEARCH("rec",B153)),"split","merge"))</f>
        <v>split</v>
      </c>
    </row>
    <row r="154" spans="1:25" x14ac:dyDescent="0.2">
      <c r="A154" t="s">
        <v>1238</v>
      </c>
      <c r="B154" t="s">
        <v>1544</v>
      </c>
      <c r="C154" t="str">
        <f>IFERROR(VLOOKUP(B154,'Sender-Receiver'!$B$3:$BP$1500,61,FALSE),"")</f>
        <v>Type:Aud_1CH_M,#SNP</v>
      </c>
      <c r="D154" t="str">
        <f>IFERROR(VLOOKUP(B154,'Sender-Receiver'!$B$3:$BP$1500,41,FALSE),"")</f>
        <v>PLAYOUT MPA431 | HD2-005 | MPA 431 HD2</v>
      </c>
      <c r="E154" t="s">
        <v>1240</v>
      </c>
      <c r="F154">
        <v>8</v>
      </c>
      <c r="G154" t="s">
        <v>1545</v>
      </c>
      <c r="M154" t="str">
        <f>IF(OR(BOM!$AE$4=FALSE,BOM!$AE$4="-"),IF(ISERROR(SEARCH("send",B154)),"","pool:TPC"),IF(ISERROR(SEARCH("send",B154)),"","pool:TPC|pool:TPC"))</f>
        <v>pool:TPC|pool:TPC</v>
      </c>
      <c r="S154" t="str">
        <f>IFERROR(IF(VLOOKUP(B154,'Sender-Receiver'!$B$3:$BP$1500,60,FALSE)="x","true","false"),"false")</f>
        <v>true</v>
      </c>
      <c r="T154" t="str">
        <f t="shared" si="2"/>
        <v>full</v>
      </c>
      <c r="Y154" t="str">
        <f>IF(BOM!$AE$4=FALSE,IF(ISERROR(SEARCH("Embrionix",BOM!$M$4)),"none",IF(ISERROR(SEARCH("Quadsplit",BOM!$N$4)),IF(ISERROR(SEARCH("rec",B154)),"none","merge"),"none")),IF(ISERROR(SEARCH("rec",B154)),"split","merge"))</f>
        <v>split</v>
      </c>
    </row>
    <row r="155" spans="1:25" x14ac:dyDescent="0.2">
      <c r="A155" t="s">
        <v>1238</v>
      </c>
      <c r="B155" t="s">
        <v>1546</v>
      </c>
      <c r="C155" t="str">
        <f>IFERROR(VLOOKUP(B155,'Sender-Receiver'!$B$3:$BP$1500,61,FALSE),"")</f>
        <v>Type:Aud_1CH_M,#SNP</v>
      </c>
      <c r="D155" t="str">
        <f>IFERROR(VLOOKUP(B155,'Sender-Receiver'!$B$3:$BP$1500,41,FALSE),"")</f>
        <v>PLAYOUT MPA431 | HD2-006 | MPA 431 HD2</v>
      </c>
      <c r="E155" t="s">
        <v>1240</v>
      </c>
      <c r="F155">
        <v>8</v>
      </c>
      <c r="G155" t="s">
        <v>1547</v>
      </c>
      <c r="M155" t="str">
        <f>IF(OR(BOM!$AE$4=FALSE,BOM!$AE$4="-"),IF(ISERROR(SEARCH("send",B155)),"","pool:TPC"),IF(ISERROR(SEARCH("send",B155)),"","pool:TPC|pool:TPC"))</f>
        <v>pool:TPC|pool:TPC</v>
      </c>
      <c r="S155" t="str">
        <f>IFERROR(IF(VLOOKUP(B155,'Sender-Receiver'!$B$3:$BP$1500,60,FALSE)="x","true","false"),"false")</f>
        <v>true</v>
      </c>
      <c r="T155" t="str">
        <f t="shared" si="2"/>
        <v>full</v>
      </c>
      <c r="Y155" t="str">
        <f>IF(BOM!$AE$4=FALSE,IF(ISERROR(SEARCH("Embrionix",BOM!$M$4)),"none",IF(ISERROR(SEARCH("Quadsplit",BOM!$N$4)),IF(ISERROR(SEARCH("rec",B155)),"none","merge"),"none")),IF(ISERROR(SEARCH("rec",B155)),"split","merge"))</f>
        <v>split</v>
      </c>
    </row>
    <row r="156" spans="1:25" x14ac:dyDescent="0.2">
      <c r="A156" t="s">
        <v>1238</v>
      </c>
      <c r="B156" t="s">
        <v>1548</v>
      </c>
      <c r="C156" t="str">
        <f>IFERROR(VLOOKUP(B156,'Sender-Receiver'!$B$3:$BP$1500,61,FALSE),"")</f>
        <v>Type:Aud_2CH_LR,#SNP</v>
      </c>
      <c r="D156" t="str">
        <f>IFERROR(VLOOKUP(B156,'Sender-Receiver'!$B$3:$BP$1500,41,FALSE),"")</f>
        <v>PLAYOUT MPA431 | HD2-007 | MPA 431 HD2</v>
      </c>
      <c r="E156" t="s">
        <v>1240</v>
      </c>
      <c r="F156">
        <v>8</v>
      </c>
      <c r="G156" t="s">
        <v>1549</v>
      </c>
      <c r="M156" t="str">
        <f>IF(OR(BOM!$AE$4=FALSE,BOM!$AE$4="-"),IF(ISERROR(SEARCH("send",B156)),"","pool:TPC"),IF(ISERROR(SEARCH("send",B156)),"","pool:TPC|pool:TPC"))</f>
        <v>pool:TPC|pool:TPC</v>
      </c>
      <c r="S156" t="str">
        <f>IFERROR(IF(VLOOKUP(B156,'Sender-Receiver'!$B$3:$BP$1500,60,FALSE)="x","true","false"),"false")</f>
        <v>true</v>
      </c>
      <c r="T156" t="str">
        <f t="shared" si="2"/>
        <v>full</v>
      </c>
      <c r="Y156" t="str">
        <f>IF(BOM!$AE$4=FALSE,IF(ISERROR(SEARCH("Embrionix",BOM!$M$4)),"none",IF(ISERROR(SEARCH("Quadsplit",BOM!$N$4)),IF(ISERROR(SEARCH("rec",B156)),"none","merge"),"none")),IF(ISERROR(SEARCH("rec",B156)),"split","merge"))</f>
        <v>split</v>
      </c>
    </row>
    <row r="157" spans="1:25" x14ac:dyDescent="0.2">
      <c r="A157" t="s">
        <v>1238</v>
      </c>
      <c r="B157" t="s">
        <v>1550</v>
      </c>
      <c r="C157" t="str">
        <f>IFERROR(VLOOKUP(B157,'Sender-Receiver'!$B$3:$BP$1500,61,FALSE),"")</f>
        <v>Type:Aud_6CH_5.1,#SNP</v>
      </c>
      <c r="D157" t="str">
        <f>IFERROR(VLOOKUP(B157,'Sender-Receiver'!$B$3:$BP$1500,41,FALSE),"")</f>
        <v>PLAYOUT MPA431 | HD2-008 | MPA 431 HD2</v>
      </c>
      <c r="E157" t="s">
        <v>1240</v>
      </c>
      <c r="F157">
        <v>8</v>
      </c>
      <c r="G157" t="s">
        <v>1551</v>
      </c>
      <c r="M157" t="str">
        <f>IF(OR(BOM!$AE$4=FALSE,BOM!$AE$4="-"),IF(ISERROR(SEARCH("send",B157)),"","pool:TPC"),IF(ISERROR(SEARCH("send",B157)),"","pool:TPC|pool:TPC"))</f>
        <v>pool:TPC|pool:TPC</v>
      </c>
      <c r="S157" t="str">
        <f>IFERROR(IF(VLOOKUP(B157,'Sender-Receiver'!$B$3:$BP$1500,60,FALSE)="x","true","false"),"false")</f>
        <v>true</v>
      </c>
      <c r="T157" t="str">
        <f t="shared" si="2"/>
        <v>full</v>
      </c>
      <c r="Y157" t="str">
        <f>IF(BOM!$AE$4=FALSE,IF(ISERROR(SEARCH("Embrionix",BOM!$M$4)),"none",IF(ISERROR(SEARCH("Quadsplit",BOM!$N$4)),IF(ISERROR(SEARCH("rec",B157)),"none","merge"),"none")),IF(ISERROR(SEARCH("rec",B157)),"split","merge"))</f>
        <v>split</v>
      </c>
    </row>
    <row r="158" spans="1:25" x14ac:dyDescent="0.2">
      <c r="A158" t="s">
        <v>1238</v>
      </c>
      <c r="B158" t="s">
        <v>1552</v>
      </c>
      <c r="C158" t="str">
        <f>IFERROR(VLOOKUP(B158,'Sender-Receiver'!$B$3:$BP$1500,61,FALSE),"")</f>
        <v>#SNP</v>
      </c>
      <c r="D158" t="str">
        <f>IFERROR(VLOOKUP(B158,'Sender-Receiver'!$B$3:$BP$1500,41,FALSE),"")</f>
        <v xml:space="preserve"> |  | MPA 431 HD2</v>
      </c>
      <c r="E158" t="s">
        <v>1240</v>
      </c>
      <c r="F158">
        <v>8</v>
      </c>
      <c r="G158" t="s">
        <v>1553</v>
      </c>
      <c r="M158" t="str">
        <f>IF(OR(BOM!$AE$4=FALSE,BOM!$AE$4="-"),IF(ISERROR(SEARCH("send",B158)),"","pool:TPC"),IF(ISERROR(SEARCH("send",B158)),"","pool:TPC|pool:TPC"))</f>
        <v>pool:TPC|pool:TPC</v>
      </c>
      <c r="S158" t="str">
        <f>IFERROR(IF(VLOOKUP(B158,'Sender-Receiver'!$B$3:$BP$1500,60,FALSE)="x","true","false"),"false")</f>
        <v>false</v>
      </c>
      <c r="T158" t="str">
        <f t="shared" si="2"/>
        <v>off</v>
      </c>
      <c r="Y158" t="str">
        <f>IF(BOM!$AE$4=FALSE,IF(ISERROR(SEARCH("Embrionix",BOM!$M$4)),"none",IF(ISERROR(SEARCH("Quadsplit",BOM!$N$4)),IF(ISERROR(SEARCH("rec",B158)),"none","merge"),"none")),IF(ISERROR(SEARCH("rec",B158)),"split","merge"))</f>
        <v>split</v>
      </c>
    </row>
    <row r="159" spans="1:25" x14ac:dyDescent="0.2">
      <c r="A159" t="s">
        <v>1238</v>
      </c>
      <c r="B159" t="s">
        <v>1554</v>
      </c>
      <c r="C159" t="str">
        <f>IFERROR(VLOOKUP(B159,'Sender-Receiver'!$B$3:$BP$1500,61,FALSE),"")</f>
        <v>#SNP</v>
      </c>
      <c r="D159" t="str">
        <f>IFERROR(VLOOKUP(B159,'Sender-Receiver'!$B$3:$BP$1500,41,FALSE),"")</f>
        <v xml:space="preserve"> |  | MPA 431 HD2</v>
      </c>
      <c r="E159" t="s">
        <v>1240</v>
      </c>
      <c r="F159">
        <v>8</v>
      </c>
      <c r="G159" t="s">
        <v>1555</v>
      </c>
      <c r="M159" t="str">
        <f>IF(OR(BOM!$AE$4=FALSE,BOM!$AE$4="-"),IF(ISERROR(SEARCH("send",B159)),"","pool:TPC"),IF(ISERROR(SEARCH("send",B159)),"","pool:TPC|pool:TPC"))</f>
        <v>pool:TPC|pool:TPC</v>
      </c>
      <c r="S159" t="str">
        <f>IFERROR(IF(VLOOKUP(B159,'Sender-Receiver'!$B$3:$BP$1500,60,FALSE)="x","true","false"),"false")</f>
        <v>false</v>
      </c>
      <c r="T159" t="str">
        <f t="shared" si="2"/>
        <v>off</v>
      </c>
      <c r="Y159" t="str">
        <f>IF(BOM!$AE$4=FALSE,IF(ISERROR(SEARCH("Embrionix",BOM!$M$4)),"none",IF(ISERROR(SEARCH("Quadsplit",BOM!$N$4)),IF(ISERROR(SEARCH("rec",B159)),"none","merge"),"none")),IF(ISERROR(SEARCH("rec",B159)),"split","merge"))</f>
        <v>split</v>
      </c>
    </row>
    <row r="160" spans="1:25" x14ac:dyDescent="0.2">
      <c r="A160" t="s">
        <v>1238</v>
      </c>
      <c r="B160" t="s">
        <v>1556</v>
      </c>
      <c r="C160" t="str">
        <f>IFERROR(VLOOKUP(B160,'Sender-Receiver'!$B$3:$BP$1500,61,FALSE),"")</f>
        <v>#SNP</v>
      </c>
      <c r="D160" t="str">
        <f>IFERROR(VLOOKUP(B160,'Sender-Receiver'!$B$3:$BP$1500,41,FALSE),"")</f>
        <v xml:space="preserve"> |  | MPA 431 HD2</v>
      </c>
      <c r="E160" t="s">
        <v>1240</v>
      </c>
      <c r="F160">
        <v>8</v>
      </c>
      <c r="G160" t="s">
        <v>1557</v>
      </c>
      <c r="M160" t="str">
        <f>IF(OR(BOM!$AE$4=FALSE,BOM!$AE$4="-"),IF(ISERROR(SEARCH("send",B160)),"","pool:TPC"),IF(ISERROR(SEARCH("send",B160)),"","pool:TPC|pool:TPC"))</f>
        <v>pool:TPC|pool:TPC</v>
      </c>
      <c r="S160" t="str">
        <f>IFERROR(IF(VLOOKUP(B160,'Sender-Receiver'!$B$3:$BP$1500,60,FALSE)="x","true","false"),"false")</f>
        <v>false</v>
      </c>
      <c r="T160" t="str">
        <f t="shared" si="2"/>
        <v>off</v>
      </c>
      <c r="Y160" t="str">
        <f>IF(BOM!$AE$4=FALSE,IF(ISERROR(SEARCH("Embrionix",BOM!$M$4)),"none",IF(ISERROR(SEARCH("Quadsplit",BOM!$N$4)),IF(ISERROR(SEARCH("rec",B160)),"none","merge"),"none")),IF(ISERROR(SEARCH("rec",B160)),"split","merge"))</f>
        <v>split</v>
      </c>
    </row>
    <row r="161" spans="1:25" x14ac:dyDescent="0.2">
      <c r="A161" t="s">
        <v>1238</v>
      </c>
      <c r="B161" t="s">
        <v>1558</v>
      </c>
      <c r="C161" t="str">
        <f>IFERROR(VLOOKUP(B161,'Sender-Receiver'!$B$3:$BP$1500,61,FALSE),"")</f>
        <v>#SNP</v>
      </c>
      <c r="D161" t="str">
        <f>IFERROR(VLOOKUP(B161,'Sender-Receiver'!$B$3:$BP$1500,41,FALSE),"")</f>
        <v xml:space="preserve"> |  | MPA 431 HD2</v>
      </c>
      <c r="E161" t="s">
        <v>1240</v>
      </c>
      <c r="F161">
        <v>8</v>
      </c>
      <c r="G161" t="s">
        <v>1559</v>
      </c>
      <c r="M161" t="str">
        <f>IF(OR(BOM!$AE$4=FALSE,BOM!$AE$4="-"),IF(ISERROR(SEARCH("send",B161)),"","pool:TPC"),IF(ISERROR(SEARCH("send",B161)),"","pool:TPC|pool:TPC"))</f>
        <v>pool:TPC|pool:TPC</v>
      </c>
      <c r="S161" t="str">
        <f>IFERROR(IF(VLOOKUP(B161,'Sender-Receiver'!$B$3:$BP$1500,60,FALSE)="x","true","false"),"false")</f>
        <v>false</v>
      </c>
      <c r="T161" t="str">
        <f t="shared" si="2"/>
        <v>off</v>
      </c>
      <c r="Y161" t="str">
        <f>IF(BOM!$AE$4=FALSE,IF(ISERROR(SEARCH("Embrionix",BOM!$M$4)),"none",IF(ISERROR(SEARCH("Quadsplit",BOM!$N$4)),IF(ISERROR(SEARCH("rec",B161)),"none","merge"),"none")),IF(ISERROR(SEARCH("rec",B161)),"split","merge"))</f>
        <v>split</v>
      </c>
    </row>
    <row r="162" spans="1:25" x14ac:dyDescent="0.2">
      <c r="A162" t="s">
        <v>1238</v>
      </c>
      <c r="B162" t="s">
        <v>1560</v>
      </c>
      <c r="C162" t="str">
        <f>IFERROR(VLOOKUP(B162,'Sender-Receiver'!$B$3:$BP$1500,61,FALSE),"")</f>
        <v>#SNP</v>
      </c>
      <c r="D162" t="str">
        <f>IFERROR(VLOOKUP(B162,'Sender-Receiver'!$B$3:$BP$1500,41,FALSE),"")</f>
        <v xml:space="preserve"> |  | MPA 431 HD2</v>
      </c>
      <c r="E162" t="s">
        <v>1240</v>
      </c>
      <c r="F162">
        <v>8</v>
      </c>
      <c r="G162" t="s">
        <v>1561</v>
      </c>
      <c r="M162" t="str">
        <f>IF(OR(BOM!$AE$4=FALSE,BOM!$AE$4="-"),IF(ISERROR(SEARCH("send",B162)),"","pool:TPC"),IF(ISERROR(SEARCH("send",B162)),"","pool:TPC|pool:TPC"))</f>
        <v>pool:TPC|pool:TPC</v>
      </c>
      <c r="S162" t="str">
        <f>IFERROR(IF(VLOOKUP(B162,'Sender-Receiver'!$B$3:$BP$1500,60,FALSE)="x","true","false"),"false")</f>
        <v>false</v>
      </c>
      <c r="T162" t="str">
        <f t="shared" si="2"/>
        <v>off</v>
      </c>
      <c r="Y162" t="str">
        <f>IF(BOM!$AE$4=FALSE,IF(ISERROR(SEARCH("Embrionix",BOM!$M$4)),"none",IF(ISERROR(SEARCH("Quadsplit",BOM!$N$4)),IF(ISERROR(SEARCH("rec",B162)),"none","merge"),"none")),IF(ISERROR(SEARCH("rec",B162)),"split","merge"))</f>
        <v>split</v>
      </c>
    </row>
    <row r="163" spans="1:25" x14ac:dyDescent="0.2">
      <c r="A163" t="s">
        <v>1238</v>
      </c>
      <c r="B163" t="s">
        <v>1562</v>
      </c>
      <c r="C163" t="str">
        <f>IFERROR(VLOOKUP(B163,'Sender-Receiver'!$B$3:$BP$1500,61,FALSE),"")</f>
        <v>#SNP</v>
      </c>
      <c r="D163" t="str">
        <f>IFERROR(VLOOKUP(B163,'Sender-Receiver'!$B$3:$BP$1500,41,FALSE),"")</f>
        <v xml:space="preserve"> |  | MPA 431 HD2</v>
      </c>
      <c r="E163" t="s">
        <v>1240</v>
      </c>
      <c r="F163">
        <v>8</v>
      </c>
      <c r="G163" t="s">
        <v>1563</v>
      </c>
      <c r="M163" t="str">
        <f>IF(OR(BOM!$AE$4=FALSE,BOM!$AE$4="-"),IF(ISERROR(SEARCH("send",B163)),"","pool:TPC"),IF(ISERROR(SEARCH("send",B163)),"","pool:TPC|pool:TPC"))</f>
        <v>pool:TPC|pool:TPC</v>
      </c>
      <c r="S163" t="str">
        <f>IFERROR(IF(VLOOKUP(B163,'Sender-Receiver'!$B$3:$BP$1500,60,FALSE)="x","true","false"),"false")</f>
        <v>false</v>
      </c>
      <c r="T163" t="str">
        <f t="shared" si="2"/>
        <v>off</v>
      </c>
      <c r="Y163" t="str">
        <f>IF(BOM!$AE$4=FALSE,IF(ISERROR(SEARCH("Embrionix",BOM!$M$4)),"none",IF(ISERROR(SEARCH("Quadsplit",BOM!$N$4)),IF(ISERROR(SEARCH("rec",B163)),"none","merge"),"none")),IF(ISERROR(SEARCH("rec",B163)),"split","merge"))</f>
        <v>split</v>
      </c>
    </row>
    <row r="164" spans="1:25" x14ac:dyDescent="0.2">
      <c r="A164" t="s">
        <v>1238</v>
      </c>
      <c r="B164" t="s">
        <v>1564</v>
      </c>
      <c r="C164" t="str">
        <f>IFERROR(VLOOKUP(B164,'Sender-Receiver'!$B$3:$BP$1500,61,FALSE),"")</f>
        <v>Type:Aud_8CH_RAW,#SNP</v>
      </c>
      <c r="D164" t="str">
        <f>IFERROR(VLOOKUP(B164,'Sender-Receiver'!$B$3:$BP$1500,41,FALSE),"")</f>
        <v>PLAYOUT MPA431 | HD2-015 | MPA 431 HD2</v>
      </c>
      <c r="E164" t="s">
        <v>1240</v>
      </c>
      <c r="F164">
        <v>8</v>
      </c>
      <c r="G164" t="s">
        <v>1565</v>
      </c>
      <c r="M164" t="str">
        <f>IF(OR(BOM!$AE$4=FALSE,BOM!$AE$4="-"),IF(ISERROR(SEARCH("send",B164)),"","pool:TPC"),IF(ISERROR(SEARCH("send",B164)),"","pool:TPC|pool:TPC"))</f>
        <v>pool:TPC|pool:TPC</v>
      </c>
      <c r="S164" t="str">
        <f>IFERROR(IF(VLOOKUP(B164,'Sender-Receiver'!$B$3:$BP$1500,60,FALSE)="x","true","false"),"false")</f>
        <v>true</v>
      </c>
      <c r="T164" t="str">
        <f t="shared" si="2"/>
        <v>full</v>
      </c>
      <c r="Y164" t="str">
        <f>IF(BOM!$AE$4=FALSE,IF(ISERROR(SEARCH("Embrionix",BOM!$M$4)),"none",IF(ISERROR(SEARCH("Quadsplit",BOM!$N$4)),IF(ISERROR(SEARCH("rec",B164)),"none","merge"),"none")),IF(ISERROR(SEARCH("rec",B164)),"split","merge"))</f>
        <v>split</v>
      </c>
    </row>
    <row r="165" spans="1:25" x14ac:dyDescent="0.2">
      <c r="A165" t="s">
        <v>1238</v>
      </c>
      <c r="B165" t="s">
        <v>1566</v>
      </c>
      <c r="C165" t="str">
        <f>IFERROR(VLOOKUP(B165,'Sender-Receiver'!$B$3:$BP$1500,61,FALSE),"")</f>
        <v>Type:Aud_8CH_RAW,#SNP</v>
      </c>
      <c r="D165" t="str">
        <f>IFERROR(VLOOKUP(B165,'Sender-Receiver'!$B$3:$BP$1500,41,FALSE),"")</f>
        <v>PLAYOUT MPA431 | HD2-016 | MPA 431 HD2</v>
      </c>
      <c r="E165" t="s">
        <v>1240</v>
      </c>
      <c r="F165">
        <v>8</v>
      </c>
      <c r="G165" t="s">
        <v>1567</v>
      </c>
      <c r="M165" t="str">
        <f>IF(OR(BOM!$AE$4=FALSE,BOM!$AE$4="-"),IF(ISERROR(SEARCH("send",B165)),"","pool:TPC"),IF(ISERROR(SEARCH("send",B165)),"","pool:TPC|pool:TPC"))</f>
        <v>pool:TPC|pool:TPC</v>
      </c>
      <c r="S165" t="str">
        <f>IFERROR(IF(VLOOKUP(B165,'Sender-Receiver'!$B$3:$BP$1500,60,FALSE)="x","true","false"),"false")</f>
        <v>true</v>
      </c>
      <c r="T165" t="str">
        <f t="shared" si="2"/>
        <v>full</v>
      </c>
      <c r="Y165" t="str">
        <f>IF(BOM!$AE$4=FALSE,IF(ISERROR(SEARCH("Embrionix",BOM!$M$4)),"none",IF(ISERROR(SEARCH("Quadsplit",BOM!$N$4)),IF(ISERROR(SEARCH("rec",B165)),"none","merge"),"none")),IF(ISERROR(SEARCH("rec",B165)),"split","merge"))</f>
        <v>split</v>
      </c>
    </row>
    <row r="166" spans="1:25" x14ac:dyDescent="0.2">
      <c r="A166" t="s">
        <v>1238</v>
      </c>
      <c r="B166" t="s">
        <v>1568</v>
      </c>
      <c r="C166" t="str">
        <f>IFERROR(VLOOKUP(B166,'Sender-Receiver'!$B$3:$BP$1500,61,FALSE),"")</f>
        <v>Type:Anc_Prot,#SNP</v>
      </c>
      <c r="D166" t="str">
        <f>IFERROR(VLOOKUP(B166,'Sender-Receiver'!$B$3:$BP$1500,41,FALSE),"")</f>
        <v>PLAYOUT MPA431 | HD2-001 | MPA 431 HD2</v>
      </c>
      <c r="E166" t="s">
        <v>1240</v>
      </c>
      <c r="F166">
        <v>8</v>
      </c>
      <c r="G166" t="s">
        <v>1569</v>
      </c>
      <c r="M166" t="str">
        <f>IF(OR(BOM!$AE$4=FALSE,BOM!$AE$4="-"),IF(ISERROR(SEARCH("send",B166)),"","pool:TPC"),IF(ISERROR(SEARCH("send",B166)),"","pool:TPC|pool:TPC"))</f>
        <v>pool:TPC|pool:TPC</v>
      </c>
      <c r="S166" t="str">
        <f>IFERROR(IF(VLOOKUP(B166,'Sender-Receiver'!$B$3:$BP$1500,60,FALSE)="x","true","false"),"false")</f>
        <v>true</v>
      </c>
      <c r="T166" t="str">
        <f t="shared" si="2"/>
        <v>full</v>
      </c>
      <c r="Y166" t="str">
        <f>IF(BOM!$AE$4=FALSE,IF(ISERROR(SEARCH("Embrionix",BOM!$M$4)),"none",IF(ISERROR(SEARCH("Quadsplit",BOM!$N$4)),IF(ISERROR(SEARCH("rec",B166)),"none","merge"),"none")),IF(ISERROR(SEARCH("rec",B166)),"split","merge"))</f>
        <v>split</v>
      </c>
    </row>
    <row r="167" spans="1:25" x14ac:dyDescent="0.2">
      <c r="A167" t="s">
        <v>1238</v>
      </c>
      <c r="B167" t="s">
        <v>1570</v>
      </c>
      <c r="C167" t="str">
        <f>IFERROR(VLOOKUP(B167,'Sender-Receiver'!$B$3:$BP$1500,61,FALSE),"")</f>
        <v>#SNP</v>
      </c>
      <c r="D167" t="str">
        <f>IFERROR(VLOOKUP(B167,'Sender-Receiver'!$B$3:$BP$1500,41,FALSE),"")</f>
        <v xml:space="preserve"> |  | MPA 431 HD2</v>
      </c>
      <c r="E167" t="s">
        <v>1240</v>
      </c>
      <c r="F167">
        <v>8</v>
      </c>
      <c r="G167" t="s">
        <v>1571</v>
      </c>
      <c r="M167" t="str">
        <f>IF(OR(BOM!$AE$4=FALSE,BOM!$AE$4="-"),IF(ISERROR(SEARCH("send",B167)),"","pool:TPC"),IF(ISERROR(SEARCH("send",B167)),"","pool:TPC|pool:TPC"))</f>
        <v>pool:TPC|pool:TPC</v>
      </c>
      <c r="S167" t="str">
        <f>IFERROR(IF(VLOOKUP(B167,'Sender-Receiver'!$B$3:$BP$1500,60,FALSE)="x","true","false"),"false")</f>
        <v>false</v>
      </c>
      <c r="T167" t="str">
        <f t="shared" si="2"/>
        <v>off</v>
      </c>
      <c r="Y167" t="str">
        <f>IF(BOM!$AE$4=FALSE,IF(ISERROR(SEARCH("Embrionix",BOM!$M$4)),"none",IF(ISERROR(SEARCH("Quadsplit",BOM!$N$4)),IF(ISERROR(SEARCH("rec",B167)),"none","merge"),"none")),IF(ISERROR(SEARCH("rec",B167)),"split","merge"))</f>
        <v>split</v>
      </c>
    </row>
    <row r="168" spans="1:25" x14ac:dyDescent="0.2">
      <c r="A168" t="s">
        <v>1238</v>
      </c>
      <c r="B168" t="s">
        <v>1572</v>
      </c>
      <c r="C168" t="str">
        <f>IFERROR(VLOOKUP(B168,'Sender-Receiver'!$B$3:$BP$1500,61,FALSE),"")</f>
        <v>#SNP</v>
      </c>
      <c r="D168" t="str">
        <f>IFERROR(VLOOKUP(B168,'Sender-Receiver'!$B$3:$BP$1500,41,FALSE),"")</f>
        <v xml:space="preserve"> |  | MPA 431 HD2</v>
      </c>
      <c r="E168" t="s">
        <v>1240</v>
      </c>
      <c r="F168">
        <v>8</v>
      </c>
      <c r="G168" t="s">
        <v>1573</v>
      </c>
      <c r="M168" t="str">
        <f>IF(OR(BOM!$AE$4=FALSE,BOM!$AE$4="-"),IF(ISERROR(SEARCH("send",B168)),"","pool:TPC"),IF(ISERROR(SEARCH("send",B168)),"","pool:TPC|pool:TPC"))</f>
        <v>pool:TPC|pool:TPC</v>
      </c>
      <c r="S168" t="str">
        <f>IFERROR(IF(VLOOKUP(B168,'Sender-Receiver'!$B$3:$BP$1500,60,FALSE)="x","true","false"),"false")</f>
        <v>false</v>
      </c>
      <c r="T168" t="str">
        <f t="shared" si="2"/>
        <v>off</v>
      </c>
      <c r="Y168" t="str">
        <f>IF(BOM!$AE$4=FALSE,IF(ISERROR(SEARCH("Embrionix",BOM!$M$4)),"none",IF(ISERROR(SEARCH("Quadsplit",BOM!$N$4)),IF(ISERROR(SEARCH("rec",B168)),"none","merge"),"none")),IF(ISERROR(SEARCH("rec",B168)),"split","merge"))</f>
        <v>split</v>
      </c>
    </row>
    <row r="169" spans="1:25" x14ac:dyDescent="0.2">
      <c r="A169" t="s">
        <v>1238</v>
      </c>
      <c r="B169" t="s">
        <v>1574</v>
      </c>
      <c r="C169" t="str">
        <f>IFERROR(VLOOKUP(B169,'Sender-Receiver'!$B$3:$BP$1500,61,FALSE),"")</f>
        <v>#SNP</v>
      </c>
      <c r="D169" t="str">
        <f>IFERROR(VLOOKUP(B169,'Sender-Receiver'!$B$3:$BP$1500,41,FALSE),"")</f>
        <v xml:space="preserve"> |  | MPA 431 HD2</v>
      </c>
      <c r="E169" t="s">
        <v>1240</v>
      </c>
      <c r="F169">
        <v>8</v>
      </c>
      <c r="G169" t="s">
        <v>1575</v>
      </c>
      <c r="M169" t="str">
        <f>IF(OR(BOM!$AE$4=FALSE,BOM!$AE$4="-"),IF(ISERROR(SEARCH("send",B169)),"","pool:TPC"),IF(ISERROR(SEARCH("send",B169)),"","pool:TPC|pool:TPC"))</f>
        <v>pool:TPC|pool:TPC</v>
      </c>
      <c r="S169" t="str">
        <f>IFERROR(IF(VLOOKUP(B169,'Sender-Receiver'!$B$3:$BP$1500,60,FALSE)="x","true","false"),"false")</f>
        <v>false</v>
      </c>
      <c r="T169" t="str">
        <f t="shared" si="2"/>
        <v>off</v>
      </c>
      <c r="Y169" t="str">
        <f>IF(BOM!$AE$4=FALSE,IF(ISERROR(SEARCH("Embrionix",BOM!$M$4)),"none",IF(ISERROR(SEARCH("Quadsplit",BOM!$N$4)),IF(ISERROR(SEARCH("rec",B169)),"none","merge"),"none")),IF(ISERROR(SEARCH("rec",B169)),"split","merge"))</f>
        <v>split</v>
      </c>
    </row>
    <row r="170" spans="1:25" x14ac:dyDescent="0.2">
      <c r="A170" t="s">
        <v>1238</v>
      </c>
      <c r="B170" t="s">
        <v>1576</v>
      </c>
      <c r="C170" t="str">
        <f>IFERROR(VLOOKUP(B170,'Sender-Receiver'!$B$3:$BP$1500,61,FALSE),"")</f>
        <v>Type:Vid_1080i50,Type:Vid_1080p25,Type:Vid_1080p50,Type:Vid_1080p60,#SNP</v>
      </c>
      <c r="D170" t="str">
        <f>IFERROR(VLOOKUP(B170,'Sender-Receiver'!$B$3:$BP$1500,41,FALSE),"")</f>
        <v>M3H InCh REM | Ingest Ch21 | IngSRV-06</v>
      </c>
      <c r="E170" t="s">
        <v>1240</v>
      </c>
      <c r="F170">
        <v>9</v>
      </c>
      <c r="G170" t="s">
        <v>1577</v>
      </c>
      <c r="M170" t="str">
        <f>IF(OR(BOM!$AE$4=FALSE,BOM!$AE$4="-"),IF(ISERROR(SEARCH("send",B170)),"","pool:TPC"),IF(ISERROR(SEARCH("send",B170)),"","pool:TPC|pool:TPC"))</f>
        <v/>
      </c>
      <c r="S170" t="str">
        <f>IFERROR(IF(VLOOKUP(B170,'Sender-Receiver'!$B$3:$BP$1500,60,FALSE)="x","true","false"),"false")</f>
        <v>true</v>
      </c>
      <c r="T170" t="str">
        <f t="shared" si="2"/>
        <v>full</v>
      </c>
      <c r="Y170" t="str">
        <f>IF(BOM!$AE$4=FALSE,IF(ISERROR(SEARCH("Embrionix",BOM!$M$4)),"none",IF(ISERROR(SEARCH("Quadsplit",BOM!$N$4)),IF(ISERROR(SEARCH("rec",B170)),"none","merge"),"none")),IF(ISERROR(SEARCH("rec",B170)),"split","merge"))</f>
        <v>merge</v>
      </c>
    </row>
    <row r="171" spans="1:25" x14ac:dyDescent="0.2">
      <c r="A171" t="s">
        <v>1238</v>
      </c>
      <c r="B171" t="s">
        <v>1578</v>
      </c>
      <c r="C171" t="str">
        <f>IFERROR(VLOOKUP(B171,'Sender-Receiver'!$B$3:$BP$1500,61,FALSE),"")</f>
        <v>Type:Aud_1CH_M,Type:Aud_2CH_LR,Type:Aud_3CH_LRC,Type:Aud_6CH_5.1,#SNP</v>
      </c>
      <c r="D171" t="str">
        <f>IFERROR(VLOOKUP(B171,'Sender-Receiver'!$B$3:$BP$1500,41,FALSE),"")</f>
        <v>M3H InCh REM | Ingest Ch21-01 | IngSRV-06</v>
      </c>
      <c r="E171" t="s">
        <v>1240</v>
      </c>
      <c r="F171">
        <v>9</v>
      </c>
      <c r="G171" t="s">
        <v>1579</v>
      </c>
      <c r="M171" t="str">
        <f>IF(OR(BOM!$AE$4=FALSE,BOM!$AE$4="-"),IF(ISERROR(SEARCH("send",B171)),"","pool:TPC"),IF(ISERROR(SEARCH("send",B171)),"","pool:TPC|pool:TPC"))</f>
        <v/>
      </c>
      <c r="S171" t="str">
        <f>IFERROR(IF(VLOOKUP(B171,'Sender-Receiver'!$B$3:$BP$1500,60,FALSE)="x","true","false"),"false")</f>
        <v>true</v>
      </c>
      <c r="T171" t="str">
        <f t="shared" si="2"/>
        <v>full</v>
      </c>
      <c r="Y171" t="str">
        <f>IF(BOM!$AE$4=FALSE,IF(ISERROR(SEARCH("Embrionix",BOM!$M$4)),"none",IF(ISERROR(SEARCH("Quadsplit",BOM!$N$4)),IF(ISERROR(SEARCH("rec",B171)),"none","merge"),"none")),IF(ISERROR(SEARCH("rec",B171)),"split","merge"))</f>
        <v>merge</v>
      </c>
    </row>
    <row r="172" spans="1:25" x14ac:dyDescent="0.2">
      <c r="A172" t="s">
        <v>1238</v>
      </c>
      <c r="B172" t="s">
        <v>1580</v>
      </c>
      <c r="C172" t="str">
        <f>IFERROR(VLOOKUP(B172,'Sender-Receiver'!$B$3:$BP$1500,61,FALSE),"")</f>
        <v>Type:Aud_1CH_M,Type:Aud_2CH_LR,Type:Aud_3CH_LRC,Type:Aud_6CH_5.1,#SNP</v>
      </c>
      <c r="D172" t="str">
        <f>IFERROR(VLOOKUP(B172,'Sender-Receiver'!$B$3:$BP$1500,41,FALSE),"")</f>
        <v>M3H InCh REM | Ingest Ch21-02 | IngSRV-06</v>
      </c>
      <c r="E172" t="s">
        <v>1240</v>
      </c>
      <c r="F172">
        <v>9</v>
      </c>
      <c r="G172" t="s">
        <v>1581</v>
      </c>
      <c r="M172" t="str">
        <f>IF(OR(BOM!$AE$4=FALSE,BOM!$AE$4="-"),IF(ISERROR(SEARCH("send",B172)),"","pool:TPC"),IF(ISERROR(SEARCH("send",B172)),"","pool:TPC|pool:TPC"))</f>
        <v/>
      </c>
      <c r="S172" t="str">
        <f>IFERROR(IF(VLOOKUP(B172,'Sender-Receiver'!$B$3:$BP$1500,60,FALSE)="x","true","false"),"false")</f>
        <v>true</v>
      </c>
      <c r="T172" t="str">
        <f t="shared" si="2"/>
        <v>full</v>
      </c>
      <c r="Y172" t="str">
        <f>IF(BOM!$AE$4=FALSE,IF(ISERROR(SEARCH("Embrionix",BOM!$M$4)),"none",IF(ISERROR(SEARCH("Quadsplit",BOM!$N$4)),IF(ISERROR(SEARCH("rec",B172)),"none","merge"),"none")),IF(ISERROR(SEARCH("rec",B172)),"split","merge"))</f>
        <v>merge</v>
      </c>
    </row>
    <row r="173" spans="1:25" x14ac:dyDescent="0.2">
      <c r="A173" t="s">
        <v>1238</v>
      </c>
      <c r="B173" t="s">
        <v>1582</v>
      </c>
      <c r="C173" t="str">
        <f>IFERROR(VLOOKUP(B173,'Sender-Receiver'!$B$3:$BP$1500,61,FALSE),"")</f>
        <v>Type:Aud_1CH_M,Type:Aud_2CH_LR,Type:Aud_3CH_LRC,Type:Aud_6CH_5.1,#SNP</v>
      </c>
      <c r="D173" t="str">
        <f>IFERROR(VLOOKUP(B173,'Sender-Receiver'!$B$3:$BP$1500,41,FALSE),"")</f>
        <v>M3H InCh REM | Ingest Ch21-03 | IngSRV-06</v>
      </c>
      <c r="E173" t="s">
        <v>1240</v>
      </c>
      <c r="F173">
        <v>9</v>
      </c>
      <c r="G173" t="s">
        <v>1583</v>
      </c>
      <c r="M173" t="str">
        <f>IF(OR(BOM!$AE$4=FALSE,BOM!$AE$4="-"),IF(ISERROR(SEARCH("send",B173)),"","pool:TPC"),IF(ISERROR(SEARCH("send",B173)),"","pool:TPC|pool:TPC"))</f>
        <v/>
      </c>
      <c r="S173" t="str">
        <f>IFERROR(IF(VLOOKUP(B173,'Sender-Receiver'!$B$3:$BP$1500,60,FALSE)="x","true","false"),"false")</f>
        <v>true</v>
      </c>
      <c r="T173" t="str">
        <f t="shared" si="2"/>
        <v>full</v>
      </c>
      <c r="Y173" t="str">
        <f>IF(BOM!$AE$4=FALSE,IF(ISERROR(SEARCH("Embrionix",BOM!$M$4)),"none",IF(ISERROR(SEARCH("Quadsplit",BOM!$N$4)),IF(ISERROR(SEARCH("rec",B173)),"none","merge"),"none")),IF(ISERROR(SEARCH("rec",B173)),"split","merge"))</f>
        <v>merge</v>
      </c>
    </row>
    <row r="174" spans="1:25" x14ac:dyDescent="0.2">
      <c r="A174" t="s">
        <v>1238</v>
      </c>
      <c r="B174" t="s">
        <v>1584</v>
      </c>
      <c r="C174" t="str">
        <f>IFERROR(VLOOKUP(B174,'Sender-Receiver'!$B$3:$BP$1500,61,FALSE),"")</f>
        <v>Type:Aud_1CH_M,Type:Aud_2CH_LR,Type:Aud_3CH_LRC,Type:Aud_6CH_5.1,#SNP</v>
      </c>
      <c r="D174" t="str">
        <f>IFERROR(VLOOKUP(B174,'Sender-Receiver'!$B$3:$BP$1500,41,FALSE),"")</f>
        <v>M3H InCh REM | Ingest Ch21-04 | IngSRV-06</v>
      </c>
      <c r="E174" t="s">
        <v>1240</v>
      </c>
      <c r="F174">
        <v>9</v>
      </c>
      <c r="G174" t="s">
        <v>1585</v>
      </c>
      <c r="M174" t="str">
        <f>IF(OR(BOM!$AE$4=FALSE,BOM!$AE$4="-"),IF(ISERROR(SEARCH("send",B174)),"","pool:TPC"),IF(ISERROR(SEARCH("send",B174)),"","pool:TPC|pool:TPC"))</f>
        <v/>
      </c>
      <c r="S174" t="str">
        <f>IFERROR(IF(VLOOKUP(B174,'Sender-Receiver'!$B$3:$BP$1500,60,FALSE)="x","true","false"),"false")</f>
        <v>true</v>
      </c>
      <c r="T174" t="str">
        <f t="shared" si="2"/>
        <v>full</v>
      </c>
      <c r="Y174" t="str">
        <f>IF(BOM!$AE$4=FALSE,IF(ISERROR(SEARCH("Embrionix",BOM!$M$4)),"none",IF(ISERROR(SEARCH("Quadsplit",BOM!$N$4)),IF(ISERROR(SEARCH("rec",B174)),"none","merge"),"none")),IF(ISERROR(SEARCH("rec",B174)),"split","merge"))</f>
        <v>merge</v>
      </c>
    </row>
    <row r="175" spans="1:25" x14ac:dyDescent="0.2">
      <c r="A175" t="s">
        <v>1238</v>
      </c>
      <c r="B175" t="s">
        <v>1586</v>
      </c>
      <c r="C175" t="str">
        <f>IFERROR(VLOOKUP(B175,'Sender-Receiver'!$B$3:$BP$1500,61,FALSE),"")</f>
        <v>Type:Aud_1CH_M,Type:Aud_2CH_LR,Type:Aud_3CH_LRC,Type:Aud_6CH_5.1,#SNP</v>
      </c>
      <c r="D175" t="str">
        <f>IFERROR(VLOOKUP(B175,'Sender-Receiver'!$B$3:$BP$1500,41,FALSE),"")</f>
        <v>M3H InCh REM | Ingest Ch21-05 | IngSRV-06</v>
      </c>
      <c r="E175" t="s">
        <v>1240</v>
      </c>
      <c r="F175">
        <v>9</v>
      </c>
      <c r="G175" t="s">
        <v>1587</v>
      </c>
      <c r="M175" t="str">
        <f>IF(OR(BOM!$AE$4=FALSE,BOM!$AE$4="-"),IF(ISERROR(SEARCH("send",B175)),"","pool:TPC"),IF(ISERROR(SEARCH("send",B175)),"","pool:TPC|pool:TPC"))</f>
        <v/>
      </c>
      <c r="S175" t="str">
        <f>IFERROR(IF(VLOOKUP(B175,'Sender-Receiver'!$B$3:$BP$1500,60,FALSE)="x","true","false"),"false")</f>
        <v>true</v>
      </c>
      <c r="T175" t="str">
        <f t="shared" si="2"/>
        <v>full</v>
      </c>
      <c r="Y175" t="str">
        <f>IF(BOM!$AE$4=FALSE,IF(ISERROR(SEARCH("Embrionix",BOM!$M$4)),"none",IF(ISERROR(SEARCH("Quadsplit",BOM!$N$4)),IF(ISERROR(SEARCH("rec",B175)),"none","merge"),"none")),IF(ISERROR(SEARCH("rec",B175)),"split","merge"))</f>
        <v>merge</v>
      </c>
    </row>
    <row r="176" spans="1:25" x14ac:dyDescent="0.2">
      <c r="A176" t="s">
        <v>1238</v>
      </c>
      <c r="B176" t="s">
        <v>1588</v>
      </c>
      <c r="C176" t="str">
        <f>IFERROR(VLOOKUP(B176,'Sender-Receiver'!$B$3:$BP$1500,61,FALSE),"")</f>
        <v>Type:Aud_1CH_M,Type:Aud_2CH_LR,Type:Aud_3CH_LRC,Type:Aud_6CH_5.1,#SNP</v>
      </c>
      <c r="D176" t="str">
        <f>IFERROR(VLOOKUP(B176,'Sender-Receiver'!$B$3:$BP$1500,41,FALSE),"")</f>
        <v>M3H InCh REM | Ingest Ch21-06 | IngSRV-06</v>
      </c>
      <c r="E176" t="s">
        <v>1240</v>
      </c>
      <c r="F176">
        <v>9</v>
      </c>
      <c r="G176" t="s">
        <v>1589</v>
      </c>
      <c r="M176" t="str">
        <f>IF(OR(BOM!$AE$4=FALSE,BOM!$AE$4="-"),IF(ISERROR(SEARCH("send",B176)),"","pool:TPC"),IF(ISERROR(SEARCH("send",B176)),"","pool:TPC|pool:TPC"))</f>
        <v/>
      </c>
      <c r="S176" t="str">
        <f>IFERROR(IF(VLOOKUP(B176,'Sender-Receiver'!$B$3:$BP$1500,60,FALSE)="x","true","false"),"false")</f>
        <v>true</v>
      </c>
      <c r="T176" t="str">
        <f t="shared" si="2"/>
        <v>full</v>
      </c>
      <c r="Y176" t="str">
        <f>IF(BOM!$AE$4=FALSE,IF(ISERROR(SEARCH("Embrionix",BOM!$M$4)),"none",IF(ISERROR(SEARCH("Quadsplit",BOM!$N$4)),IF(ISERROR(SEARCH("rec",B176)),"none","merge"),"none")),IF(ISERROR(SEARCH("rec",B176)),"split","merge"))</f>
        <v>merge</v>
      </c>
    </row>
    <row r="177" spans="1:25" x14ac:dyDescent="0.2">
      <c r="A177" t="s">
        <v>1238</v>
      </c>
      <c r="B177" t="s">
        <v>1590</v>
      </c>
      <c r="C177" t="str">
        <f>IFERROR(VLOOKUP(B177,'Sender-Receiver'!$B$3:$BP$1500,61,FALSE),"")</f>
        <v>Type:Aud_1CH_M,Type:Aud_2CH_LR,Type:Aud_3CH_LRC,Type:Aud_6CH_5.1,#SNP</v>
      </c>
      <c r="D177" t="str">
        <f>IFERROR(VLOOKUP(B177,'Sender-Receiver'!$B$3:$BP$1500,41,FALSE),"")</f>
        <v>M3H InCh REM | Ingest Ch21-07 | IngSRV-06</v>
      </c>
      <c r="E177" t="s">
        <v>1240</v>
      </c>
      <c r="F177">
        <v>9</v>
      </c>
      <c r="G177" t="s">
        <v>1591</v>
      </c>
      <c r="M177" t="str">
        <f>IF(OR(BOM!$AE$4=FALSE,BOM!$AE$4="-"),IF(ISERROR(SEARCH("send",B177)),"","pool:TPC"),IF(ISERROR(SEARCH("send",B177)),"","pool:TPC|pool:TPC"))</f>
        <v/>
      </c>
      <c r="S177" t="str">
        <f>IFERROR(IF(VLOOKUP(B177,'Sender-Receiver'!$B$3:$BP$1500,60,FALSE)="x","true","false"),"false")</f>
        <v>true</v>
      </c>
      <c r="T177" t="str">
        <f t="shared" si="2"/>
        <v>full</v>
      </c>
      <c r="Y177" t="str">
        <f>IF(BOM!$AE$4=FALSE,IF(ISERROR(SEARCH("Embrionix",BOM!$M$4)),"none",IF(ISERROR(SEARCH("Quadsplit",BOM!$N$4)),IF(ISERROR(SEARCH("rec",B177)),"none","merge"),"none")),IF(ISERROR(SEARCH("rec",B177)),"split","merge"))</f>
        <v>merge</v>
      </c>
    </row>
    <row r="178" spans="1:25" x14ac:dyDescent="0.2">
      <c r="A178" t="s">
        <v>1238</v>
      </c>
      <c r="B178" t="s">
        <v>1592</v>
      </c>
      <c r="C178" t="str">
        <f>IFERROR(VLOOKUP(B178,'Sender-Receiver'!$B$3:$BP$1500,61,FALSE),"")</f>
        <v>Type:Aud_1CH_M,Type:Aud_2CH_LR,Type:Aud_3CH_LRC,Type:Aud_6CH_5.1,#SNP</v>
      </c>
      <c r="D178" t="str">
        <f>IFERROR(VLOOKUP(B178,'Sender-Receiver'!$B$3:$BP$1500,41,FALSE),"")</f>
        <v>M3H InCh REM | Ingest Ch21-08 | IngSRV-06</v>
      </c>
      <c r="E178" t="s">
        <v>1240</v>
      </c>
      <c r="F178">
        <v>9</v>
      </c>
      <c r="G178" t="s">
        <v>1593</v>
      </c>
      <c r="M178" t="str">
        <f>IF(OR(BOM!$AE$4=FALSE,BOM!$AE$4="-"),IF(ISERROR(SEARCH("send",B178)),"","pool:TPC"),IF(ISERROR(SEARCH("send",B178)),"","pool:TPC|pool:TPC"))</f>
        <v/>
      </c>
      <c r="S178" t="str">
        <f>IFERROR(IF(VLOOKUP(B178,'Sender-Receiver'!$B$3:$BP$1500,60,FALSE)="x","true","false"),"false")</f>
        <v>true</v>
      </c>
      <c r="T178" t="str">
        <f t="shared" si="2"/>
        <v>full</v>
      </c>
      <c r="Y178" t="str">
        <f>IF(BOM!$AE$4=FALSE,IF(ISERROR(SEARCH("Embrionix",BOM!$M$4)),"none",IF(ISERROR(SEARCH("Quadsplit",BOM!$N$4)),IF(ISERROR(SEARCH("rec",B178)),"none","merge"),"none")),IF(ISERROR(SEARCH("rec",B178)),"split","merge"))</f>
        <v>merge</v>
      </c>
    </row>
    <row r="179" spans="1:25" x14ac:dyDescent="0.2">
      <c r="A179" t="s">
        <v>1238</v>
      </c>
      <c r="B179" t="s">
        <v>1594</v>
      </c>
      <c r="C179" t="str">
        <f>IFERROR(VLOOKUP(B179,'Sender-Receiver'!$B$3:$BP$1500,61,FALSE),"")</f>
        <v>Type:Aud_1CH_M,Type:Aud_2CH_LR,Type:Aud_3CH_LRC,Type:Aud_6CH_5.1,#SNP</v>
      </c>
      <c r="D179" t="str">
        <f>IFERROR(VLOOKUP(B179,'Sender-Receiver'!$B$3:$BP$1500,41,FALSE),"")</f>
        <v>M3H InCh REM | Ingest Ch21-09 | IngSRV-06</v>
      </c>
      <c r="E179" t="s">
        <v>1240</v>
      </c>
      <c r="F179">
        <v>9</v>
      </c>
      <c r="G179" t="s">
        <v>1595</v>
      </c>
      <c r="M179" t="str">
        <f>IF(OR(BOM!$AE$4=FALSE,BOM!$AE$4="-"),IF(ISERROR(SEARCH("send",B179)),"","pool:TPC"),IF(ISERROR(SEARCH("send",B179)),"","pool:TPC|pool:TPC"))</f>
        <v/>
      </c>
      <c r="S179" t="str">
        <f>IFERROR(IF(VLOOKUP(B179,'Sender-Receiver'!$B$3:$BP$1500,60,FALSE)="x","true","false"),"false")</f>
        <v>true</v>
      </c>
      <c r="T179" t="str">
        <f t="shared" si="2"/>
        <v>full</v>
      </c>
      <c r="Y179" t="str">
        <f>IF(BOM!$AE$4=FALSE,IF(ISERROR(SEARCH("Embrionix",BOM!$M$4)),"none",IF(ISERROR(SEARCH("Quadsplit",BOM!$N$4)),IF(ISERROR(SEARCH("rec",B179)),"none","merge"),"none")),IF(ISERROR(SEARCH("rec",B179)),"split","merge"))</f>
        <v>merge</v>
      </c>
    </row>
    <row r="180" spans="1:25" x14ac:dyDescent="0.2">
      <c r="A180" t="s">
        <v>1238</v>
      </c>
      <c r="B180" t="s">
        <v>1596</v>
      </c>
      <c r="C180" t="str">
        <f>IFERROR(VLOOKUP(B180,'Sender-Receiver'!$B$3:$BP$1500,61,FALSE),"")</f>
        <v>#SNP</v>
      </c>
      <c r="D180" t="str">
        <f>IFERROR(VLOOKUP(B180,'Sender-Receiver'!$B$3:$BP$1500,41,FALSE),"")</f>
        <v xml:space="preserve"> |  | IngSRV-06</v>
      </c>
      <c r="E180" t="s">
        <v>1240</v>
      </c>
      <c r="F180">
        <v>9</v>
      </c>
      <c r="G180" t="s">
        <v>1597</v>
      </c>
      <c r="M180" t="str">
        <f>IF(OR(BOM!$AE$4=FALSE,BOM!$AE$4="-"),IF(ISERROR(SEARCH("send",B180)),"","pool:TPC"),IF(ISERROR(SEARCH("send",B180)),"","pool:TPC|pool:TPC"))</f>
        <v/>
      </c>
      <c r="S180" t="str">
        <f>IFERROR(IF(VLOOKUP(B180,'Sender-Receiver'!$B$3:$BP$1500,60,FALSE)="x","true","false"),"false")</f>
        <v>false</v>
      </c>
      <c r="T180" t="str">
        <f t="shared" si="2"/>
        <v>off</v>
      </c>
      <c r="Y180" t="str">
        <f>IF(BOM!$AE$4=FALSE,IF(ISERROR(SEARCH("Embrionix",BOM!$M$4)),"none",IF(ISERROR(SEARCH("Quadsplit",BOM!$N$4)),IF(ISERROR(SEARCH("rec",B180)),"none","merge"),"none")),IF(ISERROR(SEARCH("rec",B180)),"split","merge"))</f>
        <v>merge</v>
      </c>
    </row>
    <row r="181" spans="1:25" x14ac:dyDescent="0.2">
      <c r="A181" t="s">
        <v>1238</v>
      </c>
      <c r="B181" t="s">
        <v>1598</v>
      </c>
      <c r="C181" t="str">
        <f>IFERROR(VLOOKUP(B181,'Sender-Receiver'!$B$3:$BP$1500,61,FALSE),"")</f>
        <v>#SNP</v>
      </c>
      <c r="D181" t="str">
        <f>IFERROR(VLOOKUP(B181,'Sender-Receiver'!$B$3:$BP$1500,41,FALSE),"")</f>
        <v xml:space="preserve"> |  | IngSRV-06</v>
      </c>
      <c r="E181" t="s">
        <v>1240</v>
      </c>
      <c r="F181">
        <v>9</v>
      </c>
      <c r="G181" t="s">
        <v>1599</v>
      </c>
      <c r="M181" t="str">
        <f>IF(OR(BOM!$AE$4=FALSE,BOM!$AE$4="-"),IF(ISERROR(SEARCH("send",B181)),"","pool:TPC"),IF(ISERROR(SEARCH("send",B181)),"","pool:TPC|pool:TPC"))</f>
        <v/>
      </c>
      <c r="S181" t="str">
        <f>IFERROR(IF(VLOOKUP(B181,'Sender-Receiver'!$B$3:$BP$1500,60,FALSE)="x","true","false"),"false")</f>
        <v>false</v>
      </c>
      <c r="T181" t="str">
        <f t="shared" si="2"/>
        <v>off</v>
      </c>
      <c r="Y181" t="str">
        <f>IF(BOM!$AE$4=FALSE,IF(ISERROR(SEARCH("Embrionix",BOM!$M$4)),"none",IF(ISERROR(SEARCH("Quadsplit",BOM!$N$4)),IF(ISERROR(SEARCH("rec",B181)),"none","merge"),"none")),IF(ISERROR(SEARCH("rec",B181)),"split","merge"))</f>
        <v>merge</v>
      </c>
    </row>
    <row r="182" spans="1:25" x14ac:dyDescent="0.2">
      <c r="A182" t="s">
        <v>1238</v>
      </c>
      <c r="B182" t="s">
        <v>1600</v>
      </c>
      <c r="C182" t="str">
        <f>IFERROR(VLOOKUP(B182,'Sender-Receiver'!$B$3:$BP$1500,61,FALSE),"")</f>
        <v>#SNP</v>
      </c>
      <c r="D182" t="str">
        <f>IFERROR(VLOOKUP(B182,'Sender-Receiver'!$B$3:$BP$1500,41,FALSE),"")</f>
        <v xml:space="preserve"> |  | IngSRV-06</v>
      </c>
      <c r="E182" t="s">
        <v>1240</v>
      </c>
      <c r="F182">
        <v>9</v>
      </c>
      <c r="G182" t="s">
        <v>1601</v>
      </c>
      <c r="M182" t="str">
        <f>IF(OR(BOM!$AE$4=FALSE,BOM!$AE$4="-"),IF(ISERROR(SEARCH("send",B182)),"","pool:TPC"),IF(ISERROR(SEARCH("send",B182)),"","pool:TPC|pool:TPC"))</f>
        <v/>
      </c>
      <c r="S182" t="str">
        <f>IFERROR(IF(VLOOKUP(B182,'Sender-Receiver'!$B$3:$BP$1500,60,FALSE)="x","true","false"),"false")</f>
        <v>false</v>
      </c>
      <c r="T182" t="str">
        <f t="shared" si="2"/>
        <v>off</v>
      </c>
      <c r="Y182" t="str">
        <f>IF(BOM!$AE$4=FALSE,IF(ISERROR(SEARCH("Embrionix",BOM!$M$4)),"none",IF(ISERROR(SEARCH("Quadsplit",BOM!$N$4)),IF(ISERROR(SEARCH("rec",B182)),"none","merge"),"none")),IF(ISERROR(SEARCH("rec",B182)),"split","merge"))</f>
        <v>merge</v>
      </c>
    </row>
    <row r="183" spans="1:25" x14ac:dyDescent="0.2">
      <c r="A183" t="s">
        <v>1238</v>
      </c>
      <c r="B183" t="s">
        <v>1602</v>
      </c>
      <c r="C183" t="str">
        <f>IFERROR(VLOOKUP(B183,'Sender-Receiver'!$B$3:$BP$1500,61,FALSE),"")</f>
        <v>#SNP</v>
      </c>
      <c r="D183" t="str">
        <f>IFERROR(VLOOKUP(B183,'Sender-Receiver'!$B$3:$BP$1500,41,FALSE),"")</f>
        <v xml:space="preserve"> |  | IngSRV-06</v>
      </c>
      <c r="E183" t="s">
        <v>1240</v>
      </c>
      <c r="F183">
        <v>9</v>
      </c>
      <c r="G183" t="s">
        <v>1603</v>
      </c>
      <c r="M183" t="str">
        <f>IF(OR(BOM!$AE$4=FALSE,BOM!$AE$4="-"),IF(ISERROR(SEARCH("send",B183)),"","pool:TPC"),IF(ISERROR(SEARCH("send",B183)),"","pool:TPC|pool:TPC"))</f>
        <v/>
      </c>
      <c r="S183" t="str">
        <f>IFERROR(IF(VLOOKUP(B183,'Sender-Receiver'!$B$3:$BP$1500,60,FALSE)="x","true","false"),"false")</f>
        <v>false</v>
      </c>
      <c r="T183" t="str">
        <f t="shared" si="2"/>
        <v>off</v>
      </c>
      <c r="Y183" t="str">
        <f>IF(BOM!$AE$4=FALSE,IF(ISERROR(SEARCH("Embrionix",BOM!$M$4)),"none",IF(ISERROR(SEARCH("Quadsplit",BOM!$N$4)),IF(ISERROR(SEARCH("rec",B183)),"none","merge"),"none")),IF(ISERROR(SEARCH("rec",B183)),"split","merge"))</f>
        <v>merge</v>
      </c>
    </row>
    <row r="184" spans="1:25" x14ac:dyDescent="0.2">
      <c r="A184" t="s">
        <v>1238</v>
      </c>
      <c r="B184" t="s">
        <v>1604</v>
      </c>
      <c r="C184" t="str">
        <f>IFERROR(VLOOKUP(B184,'Sender-Receiver'!$B$3:$BP$1500,61,FALSE),"")</f>
        <v>#SNP</v>
      </c>
      <c r="D184" t="str">
        <f>IFERROR(VLOOKUP(B184,'Sender-Receiver'!$B$3:$BP$1500,41,FALSE),"")</f>
        <v xml:space="preserve"> |  | IngSRV-06</v>
      </c>
      <c r="E184" t="s">
        <v>1240</v>
      </c>
      <c r="F184">
        <v>9</v>
      </c>
      <c r="G184" t="s">
        <v>1605</v>
      </c>
      <c r="M184" t="str">
        <f>IF(OR(BOM!$AE$4=FALSE,BOM!$AE$4="-"),IF(ISERROR(SEARCH("send",B184)),"","pool:TPC"),IF(ISERROR(SEARCH("send",B184)),"","pool:TPC|pool:TPC"))</f>
        <v/>
      </c>
      <c r="S184" t="str">
        <f>IFERROR(IF(VLOOKUP(B184,'Sender-Receiver'!$B$3:$BP$1500,60,FALSE)="x","true","false"),"false")</f>
        <v>false</v>
      </c>
      <c r="T184" t="str">
        <f t="shared" si="2"/>
        <v>off</v>
      </c>
      <c r="Y184" t="str">
        <f>IF(BOM!$AE$4=FALSE,IF(ISERROR(SEARCH("Embrionix",BOM!$M$4)),"none",IF(ISERROR(SEARCH("Quadsplit",BOM!$N$4)),IF(ISERROR(SEARCH("rec",B184)),"none","merge"),"none")),IF(ISERROR(SEARCH("rec",B184)),"split","merge"))</f>
        <v>merge</v>
      </c>
    </row>
    <row r="185" spans="1:25" x14ac:dyDescent="0.2">
      <c r="A185" t="s">
        <v>1238</v>
      </c>
      <c r="B185" t="s">
        <v>1606</v>
      </c>
      <c r="C185" t="str">
        <f>IFERROR(VLOOKUP(B185,'Sender-Receiver'!$B$3:$BP$1500,61,FALSE),"")</f>
        <v>Type:Aud_1CH_M,Type:Aud_2CH_LR,Type:Aud_3CH_LRC,Type:Aud_6CH_5.1,Type:Aud_8CH_RAW,#SNP</v>
      </c>
      <c r="D185" t="str">
        <f>IFERROR(VLOOKUP(B185,'Sender-Receiver'!$B$3:$BP$1500,41,FALSE),"")</f>
        <v>M3H InCh REM | Ingest Ch21-15 | IngSRV-06</v>
      </c>
      <c r="E185" t="s">
        <v>1240</v>
      </c>
      <c r="F185">
        <v>9</v>
      </c>
      <c r="G185" t="s">
        <v>1607</v>
      </c>
      <c r="M185" t="str">
        <f>IF(OR(BOM!$AE$4=FALSE,BOM!$AE$4="-"),IF(ISERROR(SEARCH("send",B185)),"","pool:TPC"),IF(ISERROR(SEARCH("send",B185)),"","pool:TPC|pool:TPC"))</f>
        <v/>
      </c>
      <c r="S185" t="str">
        <f>IFERROR(IF(VLOOKUP(B185,'Sender-Receiver'!$B$3:$BP$1500,60,FALSE)="x","true","false"),"false")</f>
        <v>true</v>
      </c>
      <c r="T185" t="str">
        <f t="shared" si="2"/>
        <v>full</v>
      </c>
      <c r="Y185" t="str">
        <f>IF(BOM!$AE$4=FALSE,IF(ISERROR(SEARCH("Embrionix",BOM!$M$4)),"none",IF(ISERROR(SEARCH("Quadsplit",BOM!$N$4)),IF(ISERROR(SEARCH("rec",B185)),"none","merge"),"none")),IF(ISERROR(SEARCH("rec",B185)),"split","merge"))</f>
        <v>merge</v>
      </c>
    </row>
    <row r="186" spans="1:25" x14ac:dyDescent="0.2">
      <c r="A186" t="s">
        <v>1238</v>
      </c>
      <c r="B186" t="s">
        <v>1608</v>
      </c>
      <c r="C186" t="str">
        <f>IFERROR(VLOOKUP(B186,'Sender-Receiver'!$B$3:$BP$1500,61,FALSE),"")</f>
        <v>Type:Aud_1CH_M,Type:Aud_2CH_LR,Type:Aud_3CH_LRC,Type:Aud_6CH_5.1,Type:Aud_8CH_RAW,#SNP</v>
      </c>
      <c r="D186" t="str">
        <f>IFERROR(VLOOKUP(B186,'Sender-Receiver'!$B$3:$BP$1500,41,FALSE),"")</f>
        <v>M3H InCh REM | Ingest Ch21-16 | IngSRV-06</v>
      </c>
      <c r="E186" t="s">
        <v>1240</v>
      </c>
      <c r="F186">
        <v>9</v>
      </c>
      <c r="G186" t="s">
        <v>1609</v>
      </c>
      <c r="M186" t="str">
        <f>IF(OR(BOM!$AE$4=FALSE,BOM!$AE$4="-"),IF(ISERROR(SEARCH("send",B186)),"","pool:TPC"),IF(ISERROR(SEARCH("send",B186)),"","pool:TPC|pool:TPC"))</f>
        <v/>
      </c>
      <c r="S186" t="str">
        <f>IFERROR(IF(VLOOKUP(B186,'Sender-Receiver'!$B$3:$BP$1500,60,FALSE)="x","true","false"),"false")</f>
        <v>true</v>
      </c>
      <c r="T186" t="str">
        <f t="shared" si="2"/>
        <v>full</v>
      </c>
      <c r="Y186" t="str">
        <f>IF(BOM!$AE$4=FALSE,IF(ISERROR(SEARCH("Embrionix",BOM!$M$4)),"none",IF(ISERROR(SEARCH("Quadsplit",BOM!$N$4)),IF(ISERROR(SEARCH("rec",B186)),"none","merge"),"none")),IF(ISERROR(SEARCH("rec",B186)),"split","merge"))</f>
        <v>merge</v>
      </c>
    </row>
    <row r="187" spans="1:25" x14ac:dyDescent="0.2">
      <c r="A187" t="s">
        <v>1238</v>
      </c>
      <c r="B187" t="s">
        <v>1610</v>
      </c>
      <c r="C187" t="str">
        <f>IFERROR(VLOOKUP(B187,'Sender-Receiver'!$B$3:$BP$1500,61,FALSE),"")</f>
        <v>Type:Anc_Prot,#SNP</v>
      </c>
      <c r="D187" t="str">
        <f>IFERROR(VLOOKUP(B187,'Sender-Receiver'!$B$3:$BP$1500,41,FALSE),"")</f>
        <v>M3H InCh REM | Ingest Ch21-ANC1 | IngSRV-06</v>
      </c>
      <c r="E187" t="s">
        <v>1240</v>
      </c>
      <c r="F187">
        <v>9</v>
      </c>
      <c r="G187" t="s">
        <v>1611</v>
      </c>
      <c r="M187" t="str">
        <f>IF(OR(BOM!$AE$4=FALSE,BOM!$AE$4="-"),IF(ISERROR(SEARCH("send",B187)),"","pool:TPC"),IF(ISERROR(SEARCH("send",B187)),"","pool:TPC|pool:TPC"))</f>
        <v/>
      </c>
      <c r="S187" t="str">
        <f>IFERROR(IF(VLOOKUP(B187,'Sender-Receiver'!$B$3:$BP$1500,60,FALSE)="x","true","false"),"false")</f>
        <v>true</v>
      </c>
      <c r="T187" t="str">
        <f t="shared" si="2"/>
        <v>full</v>
      </c>
      <c r="Y187" t="str">
        <f>IF(BOM!$AE$4=FALSE,IF(ISERROR(SEARCH("Embrionix",BOM!$M$4)),"none",IF(ISERROR(SEARCH("Quadsplit",BOM!$N$4)),IF(ISERROR(SEARCH("rec",B187)),"none","merge"),"none")),IF(ISERROR(SEARCH("rec",B187)),"split","merge"))</f>
        <v>merge</v>
      </c>
    </row>
    <row r="188" spans="1:25" x14ac:dyDescent="0.2">
      <c r="A188" t="s">
        <v>1238</v>
      </c>
      <c r="B188" t="s">
        <v>1612</v>
      </c>
      <c r="C188" t="str">
        <f>IFERROR(VLOOKUP(B188,'Sender-Receiver'!$B$3:$BP$1500,61,FALSE),"")</f>
        <v>#SNP</v>
      </c>
      <c r="D188" t="str">
        <f>IFERROR(VLOOKUP(B188,'Sender-Receiver'!$B$3:$BP$1500,41,FALSE),"")</f>
        <v xml:space="preserve"> |  | IngSRV-06</v>
      </c>
      <c r="E188" t="s">
        <v>1240</v>
      </c>
      <c r="F188">
        <v>9</v>
      </c>
      <c r="G188" t="s">
        <v>1613</v>
      </c>
      <c r="M188" t="str">
        <f>IF(OR(BOM!$AE$4=FALSE,BOM!$AE$4="-"),IF(ISERROR(SEARCH("send",B188)),"","pool:TPC"),IF(ISERROR(SEARCH("send",B188)),"","pool:TPC|pool:TPC"))</f>
        <v/>
      </c>
      <c r="S188" t="str">
        <f>IFERROR(IF(VLOOKUP(B188,'Sender-Receiver'!$B$3:$BP$1500,60,FALSE)="x","true","false"),"false")</f>
        <v>false</v>
      </c>
      <c r="T188" t="str">
        <f t="shared" si="2"/>
        <v>off</v>
      </c>
      <c r="Y188" t="str">
        <f>IF(BOM!$AE$4=FALSE,IF(ISERROR(SEARCH("Embrionix",BOM!$M$4)),"none",IF(ISERROR(SEARCH("Quadsplit",BOM!$N$4)),IF(ISERROR(SEARCH("rec",B188)),"none","merge"),"none")),IF(ISERROR(SEARCH("rec",B188)),"split","merge"))</f>
        <v>merge</v>
      </c>
    </row>
    <row r="189" spans="1:25" x14ac:dyDescent="0.2">
      <c r="A189" t="s">
        <v>1238</v>
      </c>
      <c r="B189" t="s">
        <v>1614</v>
      </c>
      <c r="C189" t="str">
        <f>IFERROR(VLOOKUP(B189,'Sender-Receiver'!$B$3:$BP$1500,61,FALSE),"")</f>
        <v>#SNP</v>
      </c>
      <c r="D189" t="str">
        <f>IFERROR(VLOOKUP(B189,'Sender-Receiver'!$B$3:$BP$1500,41,FALSE),"")</f>
        <v xml:space="preserve"> |  | IngSRV-06</v>
      </c>
      <c r="E189" t="s">
        <v>1240</v>
      </c>
      <c r="F189">
        <v>9</v>
      </c>
      <c r="G189" t="s">
        <v>1615</v>
      </c>
      <c r="M189" t="str">
        <f>IF(OR(BOM!$AE$4=FALSE,BOM!$AE$4="-"),IF(ISERROR(SEARCH("send",B189)),"","pool:TPC"),IF(ISERROR(SEARCH("send",B189)),"","pool:TPC|pool:TPC"))</f>
        <v/>
      </c>
      <c r="S189" t="str">
        <f>IFERROR(IF(VLOOKUP(B189,'Sender-Receiver'!$B$3:$BP$1500,60,FALSE)="x","true","false"),"false")</f>
        <v>false</v>
      </c>
      <c r="T189" t="str">
        <f t="shared" si="2"/>
        <v>off</v>
      </c>
      <c r="Y189" t="str">
        <f>IF(BOM!$AE$4=FALSE,IF(ISERROR(SEARCH("Embrionix",BOM!$M$4)),"none",IF(ISERROR(SEARCH("Quadsplit",BOM!$N$4)),IF(ISERROR(SEARCH("rec",B189)),"none","merge"),"none")),IF(ISERROR(SEARCH("rec",B189)),"split","merge"))</f>
        <v>merge</v>
      </c>
    </row>
    <row r="190" spans="1:25" x14ac:dyDescent="0.2">
      <c r="A190" t="s">
        <v>1238</v>
      </c>
      <c r="B190" t="s">
        <v>1616</v>
      </c>
      <c r="C190" t="str">
        <f>IFERROR(VLOOKUP(B190,'Sender-Receiver'!$B$3:$BP$1500,61,FALSE),"")</f>
        <v>#SNP</v>
      </c>
      <c r="D190" t="str">
        <f>IFERROR(VLOOKUP(B190,'Sender-Receiver'!$B$3:$BP$1500,41,FALSE),"")</f>
        <v xml:space="preserve"> |  | IngSRV-06</v>
      </c>
      <c r="E190" t="s">
        <v>1240</v>
      </c>
      <c r="F190">
        <v>9</v>
      </c>
      <c r="G190" t="s">
        <v>1617</v>
      </c>
      <c r="M190" t="str">
        <f>IF(OR(BOM!$AE$4=FALSE,BOM!$AE$4="-"),IF(ISERROR(SEARCH("send",B190)),"","pool:TPC"),IF(ISERROR(SEARCH("send",B190)),"","pool:TPC|pool:TPC"))</f>
        <v/>
      </c>
      <c r="S190" t="str">
        <f>IFERROR(IF(VLOOKUP(B190,'Sender-Receiver'!$B$3:$BP$1500,60,FALSE)="x","true","false"),"false")</f>
        <v>false</v>
      </c>
      <c r="T190" t="str">
        <f t="shared" si="2"/>
        <v>off</v>
      </c>
      <c r="Y190" t="str">
        <f>IF(BOM!$AE$4=FALSE,IF(ISERROR(SEARCH("Embrionix",BOM!$M$4)),"none",IF(ISERROR(SEARCH("Quadsplit",BOM!$N$4)),IF(ISERROR(SEARCH("rec",B190)),"none","merge"),"none")),IF(ISERROR(SEARCH("rec",B190)),"split","merge"))</f>
        <v>merge</v>
      </c>
    </row>
    <row r="191" spans="1:25" x14ac:dyDescent="0.2">
      <c r="A191" t="s">
        <v>1238</v>
      </c>
      <c r="B191" t="s">
        <v>1618</v>
      </c>
      <c r="C191" t="str">
        <f>IFERROR(VLOOKUP(B191,'Sender-Receiver'!$B$3:$BP$1500,61,FALSE),"")</f>
        <v>Type:Vid_1080i50,Type:Vid_1080p25,Type:Vid_1080p50,Type:Vid_1080p60,#SNP</v>
      </c>
      <c r="D191" t="str">
        <f>IFERROR(VLOOKUP(B191,'Sender-Receiver'!$B$3:$BP$1500,41,FALSE),"")</f>
        <v>M3H InCh REM | Ingest Ch22 | IngSRV-06</v>
      </c>
      <c r="E191" t="s">
        <v>1240</v>
      </c>
      <c r="F191">
        <v>10</v>
      </c>
      <c r="G191" t="s">
        <v>1619</v>
      </c>
      <c r="M191" t="str">
        <f>IF(OR(BOM!$AE$4=FALSE,BOM!$AE$4="-"),IF(ISERROR(SEARCH("send",B191)),"","pool:TPC"),IF(ISERROR(SEARCH("send",B191)),"","pool:TPC|pool:TPC"))</f>
        <v/>
      </c>
      <c r="S191" t="str">
        <f>IFERROR(IF(VLOOKUP(B191,'Sender-Receiver'!$B$3:$BP$1500,60,FALSE)="x","true","false"),"false")</f>
        <v>true</v>
      </c>
      <c r="T191" t="str">
        <f t="shared" si="2"/>
        <v>full</v>
      </c>
      <c r="Y191" t="str">
        <f>IF(BOM!$AE$4=FALSE,IF(ISERROR(SEARCH("Embrionix",BOM!$M$4)),"none",IF(ISERROR(SEARCH("Quadsplit",BOM!$N$4)),IF(ISERROR(SEARCH("rec",B191)),"none","merge"),"none")),IF(ISERROR(SEARCH("rec",B191)),"split","merge"))</f>
        <v>merge</v>
      </c>
    </row>
    <row r="192" spans="1:25" x14ac:dyDescent="0.2">
      <c r="A192" t="s">
        <v>1238</v>
      </c>
      <c r="B192" t="s">
        <v>1620</v>
      </c>
      <c r="C192" t="str">
        <f>IFERROR(VLOOKUP(B192,'Sender-Receiver'!$B$3:$BP$1500,61,FALSE),"")</f>
        <v>Type:Aud_1CH_M,Type:Aud_2CH_LR,Type:Aud_3CH_LRC,Type:Aud_6CH_5.1,#SNP</v>
      </c>
      <c r="D192" t="str">
        <f>IFERROR(VLOOKUP(B192,'Sender-Receiver'!$B$3:$BP$1500,41,FALSE),"")</f>
        <v>M3H InCh REM | Ingest Ch22-01 | IngSRV-06</v>
      </c>
      <c r="E192" t="s">
        <v>1240</v>
      </c>
      <c r="F192">
        <v>10</v>
      </c>
      <c r="G192" t="s">
        <v>1621</v>
      </c>
      <c r="M192" t="str">
        <f>IF(OR(BOM!$AE$4=FALSE,BOM!$AE$4="-"),IF(ISERROR(SEARCH("send",B192)),"","pool:TPC"),IF(ISERROR(SEARCH("send",B192)),"","pool:TPC|pool:TPC"))</f>
        <v/>
      </c>
      <c r="S192" t="str">
        <f>IFERROR(IF(VLOOKUP(B192,'Sender-Receiver'!$B$3:$BP$1500,60,FALSE)="x","true","false"),"false")</f>
        <v>true</v>
      </c>
      <c r="T192" t="str">
        <f t="shared" si="2"/>
        <v>full</v>
      </c>
      <c r="Y192" t="str">
        <f>IF(BOM!$AE$4=FALSE,IF(ISERROR(SEARCH("Embrionix",BOM!$M$4)),"none",IF(ISERROR(SEARCH("Quadsplit",BOM!$N$4)),IF(ISERROR(SEARCH("rec",B192)),"none","merge"),"none")),IF(ISERROR(SEARCH("rec",B192)),"split","merge"))</f>
        <v>merge</v>
      </c>
    </row>
    <row r="193" spans="1:25" x14ac:dyDescent="0.2">
      <c r="A193" t="s">
        <v>1238</v>
      </c>
      <c r="B193" t="s">
        <v>1622</v>
      </c>
      <c r="C193" t="str">
        <f>IFERROR(VLOOKUP(B193,'Sender-Receiver'!$B$3:$BP$1500,61,FALSE),"")</f>
        <v>Type:Aud_1CH_M,Type:Aud_2CH_LR,Type:Aud_3CH_LRC,Type:Aud_6CH_5.1,#SNP</v>
      </c>
      <c r="D193" t="str">
        <f>IFERROR(VLOOKUP(B193,'Sender-Receiver'!$B$3:$BP$1500,41,FALSE),"")</f>
        <v>M3H InCh REM | Ingest Ch22-02 | IngSRV-06</v>
      </c>
      <c r="E193" t="s">
        <v>1240</v>
      </c>
      <c r="F193">
        <v>10</v>
      </c>
      <c r="G193" t="s">
        <v>1623</v>
      </c>
      <c r="M193" t="str">
        <f>IF(OR(BOM!$AE$4=FALSE,BOM!$AE$4="-"),IF(ISERROR(SEARCH("send",B193)),"","pool:TPC"),IF(ISERROR(SEARCH("send",B193)),"","pool:TPC|pool:TPC"))</f>
        <v/>
      </c>
      <c r="S193" t="str">
        <f>IFERROR(IF(VLOOKUP(B193,'Sender-Receiver'!$B$3:$BP$1500,60,FALSE)="x","true","false"),"false")</f>
        <v>true</v>
      </c>
      <c r="T193" t="str">
        <f t="shared" si="2"/>
        <v>full</v>
      </c>
      <c r="Y193" t="str">
        <f>IF(BOM!$AE$4=FALSE,IF(ISERROR(SEARCH("Embrionix",BOM!$M$4)),"none",IF(ISERROR(SEARCH("Quadsplit",BOM!$N$4)),IF(ISERROR(SEARCH("rec",B193)),"none","merge"),"none")),IF(ISERROR(SEARCH("rec",B193)),"split","merge"))</f>
        <v>merge</v>
      </c>
    </row>
    <row r="194" spans="1:25" x14ac:dyDescent="0.2">
      <c r="A194" t="s">
        <v>1238</v>
      </c>
      <c r="B194" t="s">
        <v>1624</v>
      </c>
      <c r="C194" t="str">
        <f>IFERROR(VLOOKUP(B194,'Sender-Receiver'!$B$3:$BP$1500,61,FALSE),"")</f>
        <v>Type:Aud_1CH_M,Type:Aud_2CH_LR,Type:Aud_3CH_LRC,Type:Aud_6CH_5.1,#SNP</v>
      </c>
      <c r="D194" t="str">
        <f>IFERROR(VLOOKUP(B194,'Sender-Receiver'!$B$3:$BP$1500,41,FALSE),"")</f>
        <v>M3H InCh REM | Ingest Ch22-03 | IngSRV-06</v>
      </c>
      <c r="E194" t="s">
        <v>1240</v>
      </c>
      <c r="F194">
        <v>10</v>
      </c>
      <c r="G194" t="s">
        <v>1625</v>
      </c>
      <c r="M194" t="str">
        <f>IF(OR(BOM!$AE$4=FALSE,BOM!$AE$4="-"),IF(ISERROR(SEARCH("send",B194)),"","pool:TPC"),IF(ISERROR(SEARCH("send",B194)),"","pool:TPC|pool:TPC"))</f>
        <v/>
      </c>
      <c r="S194" t="str">
        <f>IFERROR(IF(VLOOKUP(B194,'Sender-Receiver'!$B$3:$BP$1500,60,FALSE)="x","true","false"),"false")</f>
        <v>true</v>
      </c>
      <c r="T194" t="str">
        <f t="shared" si="2"/>
        <v>full</v>
      </c>
      <c r="Y194" t="str">
        <f>IF(BOM!$AE$4=FALSE,IF(ISERROR(SEARCH("Embrionix",BOM!$M$4)),"none",IF(ISERROR(SEARCH("Quadsplit",BOM!$N$4)),IF(ISERROR(SEARCH("rec",B194)),"none","merge"),"none")),IF(ISERROR(SEARCH("rec",B194)),"split","merge"))</f>
        <v>merge</v>
      </c>
    </row>
    <row r="195" spans="1:25" x14ac:dyDescent="0.2">
      <c r="A195" t="s">
        <v>1238</v>
      </c>
      <c r="B195" t="s">
        <v>1626</v>
      </c>
      <c r="C195" t="str">
        <f>IFERROR(VLOOKUP(B195,'Sender-Receiver'!$B$3:$BP$1500,61,FALSE),"")</f>
        <v>Type:Aud_1CH_M,Type:Aud_2CH_LR,Type:Aud_3CH_LRC,Type:Aud_6CH_5.1,#SNP</v>
      </c>
      <c r="D195" t="str">
        <f>IFERROR(VLOOKUP(B195,'Sender-Receiver'!$B$3:$BP$1500,41,FALSE),"")</f>
        <v>M3H InCh REM | Ingest Ch22-04 | IngSRV-06</v>
      </c>
      <c r="E195" t="s">
        <v>1240</v>
      </c>
      <c r="F195">
        <v>10</v>
      </c>
      <c r="G195" t="s">
        <v>1627</v>
      </c>
      <c r="M195" t="str">
        <f>IF(OR(BOM!$AE$4=FALSE,BOM!$AE$4="-"),IF(ISERROR(SEARCH("send",B195)),"","pool:TPC"),IF(ISERROR(SEARCH("send",B195)),"","pool:TPC|pool:TPC"))</f>
        <v/>
      </c>
      <c r="S195" t="str">
        <f>IFERROR(IF(VLOOKUP(B195,'Sender-Receiver'!$B$3:$BP$1500,60,FALSE)="x","true","false"),"false")</f>
        <v>true</v>
      </c>
      <c r="T195" t="str">
        <f t="shared" ref="T195:T258" si="3">IF(S195="true","full","off")</f>
        <v>full</v>
      </c>
      <c r="Y195" t="str">
        <f>IF(BOM!$AE$4=FALSE,IF(ISERROR(SEARCH("Embrionix",BOM!$M$4)),"none",IF(ISERROR(SEARCH("Quadsplit",BOM!$N$4)),IF(ISERROR(SEARCH("rec",B195)),"none","merge"),"none")),IF(ISERROR(SEARCH("rec",B195)),"split","merge"))</f>
        <v>merge</v>
      </c>
    </row>
    <row r="196" spans="1:25" x14ac:dyDescent="0.2">
      <c r="A196" t="s">
        <v>1238</v>
      </c>
      <c r="B196" t="s">
        <v>1628</v>
      </c>
      <c r="C196" t="str">
        <f>IFERROR(VLOOKUP(B196,'Sender-Receiver'!$B$3:$BP$1500,61,FALSE),"")</f>
        <v>Type:Aud_1CH_M,Type:Aud_2CH_LR,Type:Aud_3CH_LRC,Type:Aud_6CH_5.1,#SNP</v>
      </c>
      <c r="D196" t="str">
        <f>IFERROR(VLOOKUP(B196,'Sender-Receiver'!$B$3:$BP$1500,41,FALSE),"")</f>
        <v>M3H InCh REM | Ingest Ch22-05 | IngSRV-06</v>
      </c>
      <c r="E196" t="s">
        <v>1240</v>
      </c>
      <c r="F196">
        <v>10</v>
      </c>
      <c r="G196" t="s">
        <v>1629</v>
      </c>
      <c r="M196" t="str">
        <f>IF(OR(BOM!$AE$4=FALSE,BOM!$AE$4="-"),IF(ISERROR(SEARCH("send",B196)),"","pool:TPC"),IF(ISERROR(SEARCH("send",B196)),"","pool:TPC|pool:TPC"))</f>
        <v/>
      </c>
      <c r="S196" t="str">
        <f>IFERROR(IF(VLOOKUP(B196,'Sender-Receiver'!$B$3:$BP$1500,60,FALSE)="x","true","false"),"false")</f>
        <v>true</v>
      </c>
      <c r="T196" t="str">
        <f t="shared" si="3"/>
        <v>full</v>
      </c>
      <c r="Y196" t="str">
        <f>IF(BOM!$AE$4=FALSE,IF(ISERROR(SEARCH("Embrionix",BOM!$M$4)),"none",IF(ISERROR(SEARCH("Quadsplit",BOM!$N$4)),IF(ISERROR(SEARCH("rec",B196)),"none","merge"),"none")),IF(ISERROR(SEARCH("rec",B196)),"split","merge"))</f>
        <v>merge</v>
      </c>
    </row>
    <row r="197" spans="1:25" x14ac:dyDescent="0.2">
      <c r="A197" t="s">
        <v>1238</v>
      </c>
      <c r="B197" t="s">
        <v>1630</v>
      </c>
      <c r="C197" t="str">
        <f>IFERROR(VLOOKUP(B197,'Sender-Receiver'!$B$3:$BP$1500,61,FALSE),"")</f>
        <v>Type:Aud_1CH_M,Type:Aud_2CH_LR,Type:Aud_3CH_LRC,Type:Aud_6CH_5.1,#SNP</v>
      </c>
      <c r="D197" t="str">
        <f>IFERROR(VLOOKUP(B197,'Sender-Receiver'!$B$3:$BP$1500,41,FALSE),"")</f>
        <v>M3H InCh REM | Ingest Ch22-06 | IngSRV-06</v>
      </c>
      <c r="E197" t="s">
        <v>1240</v>
      </c>
      <c r="F197">
        <v>10</v>
      </c>
      <c r="G197" t="s">
        <v>1631</v>
      </c>
      <c r="M197" t="str">
        <f>IF(OR(BOM!$AE$4=FALSE,BOM!$AE$4="-"),IF(ISERROR(SEARCH("send",B197)),"","pool:TPC"),IF(ISERROR(SEARCH("send",B197)),"","pool:TPC|pool:TPC"))</f>
        <v/>
      </c>
      <c r="S197" t="str">
        <f>IFERROR(IF(VLOOKUP(B197,'Sender-Receiver'!$B$3:$BP$1500,60,FALSE)="x","true","false"),"false")</f>
        <v>true</v>
      </c>
      <c r="T197" t="str">
        <f t="shared" si="3"/>
        <v>full</v>
      </c>
      <c r="Y197" t="str">
        <f>IF(BOM!$AE$4=FALSE,IF(ISERROR(SEARCH("Embrionix",BOM!$M$4)),"none",IF(ISERROR(SEARCH("Quadsplit",BOM!$N$4)),IF(ISERROR(SEARCH("rec",B197)),"none","merge"),"none")),IF(ISERROR(SEARCH("rec",B197)),"split","merge"))</f>
        <v>merge</v>
      </c>
    </row>
    <row r="198" spans="1:25" x14ac:dyDescent="0.2">
      <c r="A198" t="s">
        <v>1238</v>
      </c>
      <c r="B198" t="s">
        <v>1632</v>
      </c>
      <c r="C198" t="str">
        <f>IFERROR(VLOOKUP(B198,'Sender-Receiver'!$B$3:$BP$1500,61,FALSE),"")</f>
        <v>Type:Aud_1CH_M,Type:Aud_2CH_LR,Type:Aud_3CH_LRC,Type:Aud_6CH_5.1,#SNP</v>
      </c>
      <c r="D198" t="str">
        <f>IFERROR(VLOOKUP(B198,'Sender-Receiver'!$B$3:$BP$1500,41,FALSE),"")</f>
        <v>M3H InCh REM | Ingest Ch22-07 | IngSRV-06</v>
      </c>
      <c r="E198" t="s">
        <v>1240</v>
      </c>
      <c r="F198">
        <v>10</v>
      </c>
      <c r="G198" t="s">
        <v>1633</v>
      </c>
      <c r="M198" t="str">
        <f>IF(OR(BOM!$AE$4=FALSE,BOM!$AE$4="-"),IF(ISERROR(SEARCH("send",B198)),"","pool:TPC"),IF(ISERROR(SEARCH("send",B198)),"","pool:TPC|pool:TPC"))</f>
        <v/>
      </c>
      <c r="S198" t="str">
        <f>IFERROR(IF(VLOOKUP(B198,'Sender-Receiver'!$B$3:$BP$1500,60,FALSE)="x","true","false"),"false")</f>
        <v>true</v>
      </c>
      <c r="T198" t="str">
        <f t="shared" si="3"/>
        <v>full</v>
      </c>
      <c r="Y198" t="str">
        <f>IF(BOM!$AE$4=FALSE,IF(ISERROR(SEARCH("Embrionix",BOM!$M$4)),"none",IF(ISERROR(SEARCH("Quadsplit",BOM!$N$4)),IF(ISERROR(SEARCH("rec",B198)),"none","merge"),"none")),IF(ISERROR(SEARCH("rec",B198)),"split","merge"))</f>
        <v>merge</v>
      </c>
    </row>
    <row r="199" spans="1:25" x14ac:dyDescent="0.2">
      <c r="A199" t="s">
        <v>1238</v>
      </c>
      <c r="B199" t="s">
        <v>1634</v>
      </c>
      <c r="C199" t="str">
        <f>IFERROR(VLOOKUP(B199,'Sender-Receiver'!$B$3:$BP$1500,61,FALSE),"")</f>
        <v>Type:Aud_1CH_M,Type:Aud_2CH_LR,Type:Aud_3CH_LRC,Type:Aud_6CH_5.1,#SNP</v>
      </c>
      <c r="D199" t="str">
        <f>IFERROR(VLOOKUP(B199,'Sender-Receiver'!$B$3:$BP$1500,41,FALSE),"")</f>
        <v>M3H InCh REM | Ingest Ch22-08 | IngSRV-06</v>
      </c>
      <c r="E199" t="s">
        <v>1240</v>
      </c>
      <c r="F199">
        <v>10</v>
      </c>
      <c r="G199" t="s">
        <v>1635</v>
      </c>
      <c r="M199" t="str">
        <f>IF(OR(BOM!$AE$4=FALSE,BOM!$AE$4="-"),IF(ISERROR(SEARCH("send",B199)),"","pool:TPC"),IF(ISERROR(SEARCH("send",B199)),"","pool:TPC|pool:TPC"))</f>
        <v/>
      </c>
      <c r="S199" t="str">
        <f>IFERROR(IF(VLOOKUP(B199,'Sender-Receiver'!$B$3:$BP$1500,60,FALSE)="x","true","false"),"false")</f>
        <v>true</v>
      </c>
      <c r="T199" t="str">
        <f t="shared" si="3"/>
        <v>full</v>
      </c>
      <c r="Y199" t="str">
        <f>IF(BOM!$AE$4=FALSE,IF(ISERROR(SEARCH("Embrionix",BOM!$M$4)),"none",IF(ISERROR(SEARCH("Quadsplit",BOM!$N$4)),IF(ISERROR(SEARCH("rec",B199)),"none","merge"),"none")),IF(ISERROR(SEARCH("rec",B199)),"split","merge"))</f>
        <v>merge</v>
      </c>
    </row>
    <row r="200" spans="1:25" x14ac:dyDescent="0.2">
      <c r="A200" t="s">
        <v>1238</v>
      </c>
      <c r="B200" t="s">
        <v>1636</v>
      </c>
      <c r="C200" t="str">
        <f>IFERROR(VLOOKUP(B200,'Sender-Receiver'!$B$3:$BP$1500,61,FALSE),"")</f>
        <v>Type:Aud_1CH_M,Type:Aud_2CH_LR,Type:Aud_3CH_LRC,Type:Aud_6CH_5.1,#SNP</v>
      </c>
      <c r="D200" t="str">
        <f>IFERROR(VLOOKUP(B200,'Sender-Receiver'!$B$3:$BP$1500,41,FALSE),"")</f>
        <v>M3H InCh REM | Ingest Ch22-09 | IngSRV-06</v>
      </c>
      <c r="E200" t="s">
        <v>1240</v>
      </c>
      <c r="F200">
        <v>10</v>
      </c>
      <c r="G200" t="s">
        <v>1637</v>
      </c>
      <c r="M200" t="str">
        <f>IF(OR(BOM!$AE$4=FALSE,BOM!$AE$4="-"),IF(ISERROR(SEARCH("send",B200)),"","pool:TPC"),IF(ISERROR(SEARCH("send",B200)),"","pool:TPC|pool:TPC"))</f>
        <v/>
      </c>
      <c r="S200" t="str">
        <f>IFERROR(IF(VLOOKUP(B200,'Sender-Receiver'!$B$3:$BP$1500,60,FALSE)="x","true","false"),"false")</f>
        <v>true</v>
      </c>
      <c r="T200" t="str">
        <f t="shared" si="3"/>
        <v>full</v>
      </c>
      <c r="Y200" t="str">
        <f>IF(BOM!$AE$4=FALSE,IF(ISERROR(SEARCH("Embrionix",BOM!$M$4)),"none",IF(ISERROR(SEARCH("Quadsplit",BOM!$N$4)),IF(ISERROR(SEARCH("rec",B200)),"none","merge"),"none")),IF(ISERROR(SEARCH("rec",B200)),"split","merge"))</f>
        <v>merge</v>
      </c>
    </row>
    <row r="201" spans="1:25" x14ac:dyDescent="0.2">
      <c r="A201" t="s">
        <v>1238</v>
      </c>
      <c r="B201" t="s">
        <v>1638</v>
      </c>
      <c r="C201" t="str">
        <f>IFERROR(VLOOKUP(B201,'Sender-Receiver'!$B$3:$BP$1500,61,FALSE),"")</f>
        <v>#SNP</v>
      </c>
      <c r="D201" t="str">
        <f>IFERROR(VLOOKUP(B201,'Sender-Receiver'!$B$3:$BP$1500,41,FALSE),"")</f>
        <v xml:space="preserve"> |  | IngSRV-06</v>
      </c>
      <c r="E201" t="s">
        <v>1240</v>
      </c>
      <c r="F201">
        <v>10</v>
      </c>
      <c r="G201" t="s">
        <v>1639</v>
      </c>
      <c r="M201" t="str">
        <f>IF(OR(BOM!$AE$4=FALSE,BOM!$AE$4="-"),IF(ISERROR(SEARCH("send",B201)),"","pool:TPC"),IF(ISERROR(SEARCH("send",B201)),"","pool:TPC|pool:TPC"))</f>
        <v/>
      </c>
      <c r="S201" t="str">
        <f>IFERROR(IF(VLOOKUP(B201,'Sender-Receiver'!$B$3:$BP$1500,60,FALSE)="x","true","false"),"false")</f>
        <v>false</v>
      </c>
      <c r="T201" t="str">
        <f t="shared" si="3"/>
        <v>off</v>
      </c>
      <c r="Y201" t="str">
        <f>IF(BOM!$AE$4=FALSE,IF(ISERROR(SEARCH("Embrionix",BOM!$M$4)),"none",IF(ISERROR(SEARCH("Quadsplit",BOM!$N$4)),IF(ISERROR(SEARCH("rec",B201)),"none","merge"),"none")),IF(ISERROR(SEARCH("rec",B201)),"split","merge"))</f>
        <v>merge</v>
      </c>
    </row>
    <row r="202" spans="1:25" x14ac:dyDescent="0.2">
      <c r="A202" t="s">
        <v>1238</v>
      </c>
      <c r="B202" t="s">
        <v>1640</v>
      </c>
      <c r="C202" t="str">
        <f>IFERROR(VLOOKUP(B202,'Sender-Receiver'!$B$3:$BP$1500,61,FALSE),"")</f>
        <v>#SNP</v>
      </c>
      <c r="D202" t="str">
        <f>IFERROR(VLOOKUP(B202,'Sender-Receiver'!$B$3:$BP$1500,41,FALSE),"")</f>
        <v xml:space="preserve"> |  | IngSRV-06</v>
      </c>
      <c r="E202" t="s">
        <v>1240</v>
      </c>
      <c r="F202">
        <v>10</v>
      </c>
      <c r="G202" t="s">
        <v>1641</v>
      </c>
      <c r="M202" t="str">
        <f>IF(OR(BOM!$AE$4=FALSE,BOM!$AE$4="-"),IF(ISERROR(SEARCH("send",B202)),"","pool:TPC"),IF(ISERROR(SEARCH("send",B202)),"","pool:TPC|pool:TPC"))</f>
        <v/>
      </c>
      <c r="S202" t="str">
        <f>IFERROR(IF(VLOOKUP(B202,'Sender-Receiver'!$B$3:$BP$1500,60,FALSE)="x","true","false"),"false")</f>
        <v>false</v>
      </c>
      <c r="T202" t="str">
        <f t="shared" si="3"/>
        <v>off</v>
      </c>
      <c r="Y202" t="str">
        <f>IF(BOM!$AE$4=FALSE,IF(ISERROR(SEARCH("Embrionix",BOM!$M$4)),"none",IF(ISERROR(SEARCH("Quadsplit",BOM!$N$4)),IF(ISERROR(SEARCH("rec",B202)),"none","merge"),"none")),IF(ISERROR(SEARCH("rec",B202)),"split","merge"))</f>
        <v>merge</v>
      </c>
    </row>
    <row r="203" spans="1:25" x14ac:dyDescent="0.2">
      <c r="A203" t="s">
        <v>1238</v>
      </c>
      <c r="B203" t="s">
        <v>1642</v>
      </c>
      <c r="C203" t="str">
        <f>IFERROR(VLOOKUP(B203,'Sender-Receiver'!$B$3:$BP$1500,61,FALSE),"")</f>
        <v>#SNP</v>
      </c>
      <c r="D203" t="str">
        <f>IFERROR(VLOOKUP(B203,'Sender-Receiver'!$B$3:$BP$1500,41,FALSE),"")</f>
        <v xml:space="preserve"> |  | IngSRV-06</v>
      </c>
      <c r="E203" t="s">
        <v>1240</v>
      </c>
      <c r="F203">
        <v>10</v>
      </c>
      <c r="G203" t="s">
        <v>1643</v>
      </c>
      <c r="M203" t="str">
        <f>IF(OR(BOM!$AE$4=FALSE,BOM!$AE$4="-"),IF(ISERROR(SEARCH("send",B203)),"","pool:TPC"),IF(ISERROR(SEARCH("send",B203)),"","pool:TPC|pool:TPC"))</f>
        <v/>
      </c>
      <c r="S203" t="str">
        <f>IFERROR(IF(VLOOKUP(B203,'Sender-Receiver'!$B$3:$BP$1500,60,FALSE)="x","true","false"),"false")</f>
        <v>false</v>
      </c>
      <c r="T203" t="str">
        <f t="shared" si="3"/>
        <v>off</v>
      </c>
      <c r="Y203" t="str">
        <f>IF(BOM!$AE$4=FALSE,IF(ISERROR(SEARCH("Embrionix",BOM!$M$4)),"none",IF(ISERROR(SEARCH("Quadsplit",BOM!$N$4)),IF(ISERROR(SEARCH("rec",B203)),"none","merge"),"none")),IF(ISERROR(SEARCH("rec",B203)),"split","merge"))</f>
        <v>merge</v>
      </c>
    </row>
    <row r="204" spans="1:25" x14ac:dyDescent="0.2">
      <c r="A204" t="s">
        <v>1238</v>
      </c>
      <c r="B204" t="s">
        <v>1644</v>
      </c>
      <c r="C204" t="str">
        <f>IFERROR(VLOOKUP(B204,'Sender-Receiver'!$B$3:$BP$1500,61,FALSE),"")</f>
        <v>#SNP</v>
      </c>
      <c r="D204" t="str">
        <f>IFERROR(VLOOKUP(B204,'Sender-Receiver'!$B$3:$BP$1500,41,FALSE),"")</f>
        <v xml:space="preserve"> |  | IngSRV-06</v>
      </c>
      <c r="E204" t="s">
        <v>1240</v>
      </c>
      <c r="F204">
        <v>10</v>
      </c>
      <c r="G204" t="s">
        <v>1645</v>
      </c>
      <c r="M204" t="str">
        <f>IF(OR(BOM!$AE$4=FALSE,BOM!$AE$4="-"),IF(ISERROR(SEARCH("send",B204)),"","pool:TPC"),IF(ISERROR(SEARCH("send",B204)),"","pool:TPC|pool:TPC"))</f>
        <v/>
      </c>
      <c r="S204" t="str">
        <f>IFERROR(IF(VLOOKUP(B204,'Sender-Receiver'!$B$3:$BP$1500,60,FALSE)="x","true","false"),"false")</f>
        <v>false</v>
      </c>
      <c r="T204" t="str">
        <f t="shared" si="3"/>
        <v>off</v>
      </c>
      <c r="Y204" t="str">
        <f>IF(BOM!$AE$4=FALSE,IF(ISERROR(SEARCH("Embrionix",BOM!$M$4)),"none",IF(ISERROR(SEARCH("Quadsplit",BOM!$N$4)),IF(ISERROR(SEARCH("rec",B204)),"none","merge"),"none")),IF(ISERROR(SEARCH("rec",B204)),"split","merge"))</f>
        <v>merge</v>
      </c>
    </row>
    <row r="205" spans="1:25" x14ac:dyDescent="0.2">
      <c r="A205" t="s">
        <v>1238</v>
      </c>
      <c r="B205" t="s">
        <v>1646</v>
      </c>
      <c r="C205" t="str">
        <f>IFERROR(VLOOKUP(B205,'Sender-Receiver'!$B$3:$BP$1500,61,FALSE),"")</f>
        <v>#SNP</v>
      </c>
      <c r="D205" t="str">
        <f>IFERROR(VLOOKUP(B205,'Sender-Receiver'!$B$3:$BP$1500,41,FALSE),"")</f>
        <v xml:space="preserve"> |  | IngSRV-06</v>
      </c>
      <c r="E205" t="s">
        <v>1240</v>
      </c>
      <c r="F205">
        <v>10</v>
      </c>
      <c r="G205" t="s">
        <v>1647</v>
      </c>
      <c r="M205" t="str">
        <f>IF(OR(BOM!$AE$4=FALSE,BOM!$AE$4="-"),IF(ISERROR(SEARCH("send",B205)),"","pool:TPC"),IF(ISERROR(SEARCH("send",B205)),"","pool:TPC|pool:TPC"))</f>
        <v/>
      </c>
      <c r="S205" t="str">
        <f>IFERROR(IF(VLOOKUP(B205,'Sender-Receiver'!$B$3:$BP$1500,60,FALSE)="x","true","false"),"false")</f>
        <v>false</v>
      </c>
      <c r="T205" t="str">
        <f t="shared" si="3"/>
        <v>off</v>
      </c>
      <c r="Y205" t="str">
        <f>IF(BOM!$AE$4=FALSE,IF(ISERROR(SEARCH("Embrionix",BOM!$M$4)),"none",IF(ISERROR(SEARCH("Quadsplit",BOM!$N$4)),IF(ISERROR(SEARCH("rec",B205)),"none","merge"),"none")),IF(ISERROR(SEARCH("rec",B205)),"split","merge"))</f>
        <v>merge</v>
      </c>
    </row>
    <row r="206" spans="1:25" x14ac:dyDescent="0.2">
      <c r="A206" t="s">
        <v>1238</v>
      </c>
      <c r="B206" t="s">
        <v>1648</v>
      </c>
      <c r="C206" t="str">
        <f>IFERROR(VLOOKUP(B206,'Sender-Receiver'!$B$3:$BP$1500,61,FALSE),"")</f>
        <v>Type:Aud_1CH_M,Type:Aud_2CH_LR,Type:Aud_3CH_LRC,Type:Aud_6CH_5.1,Type:Aud_8CH_RAW,#SNP</v>
      </c>
      <c r="D206" t="str">
        <f>IFERROR(VLOOKUP(B206,'Sender-Receiver'!$B$3:$BP$1500,41,FALSE),"")</f>
        <v>M3H InCh REM | Ingest Ch22-15 | IngSRV-06</v>
      </c>
      <c r="E206" t="s">
        <v>1240</v>
      </c>
      <c r="F206">
        <v>10</v>
      </c>
      <c r="G206" t="s">
        <v>1649</v>
      </c>
      <c r="M206" t="str">
        <f>IF(OR(BOM!$AE$4=FALSE,BOM!$AE$4="-"),IF(ISERROR(SEARCH("send",B206)),"","pool:TPC"),IF(ISERROR(SEARCH("send",B206)),"","pool:TPC|pool:TPC"))</f>
        <v/>
      </c>
      <c r="S206" t="str">
        <f>IFERROR(IF(VLOOKUP(B206,'Sender-Receiver'!$B$3:$BP$1500,60,FALSE)="x","true","false"),"false")</f>
        <v>true</v>
      </c>
      <c r="T206" t="str">
        <f t="shared" si="3"/>
        <v>full</v>
      </c>
      <c r="Y206" t="str">
        <f>IF(BOM!$AE$4=FALSE,IF(ISERROR(SEARCH("Embrionix",BOM!$M$4)),"none",IF(ISERROR(SEARCH("Quadsplit",BOM!$N$4)),IF(ISERROR(SEARCH("rec",B206)),"none","merge"),"none")),IF(ISERROR(SEARCH("rec",B206)),"split","merge"))</f>
        <v>merge</v>
      </c>
    </row>
    <row r="207" spans="1:25" x14ac:dyDescent="0.2">
      <c r="A207" t="s">
        <v>1238</v>
      </c>
      <c r="B207" t="s">
        <v>1650</v>
      </c>
      <c r="C207" t="str">
        <f>IFERROR(VLOOKUP(B207,'Sender-Receiver'!$B$3:$BP$1500,61,FALSE),"")</f>
        <v>Type:Aud_1CH_M,Type:Aud_2CH_LR,Type:Aud_3CH_LRC,Type:Aud_6CH_5.1,Type:Aud_8CH_RAW,#SNP</v>
      </c>
      <c r="D207" t="str">
        <f>IFERROR(VLOOKUP(B207,'Sender-Receiver'!$B$3:$BP$1500,41,FALSE),"")</f>
        <v>M3H InCh REM | Ingest Ch22-16 | IngSRV-06</v>
      </c>
      <c r="E207" t="s">
        <v>1240</v>
      </c>
      <c r="F207">
        <v>10</v>
      </c>
      <c r="G207" t="s">
        <v>1651</v>
      </c>
      <c r="M207" t="str">
        <f>IF(OR(BOM!$AE$4=FALSE,BOM!$AE$4="-"),IF(ISERROR(SEARCH("send",B207)),"","pool:TPC"),IF(ISERROR(SEARCH("send",B207)),"","pool:TPC|pool:TPC"))</f>
        <v/>
      </c>
      <c r="S207" t="str">
        <f>IFERROR(IF(VLOOKUP(B207,'Sender-Receiver'!$B$3:$BP$1500,60,FALSE)="x","true","false"),"false")</f>
        <v>true</v>
      </c>
      <c r="T207" t="str">
        <f t="shared" si="3"/>
        <v>full</v>
      </c>
      <c r="Y207" t="str">
        <f>IF(BOM!$AE$4=FALSE,IF(ISERROR(SEARCH("Embrionix",BOM!$M$4)),"none",IF(ISERROR(SEARCH("Quadsplit",BOM!$N$4)),IF(ISERROR(SEARCH("rec",B207)),"none","merge"),"none")),IF(ISERROR(SEARCH("rec",B207)),"split","merge"))</f>
        <v>merge</v>
      </c>
    </row>
    <row r="208" spans="1:25" x14ac:dyDescent="0.2">
      <c r="A208" t="s">
        <v>1238</v>
      </c>
      <c r="B208" t="s">
        <v>1652</v>
      </c>
      <c r="C208" t="str">
        <f>IFERROR(VLOOKUP(B208,'Sender-Receiver'!$B$3:$BP$1500,61,FALSE),"")</f>
        <v>Type:Anc_Prot,#SNP</v>
      </c>
      <c r="D208" t="str">
        <f>IFERROR(VLOOKUP(B208,'Sender-Receiver'!$B$3:$BP$1500,41,FALSE),"")</f>
        <v>M3H InCh REM | Ingest Ch22-ANC1 | IngSRV-06</v>
      </c>
      <c r="E208" t="s">
        <v>1240</v>
      </c>
      <c r="F208">
        <v>10</v>
      </c>
      <c r="G208" t="s">
        <v>1653</v>
      </c>
      <c r="M208" t="str">
        <f>IF(OR(BOM!$AE$4=FALSE,BOM!$AE$4="-"),IF(ISERROR(SEARCH("send",B208)),"","pool:TPC"),IF(ISERROR(SEARCH("send",B208)),"","pool:TPC|pool:TPC"))</f>
        <v/>
      </c>
      <c r="S208" t="str">
        <f>IFERROR(IF(VLOOKUP(B208,'Sender-Receiver'!$B$3:$BP$1500,60,FALSE)="x","true","false"),"false")</f>
        <v>true</v>
      </c>
      <c r="T208" t="str">
        <f t="shared" si="3"/>
        <v>full</v>
      </c>
      <c r="Y208" t="str">
        <f>IF(BOM!$AE$4=FALSE,IF(ISERROR(SEARCH("Embrionix",BOM!$M$4)),"none",IF(ISERROR(SEARCH("Quadsplit",BOM!$N$4)),IF(ISERROR(SEARCH("rec",B208)),"none","merge"),"none")),IF(ISERROR(SEARCH("rec",B208)),"split","merge"))</f>
        <v>merge</v>
      </c>
    </row>
    <row r="209" spans="1:25" x14ac:dyDescent="0.2">
      <c r="A209" t="s">
        <v>1238</v>
      </c>
      <c r="B209" t="s">
        <v>1654</v>
      </c>
      <c r="C209" t="str">
        <f>IFERROR(VLOOKUP(B209,'Sender-Receiver'!$B$3:$BP$1500,61,FALSE),"")</f>
        <v>#SNP</v>
      </c>
      <c r="D209" t="str">
        <f>IFERROR(VLOOKUP(B209,'Sender-Receiver'!$B$3:$BP$1500,41,FALSE),"")</f>
        <v xml:space="preserve"> |  | IngSRV-06</v>
      </c>
      <c r="E209" t="s">
        <v>1240</v>
      </c>
      <c r="F209">
        <v>10</v>
      </c>
      <c r="G209" t="s">
        <v>1655</v>
      </c>
      <c r="M209" t="str">
        <f>IF(OR(BOM!$AE$4=FALSE,BOM!$AE$4="-"),IF(ISERROR(SEARCH("send",B209)),"","pool:TPC"),IF(ISERROR(SEARCH("send",B209)),"","pool:TPC|pool:TPC"))</f>
        <v/>
      </c>
      <c r="S209" t="str">
        <f>IFERROR(IF(VLOOKUP(B209,'Sender-Receiver'!$B$3:$BP$1500,60,FALSE)="x","true","false"),"false")</f>
        <v>false</v>
      </c>
      <c r="T209" t="str">
        <f t="shared" si="3"/>
        <v>off</v>
      </c>
      <c r="Y209" t="str">
        <f>IF(BOM!$AE$4=FALSE,IF(ISERROR(SEARCH("Embrionix",BOM!$M$4)),"none",IF(ISERROR(SEARCH("Quadsplit",BOM!$N$4)),IF(ISERROR(SEARCH("rec",B209)),"none","merge"),"none")),IF(ISERROR(SEARCH("rec",B209)),"split","merge"))</f>
        <v>merge</v>
      </c>
    </row>
    <row r="210" spans="1:25" x14ac:dyDescent="0.2">
      <c r="A210" t="s">
        <v>1238</v>
      </c>
      <c r="B210" t="s">
        <v>1656</v>
      </c>
      <c r="C210" t="str">
        <f>IFERROR(VLOOKUP(B210,'Sender-Receiver'!$B$3:$BP$1500,61,FALSE),"")</f>
        <v>#SNP</v>
      </c>
      <c r="D210" t="str">
        <f>IFERROR(VLOOKUP(B210,'Sender-Receiver'!$B$3:$BP$1500,41,FALSE),"")</f>
        <v xml:space="preserve"> |  | IngSRV-06</v>
      </c>
      <c r="E210" t="s">
        <v>1240</v>
      </c>
      <c r="F210">
        <v>10</v>
      </c>
      <c r="G210" t="s">
        <v>1657</v>
      </c>
      <c r="M210" t="str">
        <f>IF(OR(BOM!$AE$4=FALSE,BOM!$AE$4="-"),IF(ISERROR(SEARCH("send",B210)),"","pool:TPC"),IF(ISERROR(SEARCH("send",B210)),"","pool:TPC|pool:TPC"))</f>
        <v/>
      </c>
      <c r="S210" t="str">
        <f>IFERROR(IF(VLOOKUP(B210,'Sender-Receiver'!$B$3:$BP$1500,60,FALSE)="x","true","false"),"false")</f>
        <v>false</v>
      </c>
      <c r="T210" t="str">
        <f t="shared" si="3"/>
        <v>off</v>
      </c>
      <c r="Y210" t="str">
        <f>IF(BOM!$AE$4=FALSE,IF(ISERROR(SEARCH("Embrionix",BOM!$M$4)),"none",IF(ISERROR(SEARCH("Quadsplit",BOM!$N$4)),IF(ISERROR(SEARCH("rec",B210)),"none","merge"),"none")),IF(ISERROR(SEARCH("rec",B210)),"split","merge"))</f>
        <v>merge</v>
      </c>
    </row>
    <row r="211" spans="1:25" x14ac:dyDescent="0.2">
      <c r="A211" t="s">
        <v>1238</v>
      </c>
      <c r="B211" t="s">
        <v>1658</v>
      </c>
      <c r="C211" t="str">
        <f>IFERROR(VLOOKUP(B211,'Sender-Receiver'!$B$3:$BP$1500,61,FALSE),"")</f>
        <v>#SNP</v>
      </c>
      <c r="D211" t="str">
        <f>IFERROR(VLOOKUP(B211,'Sender-Receiver'!$B$3:$BP$1500,41,FALSE),"")</f>
        <v xml:space="preserve"> |  | IngSRV-06</v>
      </c>
      <c r="E211" t="s">
        <v>1240</v>
      </c>
      <c r="F211">
        <v>10</v>
      </c>
      <c r="G211" t="s">
        <v>1659</v>
      </c>
      <c r="M211" t="str">
        <f>IF(OR(BOM!$AE$4=FALSE,BOM!$AE$4="-"),IF(ISERROR(SEARCH("send",B211)),"","pool:TPC"),IF(ISERROR(SEARCH("send",B211)),"","pool:TPC|pool:TPC"))</f>
        <v/>
      </c>
      <c r="S211" t="str">
        <f>IFERROR(IF(VLOOKUP(B211,'Sender-Receiver'!$B$3:$BP$1500,60,FALSE)="x","true","false"),"false")</f>
        <v>false</v>
      </c>
      <c r="T211" t="str">
        <f t="shared" si="3"/>
        <v>off</v>
      </c>
      <c r="Y211" t="str">
        <f>IF(BOM!$AE$4=FALSE,IF(ISERROR(SEARCH("Embrionix",BOM!$M$4)),"none",IF(ISERROR(SEARCH("Quadsplit",BOM!$N$4)),IF(ISERROR(SEARCH("rec",B211)),"none","merge"),"none")),IF(ISERROR(SEARCH("rec",B211)),"split","merge"))</f>
        <v>merge</v>
      </c>
    </row>
    <row r="212" spans="1:25" x14ac:dyDescent="0.2">
      <c r="A212" t="s">
        <v>1238</v>
      </c>
      <c r="B212" t="s">
        <v>1660</v>
      </c>
      <c r="C212" t="str">
        <f>IFERROR(VLOOKUP(B212,'Sender-Receiver'!$B$3:$BP$1500,61,FALSE),"")</f>
        <v>Type:Vid_1080i50,Type:Vid_1080p25,Type:Vid_1080p50,Type:Vid_1080p60,#SNP</v>
      </c>
      <c r="D212" t="str">
        <f>IFERROR(VLOOKUP(B212,'Sender-Receiver'!$B$3:$BP$1500,41,FALSE),"")</f>
        <v>M3H InCh REM | Ingest Ch23 | IngSRV-06</v>
      </c>
      <c r="E212" t="s">
        <v>1240</v>
      </c>
      <c r="F212">
        <v>11</v>
      </c>
      <c r="G212" t="s">
        <v>1661</v>
      </c>
      <c r="M212" t="str">
        <f>IF(OR(BOM!$AE$4=FALSE,BOM!$AE$4="-"),IF(ISERROR(SEARCH("send",B212)),"","pool:TPC"),IF(ISERROR(SEARCH("send",B212)),"","pool:TPC|pool:TPC"))</f>
        <v/>
      </c>
      <c r="S212" t="str">
        <f>IFERROR(IF(VLOOKUP(B212,'Sender-Receiver'!$B$3:$BP$1500,60,FALSE)="x","true","false"),"false")</f>
        <v>true</v>
      </c>
      <c r="T212" t="str">
        <f t="shared" si="3"/>
        <v>full</v>
      </c>
      <c r="Y212" t="str">
        <f>IF(BOM!$AE$4=FALSE,IF(ISERROR(SEARCH("Embrionix",BOM!$M$4)),"none",IF(ISERROR(SEARCH("Quadsplit",BOM!$N$4)),IF(ISERROR(SEARCH("rec",B212)),"none","merge"),"none")),IF(ISERROR(SEARCH("rec",B212)),"split","merge"))</f>
        <v>merge</v>
      </c>
    </row>
    <row r="213" spans="1:25" x14ac:dyDescent="0.2">
      <c r="A213" t="s">
        <v>1238</v>
      </c>
      <c r="B213" t="s">
        <v>1662</v>
      </c>
      <c r="C213" t="str">
        <f>IFERROR(VLOOKUP(B213,'Sender-Receiver'!$B$3:$BP$1500,61,FALSE),"")</f>
        <v>Type:Aud_1CH_M,Type:Aud_2CH_LR,Type:Aud_3CH_LRC,Type:Aud_6CH_5.1,#SNP</v>
      </c>
      <c r="D213" t="str">
        <f>IFERROR(VLOOKUP(B213,'Sender-Receiver'!$B$3:$BP$1500,41,FALSE),"")</f>
        <v>M3H InCh REM | Ingest Ch23-01 | IngSRV-06</v>
      </c>
      <c r="E213" t="s">
        <v>1240</v>
      </c>
      <c r="F213">
        <v>11</v>
      </c>
      <c r="G213" t="s">
        <v>1663</v>
      </c>
      <c r="M213" t="str">
        <f>IF(OR(BOM!$AE$4=FALSE,BOM!$AE$4="-"),IF(ISERROR(SEARCH("send",B213)),"","pool:TPC"),IF(ISERROR(SEARCH("send",B213)),"","pool:TPC|pool:TPC"))</f>
        <v/>
      </c>
      <c r="S213" t="str">
        <f>IFERROR(IF(VLOOKUP(B213,'Sender-Receiver'!$B$3:$BP$1500,60,FALSE)="x","true","false"),"false")</f>
        <v>true</v>
      </c>
      <c r="T213" t="str">
        <f t="shared" si="3"/>
        <v>full</v>
      </c>
      <c r="Y213" t="str">
        <f>IF(BOM!$AE$4=FALSE,IF(ISERROR(SEARCH("Embrionix",BOM!$M$4)),"none",IF(ISERROR(SEARCH("Quadsplit",BOM!$N$4)),IF(ISERROR(SEARCH("rec",B213)),"none","merge"),"none")),IF(ISERROR(SEARCH("rec",B213)),"split","merge"))</f>
        <v>merge</v>
      </c>
    </row>
    <row r="214" spans="1:25" x14ac:dyDescent="0.2">
      <c r="A214" t="s">
        <v>1238</v>
      </c>
      <c r="B214" t="s">
        <v>1664</v>
      </c>
      <c r="C214" t="str">
        <f>IFERROR(VLOOKUP(B214,'Sender-Receiver'!$B$3:$BP$1500,61,FALSE),"")</f>
        <v>Type:Aud_1CH_M,Type:Aud_2CH_LR,Type:Aud_3CH_LRC,Type:Aud_6CH_5.1,#SNP</v>
      </c>
      <c r="D214" t="str">
        <f>IFERROR(VLOOKUP(B214,'Sender-Receiver'!$B$3:$BP$1500,41,FALSE),"")</f>
        <v>M3H InCh REM | Ingest Ch23-02 | IngSRV-06</v>
      </c>
      <c r="E214" t="s">
        <v>1240</v>
      </c>
      <c r="F214">
        <v>11</v>
      </c>
      <c r="G214" t="s">
        <v>1665</v>
      </c>
      <c r="M214" t="str">
        <f>IF(OR(BOM!$AE$4=FALSE,BOM!$AE$4="-"),IF(ISERROR(SEARCH("send",B214)),"","pool:TPC"),IF(ISERROR(SEARCH("send",B214)),"","pool:TPC|pool:TPC"))</f>
        <v/>
      </c>
      <c r="S214" t="str">
        <f>IFERROR(IF(VLOOKUP(B214,'Sender-Receiver'!$B$3:$BP$1500,60,FALSE)="x","true","false"),"false")</f>
        <v>true</v>
      </c>
      <c r="T214" t="str">
        <f t="shared" si="3"/>
        <v>full</v>
      </c>
      <c r="Y214" t="str">
        <f>IF(BOM!$AE$4=FALSE,IF(ISERROR(SEARCH("Embrionix",BOM!$M$4)),"none",IF(ISERROR(SEARCH("Quadsplit",BOM!$N$4)),IF(ISERROR(SEARCH("rec",B214)),"none","merge"),"none")),IF(ISERROR(SEARCH("rec",B214)),"split","merge"))</f>
        <v>merge</v>
      </c>
    </row>
    <row r="215" spans="1:25" x14ac:dyDescent="0.2">
      <c r="A215" t="s">
        <v>1238</v>
      </c>
      <c r="B215" t="s">
        <v>1666</v>
      </c>
      <c r="C215" t="str">
        <f>IFERROR(VLOOKUP(B215,'Sender-Receiver'!$B$3:$BP$1500,61,FALSE),"")</f>
        <v>Type:Aud_1CH_M,Type:Aud_2CH_LR,Type:Aud_3CH_LRC,Type:Aud_6CH_5.1,#SNP</v>
      </c>
      <c r="D215" t="str">
        <f>IFERROR(VLOOKUP(B215,'Sender-Receiver'!$B$3:$BP$1500,41,FALSE),"")</f>
        <v>M3H InCh REM | Ingest Ch23-03 | IngSRV-06</v>
      </c>
      <c r="E215" t="s">
        <v>1240</v>
      </c>
      <c r="F215">
        <v>11</v>
      </c>
      <c r="G215" t="s">
        <v>1667</v>
      </c>
      <c r="M215" t="str">
        <f>IF(OR(BOM!$AE$4=FALSE,BOM!$AE$4="-"),IF(ISERROR(SEARCH("send",B215)),"","pool:TPC"),IF(ISERROR(SEARCH("send",B215)),"","pool:TPC|pool:TPC"))</f>
        <v/>
      </c>
      <c r="S215" t="str">
        <f>IFERROR(IF(VLOOKUP(B215,'Sender-Receiver'!$B$3:$BP$1500,60,FALSE)="x","true","false"),"false")</f>
        <v>true</v>
      </c>
      <c r="T215" t="str">
        <f t="shared" si="3"/>
        <v>full</v>
      </c>
      <c r="Y215" t="str">
        <f>IF(BOM!$AE$4=FALSE,IF(ISERROR(SEARCH("Embrionix",BOM!$M$4)),"none",IF(ISERROR(SEARCH("Quadsplit",BOM!$N$4)),IF(ISERROR(SEARCH("rec",B215)),"none","merge"),"none")),IF(ISERROR(SEARCH("rec",B215)),"split","merge"))</f>
        <v>merge</v>
      </c>
    </row>
    <row r="216" spans="1:25" x14ac:dyDescent="0.2">
      <c r="A216" t="s">
        <v>1238</v>
      </c>
      <c r="B216" t="s">
        <v>1668</v>
      </c>
      <c r="C216" t="str">
        <f>IFERROR(VLOOKUP(B216,'Sender-Receiver'!$B$3:$BP$1500,61,FALSE),"")</f>
        <v>Type:Aud_1CH_M,Type:Aud_2CH_LR,Type:Aud_3CH_LRC,Type:Aud_6CH_5.1,#SNP</v>
      </c>
      <c r="D216" t="str">
        <f>IFERROR(VLOOKUP(B216,'Sender-Receiver'!$B$3:$BP$1500,41,FALSE),"")</f>
        <v>M3H InCh REM | Ingest Ch23-04 | IngSRV-06</v>
      </c>
      <c r="E216" t="s">
        <v>1240</v>
      </c>
      <c r="F216">
        <v>11</v>
      </c>
      <c r="G216" t="s">
        <v>1669</v>
      </c>
      <c r="M216" t="str">
        <f>IF(OR(BOM!$AE$4=FALSE,BOM!$AE$4="-"),IF(ISERROR(SEARCH("send",B216)),"","pool:TPC"),IF(ISERROR(SEARCH("send",B216)),"","pool:TPC|pool:TPC"))</f>
        <v/>
      </c>
      <c r="S216" t="str">
        <f>IFERROR(IF(VLOOKUP(B216,'Sender-Receiver'!$B$3:$BP$1500,60,FALSE)="x","true","false"),"false")</f>
        <v>true</v>
      </c>
      <c r="T216" t="str">
        <f t="shared" si="3"/>
        <v>full</v>
      </c>
      <c r="Y216" t="str">
        <f>IF(BOM!$AE$4=FALSE,IF(ISERROR(SEARCH("Embrionix",BOM!$M$4)),"none",IF(ISERROR(SEARCH("Quadsplit",BOM!$N$4)),IF(ISERROR(SEARCH("rec",B216)),"none","merge"),"none")),IF(ISERROR(SEARCH("rec",B216)),"split","merge"))</f>
        <v>merge</v>
      </c>
    </row>
    <row r="217" spans="1:25" x14ac:dyDescent="0.2">
      <c r="A217" t="s">
        <v>1238</v>
      </c>
      <c r="B217" t="s">
        <v>1670</v>
      </c>
      <c r="C217" t="str">
        <f>IFERROR(VLOOKUP(B217,'Sender-Receiver'!$B$3:$BP$1500,61,FALSE),"")</f>
        <v>Type:Aud_1CH_M,Type:Aud_2CH_LR,Type:Aud_3CH_LRC,Type:Aud_6CH_5.1,#SNP</v>
      </c>
      <c r="D217" t="str">
        <f>IFERROR(VLOOKUP(B217,'Sender-Receiver'!$B$3:$BP$1500,41,FALSE),"")</f>
        <v>M3H InCh REM | Ingest Ch23-05 | IngSRV-06</v>
      </c>
      <c r="E217" t="s">
        <v>1240</v>
      </c>
      <c r="F217">
        <v>11</v>
      </c>
      <c r="G217" t="s">
        <v>1671</v>
      </c>
      <c r="M217" t="str">
        <f>IF(OR(BOM!$AE$4=FALSE,BOM!$AE$4="-"),IF(ISERROR(SEARCH("send",B217)),"","pool:TPC"),IF(ISERROR(SEARCH("send",B217)),"","pool:TPC|pool:TPC"))</f>
        <v/>
      </c>
      <c r="S217" t="str">
        <f>IFERROR(IF(VLOOKUP(B217,'Sender-Receiver'!$B$3:$BP$1500,60,FALSE)="x","true","false"),"false")</f>
        <v>true</v>
      </c>
      <c r="T217" t="str">
        <f t="shared" si="3"/>
        <v>full</v>
      </c>
      <c r="Y217" t="str">
        <f>IF(BOM!$AE$4=FALSE,IF(ISERROR(SEARCH("Embrionix",BOM!$M$4)),"none",IF(ISERROR(SEARCH("Quadsplit",BOM!$N$4)),IF(ISERROR(SEARCH("rec",B217)),"none","merge"),"none")),IF(ISERROR(SEARCH("rec",B217)),"split","merge"))</f>
        <v>merge</v>
      </c>
    </row>
    <row r="218" spans="1:25" x14ac:dyDescent="0.2">
      <c r="A218" t="s">
        <v>1238</v>
      </c>
      <c r="B218" t="s">
        <v>1672</v>
      </c>
      <c r="C218" t="str">
        <f>IFERROR(VLOOKUP(B218,'Sender-Receiver'!$B$3:$BP$1500,61,FALSE),"")</f>
        <v>Type:Aud_1CH_M,Type:Aud_2CH_LR,Type:Aud_3CH_LRC,Type:Aud_6CH_5.1,#SNP</v>
      </c>
      <c r="D218" t="str">
        <f>IFERROR(VLOOKUP(B218,'Sender-Receiver'!$B$3:$BP$1500,41,FALSE),"")</f>
        <v>M3H InCh REM | Ingest Ch23-06 | IngSRV-06</v>
      </c>
      <c r="E218" t="s">
        <v>1240</v>
      </c>
      <c r="F218">
        <v>11</v>
      </c>
      <c r="G218" t="s">
        <v>1673</v>
      </c>
      <c r="M218" t="str">
        <f>IF(OR(BOM!$AE$4=FALSE,BOM!$AE$4="-"),IF(ISERROR(SEARCH("send",B218)),"","pool:TPC"),IF(ISERROR(SEARCH("send",B218)),"","pool:TPC|pool:TPC"))</f>
        <v/>
      </c>
      <c r="S218" t="str">
        <f>IFERROR(IF(VLOOKUP(B218,'Sender-Receiver'!$B$3:$BP$1500,60,FALSE)="x","true","false"),"false")</f>
        <v>true</v>
      </c>
      <c r="T218" t="str">
        <f t="shared" si="3"/>
        <v>full</v>
      </c>
      <c r="Y218" t="str">
        <f>IF(BOM!$AE$4=FALSE,IF(ISERROR(SEARCH("Embrionix",BOM!$M$4)),"none",IF(ISERROR(SEARCH("Quadsplit",BOM!$N$4)),IF(ISERROR(SEARCH("rec",B218)),"none","merge"),"none")),IF(ISERROR(SEARCH("rec",B218)),"split","merge"))</f>
        <v>merge</v>
      </c>
    </row>
    <row r="219" spans="1:25" x14ac:dyDescent="0.2">
      <c r="A219" t="s">
        <v>1238</v>
      </c>
      <c r="B219" t="s">
        <v>1674</v>
      </c>
      <c r="C219" t="str">
        <f>IFERROR(VLOOKUP(B219,'Sender-Receiver'!$B$3:$BP$1500,61,FALSE),"")</f>
        <v>Type:Aud_1CH_M,Type:Aud_2CH_LR,Type:Aud_3CH_LRC,Type:Aud_6CH_5.1,#SNP</v>
      </c>
      <c r="D219" t="str">
        <f>IFERROR(VLOOKUP(B219,'Sender-Receiver'!$B$3:$BP$1500,41,FALSE),"")</f>
        <v>M3H InCh REM | Ingest Ch23-07 | IngSRV-06</v>
      </c>
      <c r="E219" t="s">
        <v>1240</v>
      </c>
      <c r="F219">
        <v>11</v>
      </c>
      <c r="G219" t="s">
        <v>1675</v>
      </c>
      <c r="M219" t="str">
        <f>IF(OR(BOM!$AE$4=FALSE,BOM!$AE$4="-"),IF(ISERROR(SEARCH("send",B219)),"","pool:TPC"),IF(ISERROR(SEARCH("send",B219)),"","pool:TPC|pool:TPC"))</f>
        <v/>
      </c>
      <c r="S219" t="str">
        <f>IFERROR(IF(VLOOKUP(B219,'Sender-Receiver'!$B$3:$BP$1500,60,FALSE)="x","true","false"),"false")</f>
        <v>true</v>
      </c>
      <c r="T219" t="str">
        <f t="shared" si="3"/>
        <v>full</v>
      </c>
      <c r="Y219" t="str">
        <f>IF(BOM!$AE$4=FALSE,IF(ISERROR(SEARCH("Embrionix",BOM!$M$4)),"none",IF(ISERROR(SEARCH("Quadsplit",BOM!$N$4)),IF(ISERROR(SEARCH("rec",B219)),"none","merge"),"none")),IF(ISERROR(SEARCH("rec",B219)),"split","merge"))</f>
        <v>merge</v>
      </c>
    </row>
    <row r="220" spans="1:25" x14ac:dyDescent="0.2">
      <c r="A220" t="s">
        <v>1238</v>
      </c>
      <c r="B220" t="s">
        <v>1676</v>
      </c>
      <c r="C220" t="str">
        <f>IFERROR(VLOOKUP(B220,'Sender-Receiver'!$B$3:$BP$1500,61,FALSE),"")</f>
        <v>Type:Aud_1CH_M,Type:Aud_2CH_LR,Type:Aud_3CH_LRC,Type:Aud_6CH_5.1,#SNP</v>
      </c>
      <c r="D220" t="str">
        <f>IFERROR(VLOOKUP(B220,'Sender-Receiver'!$B$3:$BP$1500,41,FALSE),"")</f>
        <v>M3H InCh REM | Ingest Ch23-08 | IngSRV-06</v>
      </c>
      <c r="E220" t="s">
        <v>1240</v>
      </c>
      <c r="F220">
        <v>11</v>
      </c>
      <c r="G220" t="s">
        <v>1677</v>
      </c>
      <c r="M220" t="str">
        <f>IF(OR(BOM!$AE$4=FALSE,BOM!$AE$4="-"),IF(ISERROR(SEARCH("send",B220)),"","pool:TPC"),IF(ISERROR(SEARCH("send",B220)),"","pool:TPC|pool:TPC"))</f>
        <v/>
      </c>
      <c r="S220" t="str">
        <f>IFERROR(IF(VLOOKUP(B220,'Sender-Receiver'!$B$3:$BP$1500,60,FALSE)="x","true","false"),"false")</f>
        <v>true</v>
      </c>
      <c r="T220" t="str">
        <f t="shared" si="3"/>
        <v>full</v>
      </c>
      <c r="Y220" t="str">
        <f>IF(BOM!$AE$4=FALSE,IF(ISERROR(SEARCH("Embrionix",BOM!$M$4)),"none",IF(ISERROR(SEARCH("Quadsplit",BOM!$N$4)),IF(ISERROR(SEARCH("rec",B220)),"none","merge"),"none")),IF(ISERROR(SEARCH("rec",B220)),"split","merge"))</f>
        <v>merge</v>
      </c>
    </row>
    <row r="221" spans="1:25" x14ac:dyDescent="0.2">
      <c r="A221" t="s">
        <v>1238</v>
      </c>
      <c r="B221" t="s">
        <v>1678</v>
      </c>
      <c r="C221" t="str">
        <f>IFERROR(VLOOKUP(B221,'Sender-Receiver'!$B$3:$BP$1500,61,FALSE),"")</f>
        <v>Type:Aud_1CH_M,Type:Aud_2CH_LR,Type:Aud_3CH_LRC,Type:Aud_6CH_5.1,#SNP</v>
      </c>
      <c r="D221" t="str">
        <f>IFERROR(VLOOKUP(B221,'Sender-Receiver'!$B$3:$BP$1500,41,FALSE),"")</f>
        <v>M3H InCh REM | Ingest Ch23-09 | IngSRV-06</v>
      </c>
      <c r="E221" t="s">
        <v>1240</v>
      </c>
      <c r="F221">
        <v>11</v>
      </c>
      <c r="G221" t="s">
        <v>1679</v>
      </c>
      <c r="M221" t="str">
        <f>IF(OR(BOM!$AE$4=FALSE,BOM!$AE$4="-"),IF(ISERROR(SEARCH("send",B221)),"","pool:TPC"),IF(ISERROR(SEARCH("send",B221)),"","pool:TPC|pool:TPC"))</f>
        <v/>
      </c>
      <c r="S221" t="str">
        <f>IFERROR(IF(VLOOKUP(B221,'Sender-Receiver'!$B$3:$BP$1500,60,FALSE)="x","true","false"),"false")</f>
        <v>true</v>
      </c>
      <c r="T221" t="str">
        <f t="shared" si="3"/>
        <v>full</v>
      </c>
      <c r="Y221" t="str">
        <f>IF(BOM!$AE$4=FALSE,IF(ISERROR(SEARCH("Embrionix",BOM!$M$4)),"none",IF(ISERROR(SEARCH("Quadsplit",BOM!$N$4)),IF(ISERROR(SEARCH("rec",B221)),"none","merge"),"none")),IF(ISERROR(SEARCH("rec",B221)),"split","merge"))</f>
        <v>merge</v>
      </c>
    </row>
    <row r="222" spans="1:25" x14ac:dyDescent="0.2">
      <c r="A222" t="s">
        <v>1238</v>
      </c>
      <c r="B222" t="s">
        <v>1680</v>
      </c>
      <c r="C222" t="str">
        <f>IFERROR(VLOOKUP(B222,'Sender-Receiver'!$B$3:$BP$1500,61,FALSE),"")</f>
        <v>#SNP</v>
      </c>
      <c r="D222" t="str">
        <f>IFERROR(VLOOKUP(B222,'Sender-Receiver'!$B$3:$BP$1500,41,FALSE),"")</f>
        <v xml:space="preserve"> |  | IngSRV-06</v>
      </c>
      <c r="E222" t="s">
        <v>1240</v>
      </c>
      <c r="F222">
        <v>11</v>
      </c>
      <c r="G222" t="s">
        <v>1681</v>
      </c>
      <c r="M222" t="str">
        <f>IF(OR(BOM!$AE$4=FALSE,BOM!$AE$4="-"),IF(ISERROR(SEARCH("send",B222)),"","pool:TPC"),IF(ISERROR(SEARCH("send",B222)),"","pool:TPC|pool:TPC"))</f>
        <v/>
      </c>
      <c r="S222" t="str">
        <f>IFERROR(IF(VLOOKUP(B222,'Sender-Receiver'!$B$3:$BP$1500,60,FALSE)="x","true","false"),"false")</f>
        <v>false</v>
      </c>
      <c r="T222" t="str">
        <f t="shared" si="3"/>
        <v>off</v>
      </c>
      <c r="Y222" t="str">
        <f>IF(BOM!$AE$4=FALSE,IF(ISERROR(SEARCH("Embrionix",BOM!$M$4)),"none",IF(ISERROR(SEARCH("Quadsplit",BOM!$N$4)),IF(ISERROR(SEARCH("rec",B222)),"none","merge"),"none")),IF(ISERROR(SEARCH("rec",B222)),"split","merge"))</f>
        <v>merge</v>
      </c>
    </row>
    <row r="223" spans="1:25" x14ac:dyDescent="0.2">
      <c r="A223" t="s">
        <v>1238</v>
      </c>
      <c r="B223" t="s">
        <v>1682</v>
      </c>
      <c r="C223" t="str">
        <f>IFERROR(VLOOKUP(B223,'Sender-Receiver'!$B$3:$BP$1500,61,FALSE),"")</f>
        <v>#SNP</v>
      </c>
      <c r="D223" t="str">
        <f>IFERROR(VLOOKUP(B223,'Sender-Receiver'!$B$3:$BP$1500,41,FALSE),"")</f>
        <v xml:space="preserve"> |  | IngSRV-06</v>
      </c>
      <c r="E223" t="s">
        <v>1240</v>
      </c>
      <c r="F223">
        <v>11</v>
      </c>
      <c r="G223" t="s">
        <v>1683</v>
      </c>
      <c r="M223" t="str">
        <f>IF(OR(BOM!$AE$4=FALSE,BOM!$AE$4="-"),IF(ISERROR(SEARCH("send",B223)),"","pool:TPC"),IF(ISERROR(SEARCH("send",B223)),"","pool:TPC|pool:TPC"))</f>
        <v/>
      </c>
      <c r="S223" t="str">
        <f>IFERROR(IF(VLOOKUP(B223,'Sender-Receiver'!$B$3:$BP$1500,60,FALSE)="x","true","false"),"false")</f>
        <v>false</v>
      </c>
      <c r="T223" t="str">
        <f t="shared" si="3"/>
        <v>off</v>
      </c>
      <c r="Y223" t="str">
        <f>IF(BOM!$AE$4=FALSE,IF(ISERROR(SEARCH("Embrionix",BOM!$M$4)),"none",IF(ISERROR(SEARCH("Quadsplit",BOM!$N$4)),IF(ISERROR(SEARCH("rec",B223)),"none","merge"),"none")),IF(ISERROR(SEARCH("rec",B223)),"split","merge"))</f>
        <v>merge</v>
      </c>
    </row>
    <row r="224" spans="1:25" x14ac:dyDescent="0.2">
      <c r="A224" t="s">
        <v>1238</v>
      </c>
      <c r="B224" t="s">
        <v>1684</v>
      </c>
      <c r="C224" t="str">
        <f>IFERROR(VLOOKUP(B224,'Sender-Receiver'!$B$3:$BP$1500,61,FALSE),"")</f>
        <v>#SNP</v>
      </c>
      <c r="D224" t="str">
        <f>IFERROR(VLOOKUP(B224,'Sender-Receiver'!$B$3:$BP$1500,41,FALSE),"")</f>
        <v xml:space="preserve"> |  | IngSRV-06</v>
      </c>
      <c r="E224" t="s">
        <v>1240</v>
      </c>
      <c r="F224">
        <v>11</v>
      </c>
      <c r="G224" t="s">
        <v>1685</v>
      </c>
      <c r="M224" t="str">
        <f>IF(OR(BOM!$AE$4=FALSE,BOM!$AE$4="-"),IF(ISERROR(SEARCH("send",B224)),"","pool:TPC"),IF(ISERROR(SEARCH("send",B224)),"","pool:TPC|pool:TPC"))</f>
        <v/>
      </c>
      <c r="S224" t="str">
        <f>IFERROR(IF(VLOOKUP(B224,'Sender-Receiver'!$B$3:$BP$1500,60,FALSE)="x","true","false"),"false")</f>
        <v>false</v>
      </c>
      <c r="T224" t="str">
        <f t="shared" si="3"/>
        <v>off</v>
      </c>
      <c r="Y224" t="str">
        <f>IF(BOM!$AE$4=FALSE,IF(ISERROR(SEARCH("Embrionix",BOM!$M$4)),"none",IF(ISERROR(SEARCH("Quadsplit",BOM!$N$4)),IF(ISERROR(SEARCH("rec",B224)),"none","merge"),"none")),IF(ISERROR(SEARCH("rec",B224)),"split","merge"))</f>
        <v>merge</v>
      </c>
    </row>
    <row r="225" spans="1:25" x14ac:dyDescent="0.2">
      <c r="A225" t="s">
        <v>1238</v>
      </c>
      <c r="B225" t="s">
        <v>1686</v>
      </c>
      <c r="C225" t="str">
        <f>IFERROR(VLOOKUP(B225,'Sender-Receiver'!$B$3:$BP$1500,61,FALSE),"")</f>
        <v>#SNP</v>
      </c>
      <c r="D225" t="str">
        <f>IFERROR(VLOOKUP(B225,'Sender-Receiver'!$B$3:$BP$1500,41,FALSE),"")</f>
        <v xml:space="preserve"> |  | IngSRV-06</v>
      </c>
      <c r="E225" t="s">
        <v>1240</v>
      </c>
      <c r="F225">
        <v>11</v>
      </c>
      <c r="G225" t="s">
        <v>1687</v>
      </c>
      <c r="M225" t="str">
        <f>IF(OR(BOM!$AE$4=FALSE,BOM!$AE$4="-"),IF(ISERROR(SEARCH("send",B225)),"","pool:TPC"),IF(ISERROR(SEARCH("send",B225)),"","pool:TPC|pool:TPC"))</f>
        <v/>
      </c>
      <c r="S225" t="str">
        <f>IFERROR(IF(VLOOKUP(B225,'Sender-Receiver'!$B$3:$BP$1500,60,FALSE)="x","true","false"),"false")</f>
        <v>false</v>
      </c>
      <c r="T225" t="str">
        <f t="shared" si="3"/>
        <v>off</v>
      </c>
      <c r="Y225" t="str">
        <f>IF(BOM!$AE$4=FALSE,IF(ISERROR(SEARCH("Embrionix",BOM!$M$4)),"none",IF(ISERROR(SEARCH("Quadsplit",BOM!$N$4)),IF(ISERROR(SEARCH("rec",B225)),"none","merge"),"none")),IF(ISERROR(SEARCH("rec",B225)),"split","merge"))</f>
        <v>merge</v>
      </c>
    </row>
    <row r="226" spans="1:25" x14ac:dyDescent="0.2">
      <c r="A226" t="s">
        <v>1238</v>
      </c>
      <c r="B226" t="s">
        <v>1688</v>
      </c>
      <c r="C226" t="str">
        <f>IFERROR(VLOOKUP(B226,'Sender-Receiver'!$B$3:$BP$1500,61,FALSE),"")</f>
        <v>#SNP</v>
      </c>
      <c r="D226" t="str">
        <f>IFERROR(VLOOKUP(B226,'Sender-Receiver'!$B$3:$BP$1500,41,FALSE),"")</f>
        <v xml:space="preserve"> |  | IngSRV-06</v>
      </c>
      <c r="E226" t="s">
        <v>1240</v>
      </c>
      <c r="F226">
        <v>11</v>
      </c>
      <c r="G226" t="s">
        <v>1689</v>
      </c>
      <c r="M226" t="str">
        <f>IF(OR(BOM!$AE$4=FALSE,BOM!$AE$4="-"),IF(ISERROR(SEARCH("send",B226)),"","pool:TPC"),IF(ISERROR(SEARCH("send",B226)),"","pool:TPC|pool:TPC"))</f>
        <v/>
      </c>
      <c r="S226" t="str">
        <f>IFERROR(IF(VLOOKUP(B226,'Sender-Receiver'!$B$3:$BP$1500,60,FALSE)="x","true","false"),"false")</f>
        <v>false</v>
      </c>
      <c r="T226" t="str">
        <f t="shared" si="3"/>
        <v>off</v>
      </c>
      <c r="Y226" t="str">
        <f>IF(BOM!$AE$4=FALSE,IF(ISERROR(SEARCH("Embrionix",BOM!$M$4)),"none",IF(ISERROR(SEARCH("Quadsplit",BOM!$N$4)),IF(ISERROR(SEARCH("rec",B226)),"none","merge"),"none")),IF(ISERROR(SEARCH("rec",B226)),"split","merge"))</f>
        <v>merge</v>
      </c>
    </row>
    <row r="227" spans="1:25" x14ac:dyDescent="0.2">
      <c r="A227" t="s">
        <v>1238</v>
      </c>
      <c r="B227" t="s">
        <v>1690</v>
      </c>
      <c r="C227" t="str">
        <f>IFERROR(VLOOKUP(B227,'Sender-Receiver'!$B$3:$BP$1500,61,FALSE),"")</f>
        <v>Type:Aud_1CH_M,Type:Aud_2CH_LR,Type:Aud_3CH_LRC,Type:Aud_6CH_5.1,Type:Aud_8CH_RAW,#SNP</v>
      </c>
      <c r="D227" t="str">
        <f>IFERROR(VLOOKUP(B227,'Sender-Receiver'!$B$3:$BP$1500,41,FALSE),"")</f>
        <v>M3H InCh REM | Ingest Ch23-15 | IngSRV-06</v>
      </c>
      <c r="E227" t="s">
        <v>1240</v>
      </c>
      <c r="F227">
        <v>11</v>
      </c>
      <c r="G227" t="s">
        <v>1691</v>
      </c>
      <c r="M227" t="str">
        <f>IF(OR(BOM!$AE$4=FALSE,BOM!$AE$4="-"),IF(ISERROR(SEARCH("send",B227)),"","pool:TPC"),IF(ISERROR(SEARCH("send",B227)),"","pool:TPC|pool:TPC"))</f>
        <v/>
      </c>
      <c r="S227" t="str">
        <f>IFERROR(IF(VLOOKUP(B227,'Sender-Receiver'!$B$3:$BP$1500,60,FALSE)="x","true","false"),"false")</f>
        <v>true</v>
      </c>
      <c r="T227" t="str">
        <f t="shared" si="3"/>
        <v>full</v>
      </c>
      <c r="Y227" t="str">
        <f>IF(BOM!$AE$4=FALSE,IF(ISERROR(SEARCH("Embrionix",BOM!$M$4)),"none",IF(ISERROR(SEARCH("Quadsplit",BOM!$N$4)),IF(ISERROR(SEARCH("rec",B227)),"none","merge"),"none")),IF(ISERROR(SEARCH("rec",B227)),"split","merge"))</f>
        <v>merge</v>
      </c>
    </row>
    <row r="228" spans="1:25" x14ac:dyDescent="0.2">
      <c r="A228" t="s">
        <v>1238</v>
      </c>
      <c r="B228" t="s">
        <v>1692</v>
      </c>
      <c r="C228" t="str">
        <f>IFERROR(VLOOKUP(B228,'Sender-Receiver'!$B$3:$BP$1500,61,FALSE),"")</f>
        <v>Type:Aud_1CH_M,Type:Aud_2CH_LR,Type:Aud_3CH_LRC,Type:Aud_6CH_5.1,Type:Aud_8CH_RAW,#SNP</v>
      </c>
      <c r="D228" t="str">
        <f>IFERROR(VLOOKUP(B228,'Sender-Receiver'!$B$3:$BP$1500,41,FALSE),"")</f>
        <v>M3H InCh REM | Ingest Ch23-16 | IngSRV-06</v>
      </c>
      <c r="E228" t="s">
        <v>1240</v>
      </c>
      <c r="F228">
        <v>11</v>
      </c>
      <c r="G228" t="s">
        <v>1693</v>
      </c>
      <c r="M228" t="str">
        <f>IF(OR(BOM!$AE$4=FALSE,BOM!$AE$4="-"),IF(ISERROR(SEARCH("send",B228)),"","pool:TPC"),IF(ISERROR(SEARCH("send",B228)),"","pool:TPC|pool:TPC"))</f>
        <v/>
      </c>
      <c r="S228" t="str">
        <f>IFERROR(IF(VLOOKUP(B228,'Sender-Receiver'!$B$3:$BP$1500,60,FALSE)="x","true","false"),"false")</f>
        <v>true</v>
      </c>
      <c r="T228" t="str">
        <f t="shared" si="3"/>
        <v>full</v>
      </c>
      <c r="Y228" t="str">
        <f>IF(BOM!$AE$4=FALSE,IF(ISERROR(SEARCH("Embrionix",BOM!$M$4)),"none",IF(ISERROR(SEARCH("Quadsplit",BOM!$N$4)),IF(ISERROR(SEARCH("rec",B228)),"none","merge"),"none")),IF(ISERROR(SEARCH("rec",B228)),"split","merge"))</f>
        <v>merge</v>
      </c>
    </row>
    <row r="229" spans="1:25" x14ac:dyDescent="0.2">
      <c r="A229" t="s">
        <v>1238</v>
      </c>
      <c r="B229" t="s">
        <v>1694</v>
      </c>
      <c r="C229" t="str">
        <f>IFERROR(VLOOKUP(B229,'Sender-Receiver'!$B$3:$BP$1500,61,FALSE),"")</f>
        <v>Type:Anc_Prot,#SNP</v>
      </c>
      <c r="D229" t="str">
        <f>IFERROR(VLOOKUP(B229,'Sender-Receiver'!$B$3:$BP$1500,41,FALSE),"")</f>
        <v>M3H InCh REM | Ingest Ch23-ANC1 | IngSRV-06</v>
      </c>
      <c r="E229" t="s">
        <v>1240</v>
      </c>
      <c r="F229">
        <v>11</v>
      </c>
      <c r="G229" t="s">
        <v>1695</v>
      </c>
      <c r="M229" t="str">
        <f>IF(OR(BOM!$AE$4=FALSE,BOM!$AE$4="-"),IF(ISERROR(SEARCH("send",B229)),"","pool:TPC"),IF(ISERROR(SEARCH("send",B229)),"","pool:TPC|pool:TPC"))</f>
        <v/>
      </c>
      <c r="S229" t="str">
        <f>IFERROR(IF(VLOOKUP(B229,'Sender-Receiver'!$B$3:$BP$1500,60,FALSE)="x","true","false"),"false")</f>
        <v>true</v>
      </c>
      <c r="T229" t="str">
        <f t="shared" si="3"/>
        <v>full</v>
      </c>
      <c r="Y229" t="str">
        <f>IF(BOM!$AE$4=FALSE,IF(ISERROR(SEARCH("Embrionix",BOM!$M$4)),"none",IF(ISERROR(SEARCH("Quadsplit",BOM!$N$4)),IF(ISERROR(SEARCH("rec",B229)),"none","merge"),"none")),IF(ISERROR(SEARCH("rec",B229)),"split","merge"))</f>
        <v>merge</v>
      </c>
    </row>
    <row r="230" spans="1:25" x14ac:dyDescent="0.2">
      <c r="A230" t="s">
        <v>1238</v>
      </c>
      <c r="B230" t="s">
        <v>1696</v>
      </c>
      <c r="C230" t="str">
        <f>IFERROR(VLOOKUP(B230,'Sender-Receiver'!$B$3:$BP$1500,61,FALSE),"")</f>
        <v>#SNP</v>
      </c>
      <c r="D230" t="str">
        <f>IFERROR(VLOOKUP(B230,'Sender-Receiver'!$B$3:$BP$1500,41,FALSE),"")</f>
        <v xml:space="preserve"> |  | IngSRV-06</v>
      </c>
      <c r="E230" t="s">
        <v>1240</v>
      </c>
      <c r="F230">
        <v>11</v>
      </c>
      <c r="G230" t="s">
        <v>1697</v>
      </c>
      <c r="M230" t="str">
        <f>IF(OR(BOM!$AE$4=FALSE,BOM!$AE$4="-"),IF(ISERROR(SEARCH("send",B230)),"","pool:TPC"),IF(ISERROR(SEARCH("send",B230)),"","pool:TPC|pool:TPC"))</f>
        <v/>
      </c>
      <c r="S230" t="str">
        <f>IFERROR(IF(VLOOKUP(B230,'Sender-Receiver'!$B$3:$BP$1500,60,FALSE)="x","true","false"),"false")</f>
        <v>false</v>
      </c>
      <c r="T230" t="str">
        <f t="shared" si="3"/>
        <v>off</v>
      </c>
      <c r="Y230" t="str">
        <f>IF(BOM!$AE$4=FALSE,IF(ISERROR(SEARCH("Embrionix",BOM!$M$4)),"none",IF(ISERROR(SEARCH("Quadsplit",BOM!$N$4)),IF(ISERROR(SEARCH("rec",B230)),"none","merge"),"none")),IF(ISERROR(SEARCH("rec",B230)),"split","merge"))</f>
        <v>merge</v>
      </c>
    </row>
    <row r="231" spans="1:25" x14ac:dyDescent="0.2">
      <c r="A231" t="s">
        <v>1238</v>
      </c>
      <c r="B231" t="s">
        <v>1698</v>
      </c>
      <c r="C231" t="str">
        <f>IFERROR(VLOOKUP(B231,'Sender-Receiver'!$B$3:$BP$1500,61,FALSE),"")</f>
        <v>#SNP</v>
      </c>
      <c r="D231" t="str">
        <f>IFERROR(VLOOKUP(B231,'Sender-Receiver'!$B$3:$BP$1500,41,FALSE),"")</f>
        <v xml:space="preserve"> |  | IngSRV-06</v>
      </c>
      <c r="E231" t="s">
        <v>1240</v>
      </c>
      <c r="F231">
        <v>11</v>
      </c>
      <c r="G231" t="s">
        <v>1699</v>
      </c>
      <c r="M231" t="str">
        <f>IF(OR(BOM!$AE$4=FALSE,BOM!$AE$4="-"),IF(ISERROR(SEARCH("send",B231)),"","pool:TPC"),IF(ISERROR(SEARCH("send",B231)),"","pool:TPC|pool:TPC"))</f>
        <v/>
      </c>
      <c r="S231" t="str">
        <f>IFERROR(IF(VLOOKUP(B231,'Sender-Receiver'!$B$3:$BP$1500,60,FALSE)="x","true","false"),"false")</f>
        <v>false</v>
      </c>
      <c r="T231" t="str">
        <f t="shared" si="3"/>
        <v>off</v>
      </c>
      <c r="Y231" t="str">
        <f>IF(BOM!$AE$4=FALSE,IF(ISERROR(SEARCH("Embrionix",BOM!$M$4)),"none",IF(ISERROR(SEARCH("Quadsplit",BOM!$N$4)),IF(ISERROR(SEARCH("rec",B231)),"none","merge"),"none")),IF(ISERROR(SEARCH("rec",B231)),"split","merge"))</f>
        <v>merge</v>
      </c>
    </row>
    <row r="232" spans="1:25" x14ac:dyDescent="0.2">
      <c r="A232" t="s">
        <v>1238</v>
      </c>
      <c r="B232" t="s">
        <v>1700</v>
      </c>
      <c r="C232" t="str">
        <f>IFERROR(VLOOKUP(B232,'Sender-Receiver'!$B$3:$BP$1500,61,FALSE),"")</f>
        <v>#SNP</v>
      </c>
      <c r="D232" t="str">
        <f>IFERROR(VLOOKUP(B232,'Sender-Receiver'!$B$3:$BP$1500,41,FALSE),"")</f>
        <v xml:space="preserve"> |  | IngSRV-06</v>
      </c>
      <c r="E232" t="s">
        <v>1240</v>
      </c>
      <c r="F232">
        <v>11</v>
      </c>
      <c r="G232" t="s">
        <v>1701</v>
      </c>
      <c r="M232" t="str">
        <f>IF(OR(BOM!$AE$4=FALSE,BOM!$AE$4="-"),IF(ISERROR(SEARCH("send",B232)),"","pool:TPC"),IF(ISERROR(SEARCH("send",B232)),"","pool:TPC|pool:TPC"))</f>
        <v/>
      </c>
      <c r="S232" t="str">
        <f>IFERROR(IF(VLOOKUP(B232,'Sender-Receiver'!$B$3:$BP$1500,60,FALSE)="x","true","false"),"false")</f>
        <v>false</v>
      </c>
      <c r="T232" t="str">
        <f t="shared" si="3"/>
        <v>off</v>
      </c>
      <c r="Y232" t="str">
        <f>IF(BOM!$AE$4=FALSE,IF(ISERROR(SEARCH("Embrionix",BOM!$M$4)),"none",IF(ISERROR(SEARCH("Quadsplit",BOM!$N$4)),IF(ISERROR(SEARCH("rec",B232)),"none","merge"),"none")),IF(ISERROR(SEARCH("rec",B232)),"split","merge"))</f>
        <v>merge</v>
      </c>
    </row>
    <row r="233" spans="1:25" x14ac:dyDescent="0.2">
      <c r="A233" t="s">
        <v>1238</v>
      </c>
      <c r="B233" t="s">
        <v>1702</v>
      </c>
      <c r="C233" t="str">
        <f>IFERROR(VLOOKUP(B233,'Sender-Receiver'!$B$3:$BP$1500,61,FALSE),"")</f>
        <v>Type:Vid_1080i50,Type:Vid_1080p25,Type:Vid_1080p50,Type:Vid_1080p60,#SNP</v>
      </c>
      <c r="D233" t="str">
        <f>IFERROR(VLOOKUP(B233,'Sender-Receiver'!$B$3:$BP$1500,41,FALSE),"")</f>
        <v>M3H InCh REM | Ingest Ch24 | IngSRV-06</v>
      </c>
      <c r="E233" t="s">
        <v>1240</v>
      </c>
      <c r="F233">
        <v>12</v>
      </c>
      <c r="G233" t="s">
        <v>1703</v>
      </c>
      <c r="M233" t="str">
        <f>IF(OR(BOM!$AE$4=FALSE,BOM!$AE$4="-"),IF(ISERROR(SEARCH("send",B233)),"","pool:TPC"),IF(ISERROR(SEARCH("send",B233)),"","pool:TPC|pool:TPC"))</f>
        <v/>
      </c>
      <c r="S233" t="str">
        <f>IFERROR(IF(VLOOKUP(B233,'Sender-Receiver'!$B$3:$BP$1500,60,FALSE)="x","true","false"),"false")</f>
        <v>true</v>
      </c>
      <c r="T233" t="str">
        <f t="shared" si="3"/>
        <v>full</v>
      </c>
      <c r="Y233" t="str">
        <f>IF(BOM!$AE$4=FALSE,IF(ISERROR(SEARCH("Embrionix",BOM!$M$4)),"none",IF(ISERROR(SEARCH("Quadsplit",BOM!$N$4)),IF(ISERROR(SEARCH("rec",B233)),"none","merge"),"none")),IF(ISERROR(SEARCH("rec",B233)),"split","merge"))</f>
        <v>merge</v>
      </c>
    </row>
    <row r="234" spans="1:25" x14ac:dyDescent="0.2">
      <c r="A234" t="s">
        <v>1238</v>
      </c>
      <c r="B234" t="s">
        <v>1704</v>
      </c>
      <c r="C234" t="str">
        <f>IFERROR(VLOOKUP(B234,'Sender-Receiver'!$B$3:$BP$1500,61,FALSE),"")</f>
        <v>Type:Aud_1CH_M,Type:Aud_2CH_LR,Type:Aud_3CH_LRC,Type:Aud_6CH_5.1,#SNP</v>
      </c>
      <c r="D234" t="str">
        <f>IFERROR(VLOOKUP(B234,'Sender-Receiver'!$B$3:$BP$1500,41,FALSE),"")</f>
        <v>M3H InCh REM | Ingest Ch24-01 | IngSRV-06</v>
      </c>
      <c r="E234" t="s">
        <v>1240</v>
      </c>
      <c r="F234">
        <v>12</v>
      </c>
      <c r="G234" t="s">
        <v>1705</v>
      </c>
      <c r="M234" t="str">
        <f>IF(OR(BOM!$AE$4=FALSE,BOM!$AE$4="-"),IF(ISERROR(SEARCH("send",B234)),"","pool:TPC"),IF(ISERROR(SEARCH("send",B234)),"","pool:TPC|pool:TPC"))</f>
        <v/>
      </c>
      <c r="S234" t="str">
        <f>IFERROR(IF(VLOOKUP(B234,'Sender-Receiver'!$B$3:$BP$1500,60,FALSE)="x","true","false"),"false")</f>
        <v>true</v>
      </c>
      <c r="T234" t="str">
        <f t="shared" si="3"/>
        <v>full</v>
      </c>
      <c r="Y234" t="str">
        <f>IF(BOM!$AE$4=FALSE,IF(ISERROR(SEARCH("Embrionix",BOM!$M$4)),"none",IF(ISERROR(SEARCH("Quadsplit",BOM!$N$4)),IF(ISERROR(SEARCH("rec",B234)),"none","merge"),"none")),IF(ISERROR(SEARCH("rec",B234)),"split","merge"))</f>
        <v>merge</v>
      </c>
    </row>
    <row r="235" spans="1:25" x14ac:dyDescent="0.2">
      <c r="A235" t="s">
        <v>1238</v>
      </c>
      <c r="B235" t="s">
        <v>1706</v>
      </c>
      <c r="C235" t="str">
        <f>IFERROR(VLOOKUP(B235,'Sender-Receiver'!$B$3:$BP$1500,61,FALSE),"")</f>
        <v>Type:Aud_1CH_M,Type:Aud_2CH_LR,Type:Aud_3CH_LRC,Type:Aud_6CH_5.1,#SNP</v>
      </c>
      <c r="D235" t="str">
        <f>IFERROR(VLOOKUP(B235,'Sender-Receiver'!$B$3:$BP$1500,41,FALSE),"")</f>
        <v>M3H InCh REM | Ingest Ch24-02 | IngSRV-06</v>
      </c>
      <c r="E235" t="s">
        <v>1240</v>
      </c>
      <c r="F235">
        <v>12</v>
      </c>
      <c r="G235" t="s">
        <v>1707</v>
      </c>
      <c r="M235" t="str">
        <f>IF(OR(BOM!$AE$4=FALSE,BOM!$AE$4="-"),IF(ISERROR(SEARCH("send",B235)),"","pool:TPC"),IF(ISERROR(SEARCH("send",B235)),"","pool:TPC|pool:TPC"))</f>
        <v/>
      </c>
      <c r="S235" t="str">
        <f>IFERROR(IF(VLOOKUP(B235,'Sender-Receiver'!$B$3:$BP$1500,60,FALSE)="x","true","false"),"false")</f>
        <v>true</v>
      </c>
      <c r="T235" t="str">
        <f t="shared" si="3"/>
        <v>full</v>
      </c>
      <c r="Y235" t="str">
        <f>IF(BOM!$AE$4=FALSE,IF(ISERROR(SEARCH("Embrionix",BOM!$M$4)),"none",IF(ISERROR(SEARCH("Quadsplit",BOM!$N$4)),IF(ISERROR(SEARCH("rec",B235)),"none","merge"),"none")),IF(ISERROR(SEARCH("rec",B235)),"split","merge"))</f>
        <v>merge</v>
      </c>
    </row>
    <row r="236" spans="1:25" x14ac:dyDescent="0.2">
      <c r="A236" t="s">
        <v>1238</v>
      </c>
      <c r="B236" t="s">
        <v>1708</v>
      </c>
      <c r="C236" t="str">
        <f>IFERROR(VLOOKUP(B236,'Sender-Receiver'!$B$3:$BP$1500,61,FALSE),"")</f>
        <v>Type:Aud_1CH_M,Type:Aud_2CH_LR,Type:Aud_3CH_LRC,Type:Aud_6CH_5.1,#SNP</v>
      </c>
      <c r="D236" t="str">
        <f>IFERROR(VLOOKUP(B236,'Sender-Receiver'!$B$3:$BP$1500,41,FALSE),"")</f>
        <v>M3H InCh REM | Ingest Ch24-03 | IngSRV-06</v>
      </c>
      <c r="E236" t="s">
        <v>1240</v>
      </c>
      <c r="F236">
        <v>12</v>
      </c>
      <c r="G236" t="s">
        <v>1709</v>
      </c>
      <c r="M236" t="str">
        <f>IF(OR(BOM!$AE$4=FALSE,BOM!$AE$4="-"),IF(ISERROR(SEARCH("send",B236)),"","pool:TPC"),IF(ISERROR(SEARCH("send",B236)),"","pool:TPC|pool:TPC"))</f>
        <v/>
      </c>
      <c r="S236" t="str">
        <f>IFERROR(IF(VLOOKUP(B236,'Sender-Receiver'!$B$3:$BP$1500,60,FALSE)="x","true","false"),"false")</f>
        <v>true</v>
      </c>
      <c r="T236" t="str">
        <f t="shared" si="3"/>
        <v>full</v>
      </c>
      <c r="Y236" t="str">
        <f>IF(BOM!$AE$4=FALSE,IF(ISERROR(SEARCH("Embrionix",BOM!$M$4)),"none",IF(ISERROR(SEARCH("Quadsplit",BOM!$N$4)),IF(ISERROR(SEARCH("rec",B236)),"none","merge"),"none")),IF(ISERROR(SEARCH("rec",B236)),"split","merge"))</f>
        <v>merge</v>
      </c>
    </row>
    <row r="237" spans="1:25" x14ac:dyDescent="0.2">
      <c r="A237" t="s">
        <v>1238</v>
      </c>
      <c r="B237" t="s">
        <v>1710</v>
      </c>
      <c r="C237" t="str">
        <f>IFERROR(VLOOKUP(B237,'Sender-Receiver'!$B$3:$BP$1500,61,FALSE),"")</f>
        <v>Type:Aud_1CH_M,Type:Aud_2CH_LR,Type:Aud_3CH_LRC,Type:Aud_6CH_5.1,#SNP</v>
      </c>
      <c r="D237" t="str">
        <f>IFERROR(VLOOKUP(B237,'Sender-Receiver'!$B$3:$BP$1500,41,FALSE),"")</f>
        <v>M3H InCh REM | Ingest Ch24-04 | IngSRV-06</v>
      </c>
      <c r="E237" t="s">
        <v>1240</v>
      </c>
      <c r="F237">
        <v>12</v>
      </c>
      <c r="G237" t="s">
        <v>1711</v>
      </c>
      <c r="M237" t="str">
        <f>IF(OR(BOM!$AE$4=FALSE,BOM!$AE$4="-"),IF(ISERROR(SEARCH("send",B237)),"","pool:TPC"),IF(ISERROR(SEARCH("send",B237)),"","pool:TPC|pool:TPC"))</f>
        <v/>
      </c>
      <c r="S237" t="str">
        <f>IFERROR(IF(VLOOKUP(B237,'Sender-Receiver'!$B$3:$BP$1500,60,FALSE)="x","true","false"),"false")</f>
        <v>true</v>
      </c>
      <c r="T237" t="str">
        <f t="shared" si="3"/>
        <v>full</v>
      </c>
      <c r="Y237" t="str">
        <f>IF(BOM!$AE$4=FALSE,IF(ISERROR(SEARCH("Embrionix",BOM!$M$4)),"none",IF(ISERROR(SEARCH("Quadsplit",BOM!$N$4)),IF(ISERROR(SEARCH("rec",B237)),"none","merge"),"none")),IF(ISERROR(SEARCH("rec",B237)),"split","merge"))</f>
        <v>merge</v>
      </c>
    </row>
    <row r="238" spans="1:25" x14ac:dyDescent="0.2">
      <c r="A238" t="s">
        <v>1238</v>
      </c>
      <c r="B238" t="s">
        <v>1712</v>
      </c>
      <c r="C238" t="str">
        <f>IFERROR(VLOOKUP(B238,'Sender-Receiver'!$B$3:$BP$1500,61,FALSE),"")</f>
        <v>Type:Aud_1CH_M,Type:Aud_2CH_LR,Type:Aud_3CH_LRC,Type:Aud_6CH_5.1,#SNP</v>
      </c>
      <c r="D238" t="str">
        <f>IFERROR(VLOOKUP(B238,'Sender-Receiver'!$B$3:$BP$1500,41,FALSE),"")</f>
        <v>M3H InCh REM | Ingest Ch24-05 | IngSRV-06</v>
      </c>
      <c r="E238" t="s">
        <v>1240</v>
      </c>
      <c r="F238">
        <v>12</v>
      </c>
      <c r="G238" t="s">
        <v>1713</v>
      </c>
      <c r="M238" t="str">
        <f>IF(OR(BOM!$AE$4=FALSE,BOM!$AE$4="-"),IF(ISERROR(SEARCH("send",B238)),"","pool:TPC"),IF(ISERROR(SEARCH("send",B238)),"","pool:TPC|pool:TPC"))</f>
        <v/>
      </c>
      <c r="S238" t="str">
        <f>IFERROR(IF(VLOOKUP(B238,'Sender-Receiver'!$B$3:$BP$1500,60,FALSE)="x","true","false"),"false")</f>
        <v>true</v>
      </c>
      <c r="T238" t="str">
        <f t="shared" si="3"/>
        <v>full</v>
      </c>
      <c r="Y238" t="str">
        <f>IF(BOM!$AE$4=FALSE,IF(ISERROR(SEARCH("Embrionix",BOM!$M$4)),"none",IF(ISERROR(SEARCH("Quadsplit",BOM!$N$4)),IF(ISERROR(SEARCH("rec",B238)),"none","merge"),"none")),IF(ISERROR(SEARCH("rec",B238)),"split","merge"))</f>
        <v>merge</v>
      </c>
    </row>
    <row r="239" spans="1:25" x14ac:dyDescent="0.2">
      <c r="A239" t="s">
        <v>1238</v>
      </c>
      <c r="B239" t="s">
        <v>1714</v>
      </c>
      <c r="C239" t="str">
        <f>IFERROR(VLOOKUP(B239,'Sender-Receiver'!$B$3:$BP$1500,61,FALSE),"")</f>
        <v>Type:Aud_1CH_M,Type:Aud_2CH_LR,Type:Aud_3CH_LRC,Type:Aud_6CH_5.1,#SNP</v>
      </c>
      <c r="D239" t="str">
        <f>IFERROR(VLOOKUP(B239,'Sender-Receiver'!$B$3:$BP$1500,41,FALSE),"")</f>
        <v>M3H InCh REM | Ingest Ch24-06 | IngSRV-06</v>
      </c>
      <c r="E239" t="s">
        <v>1240</v>
      </c>
      <c r="F239">
        <v>12</v>
      </c>
      <c r="G239" t="s">
        <v>1715</v>
      </c>
      <c r="M239" t="str">
        <f>IF(OR(BOM!$AE$4=FALSE,BOM!$AE$4="-"),IF(ISERROR(SEARCH("send",B239)),"","pool:TPC"),IF(ISERROR(SEARCH("send",B239)),"","pool:TPC|pool:TPC"))</f>
        <v/>
      </c>
      <c r="S239" t="str">
        <f>IFERROR(IF(VLOOKUP(B239,'Sender-Receiver'!$B$3:$BP$1500,60,FALSE)="x","true","false"),"false")</f>
        <v>true</v>
      </c>
      <c r="T239" t="str">
        <f t="shared" si="3"/>
        <v>full</v>
      </c>
      <c r="Y239" t="str">
        <f>IF(BOM!$AE$4=FALSE,IF(ISERROR(SEARCH("Embrionix",BOM!$M$4)),"none",IF(ISERROR(SEARCH("Quadsplit",BOM!$N$4)),IF(ISERROR(SEARCH("rec",B239)),"none","merge"),"none")),IF(ISERROR(SEARCH("rec",B239)),"split","merge"))</f>
        <v>merge</v>
      </c>
    </row>
    <row r="240" spans="1:25" x14ac:dyDescent="0.2">
      <c r="A240" t="s">
        <v>1238</v>
      </c>
      <c r="B240" t="s">
        <v>1716</v>
      </c>
      <c r="C240" t="str">
        <f>IFERROR(VLOOKUP(B240,'Sender-Receiver'!$B$3:$BP$1500,61,FALSE),"")</f>
        <v>Type:Aud_1CH_M,Type:Aud_2CH_LR,Type:Aud_3CH_LRC,Type:Aud_6CH_5.1,#SNP</v>
      </c>
      <c r="D240" t="str">
        <f>IFERROR(VLOOKUP(B240,'Sender-Receiver'!$B$3:$BP$1500,41,FALSE),"")</f>
        <v>M3H InCh REM | Ingest Ch24-07 | IngSRV-06</v>
      </c>
      <c r="E240" t="s">
        <v>1240</v>
      </c>
      <c r="F240">
        <v>12</v>
      </c>
      <c r="G240" t="s">
        <v>1717</v>
      </c>
      <c r="M240" t="str">
        <f>IF(OR(BOM!$AE$4=FALSE,BOM!$AE$4="-"),IF(ISERROR(SEARCH("send",B240)),"","pool:TPC"),IF(ISERROR(SEARCH("send",B240)),"","pool:TPC|pool:TPC"))</f>
        <v/>
      </c>
      <c r="S240" t="str">
        <f>IFERROR(IF(VLOOKUP(B240,'Sender-Receiver'!$B$3:$BP$1500,60,FALSE)="x","true","false"),"false")</f>
        <v>true</v>
      </c>
      <c r="T240" t="str">
        <f t="shared" si="3"/>
        <v>full</v>
      </c>
      <c r="Y240" t="str">
        <f>IF(BOM!$AE$4=FALSE,IF(ISERROR(SEARCH("Embrionix",BOM!$M$4)),"none",IF(ISERROR(SEARCH("Quadsplit",BOM!$N$4)),IF(ISERROR(SEARCH("rec",B240)),"none","merge"),"none")),IF(ISERROR(SEARCH("rec",B240)),"split","merge"))</f>
        <v>merge</v>
      </c>
    </row>
    <row r="241" spans="1:25" x14ac:dyDescent="0.2">
      <c r="A241" t="s">
        <v>1238</v>
      </c>
      <c r="B241" t="s">
        <v>1718</v>
      </c>
      <c r="C241" t="str">
        <f>IFERROR(VLOOKUP(B241,'Sender-Receiver'!$B$3:$BP$1500,61,FALSE),"")</f>
        <v>Type:Aud_1CH_M,Type:Aud_2CH_LR,Type:Aud_3CH_LRC,Type:Aud_6CH_5.1,#SNP</v>
      </c>
      <c r="D241" t="str">
        <f>IFERROR(VLOOKUP(B241,'Sender-Receiver'!$B$3:$BP$1500,41,FALSE),"")</f>
        <v>M3H InCh REM | Ingest Ch24-08 | IngSRV-06</v>
      </c>
      <c r="E241" t="s">
        <v>1240</v>
      </c>
      <c r="F241">
        <v>12</v>
      </c>
      <c r="G241" t="s">
        <v>1719</v>
      </c>
      <c r="M241" t="str">
        <f>IF(OR(BOM!$AE$4=FALSE,BOM!$AE$4="-"),IF(ISERROR(SEARCH("send",B241)),"","pool:TPC"),IF(ISERROR(SEARCH("send",B241)),"","pool:TPC|pool:TPC"))</f>
        <v/>
      </c>
      <c r="S241" t="str">
        <f>IFERROR(IF(VLOOKUP(B241,'Sender-Receiver'!$B$3:$BP$1500,60,FALSE)="x","true","false"),"false")</f>
        <v>true</v>
      </c>
      <c r="T241" t="str">
        <f t="shared" si="3"/>
        <v>full</v>
      </c>
      <c r="Y241" t="str">
        <f>IF(BOM!$AE$4=FALSE,IF(ISERROR(SEARCH("Embrionix",BOM!$M$4)),"none",IF(ISERROR(SEARCH("Quadsplit",BOM!$N$4)),IF(ISERROR(SEARCH("rec",B241)),"none","merge"),"none")),IF(ISERROR(SEARCH("rec",B241)),"split","merge"))</f>
        <v>merge</v>
      </c>
    </row>
    <row r="242" spans="1:25" x14ac:dyDescent="0.2">
      <c r="A242" t="s">
        <v>1238</v>
      </c>
      <c r="B242" t="s">
        <v>1720</v>
      </c>
      <c r="C242" t="str">
        <f>IFERROR(VLOOKUP(B242,'Sender-Receiver'!$B$3:$BP$1500,61,FALSE),"")</f>
        <v>Type:Aud_1CH_M,Type:Aud_2CH_LR,Type:Aud_3CH_LRC,Type:Aud_6CH_5.1,#SNP</v>
      </c>
      <c r="D242" t="str">
        <f>IFERROR(VLOOKUP(B242,'Sender-Receiver'!$B$3:$BP$1500,41,FALSE),"")</f>
        <v>M3H InCh REM | Ingest Ch24-09 | IngSRV-06</v>
      </c>
      <c r="E242" t="s">
        <v>1240</v>
      </c>
      <c r="F242">
        <v>12</v>
      </c>
      <c r="G242" t="s">
        <v>1721</v>
      </c>
      <c r="M242" t="str">
        <f>IF(OR(BOM!$AE$4=FALSE,BOM!$AE$4="-"),IF(ISERROR(SEARCH("send",B242)),"","pool:TPC"),IF(ISERROR(SEARCH("send",B242)),"","pool:TPC|pool:TPC"))</f>
        <v/>
      </c>
      <c r="S242" t="str">
        <f>IFERROR(IF(VLOOKUP(B242,'Sender-Receiver'!$B$3:$BP$1500,60,FALSE)="x","true","false"),"false")</f>
        <v>true</v>
      </c>
      <c r="T242" t="str">
        <f t="shared" si="3"/>
        <v>full</v>
      </c>
      <c r="Y242" t="str">
        <f>IF(BOM!$AE$4=FALSE,IF(ISERROR(SEARCH("Embrionix",BOM!$M$4)),"none",IF(ISERROR(SEARCH("Quadsplit",BOM!$N$4)),IF(ISERROR(SEARCH("rec",B242)),"none","merge"),"none")),IF(ISERROR(SEARCH("rec",B242)),"split","merge"))</f>
        <v>merge</v>
      </c>
    </row>
    <row r="243" spans="1:25" x14ac:dyDescent="0.2">
      <c r="A243" t="s">
        <v>1238</v>
      </c>
      <c r="B243" t="s">
        <v>1722</v>
      </c>
      <c r="C243" t="str">
        <f>IFERROR(VLOOKUP(B243,'Sender-Receiver'!$B$3:$BP$1500,61,FALSE),"")</f>
        <v>#SNP</v>
      </c>
      <c r="D243" t="str">
        <f>IFERROR(VLOOKUP(B243,'Sender-Receiver'!$B$3:$BP$1500,41,FALSE),"")</f>
        <v xml:space="preserve"> |  | IngSRV-06</v>
      </c>
      <c r="E243" t="s">
        <v>1240</v>
      </c>
      <c r="F243">
        <v>12</v>
      </c>
      <c r="G243" t="s">
        <v>1723</v>
      </c>
      <c r="M243" t="str">
        <f>IF(OR(BOM!$AE$4=FALSE,BOM!$AE$4="-"),IF(ISERROR(SEARCH("send",B243)),"","pool:TPC"),IF(ISERROR(SEARCH("send",B243)),"","pool:TPC|pool:TPC"))</f>
        <v/>
      </c>
      <c r="S243" t="str">
        <f>IFERROR(IF(VLOOKUP(B243,'Sender-Receiver'!$B$3:$BP$1500,60,FALSE)="x","true","false"),"false")</f>
        <v>false</v>
      </c>
      <c r="T243" t="str">
        <f t="shared" si="3"/>
        <v>off</v>
      </c>
      <c r="Y243" t="str">
        <f>IF(BOM!$AE$4=FALSE,IF(ISERROR(SEARCH("Embrionix",BOM!$M$4)),"none",IF(ISERROR(SEARCH("Quadsplit",BOM!$N$4)),IF(ISERROR(SEARCH("rec",B243)),"none","merge"),"none")),IF(ISERROR(SEARCH("rec",B243)),"split","merge"))</f>
        <v>merge</v>
      </c>
    </row>
    <row r="244" spans="1:25" x14ac:dyDescent="0.2">
      <c r="A244" t="s">
        <v>1238</v>
      </c>
      <c r="B244" t="s">
        <v>1724</v>
      </c>
      <c r="C244" t="str">
        <f>IFERROR(VLOOKUP(B244,'Sender-Receiver'!$B$3:$BP$1500,61,FALSE),"")</f>
        <v>#SNP</v>
      </c>
      <c r="D244" t="str">
        <f>IFERROR(VLOOKUP(B244,'Sender-Receiver'!$B$3:$BP$1500,41,FALSE),"")</f>
        <v xml:space="preserve"> |  | IngSRV-06</v>
      </c>
      <c r="E244" t="s">
        <v>1240</v>
      </c>
      <c r="F244">
        <v>12</v>
      </c>
      <c r="G244" t="s">
        <v>1725</v>
      </c>
      <c r="M244" t="str">
        <f>IF(OR(BOM!$AE$4=FALSE,BOM!$AE$4="-"),IF(ISERROR(SEARCH("send",B244)),"","pool:TPC"),IF(ISERROR(SEARCH("send",B244)),"","pool:TPC|pool:TPC"))</f>
        <v/>
      </c>
      <c r="S244" t="str">
        <f>IFERROR(IF(VLOOKUP(B244,'Sender-Receiver'!$B$3:$BP$1500,60,FALSE)="x","true","false"),"false")</f>
        <v>false</v>
      </c>
      <c r="T244" t="str">
        <f t="shared" si="3"/>
        <v>off</v>
      </c>
      <c r="Y244" t="str">
        <f>IF(BOM!$AE$4=FALSE,IF(ISERROR(SEARCH("Embrionix",BOM!$M$4)),"none",IF(ISERROR(SEARCH("Quadsplit",BOM!$N$4)),IF(ISERROR(SEARCH("rec",B244)),"none","merge"),"none")),IF(ISERROR(SEARCH("rec",B244)),"split","merge"))</f>
        <v>merge</v>
      </c>
    </row>
    <row r="245" spans="1:25" x14ac:dyDescent="0.2">
      <c r="A245" t="s">
        <v>1238</v>
      </c>
      <c r="B245" t="s">
        <v>1726</v>
      </c>
      <c r="C245" t="str">
        <f>IFERROR(VLOOKUP(B245,'Sender-Receiver'!$B$3:$BP$1500,61,FALSE),"")</f>
        <v>#SNP</v>
      </c>
      <c r="D245" t="str">
        <f>IFERROR(VLOOKUP(B245,'Sender-Receiver'!$B$3:$BP$1500,41,FALSE),"")</f>
        <v xml:space="preserve"> |  | IngSRV-06</v>
      </c>
      <c r="E245" t="s">
        <v>1240</v>
      </c>
      <c r="F245">
        <v>12</v>
      </c>
      <c r="G245" t="s">
        <v>1727</v>
      </c>
      <c r="M245" t="str">
        <f>IF(OR(BOM!$AE$4=FALSE,BOM!$AE$4="-"),IF(ISERROR(SEARCH("send",B245)),"","pool:TPC"),IF(ISERROR(SEARCH("send",B245)),"","pool:TPC|pool:TPC"))</f>
        <v/>
      </c>
      <c r="S245" t="str">
        <f>IFERROR(IF(VLOOKUP(B245,'Sender-Receiver'!$B$3:$BP$1500,60,FALSE)="x","true","false"),"false")</f>
        <v>false</v>
      </c>
      <c r="T245" t="str">
        <f t="shared" si="3"/>
        <v>off</v>
      </c>
      <c r="Y245" t="str">
        <f>IF(BOM!$AE$4=FALSE,IF(ISERROR(SEARCH("Embrionix",BOM!$M$4)),"none",IF(ISERROR(SEARCH("Quadsplit",BOM!$N$4)),IF(ISERROR(SEARCH("rec",B245)),"none","merge"),"none")),IF(ISERROR(SEARCH("rec",B245)),"split","merge"))</f>
        <v>merge</v>
      </c>
    </row>
    <row r="246" spans="1:25" x14ac:dyDescent="0.2">
      <c r="A246" t="s">
        <v>1238</v>
      </c>
      <c r="B246" t="s">
        <v>1728</v>
      </c>
      <c r="C246" t="str">
        <f>IFERROR(VLOOKUP(B246,'Sender-Receiver'!$B$3:$BP$1500,61,FALSE),"")</f>
        <v>#SNP</v>
      </c>
      <c r="D246" t="str">
        <f>IFERROR(VLOOKUP(B246,'Sender-Receiver'!$B$3:$BP$1500,41,FALSE),"")</f>
        <v xml:space="preserve"> |  | IngSRV-06</v>
      </c>
      <c r="E246" t="s">
        <v>1240</v>
      </c>
      <c r="F246">
        <v>12</v>
      </c>
      <c r="G246" t="s">
        <v>1729</v>
      </c>
      <c r="M246" t="str">
        <f>IF(OR(BOM!$AE$4=FALSE,BOM!$AE$4="-"),IF(ISERROR(SEARCH("send",B246)),"","pool:TPC"),IF(ISERROR(SEARCH("send",B246)),"","pool:TPC|pool:TPC"))</f>
        <v/>
      </c>
      <c r="S246" t="str">
        <f>IFERROR(IF(VLOOKUP(B246,'Sender-Receiver'!$B$3:$BP$1500,60,FALSE)="x","true","false"),"false")</f>
        <v>false</v>
      </c>
      <c r="T246" t="str">
        <f t="shared" si="3"/>
        <v>off</v>
      </c>
      <c r="Y246" t="str">
        <f>IF(BOM!$AE$4=FALSE,IF(ISERROR(SEARCH("Embrionix",BOM!$M$4)),"none",IF(ISERROR(SEARCH("Quadsplit",BOM!$N$4)),IF(ISERROR(SEARCH("rec",B246)),"none","merge"),"none")),IF(ISERROR(SEARCH("rec",B246)),"split","merge"))</f>
        <v>merge</v>
      </c>
    </row>
    <row r="247" spans="1:25" x14ac:dyDescent="0.2">
      <c r="A247" t="s">
        <v>1238</v>
      </c>
      <c r="B247" t="s">
        <v>1730</v>
      </c>
      <c r="C247" t="str">
        <f>IFERROR(VLOOKUP(B247,'Sender-Receiver'!$B$3:$BP$1500,61,FALSE),"")</f>
        <v>#SNP</v>
      </c>
      <c r="D247" t="str">
        <f>IFERROR(VLOOKUP(B247,'Sender-Receiver'!$B$3:$BP$1500,41,FALSE),"")</f>
        <v xml:space="preserve"> |  | IngSRV-06</v>
      </c>
      <c r="E247" t="s">
        <v>1240</v>
      </c>
      <c r="F247">
        <v>12</v>
      </c>
      <c r="G247" t="s">
        <v>1731</v>
      </c>
      <c r="M247" t="str">
        <f>IF(OR(BOM!$AE$4=FALSE,BOM!$AE$4="-"),IF(ISERROR(SEARCH("send",B247)),"","pool:TPC"),IF(ISERROR(SEARCH("send",B247)),"","pool:TPC|pool:TPC"))</f>
        <v/>
      </c>
      <c r="S247" t="str">
        <f>IFERROR(IF(VLOOKUP(B247,'Sender-Receiver'!$B$3:$BP$1500,60,FALSE)="x","true","false"),"false")</f>
        <v>false</v>
      </c>
      <c r="T247" t="str">
        <f t="shared" si="3"/>
        <v>off</v>
      </c>
      <c r="Y247" t="str">
        <f>IF(BOM!$AE$4=FALSE,IF(ISERROR(SEARCH("Embrionix",BOM!$M$4)),"none",IF(ISERROR(SEARCH("Quadsplit",BOM!$N$4)),IF(ISERROR(SEARCH("rec",B247)),"none","merge"),"none")),IF(ISERROR(SEARCH("rec",B247)),"split","merge"))</f>
        <v>merge</v>
      </c>
    </row>
    <row r="248" spans="1:25" x14ac:dyDescent="0.2">
      <c r="A248" t="s">
        <v>1238</v>
      </c>
      <c r="B248" t="s">
        <v>1732</v>
      </c>
      <c r="C248" t="str">
        <f>IFERROR(VLOOKUP(B248,'Sender-Receiver'!$B$3:$BP$1500,61,FALSE),"")</f>
        <v>Type:Aud_1CH_M,Type:Aud_2CH_LR,Type:Aud_3CH_LRC,Type:Aud_6CH_5.1,Type:Aud_8CH_RAW,#SNP</v>
      </c>
      <c r="D248" t="str">
        <f>IFERROR(VLOOKUP(B248,'Sender-Receiver'!$B$3:$BP$1500,41,FALSE),"")</f>
        <v>M3H InCh REM | Ingest Ch24-15 | IngSRV-06</v>
      </c>
      <c r="E248" t="s">
        <v>1240</v>
      </c>
      <c r="F248">
        <v>12</v>
      </c>
      <c r="G248" t="s">
        <v>1733</v>
      </c>
      <c r="M248" t="str">
        <f>IF(OR(BOM!$AE$4=FALSE,BOM!$AE$4="-"),IF(ISERROR(SEARCH("send",B248)),"","pool:TPC"),IF(ISERROR(SEARCH("send",B248)),"","pool:TPC|pool:TPC"))</f>
        <v/>
      </c>
      <c r="S248" t="str">
        <f>IFERROR(IF(VLOOKUP(B248,'Sender-Receiver'!$B$3:$BP$1500,60,FALSE)="x","true","false"),"false")</f>
        <v>true</v>
      </c>
      <c r="T248" t="str">
        <f t="shared" si="3"/>
        <v>full</v>
      </c>
      <c r="Y248" t="str">
        <f>IF(BOM!$AE$4=FALSE,IF(ISERROR(SEARCH("Embrionix",BOM!$M$4)),"none",IF(ISERROR(SEARCH("Quadsplit",BOM!$N$4)),IF(ISERROR(SEARCH("rec",B248)),"none","merge"),"none")),IF(ISERROR(SEARCH("rec",B248)),"split","merge"))</f>
        <v>merge</v>
      </c>
    </row>
    <row r="249" spans="1:25" x14ac:dyDescent="0.2">
      <c r="A249" t="s">
        <v>1238</v>
      </c>
      <c r="B249" t="s">
        <v>1734</v>
      </c>
      <c r="C249" t="str">
        <f>IFERROR(VLOOKUP(B249,'Sender-Receiver'!$B$3:$BP$1500,61,FALSE),"")</f>
        <v>Type:Aud_1CH_M,Type:Aud_2CH_LR,Type:Aud_3CH_LRC,Type:Aud_6CH_5.1,Type:Aud_8CH_RAW,#SNP</v>
      </c>
      <c r="D249" t="str">
        <f>IFERROR(VLOOKUP(B249,'Sender-Receiver'!$B$3:$BP$1500,41,FALSE),"")</f>
        <v>M3H InCh REM | Ingest Ch24-16 | IngSRV-06</v>
      </c>
      <c r="E249" t="s">
        <v>1240</v>
      </c>
      <c r="F249">
        <v>12</v>
      </c>
      <c r="G249" t="s">
        <v>1735</v>
      </c>
      <c r="M249" t="str">
        <f>IF(OR(BOM!$AE$4=FALSE,BOM!$AE$4="-"),IF(ISERROR(SEARCH("send",B249)),"","pool:TPC"),IF(ISERROR(SEARCH("send",B249)),"","pool:TPC|pool:TPC"))</f>
        <v/>
      </c>
      <c r="S249" t="str">
        <f>IFERROR(IF(VLOOKUP(B249,'Sender-Receiver'!$B$3:$BP$1500,60,FALSE)="x","true","false"),"false")</f>
        <v>true</v>
      </c>
      <c r="T249" t="str">
        <f t="shared" si="3"/>
        <v>full</v>
      </c>
      <c r="Y249" t="str">
        <f>IF(BOM!$AE$4=FALSE,IF(ISERROR(SEARCH("Embrionix",BOM!$M$4)),"none",IF(ISERROR(SEARCH("Quadsplit",BOM!$N$4)),IF(ISERROR(SEARCH("rec",B249)),"none","merge"),"none")),IF(ISERROR(SEARCH("rec",B249)),"split","merge"))</f>
        <v>merge</v>
      </c>
    </row>
    <row r="250" spans="1:25" x14ac:dyDescent="0.2">
      <c r="A250" t="s">
        <v>1238</v>
      </c>
      <c r="B250" t="s">
        <v>1736</v>
      </c>
      <c r="C250" t="str">
        <f>IFERROR(VLOOKUP(B250,'Sender-Receiver'!$B$3:$BP$1500,61,FALSE),"")</f>
        <v>Type:Anc_Prot,#SNP</v>
      </c>
      <c r="D250" t="str">
        <f>IFERROR(VLOOKUP(B250,'Sender-Receiver'!$B$3:$BP$1500,41,FALSE),"")</f>
        <v>M3H InCh REM | Ingest Ch24-ANC1 | IngSRV-06</v>
      </c>
      <c r="E250" t="s">
        <v>1240</v>
      </c>
      <c r="F250">
        <v>12</v>
      </c>
      <c r="G250" t="s">
        <v>1737</v>
      </c>
      <c r="M250" t="str">
        <f>IF(OR(BOM!$AE$4=FALSE,BOM!$AE$4="-"),IF(ISERROR(SEARCH("send",B250)),"","pool:TPC"),IF(ISERROR(SEARCH("send",B250)),"","pool:TPC|pool:TPC"))</f>
        <v/>
      </c>
      <c r="S250" t="str">
        <f>IFERROR(IF(VLOOKUP(B250,'Sender-Receiver'!$B$3:$BP$1500,60,FALSE)="x","true","false"),"false")</f>
        <v>true</v>
      </c>
      <c r="T250" t="str">
        <f t="shared" si="3"/>
        <v>full</v>
      </c>
      <c r="Y250" t="str">
        <f>IF(BOM!$AE$4=FALSE,IF(ISERROR(SEARCH("Embrionix",BOM!$M$4)),"none",IF(ISERROR(SEARCH("Quadsplit",BOM!$N$4)),IF(ISERROR(SEARCH("rec",B250)),"none","merge"),"none")),IF(ISERROR(SEARCH("rec",B250)),"split","merge"))</f>
        <v>merge</v>
      </c>
    </row>
    <row r="251" spans="1:25" x14ac:dyDescent="0.2">
      <c r="A251" t="s">
        <v>1238</v>
      </c>
      <c r="B251" t="s">
        <v>1738</v>
      </c>
      <c r="C251" t="str">
        <f>IFERROR(VLOOKUP(B251,'Sender-Receiver'!$B$3:$BP$1500,61,FALSE),"")</f>
        <v>#SNP</v>
      </c>
      <c r="D251" t="str">
        <f>IFERROR(VLOOKUP(B251,'Sender-Receiver'!$B$3:$BP$1500,41,FALSE),"")</f>
        <v xml:space="preserve"> |  | IngSRV-06</v>
      </c>
      <c r="E251" t="s">
        <v>1240</v>
      </c>
      <c r="F251">
        <v>12</v>
      </c>
      <c r="G251" t="s">
        <v>1739</v>
      </c>
      <c r="M251" t="str">
        <f>IF(OR(BOM!$AE$4=FALSE,BOM!$AE$4="-"),IF(ISERROR(SEARCH("send",B251)),"","pool:TPC"),IF(ISERROR(SEARCH("send",B251)),"","pool:TPC|pool:TPC"))</f>
        <v/>
      </c>
      <c r="S251" t="str">
        <f>IFERROR(IF(VLOOKUP(B251,'Sender-Receiver'!$B$3:$BP$1500,60,FALSE)="x","true","false"),"false")</f>
        <v>false</v>
      </c>
      <c r="T251" t="str">
        <f t="shared" si="3"/>
        <v>off</v>
      </c>
      <c r="Y251" t="str">
        <f>IF(BOM!$AE$4=FALSE,IF(ISERROR(SEARCH("Embrionix",BOM!$M$4)),"none",IF(ISERROR(SEARCH("Quadsplit",BOM!$N$4)),IF(ISERROR(SEARCH("rec",B251)),"none","merge"),"none")),IF(ISERROR(SEARCH("rec",B251)),"split","merge"))</f>
        <v>merge</v>
      </c>
    </row>
    <row r="252" spans="1:25" x14ac:dyDescent="0.2">
      <c r="A252" t="s">
        <v>1238</v>
      </c>
      <c r="B252" t="s">
        <v>1740</v>
      </c>
      <c r="C252" t="str">
        <f>IFERROR(VLOOKUP(B252,'Sender-Receiver'!$B$3:$BP$1500,61,FALSE),"")</f>
        <v>#SNP</v>
      </c>
      <c r="D252" t="str">
        <f>IFERROR(VLOOKUP(B252,'Sender-Receiver'!$B$3:$BP$1500,41,FALSE),"")</f>
        <v xml:space="preserve"> |  | IngSRV-06</v>
      </c>
      <c r="E252" t="s">
        <v>1240</v>
      </c>
      <c r="F252">
        <v>12</v>
      </c>
      <c r="G252" t="s">
        <v>1741</v>
      </c>
      <c r="M252" t="str">
        <f>IF(OR(BOM!$AE$4=FALSE,BOM!$AE$4="-"),IF(ISERROR(SEARCH("send",B252)),"","pool:TPC"),IF(ISERROR(SEARCH("send",B252)),"","pool:TPC|pool:TPC"))</f>
        <v/>
      </c>
      <c r="S252" t="str">
        <f>IFERROR(IF(VLOOKUP(B252,'Sender-Receiver'!$B$3:$BP$1500,60,FALSE)="x","true","false"),"false")</f>
        <v>false</v>
      </c>
      <c r="T252" t="str">
        <f t="shared" si="3"/>
        <v>off</v>
      </c>
      <c r="Y252" t="str">
        <f>IF(BOM!$AE$4=FALSE,IF(ISERROR(SEARCH("Embrionix",BOM!$M$4)),"none",IF(ISERROR(SEARCH("Quadsplit",BOM!$N$4)),IF(ISERROR(SEARCH("rec",B252)),"none","merge"),"none")),IF(ISERROR(SEARCH("rec",B252)),"split","merge"))</f>
        <v>merge</v>
      </c>
    </row>
    <row r="253" spans="1:25" x14ac:dyDescent="0.2">
      <c r="A253" t="s">
        <v>1238</v>
      </c>
      <c r="B253" t="s">
        <v>1742</v>
      </c>
      <c r="C253" t="str">
        <f>IFERROR(VLOOKUP(B253,'Sender-Receiver'!$B$3:$BP$1500,61,FALSE),"")</f>
        <v>#SNP</v>
      </c>
      <c r="D253" t="str">
        <f>IFERROR(VLOOKUP(B253,'Sender-Receiver'!$B$3:$BP$1500,41,FALSE),"")</f>
        <v xml:space="preserve"> |  | IngSRV-06</v>
      </c>
      <c r="E253" t="s">
        <v>1240</v>
      </c>
      <c r="F253">
        <v>12</v>
      </c>
      <c r="G253" t="s">
        <v>1743</v>
      </c>
      <c r="M253" t="str">
        <f>IF(OR(BOM!$AE$4=FALSE,BOM!$AE$4="-"),IF(ISERROR(SEARCH("send",B253)),"","pool:TPC"),IF(ISERROR(SEARCH("send",B253)),"","pool:TPC|pool:TPC"))</f>
        <v/>
      </c>
      <c r="S253" t="str">
        <f>IFERROR(IF(VLOOKUP(B253,'Sender-Receiver'!$B$3:$BP$1500,60,FALSE)="x","true","false"),"false")</f>
        <v>false</v>
      </c>
      <c r="T253" t="str">
        <f t="shared" si="3"/>
        <v>off</v>
      </c>
      <c r="Y253" t="str">
        <f>IF(BOM!$AE$4=FALSE,IF(ISERROR(SEARCH("Embrionix",BOM!$M$4)),"none",IF(ISERROR(SEARCH("Quadsplit",BOM!$N$4)),IF(ISERROR(SEARCH("rec",B253)),"none","merge"),"none")),IF(ISERROR(SEARCH("rec",B253)),"split","merge"))</f>
        <v>merge</v>
      </c>
    </row>
    <row r="254" spans="1:25" x14ac:dyDescent="0.2">
      <c r="A254" t="s">
        <v>1238</v>
      </c>
      <c r="B254" t="s">
        <v>1744</v>
      </c>
      <c r="C254" t="str">
        <f>IFERROR(VLOOKUP(B254,'Sender-Receiver'!$B$3:$BP$1500,61,FALSE),"")</f>
        <v>Type:Vid_1080i50,Type:Vid_1080p25,Type:Vid_1080p50,Type:Vid_1080p60,#SNP</v>
      </c>
      <c r="D254" t="str">
        <f>IFERROR(VLOOKUP(B254,'Sender-Receiver'!$B$3:$BP$1500,41,FALSE),"")</f>
        <v>M3H InCh 1zu1 | Ingest Ch25 | IngSRV-07</v>
      </c>
      <c r="E254" t="s">
        <v>1240</v>
      </c>
      <c r="F254">
        <v>13</v>
      </c>
      <c r="G254" t="s">
        <v>1745</v>
      </c>
      <c r="M254" t="str">
        <f>IF(OR(BOM!$AE$4=FALSE,BOM!$AE$4="-"),IF(ISERROR(SEARCH("send",B254)),"","pool:TPC"),IF(ISERROR(SEARCH("send",B254)),"","pool:TPC|pool:TPC"))</f>
        <v/>
      </c>
      <c r="S254" t="str">
        <f>IFERROR(IF(VLOOKUP(B254,'Sender-Receiver'!$B$3:$BP$1500,60,FALSE)="x","true","false"),"false")</f>
        <v>true</v>
      </c>
      <c r="T254" t="str">
        <f t="shared" si="3"/>
        <v>full</v>
      </c>
      <c r="Y254" t="str">
        <f>IF(BOM!$AE$4=FALSE,IF(ISERROR(SEARCH("Embrionix",BOM!$M$4)),"none",IF(ISERROR(SEARCH("Quadsplit",BOM!$N$4)),IF(ISERROR(SEARCH("rec",B254)),"none","merge"),"none")),IF(ISERROR(SEARCH("rec",B254)),"split","merge"))</f>
        <v>merge</v>
      </c>
    </row>
    <row r="255" spans="1:25" x14ac:dyDescent="0.2">
      <c r="A255" t="s">
        <v>1238</v>
      </c>
      <c r="B255" t="s">
        <v>1746</v>
      </c>
      <c r="C255" t="str">
        <f>IFERROR(VLOOKUP(B255,'Sender-Receiver'!$B$3:$BP$1500,61,FALSE),"")</f>
        <v>Type:Aud_1CH_M,Type:Aud_2CH_LR,Type:Aud_3CH_LRC,Type:Aud_6CH_5.1,#SNP</v>
      </c>
      <c r="D255" t="str">
        <f>IFERROR(VLOOKUP(B255,'Sender-Receiver'!$B$3:$BP$1500,41,FALSE),"")</f>
        <v>M3H InCh 1zu1 | Ingest Ch25-01 | IngSRV-07</v>
      </c>
      <c r="E255" t="s">
        <v>1240</v>
      </c>
      <c r="F255">
        <v>13</v>
      </c>
      <c r="G255" t="s">
        <v>1747</v>
      </c>
      <c r="M255" t="str">
        <f>IF(OR(BOM!$AE$4=FALSE,BOM!$AE$4="-"),IF(ISERROR(SEARCH("send",B255)),"","pool:TPC"),IF(ISERROR(SEARCH("send",B255)),"","pool:TPC|pool:TPC"))</f>
        <v/>
      </c>
      <c r="S255" t="str">
        <f>IFERROR(IF(VLOOKUP(B255,'Sender-Receiver'!$B$3:$BP$1500,60,FALSE)="x","true","false"),"false")</f>
        <v>true</v>
      </c>
      <c r="T255" t="str">
        <f t="shared" si="3"/>
        <v>full</v>
      </c>
      <c r="Y255" t="str">
        <f>IF(BOM!$AE$4=FALSE,IF(ISERROR(SEARCH("Embrionix",BOM!$M$4)),"none",IF(ISERROR(SEARCH("Quadsplit",BOM!$N$4)),IF(ISERROR(SEARCH("rec",B255)),"none","merge"),"none")),IF(ISERROR(SEARCH("rec",B255)),"split","merge"))</f>
        <v>merge</v>
      </c>
    </row>
    <row r="256" spans="1:25" x14ac:dyDescent="0.2">
      <c r="A256" t="s">
        <v>1238</v>
      </c>
      <c r="B256" t="s">
        <v>1748</v>
      </c>
      <c r="C256" t="str">
        <f>IFERROR(VLOOKUP(B256,'Sender-Receiver'!$B$3:$BP$1500,61,FALSE),"")</f>
        <v>Type:Aud_1CH_M,Type:Aud_2CH_LR,Type:Aud_3CH_LRC,Type:Aud_6CH_5.1,#SNP</v>
      </c>
      <c r="D256" t="str">
        <f>IFERROR(VLOOKUP(B256,'Sender-Receiver'!$B$3:$BP$1500,41,FALSE),"")</f>
        <v>M3H InCh 1zu1 | Ingest Ch25-02 | IngSRV-07</v>
      </c>
      <c r="E256" t="s">
        <v>1240</v>
      </c>
      <c r="F256">
        <v>13</v>
      </c>
      <c r="G256" t="s">
        <v>1749</v>
      </c>
      <c r="M256" t="str">
        <f>IF(OR(BOM!$AE$4=FALSE,BOM!$AE$4="-"),IF(ISERROR(SEARCH("send",B256)),"","pool:TPC"),IF(ISERROR(SEARCH("send",B256)),"","pool:TPC|pool:TPC"))</f>
        <v/>
      </c>
      <c r="S256" t="str">
        <f>IFERROR(IF(VLOOKUP(B256,'Sender-Receiver'!$B$3:$BP$1500,60,FALSE)="x","true","false"),"false")</f>
        <v>true</v>
      </c>
      <c r="T256" t="str">
        <f t="shared" si="3"/>
        <v>full</v>
      </c>
      <c r="Y256" t="str">
        <f>IF(BOM!$AE$4=FALSE,IF(ISERROR(SEARCH("Embrionix",BOM!$M$4)),"none",IF(ISERROR(SEARCH("Quadsplit",BOM!$N$4)),IF(ISERROR(SEARCH("rec",B256)),"none","merge"),"none")),IF(ISERROR(SEARCH("rec",B256)),"split","merge"))</f>
        <v>merge</v>
      </c>
    </row>
    <row r="257" spans="1:25" x14ac:dyDescent="0.2">
      <c r="A257" t="s">
        <v>1238</v>
      </c>
      <c r="B257" t="s">
        <v>1750</v>
      </c>
      <c r="C257" t="str">
        <f>IFERROR(VLOOKUP(B257,'Sender-Receiver'!$B$3:$BP$1500,61,FALSE),"")</f>
        <v>Type:Aud_1CH_M,Type:Aud_2CH_LR,Type:Aud_3CH_LRC,Type:Aud_6CH_5.1,#SNP</v>
      </c>
      <c r="D257" t="str">
        <f>IFERROR(VLOOKUP(B257,'Sender-Receiver'!$B$3:$BP$1500,41,FALSE),"")</f>
        <v>M3H InCh 1zu1 | Ingest Ch25-03 | IngSRV-07</v>
      </c>
      <c r="E257" t="s">
        <v>1240</v>
      </c>
      <c r="F257">
        <v>13</v>
      </c>
      <c r="G257" t="s">
        <v>1751</v>
      </c>
      <c r="M257" t="str">
        <f>IF(OR(BOM!$AE$4=FALSE,BOM!$AE$4="-"),IF(ISERROR(SEARCH("send",B257)),"","pool:TPC"),IF(ISERROR(SEARCH("send",B257)),"","pool:TPC|pool:TPC"))</f>
        <v/>
      </c>
      <c r="S257" t="str">
        <f>IFERROR(IF(VLOOKUP(B257,'Sender-Receiver'!$B$3:$BP$1500,60,FALSE)="x","true","false"),"false")</f>
        <v>true</v>
      </c>
      <c r="T257" t="str">
        <f t="shared" si="3"/>
        <v>full</v>
      </c>
      <c r="Y257" t="str">
        <f>IF(BOM!$AE$4=FALSE,IF(ISERROR(SEARCH("Embrionix",BOM!$M$4)),"none",IF(ISERROR(SEARCH("Quadsplit",BOM!$N$4)),IF(ISERROR(SEARCH("rec",B257)),"none","merge"),"none")),IF(ISERROR(SEARCH("rec",B257)),"split","merge"))</f>
        <v>merge</v>
      </c>
    </row>
    <row r="258" spans="1:25" x14ac:dyDescent="0.2">
      <c r="A258" t="s">
        <v>1238</v>
      </c>
      <c r="B258" t="s">
        <v>1752</v>
      </c>
      <c r="C258" t="str">
        <f>IFERROR(VLOOKUP(B258,'Sender-Receiver'!$B$3:$BP$1500,61,FALSE),"")</f>
        <v>Type:Aud_1CH_M,Type:Aud_2CH_LR,Type:Aud_3CH_LRC,Type:Aud_6CH_5.1,#SNP</v>
      </c>
      <c r="D258" t="str">
        <f>IFERROR(VLOOKUP(B258,'Sender-Receiver'!$B$3:$BP$1500,41,FALSE),"")</f>
        <v>M3H InCh 1zu1 | Ingest Ch25-04 | IngSRV-07</v>
      </c>
      <c r="E258" t="s">
        <v>1240</v>
      </c>
      <c r="F258">
        <v>13</v>
      </c>
      <c r="G258" t="s">
        <v>1753</v>
      </c>
      <c r="M258" t="str">
        <f>IF(OR(BOM!$AE$4=FALSE,BOM!$AE$4="-"),IF(ISERROR(SEARCH("send",B258)),"","pool:TPC"),IF(ISERROR(SEARCH("send",B258)),"","pool:TPC|pool:TPC"))</f>
        <v/>
      </c>
      <c r="S258" t="str">
        <f>IFERROR(IF(VLOOKUP(B258,'Sender-Receiver'!$B$3:$BP$1500,60,FALSE)="x","true","false"),"false")</f>
        <v>true</v>
      </c>
      <c r="T258" t="str">
        <f t="shared" si="3"/>
        <v>full</v>
      </c>
      <c r="Y258" t="str">
        <f>IF(BOM!$AE$4=FALSE,IF(ISERROR(SEARCH("Embrionix",BOM!$M$4)),"none",IF(ISERROR(SEARCH("Quadsplit",BOM!$N$4)),IF(ISERROR(SEARCH("rec",B258)),"none","merge"),"none")),IF(ISERROR(SEARCH("rec",B258)),"split","merge"))</f>
        <v>merge</v>
      </c>
    </row>
    <row r="259" spans="1:25" x14ac:dyDescent="0.2">
      <c r="A259" t="s">
        <v>1238</v>
      </c>
      <c r="B259" t="s">
        <v>1754</v>
      </c>
      <c r="C259" t="str">
        <f>IFERROR(VLOOKUP(B259,'Sender-Receiver'!$B$3:$BP$1500,61,FALSE),"")</f>
        <v>Type:Aud_1CH_M,Type:Aud_2CH_LR,Type:Aud_3CH_LRC,Type:Aud_6CH_5.1,#SNP</v>
      </c>
      <c r="D259" t="str">
        <f>IFERROR(VLOOKUP(B259,'Sender-Receiver'!$B$3:$BP$1500,41,FALSE),"")</f>
        <v>M3H InCh 1zu1 | Ingest Ch25-05 | IngSRV-07</v>
      </c>
      <c r="E259" t="s">
        <v>1240</v>
      </c>
      <c r="F259">
        <v>13</v>
      </c>
      <c r="G259" t="s">
        <v>1755</v>
      </c>
      <c r="M259" t="str">
        <f>IF(OR(BOM!$AE$4=FALSE,BOM!$AE$4="-"),IF(ISERROR(SEARCH("send",B259)),"","pool:TPC"),IF(ISERROR(SEARCH("send",B259)),"","pool:TPC|pool:TPC"))</f>
        <v/>
      </c>
      <c r="S259" t="str">
        <f>IFERROR(IF(VLOOKUP(B259,'Sender-Receiver'!$B$3:$BP$1500,60,FALSE)="x","true","false"),"false")</f>
        <v>true</v>
      </c>
      <c r="T259" t="str">
        <f t="shared" ref="T259:T322" si="4">IF(S259="true","full","off")</f>
        <v>full</v>
      </c>
      <c r="Y259" t="str">
        <f>IF(BOM!$AE$4=FALSE,IF(ISERROR(SEARCH("Embrionix",BOM!$M$4)),"none",IF(ISERROR(SEARCH("Quadsplit",BOM!$N$4)),IF(ISERROR(SEARCH("rec",B259)),"none","merge"),"none")),IF(ISERROR(SEARCH("rec",B259)),"split","merge"))</f>
        <v>merge</v>
      </c>
    </row>
    <row r="260" spans="1:25" x14ac:dyDescent="0.2">
      <c r="A260" t="s">
        <v>1238</v>
      </c>
      <c r="B260" t="s">
        <v>1756</v>
      </c>
      <c r="C260" t="str">
        <f>IFERROR(VLOOKUP(B260,'Sender-Receiver'!$B$3:$BP$1500,61,FALSE),"")</f>
        <v>Type:Aud_1CH_M,Type:Aud_2CH_LR,Type:Aud_3CH_LRC,Type:Aud_6CH_5.1,#SNP</v>
      </c>
      <c r="D260" t="str">
        <f>IFERROR(VLOOKUP(B260,'Sender-Receiver'!$B$3:$BP$1500,41,FALSE),"")</f>
        <v>M3H InCh 1zu1 | Ingest Ch25-06 | IngSRV-07</v>
      </c>
      <c r="E260" t="s">
        <v>1240</v>
      </c>
      <c r="F260">
        <v>13</v>
      </c>
      <c r="G260" t="s">
        <v>1757</v>
      </c>
      <c r="M260" t="str">
        <f>IF(OR(BOM!$AE$4=FALSE,BOM!$AE$4="-"),IF(ISERROR(SEARCH("send",B260)),"","pool:TPC"),IF(ISERROR(SEARCH("send",B260)),"","pool:TPC|pool:TPC"))</f>
        <v/>
      </c>
      <c r="S260" t="str">
        <f>IFERROR(IF(VLOOKUP(B260,'Sender-Receiver'!$B$3:$BP$1500,60,FALSE)="x","true","false"),"false")</f>
        <v>true</v>
      </c>
      <c r="T260" t="str">
        <f t="shared" si="4"/>
        <v>full</v>
      </c>
      <c r="Y260" t="str">
        <f>IF(BOM!$AE$4=FALSE,IF(ISERROR(SEARCH("Embrionix",BOM!$M$4)),"none",IF(ISERROR(SEARCH("Quadsplit",BOM!$N$4)),IF(ISERROR(SEARCH("rec",B260)),"none","merge"),"none")),IF(ISERROR(SEARCH("rec",B260)),"split","merge"))</f>
        <v>merge</v>
      </c>
    </row>
    <row r="261" spans="1:25" x14ac:dyDescent="0.2">
      <c r="A261" t="s">
        <v>1238</v>
      </c>
      <c r="B261" t="s">
        <v>1758</v>
      </c>
      <c r="C261" t="str">
        <f>IFERROR(VLOOKUP(B261,'Sender-Receiver'!$B$3:$BP$1500,61,FALSE),"")</f>
        <v>Type:Aud_1CH_M,Type:Aud_2CH_LR,Type:Aud_3CH_LRC,Type:Aud_6CH_5.1,#SNP</v>
      </c>
      <c r="D261" t="str">
        <f>IFERROR(VLOOKUP(B261,'Sender-Receiver'!$B$3:$BP$1500,41,FALSE),"")</f>
        <v>M3H InCh 1zu1 | Ingest Ch25-07 | IngSRV-07</v>
      </c>
      <c r="E261" t="s">
        <v>1240</v>
      </c>
      <c r="F261">
        <v>13</v>
      </c>
      <c r="G261" t="s">
        <v>1759</v>
      </c>
      <c r="M261" t="str">
        <f>IF(OR(BOM!$AE$4=FALSE,BOM!$AE$4="-"),IF(ISERROR(SEARCH("send",B261)),"","pool:TPC"),IF(ISERROR(SEARCH("send",B261)),"","pool:TPC|pool:TPC"))</f>
        <v/>
      </c>
      <c r="S261" t="str">
        <f>IFERROR(IF(VLOOKUP(B261,'Sender-Receiver'!$B$3:$BP$1500,60,FALSE)="x","true","false"),"false")</f>
        <v>true</v>
      </c>
      <c r="T261" t="str">
        <f t="shared" si="4"/>
        <v>full</v>
      </c>
      <c r="Y261" t="str">
        <f>IF(BOM!$AE$4=FALSE,IF(ISERROR(SEARCH("Embrionix",BOM!$M$4)),"none",IF(ISERROR(SEARCH("Quadsplit",BOM!$N$4)),IF(ISERROR(SEARCH("rec",B261)),"none","merge"),"none")),IF(ISERROR(SEARCH("rec",B261)),"split","merge"))</f>
        <v>merge</v>
      </c>
    </row>
    <row r="262" spans="1:25" x14ac:dyDescent="0.2">
      <c r="A262" t="s">
        <v>1238</v>
      </c>
      <c r="B262" t="s">
        <v>1760</v>
      </c>
      <c r="C262" t="str">
        <f>IFERROR(VLOOKUP(B262,'Sender-Receiver'!$B$3:$BP$1500,61,FALSE),"")</f>
        <v>Type:Aud_1CH_M,Type:Aud_2CH_LR,Type:Aud_3CH_LRC,Type:Aud_6CH_5.1,#SNP</v>
      </c>
      <c r="D262" t="str">
        <f>IFERROR(VLOOKUP(B262,'Sender-Receiver'!$B$3:$BP$1500,41,FALSE),"")</f>
        <v>M3H InCh 1zu1 | Ingest Ch25-08 | IngSRV-07</v>
      </c>
      <c r="E262" t="s">
        <v>1240</v>
      </c>
      <c r="F262">
        <v>13</v>
      </c>
      <c r="G262" t="s">
        <v>1761</v>
      </c>
      <c r="M262" t="str">
        <f>IF(OR(BOM!$AE$4=FALSE,BOM!$AE$4="-"),IF(ISERROR(SEARCH("send",B262)),"","pool:TPC"),IF(ISERROR(SEARCH("send",B262)),"","pool:TPC|pool:TPC"))</f>
        <v/>
      </c>
      <c r="S262" t="str">
        <f>IFERROR(IF(VLOOKUP(B262,'Sender-Receiver'!$B$3:$BP$1500,60,FALSE)="x","true","false"),"false")</f>
        <v>true</v>
      </c>
      <c r="T262" t="str">
        <f t="shared" si="4"/>
        <v>full</v>
      </c>
      <c r="Y262" t="str">
        <f>IF(BOM!$AE$4=FALSE,IF(ISERROR(SEARCH("Embrionix",BOM!$M$4)),"none",IF(ISERROR(SEARCH("Quadsplit",BOM!$N$4)),IF(ISERROR(SEARCH("rec",B262)),"none","merge"),"none")),IF(ISERROR(SEARCH("rec",B262)),"split","merge"))</f>
        <v>merge</v>
      </c>
    </row>
    <row r="263" spans="1:25" x14ac:dyDescent="0.2">
      <c r="A263" t="s">
        <v>1238</v>
      </c>
      <c r="B263" t="s">
        <v>1762</v>
      </c>
      <c r="C263" t="str">
        <f>IFERROR(VLOOKUP(B263,'Sender-Receiver'!$B$3:$BP$1500,61,FALSE),"")</f>
        <v>Type:Aud_1CH_M,Type:Aud_2CH_LR,Type:Aud_3CH_LRC,Type:Aud_6CH_5.1,#SNP</v>
      </c>
      <c r="D263" t="str">
        <f>IFERROR(VLOOKUP(B263,'Sender-Receiver'!$B$3:$BP$1500,41,FALSE),"")</f>
        <v>M3H InCh 1zu1 | Ingest Ch25-09 | IngSRV-07</v>
      </c>
      <c r="E263" t="s">
        <v>1240</v>
      </c>
      <c r="F263">
        <v>13</v>
      </c>
      <c r="G263" t="s">
        <v>1763</v>
      </c>
      <c r="M263" t="str">
        <f>IF(OR(BOM!$AE$4=FALSE,BOM!$AE$4="-"),IF(ISERROR(SEARCH("send",B263)),"","pool:TPC"),IF(ISERROR(SEARCH("send",B263)),"","pool:TPC|pool:TPC"))</f>
        <v/>
      </c>
      <c r="S263" t="str">
        <f>IFERROR(IF(VLOOKUP(B263,'Sender-Receiver'!$B$3:$BP$1500,60,FALSE)="x","true","false"),"false")</f>
        <v>true</v>
      </c>
      <c r="T263" t="str">
        <f t="shared" si="4"/>
        <v>full</v>
      </c>
      <c r="Y263" t="str">
        <f>IF(BOM!$AE$4=FALSE,IF(ISERROR(SEARCH("Embrionix",BOM!$M$4)),"none",IF(ISERROR(SEARCH("Quadsplit",BOM!$N$4)),IF(ISERROR(SEARCH("rec",B263)),"none","merge"),"none")),IF(ISERROR(SEARCH("rec",B263)),"split","merge"))</f>
        <v>merge</v>
      </c>
    </row>
    <row r="264" spans="1:25" x14ac:dyDescent="0.2">
      <c r="A264" t="s">
        <v>1238</v>
      </c>
      <c r="B264" t="s">
        <v>1764</v>
      </c>
      <c r="C264" t="str">
        <f>IFERROR(VLOOKUP(B264,'Sender-Receiver'!$B$3:$BP$1500,61,FALSE),"")</f>
        <v>#SNP</v>
      </c>
      <c r="D264" t="str">
        <f>IFERROR(VLOOKUP(B264,'Sender-Receiver'!$B$3:$BP$1500,41,FALSE),"")</f>
        <v xml:space="preserve"> |  | IngSRV-07</v>
      </c>
      <c r="E264" t="s">
        <v>1240</v>
      </c>
      <c r="F264">
        <v>13</v>
      </c>
      <c r="G264" t="s">
        <v>1765</v>
      </c>
      <c r="M264" t="str">
        <f>IF(OR(BOM!$AE$4=FALSE,BOM!$AE$4="-"),IF(ISERROR(SEARCH("send",B264)),"","pool:TPC"),IF(ISERROR(SEARCH("send",B264)),"","pool:TPC|pool:TPC"))</f>
        <v/>
      </c>
      <c r="S264" t="str">
        <f>IFERROR(IF(VLOOKUP(B264,'Sender-Receiver'!$B$3:$BP$1500,60,FALSE)="x","true","false"),"false")</f>
        <v>false</v>
      </c>
      <c r="T264" t="str">
        <f t="shared" si="4"/>
        <v>off</v>
      </c>
      <c r="Y264" t="str">
        <f>IF(BOM!$AE$4=FALSE,IF(ISERROR(SEARCH("Embrionix",BOM!$M$4)),"none",IF(ISERROR(SEARCH("Quadsplit",BOM!$N$4)),IF(ISERROR(SEARCH("rec",B264)),"none","merge"),"none")),IF(ISERROR(SEARCH("rec",B264)),"split","merge"))</f>
        <v>merge</v>
      </c>
    </row>
    <row r="265" spans="1:25" x14ac:dyDescent="0.2">
      <c r="A265" t="s">
        <v>1238</v>
      </c>
      <c r="B265" t="s">
        <v>1766</v>
      </c>
      <c r="C265" t="str">
        <f>IFERROR(VLOOKUP(B265,'Sender-Receiver'!$B$3:$BP$1500,61,FALSE),"")</f>
        <v>#SNP</v>
      </c>
      <c r="D265" t="str">
        <f>IFERROR(VLOOKUP(B265,'Sender-Receiver'!$B$3:$BP$1500,41,FALSE),"")</f>
        <v xml:space="preserve"> |  | IngSRV-07</v>
      </c>
      <c r="E265" t="s">
        <v>1240</v>
      </c>
      <c r="F265">
        <v>13</v>
      </c>
      <c r="G265" t="s">
        <v>1767</v>
      </c>
      <c r="M265" t="str">
        <f>IF(OR(BOM!$AE$4=FALSE,BOM!$AE$4="-"),IF(ISERROR(SEARCH("send",B265)),"","pool:TPC"),IF(ISERROR(SEARCH("send",B265)),"","pool:TPC|pool:TPC"))</f>
        <v/>
      </c>
      <c r="S265" t="str">
        <f>IFERROR(IF(VLOOKUP(B265,'Sender-Receiver'!$B$3:$BP$1500,60,FALSE)="x","true","false"),"false")</f>
        <v>false</v>
      </c>
      <c r="T265" t="str">
        <f t="shared" si="4"/>
        <v>off</v>
      </c>
      <c r="Y265" t="str">
        <f>IF(BOM!$AE$4=FALSE,IF(ISERROR(SEARCH("Embrionix",BOM!$M$4)),"none",IF(ISERROR(SEARCH("Quadsplit",BOM!$N$4)),IF(ISERROR(SEARCH("rec",B265)),"none","merge"),"none")),IF(ISERROR(SEARCH("rec",B265)),"split","merge"))</f>
        <v>merge</v>
      </c>
    </row>
    <row r="266" spans="1:25" x14ac:dyDescent="0.2">
      <c r="A266" t="s">
        <v>1238</v>
      </c>
      <c r="B266" t="s">
        <v>1768</v>
      </c>
      <c r="C266" t="str">
        <f>IFERROR(VLOOKUP(B266,'Sender-Receiver'!$B$3:$BP$1500,61,FALSE),"")</f>
        <v>#SNP</v>
      </c>
      <c r="D266" t="str">
        <f>IFERROR(VLOOKUP(B266,'Sender-Receiver'!$B$3:$BP$1500,41,FALSE),"")</f>
        <v xml:space="preserve"> |  | IngSRV-07</v>
      </c>
      <c r="E266" t="s">
        <v>1240</v>
      </c>
      <c r="F266">
        <v>13</v>
      </c>
      <c r="G266" t="s">
        <v>1769</v>
      </c>
      <c r="M266" t="str">
        <f>IF(OR(BOM!$AE$4=FALSE,BOM!$AE$4="-"),IF(ISERROR(SEARCH("send",B266)),"","pool:TPC"),IF(ISERROR(SEARCH("send",B266)),"","pool:TPC|pool:TPC"))</f>
        <v/>
      </c>
      <c r="S266" t="str">
        <f>IFERROR(IF(VLOOKUP(B266,'Sender-Receiver'!$B$3:$BP$1500,60,FALSE)="x","true","false"),"false")</f>
        <v>false</v>
      </c>
      <c r="T266" t="str">
        <f t="shared" si="4"/>
        <v>off</v>
      </c>
      <c r="Y266" t="str">
        <f>IF(BOM!$AE$4=FALSE,IF(ISERROR(SEARCH("Embrionix",BOM!$M$4)),"none",IF(ISERROR(SEARCH("Quadsplit",BOM!$N$4)),IF(ISERROR(SEARCH("rec",B266)),"none","merge"),"none")),IF(ISERROR(SEARCH("rec",B266)),"split","merge"))</f>
        <v>merge</v>
      </c>
    </row>
    <row r="267" spans="1:25" x14ac:dyDescent="0.2">
      <c r="A267" t="s">
        <v>1238</v>
      </c>
      <c r="B267" t="s">
        <v>1770</v>
      </c>
      <c r="C267" t="str">
        <f>IFERROR(VLOOKUP(B267,'Sender-Receiver'!$B$3:$BP$1500,61,FALSE),"")</f>
        <v>#SNP</v>
      </c>
      <c r="D267" t="str">
        <f>IFERROR(VLOOKUP(B267,'Sender-Receiver'!$B$3:$BP$1500,41,FALSE),"")</f>
        <v xml:space="preserve"> |  | IngSRV-07</v>
      </c>
      <c r="E267" t="s">
        <v>1240</v>
      </c>
      <c r="F267">
        <v>13</v>
      </c>
      <c r="G267" t="s">
        <v>1771</v>
      </c>
      <c r="M267" t="str">
        <f>IF(OR(BOM!$AE$4=FALSE,BOM!$AE$4="-"),IF(ISERROR(SEARCH("send",B267)),"","pool:TPC"),IF(ISERROR(SEARCH("send",B267)),"","pool:TPC|pool:TPC"))</f>
        <v/>
      </c>
      <c r="S267" t="str">
        <f>IFERROR(IF(VLOOKUP(B267,'Sender-Receiver'!$B$3:$BP$1500,60,FALSE)="x","true","false"),"false")</f>
        <v>false</v>
      </c>
      <c r="T267" t="str">
        <f t="shared" si="4"/>
        <v>off</v>
      </c>
      <c r="Y267" t="str">
        <f>IF(BOM!$AE$4=FALSE,IF(ISERROR(SEARCH("Embrionix",BOM!$M$4)),"none",IF(ISERROR(SEARCH("Quadsplit",BOM!$N$4)),IF(ISERROR(SEARCH("rec",B267)),"none","merge"),"none")),IF(ISERROR(SEARCH("rec",B267)),"split","merge"))</f>
        <v>merge</v>
      </c>
    </row>
    <row r="268" spans="1:25" x14ac:dyDescent="0.2">
      <c r="A268" t="s">
        <v>1238</v>
      </c>
      <c r="B268" t="s">
        <v>1772</v>
      </c>
      <c r="C268" t="str">
        <f>IFERROR(VLOOKUP(B268,'Sender-Receiver'!$B$3:$BP$1500,61,FALSE),"")</f>
        <v>#SNP</v>
      </c>
      <c r="D268" t="str">
        <f>IFERROR(VLOOKUP(B268,'Sender-Receiver'!$B$3:$BP$1500,41,FALSE),"")</f>
        <v xml:space="preserve"> |  | IngSRV-07</v>
      </c>
      <c r="E268" t="s">
        <v>1240</v>
      </c>
      <c r="F268">
        <v>13</v>
      </c>
      <c r="G268" t="s">
        <v>1773</v>
      </c>
      <c r="M268" t="str">
        <f>IF(OR(BOM!$AE$4=FALSE,BOM!$AE$4="-"),IF(ISERROR(SEARCH("send",B268)),"","pool:TPC"),IF(ISERROR(SEARCH("send",B268)),"","pool:TPC|pool:TPC"))</f>
        <v/>
      </c>
      <c r="S268" t="str">
        <f>IFERROR(IF(VLOOKUP(B268,'Sender-Receiver'!$B$3:$BP$1500,60,FALSE)="x","true","false"),"false")</f>
        <v>false</v>
      </c>
      <c r="T268" t="str">
        <f t="shared" si="4"/>
        <v>off</v>
      </c>
      <c r="Y268" t="str">
        <f>IF(BOM!$AE$4=FALSE,IF(ISERROR(SEARCH("Embrionix",BOM!$M$4)),"none",IF(ISERROR(SEARCH("Quadsplit",BOM!$N$4)),IF(ISERROR(SEARCH("rec",B268)),"none","merge"),"none")),IF(ISERROR(SEARCH("rec",B268)),"split","merge"))</f>
        <v>merge</v>
      </c>
    </row>
    <row r="269" spans="1:25" x14ac:dyDescent="0.2">
      <c r="A269" t="s">
        <v>1238</v>
      </c>
      <c r="B269" t="s">
        <v>1774</v>
      </c>
      <c r="C269" t="str">
        <f>IFERROR(VLOOKUP(B269,'Sender-Receiver'!$B$3:$BP$1500,61,FALSE),"")</f>
        <v>Type:Aud_1CH_M,Type:Aud_2CH_LR,Type:Aud_3CH_LRC,Type:Aud_6CH_5.1,Type:Aud_8CH_RAW,#SNP</v>
      </c>
      <c r="D269" t="str">
        <f>IFERROR(VLOOKUP(B269,'Sender-Receiver'!$B$3:$BP$1500,41,FALSE),"")</f>
        <v>M3H InCh 1zu1 | Ingest Ch25-15 | IngSRV-07</v>
      </c>
      <c r="E269" t="s">
        <v>1240</v>
      </c>
      <c r="F269">
        <v>13</v>
      </c>
      <c r="G269" t="s">
        <v>1775</v>
      </c>
      <c r="M269" t="str">
        <f>IF(OR(BOM!$AE$4=FALSE,BOM!$AE$4="-"),IF(ISERROR(SEARCH("send",B269)),"","pool:TPC"),IF(ISERROR(SEARCH("send",B269)),"","pool:TPC|pool:TPC"))</f>
        <v/>
      </c>
      <c r="S269" t="str">
        <f>IFERROR(IF(VLOOKUP(B269,'Sender-Receiver'!$B$3:$BP$1500,60,FALSE)="x","true","false"),"false")</f>
        <v>true</v>
      </c>
      <c r="T269" t="str">
        <f t="shared" si="4"/>
        <v>full</v>
      </c>
      <c r="Y269" t="str">
        <f>IF(BOM!$AE$4=FALSE,IF(ISERROR(SEARCH("Embrionix",BOM!$M$4)),"none",IF(ISERROR(SEARCH("Quadsplit",BOM!$N$4)),IF(ISERROR(SEARCH("rec",B269)),"none","merge"),"none")),IF(ISERROR(SEARCH("rec",B269)),"split","merge"))</f>
        <v>merge</v>
      </c>
    </row>
    <row r="270" spans="1:25" x14ac:dyDescent="0.2">
      <c r="A270" t="s">
        <v>1238</v>
      </c>
      <c r="B270" t="s">
        <v>1776</v>
      </c>
      <c r="C270" t="str">
        <f>IFERROR(VLOOKUP(B270,'Sender-Receiver'!$B$3:$BP$1500,61,FALSE),"")</f>
        <v>Type:Aud_1CH_M,Type:Aud_2CH_LR,Type:Aud_3CH_LRC,Type:Aud_6CH_5.1,Type:Aud_8CH_RAW,#SNP</v>
      </c>
      <c r="D270" t="str">
        <f>IFERROR(VLOOKUP(B270,'Sender-Receiver'!$B$3:$BP$1500,41,FALSE),"")</f>
        <v>M3H InCh 1zu1 | Ingest Ch25-16 | IngSRV-07</v>
      </c>
      <c r="E270" t="s">
        <v>1240</v>
      </c>
      <c r="F270">
        <v>13</v>
      </c>
      <c r="G270" t="s">
        <v>1777</v>
      </c>
      <c r="M270" t="str">
        <f>IF(OR(BOM!$AE$4=FALSE,BOM!$AE$4="-"),IF(ISERROR(SEARCH("send",B270)),"","pool:TPC"),IF(ISERROR(SEARCH("send",B270)),"","pool:TPC|pool:TPC"))</f>
        <v/>
      </c>
      <c r="S270" t="str">
        <f>IFERROR(IF(VLOOKUP(B270,'Sender-Receiver'!$B$3:$BP$1500,60,FALSE)="x","true","false"),"false")</f>
        <v>true</v>
      </c>
      <c r="T270" t="str">
        <f t="shared" si="4"/>
        <v>full</v>
      </c>
      <c r="Y270" t="str">
        <f>IF(BOM!$AE$4=FALSE,IF(ISERROR(SEARCH("Embrionix",BOM!$M$4)),"none",IF(ISERROR(SEARCH("Quadsplit",BOM!$N$4)),IF(ISERROR(SEARCH("rec",B270)),"none","merge"),"none")),IF(ISERROR(SEARCH("rec",B270)),"split","merge"))</f>
        <v>merge</v>
      </c>
    </row>
    <row r="271" spans="1:25" x14ac:dyDescent="0.2">
      <c r="A271" t="s">
        <v>1238</v>
      </c>
      <c r="B271" t="s">
        <v>1778</v>
      </c>
      <c r="C271" t="str">
        <f>IFERROR(VLOOKUP(B271,'Sender-Receiver'!$B$3:$BP$1500,61,FALSE),"")</f>
        <v>Type:Anc_Prot,#SNP</v>
      </c>
      <c r="D271" t="str">
        <f>IFERROR(VLOOKUP(B271,'Sender-Receiver'!$B$3:$BP$1500,41,FALSE),"")</f>
        <v>M3H InCh 1zu1 | Ingest Ch25-ANC1 | IngSRV-07</v>
      </c>
      <c r="E271" t="s">
        <v>1240</v>
      </c>
      <c r="F271">
        <v>13</v>
      </c>
      <c r="G271" t="s">
        <v>1779</v>
      </c>
      <c r="M271" t="str">
        <f>IF(OR(BOM!$AE$4=FALSE,BOM!$AE$4="-"),IF(ISERROR(SEARCH("send",B271)),"","pool:TPC"),IF(ISERROR(SEARCH("send",B271)),"","pool:TPC|pool:TPC"))</f>
        <v/>
      </c>
      <c r="S271" t="str">
        <f>IFERROR(IF(VLOOKUP(B271,'Sender-Receiver'!$B$3:$BP$1500,60,FALSE)="x","true","false"),"false")</f>
        <v>true</v>
      </c>
      <c r="T271" t="str">
        <f t="shared" si="4"/>
        <v>full</v>
      </c>
      <c r="Y271" t="str">
        <f>IF(BOM!$AE$4=FALSE,IF(ISERROR(SEARCH("Embrionix",BOM!$M$4)),"none",IF(ISERROR(SEARCH("Quadsplit",BOM!$N$4)),IF(ISERROR(SEARCH("rec",B271)),"none","merge"),"none")),IF(ISERROR(SEARCH("rec",B271)),"split","merge"))</f>
        <v>merge</v>
      </c>
    </row>
    <row r="272" spans="1:25" x14ac:dyDescent="0.2">
      <c r="A272" t="s">
        <v>1238</v>
      </c>
      <c r="B272" t="s">
        <v>1780</v>
      </c>
      <c r="C272" t="str">
        <f>IFERROR(VLOOKUP(B272,'Sender-Receiver'!$B$3:$BP$1500,61,FALSE),"")</f>
        <v>#SNP</v>
      </c>
      <c r="D272" t="str">
        <f>IFERROR(VLOOKUP(B272,'Sender-Receiver'!$B$3:$BP$1500,41,FALSE),"")</f>
        <v xml:space="preserve"> |  | IngSRV-07</v>
      </c>
      <c r="E272" t="s">
        <v>1240</v>
      </c>
      <c r="F272">
        <v>13</v>
      </c>
      <c r="G272" t="s">
        <v>1781</v>
      </c>
      <c r="M272" t="str">
        <f>IF(OR(BOM!$AE$4=FALSE,BOM!$AE$4="-"),IF(ISERROR(SEARCH("send",B272)),"","pool:TPC"),IF(ISERROR(SEARCH("send",B272)),"","pool:TPC|pool:TPC"))</f>
        <v/>
      </c>
      <c r="S272" t="str">
        <f>IFERROR(IF(VLOOKUP(B272,'Sender-Receiver'!$B$3:$BP$1500,60,FALSE)="x","true","false"),"false")</f>
        <v>false</v>
      </c>
      <c r="T272" t="str">
        <f t="shared" si="4"/>
        <v>off</v>
      </c>
      <c r="Y272" t="str">
        <f>IF(BOM!$AE$4=FALSE,IF(ISERROR(SEARCH("Embrionix",BOM!$M$4)),"none",IF(ISERROR(SEARCH("Quadsplit",BOM!$N$4)),IF(ISERROR(SEARCH("rec",B272)),"none","merge"),"none")),IF(ISERROR(SEARCH("rec",B272)),"split","merge"))</f>
        <v>merge</v>
      </c>
    </row>
    <row r="273" spans="1:25" x14ac:dyDescent="0.2">
      <c r="A273" t="s">
        <v>1238</v>
      </c>
      <c r="B273" t="s">
        <v>1782</v>
      </c>
      <c r="C273" t="str">
        <f>IFERROR(VLOOKUP(B273,'Sender-Receiver'!$B$3:$BP$1500,61,FALSE),"")</f>
        <v>#SNP</v>
      </c>
      <c r="D273" t="str">
        <f>IFERROR(VLOOKUP(B273,'Sender-Receiver'!$B$3:$BP$1500,41,FALSE),"")</f>
        <v xml:space="preserve"> |  | IngSRV-07</v>
      </c>
      <c r="E273" t="s">
        <v>1240</v>
      </c>
      <c r="F273">
        <v>13</v>
      </c>
      <c r="G273" t="s">
        <v>1783</v>
      </c>
      <c r="M273" t="str">
        <f>IF(OR(BOM!$AE$4=FALSE,BOM!$AE$4="-"),IF(ISERROR(SEARCH("send",B273)),"","pool:TPC"),IF(ISERROR(SEARCH("send",B273)),"","pool:TPC|pool:TPC"))</f>
        <v/>
      </c>
      <c r="S273" t="str">
        <f>IFERROR(IF(VLOOKUP(B273,'Sender-Receiver'!$B$3:$BP$1500,60,FALSE)="x","true","false"),"false")</f>
        <v>false</v>
      </c>
      <c r="T273" t="str">
        <f t="shared" si="4"/>
        <v>off</v>
      </c>
      <c r="Y273" t="str">
        <f>IF(BOM!$AE$4=FALSE,IF(ISERROR(SEARCH("Embrionix",BOM!$M$4)),"none",IF(ISERROR(SEARCH("Quadsplit",BOM!$N$4)),IF(ISERROR(SEARCH("rec",B273)),"none","merge"),"none")),IF(ISERROR(SEARCH("rec",B273)),"split","merge"))</f>
        <v>merge</v>
      </c>
    </row>
    <row r="274" spans="1:25" x14ac:dyDescent="0.2">
      <c r="A274" t="s">
        <v>1238</v>
      </c>
      <c r="B274" t="s">
        <v>1784</v>
      </c>
      <c r="C274" t="str">
        <f>IFERROR(VLOOKUP(B274,'Sender-Receiver'!$B$3:$BP$1500,61,FALSE),"")</f>
        <v>#SNP</v>
      </c>
      <c r="D274" t="str">
        <f>IFERROR(VLOOKUP(B274,'Sender-Receiver'!$B$3:$BP$1500,41,FALSE),"")</f>
        <v xml:space="preserve"> |  | IngSRV-07</v>
      </c>
      <c r="E274" t="s">
        <v>1240</v>
      </c>
      <c r="F274">
        <v>13</v>
      </c>
      <c r="G274" t="s">
        <v>1785</v>
      </c>
      <c r="M274" t="str">
        <f>IF(OR(BOM!$AE$4=FALSE,BOM!$AE$4="-"),IF(ISERROR(SEARCH("send",B274)),"","pool:TPC"),IF(ISERROR(SEARCH("send",B274)),"","pool:TPC|pool:TPC"))</f>
        <v/>
      </c>
      <c r="S274" t="str">
        <f>IFERROR(IF(VLOOKUP(B274,'Sender-Receiver'!$B$3:$BP$1500,60,FALSE)="x","true","false"),"false")</f>
        <v>false</v>
      </c>
      <c r="T274" t="str">
        <f t="shared" si="4"/>
        <v>off</v>
      </c>
      <c r="Y274" t="str">
        <f>IF(BOM!$AE$4=FALSE,IF(ISERROR(SEARCH("Embrionix",BOM!$M$4)),"none",IF(ISERROR(SEARCH("Quadsplit",BOM!$N$4)),IF(ISERROR(SEARCH("rec",B274)),"none","merge"),"none")),IF(ISERROR(SEARCH("rec",B274)),"split","merge"))</f>
        <v>merge</v>
      </c>
    </row>
    <row r="275" spans="1:25" x14ac:dyDescent="0.2">
      <c r="A275" t="s">
        <v>1238</v>
      </c>
      <c r="B275" t="s">
        <v>1786</v>
      </c>
      <c r="C275" t="str">
        <f>IFERROR(VLOOKUP(B275,'Sender-Receiver'!$B$3:$BP$1500,61,FALSE),"")</f>
        <v>Type:Vid_1080i50,Type:Vid_1080p25,Type:Vid_1080p50,Type:Vid_1080p60,#SNP</v>
      </c>
      <c r="D275" t="str">
        <f>IFERROR(VLOOKUP(B275,'Sender-Receiver'!$B$3:$BP$1500,41,FALSE),"")</f>
        <v>M3H InCh 1zu1 | Ingest Ch26 | IngSRV-07</v>
      </c>
      <c r="E275" t="s">
        <v>1240</v>
      </c>
      <c r="F275">
        <v>14</v>
      </c>
      <c r="G275" t="s">
        <v>1787</v>
      </c>
      <c r="M275" t="str">
        <f>IF(OR(BOM!$AE$4=FALSE,BOM!$AE$4="-"),IF(ISERROR(SEARCH("send",B275)),"","pool:TPC"),IF(ISERROR(SEARCH("send",B275)),"","pool:TPC|pool:TPC"))</f>
        <v/>
      </c>
      <c r="S275" t="str">
        <f>IFERROR(IF(VLOOKUP(B275,'Sender-Receiver'!$B$3:$BP$1500,60,FALSE)="x","true","false"),"false")</f>
        <v>true</v>
      </c>
      <c r="T275" t="str">
        <f t="shared" si="4"/>
        <v>full</v>
      </c>
      <c r="Y275" t="str">
        <f>IF(BOM!$AE$4=FALSE,IF(ISERROR(SEARCH("Embrionix",BOM!$M$4)),"none",IF(ISERROR(SEARCH("Quadsplit",BOM!$N$4)),IF(ISERROR(SEARCH("rec",B275)),"none","merge"),"none")),IF(ISERROR(SEARCH("rec",B275)),"split","merge"))</f>
        <v>merge</v>
      </c>
    </row>
    <row r="276" spans="1:25" x14ac:dyDescent="0.2">
      <c r="A276" t="s">
        <v>1238</v>
      </c>
      <c r="B276" t="s">
        <v>1788</v>
      </c>
      <c r="C276" t="str">
        <f>IFERROR(VLOOKUP(B276,'Sender-Receiver'!$B$3:$BP$1500,61,FALSE),"")</f>
        <v>Type:Aud_1CH_M,Type:Aud_2CH_LR,Type:Aud_3CH_LRC,Type:Aud_6CH_5.1,#SNP</v>
      </c>
      <c r="D276" t="str">
        <f>IFERROR(VLOOKUP(B276,'Sender-Receiver'!$B$3:$BP$1500,41,FALSE),"")</f>
        <v>M3H InCh 1zu1 | Ingest Ch26-01 | IngSRV-07</v>
      </c>
      <c r="E276" t="s">
        <v>1240</v>
      </c>
      <c r="F276">
        <v>14</v>
      </c>
      <c r="G276" t="s">
        <v>1789</v>
      </c>
      <c r="M276" t="str">
        <f>IF(OR(BOM!$AE$4=FALSE,BOM!$AE$4="-"),IF(ISERROR(SEARCH("send",B276)),"","pool:TPC"),IF(ISERROR(SEARCH("send",B276)),"","pool:TPC|pool:TPC"))</f>
        <v/>
      </c>
      <c r="S276" t="str">
        <f>IFERROR(IF(VLOOKUP(B276,'Sender-Receiver'!$B$3:$BP$1500,60,FALSE)="x","true","false"),"false")</f>
        <v>true</v>
      </c>
      <c r="T276" t="str">
        <f t="shared" si="4"/>
        <v>full</v>
      </c>
      <c r="Y276" t="str">
        <f>IF(BOM!$AE$4=FALSE,IF(ISERROR(SEARCH("Embrionix",BOM!$M$4)),"none",IF(ISERROR(SEARCH("Quadsplit",BOM!$N$4)),IF(ISERROR(SEARCH("rec",B276)),"none","merge"),"none")),IF(ISERROR(SEARCH("rec",B276)),"split","merge"))</f>
        <v>merge</v>
      </c>
    </row>
    <row r="277" spans="1:25" x14ac:dyDescent="0.2">
      <c r="A277" t="s">
        <v>1238</v>
      </c>
      <c r="B277" t="s">
        <v>1790</v>
      </c>
      <c r="C277" t="str">
        <f>IFERROR(VLOOKUP(B277,'Sender-Receiver'!$B$3:$BP$1500,61,FALSE),"")</f>
        <v>Type:Aud_1CH_M,Type:Aud_2CH_LR,Type:Aud_3CH_LRC,Type:Aud_6CH_5.1,#SNP</v>
      </c>
      <c r="D277" t="str">
        <f>IFERROR(VLOOKUP(B277,'Sender-Receiver'!$B$3:$BP$1500,41,FALSE),"")</f>
        <v>M3H InCh 1zu1 | Ingest Ch26-02 | IngSRV-07</v>
      </c>
      <c r="E277" t="s">
        <v>1240</v>
      </c>
      <c r="F277">
        <v>14</v>
      </c>
      <c r="G277" t="s">
        <v>1791</v>
      </c>
      <c r="M277" t="str">
        <f>IF(OR(BOM!$AE$4=FALSE,BOM!$AE$4="-"),IF(ISERROR(SEARCH("send",B277)),"","pool:TPC"),IF(ISERROR(SEARCH("send",B277)),"","pool:TPC|pool:TPC"))</f>
        <v/>
      </c>
      <c r="S277" t="str">
        <f>IFERROR(IF(VLOOKUP(B277,'Sender-Receiver'!$B$3:$BP$1500,60,FALSE)="x","true","false"),"false")</f>
        <v>true</v>
      </c>
      <c r="T277" t="str">
        <f t="shared" si="4"/>
        <v>full</v>
      </c>
      <c r="Y277" t="str">
        <f>IF(BOM!$AE$4=FALSE,IF(ISERROR(SEARCH("Embrionix",BOM!$M$4)),"none",IF(ISERROR(SEARCH("Quadsplit",BOM!$N$4)),IF(ISERROR(SEARCH("rec",B277)),"none","merge"),"none")),IF(ISERROR(SEARCH("rec",B277)),"split","merge"))</f>
        <v>merge</v>
      </c>
    </row>
    <row r="278" spans="1:25" x14ac:dyDescent="0.2">
      <c r="A278" t="s">
        <v>1238</v>
      </c>
      <c r="B278" t="s">
        <v>1792</v>
      </c>
      <c r="C278" t="str">
        <f>IFERROR(VLOOKUP(B278,'Sender-Receiver'!$B$3:$BP$1500,61,FALSE),"")</f>
        <v>Type:Aud_1CH_M,Type:Aud_2CH_LR,Type:Aud_3CH_LRC,Type:Aud_6CH_5.1,#SNP</v>
      </c>
      <c r="D278" t="str">
        <f>IFERROR(VLOOKUP(B278,'Sender-Receiver'!$B$3:$BP$1500,41,FALSE),"")</f>
        <v>M3H InCh 1zu1 | Ingest Ch26-03 | IngSRV-07</v>
      </c>
      <c r="E278" t="s">
        <v>1240</v>
      </c>
      <c r="F278">
        <v>14</v>
      </c>
      <c r="G278" t="s">
        <v>1793</v>
      </c>
      <c r="M278" t="str">
        <f>IF(OR(BOM!$AE$4=FALSE,BOM!$AE$4="-"),IF(ISERROR(SEARCH("send",B278)),"","pool:TPC"),IF(ISERROR(SEARCH("send",B278)),"","pool:TPC|pool:TPC"))</f>
        <v/>
      </c>
      <c r="S278" t="str">
        <f>IFERROR(IF(VLOOKUP(B278,'Sender-Receiver'!$B$3:$BP$1500,60,FALSE)="x","true","false"),"false")</f>
        <v>true</v>
      </c>
      <c r="T278" t="str">
        <f t="shared" si="4"/>
        <v>full</v>
      </c>
      <c r="Y278" t="str">
        <f>IF(BOM!$AE$4=FALSE,IF(ISERROR(SEARCH("Embrionix",BOM!$M$4)),"none",IF(ISERROR(SEARCH("Quadsplit",BOM!$N$4)),IF(ISERROR(SEARCH("rec",B278)),"none","merge"),"none")),IF(ISERROR(SEARCH("rec",B278)),"split","merge"))</f>
        <v>merge</v>
      </c>
    </row>
    <row r="279" spans="1:25" x14ac:dyDescent="0.2">
      <c r="A279" t="s">
        <v>1238</v>
      </c>
      <c r="B279" t="s">
        <v>1794</v>
      </c>
      <c r="C279" t="str">
        <f>IFERROR(VLOOKUP(B279,'Sender-Receiver'!$B$3:$BP$1500,61,FALSE),"")</f>
        <v>Type:Aud_1CH_M,Type:Aud_2CH_LR,Type:Aud_3CH_LRC,Type:Aud_6CH_5.1,#SNP</v>
      </c>
      <c r="D279" t="str">
        <f>IFERROR(VLOOKUP(B279,'Sender-Receiver'!$B$3:$BP$1500,41,FALSE),"")</f>
        <v>M3H InCh 1zu1 | Ingest Ch26-04 | IngSRV-07</v>
      </c>
      <c r="E279" t="s">
        <v>1240</v>
      </c>
      <c r="F279">
        <v>14</v>
      </c>
      <c r="G279" t="s">
        <v>1795</v>
      </c>
      <c r="M279" t="str">
        <f>IF(OR(BOM!$AE$4=FALSE,BOM!$AE$4="-"),IF(ISERROR(SEARCH("send",B279)),"","pool:TPC"),IF(ISERROR(SEARCH("send",B279)),"","pool:TPC|pool:TPC"))</f>
        <v/>
      </c>
      <c r="S279" t="str">
        <f>IFERROR(IF(VLOOKUP(B279,'Sender-Receiver'!$B$3:$BP$1500,60,FALSE)="x","true","false"),"false")</f>
        <v>true</v>
      </c>
      <c r="T279" t="str">
        <f t="shared" si="4"/>
        <v>full</v>
      </c>
      <c r="Y279" t="str">
        <f>IF(BOM!$AE$4=FALSE,IF(ISERROR(SEARCH("Embrionix",BOM!$M$4)),"none",IF(ISERROR(SEARCH("Quadsplit",BOM!$N$4)),IF(ISERROR(SEARCH("rec",B279)),"none","merge"),"none")),IF(ISERROR(SEARCH("rec",B279)),"split","merge"))</f>
        <v>merge</v>
      </c>
    </row>
    <row r="280" spans="1:25" x14ac:dyDescent="0.2">
      <c r="A280" t="s">
        <v>1238</v>
      </c>
      <c r="B280" t="s">
        <v>1796</v>
      </c>
      <c r="C280" t="str">
        <f>IFERROR(VLOOKUP(B280,'Sender-Receiver'!$B$3:$BP$1500,61,FALSE),"")</f>
        <v>Type:Aud_1CH_M,Type:Aud_2CH_LR,Type:Aud_3CH_LRC,Type:Aud_6CH_5.1,#SNP</v>
      </c>
      <c r="D280" t="str">
        <f>IFERROR(VLOOKUP(B280,'Sender-Receiver'!$B$3:$BP$1500,41,FALSE),"")</f>
        <v>M3H InCh 1zu1 | Ingest Ch26-05 | IngSRV-07</v>
      </c>
      <c r="E280" t="s">
        <v>1240</v>
      </c>
      <c r="F280">
        <v>14</v>
      </c>
      <c r="G280" t="s">
        <v>1797</v>
      </c>
      <c r="M280" t="str">
        <f>IF(OR(BOM!$AE$4=FALSE,BOM!$AE$4="-"),IF(ISERROR(SEARCH("send",B280)),"","pool:TPC"),IF(ISERROR(SEARCH("send",B280)),"","pool:TPC|pool:TPC"))</f>
        <v/>
      </c>
      <c r="S280" t="str">
        <f>IFERROR(IF(VLOOKUP(B280,'Sender-Receiver'!$B$3:$BP$1500,60,FALSE)="x","true","false"),"false")</f>
        <v>true</v>
      </c>
      <c r="T280" t="str">
        <f t="shared" si="4"/>
        <v>full</v>
      </c>
      <c r="Y280" t="str">
        <f>IF(BOM!$AE$4=FALSE,IF(ISERROR(SEARCH("Embrionix",BOM!$M$4)),"none",IF(ISERROR(SEARCH("Quadsplit",BOM!$N$4)),IF(ISERROR(SEARCH("rec",B280)),"none","merge"),"none")),IF(ISERROR(SEARCH("rec",B280)),"split","merge"))</f>
        <v>merge</v>
      </c>
    </row>
    <row r="281" spans="1:25" x14ac:dyDescent="0.2">
      <c r="A281" t="s">
        <v>1238</v>
      </c>
      <c r="B281" t="s">
        <v>1798</v>
      </c>
      <c r="C281" t="str">
        <f>IFERROR(VLOOKUP(B281,'Sender-Receiver'!$B$3:$BP$1500,61,FALSE),"")</f>
        <v>Type:Aud_1CH_M,Type:Aud_2CH_LR,Type:Aud_3CH_LRC,Type:Aud_6CH_5.1,#SNP</v>
      </c>
      <c r="D281" t="str">
        <f>IFERROR(VLOOKUP(B281,'Sender-Receiver'!$B$3:$BP$1500,41,FALSE),"")</f>
        <v>M3H InCh 1zu1 | Ingest Ch26-06 | IngSRV-07</v>
      </c>
      <c r="E281" t="s">
        <v>1240</v>
      </c>
      <c r="F281">
        <v>14</v>
      </c>
      <c r="G281" t="s">
        <v>1799</v>
      </c>
      <c r="M281" t="str">
        <f>IF(OR(BOM!$AE$4=FALSE,BOM!$AE$4="-"),IF(ISERROR(SEARCH("send",B281)),"","pool:TPC"),IF(ISERROR(SEARCH("send",B281)),"","pool:TPC|pool:TPC"))</f>
        <v/>
      </c>
      <c r="S281" t="str">
        <f>IFERROR(IF(VLOOKUP(B281,'Sender-Receiver'!$B$3:$BP$1500,60,FALSE)="x","true","false"),"false")</f>
        <v>true</v>
      </c>
      <c r="T281" t="str">
        <f t="shared" si="4"/>
        <v>full</v>
      </c>
      <c r="Y281" t="str">
        <f>IF(BOM!$AE$4=FALSE,IF(ISERROR(SEARCH("Embrionix",BOM!$M$4)),"none",IF(ISERROR(SEARCH("Quadsplit",BOM!$N$4)),IF(ISERROR(SEARCH("rec",B281)),"none","merge"),"none")),IF(ISERROR(SEARCH("rec",B281)),"split","merge"))</f>
        <v>merge</v>
      </c>
    </row>
    <row r="282" spans="1:25" x14ac:dyDescent="0.2">
      <c r="A282" t="s">
        <v>1238</v>
      </c>
      <c r="B282" t="s">
        <v>1800</v>
      </c>
      <c r="C282" t="str">
        <f>IFERROR(VLOOKUP(B282,'Sender-Receiver'!$B$3:$BP$1500,61,FALSE),"")</f>
        <v>Type:Aud_1CH_M,Type:Aud_2CH_LR,Type:Aud_3CH_LRC,Type:Aud_6CH_5.1,#SNP</v>
      </c>
      <c r="D282" t="str">
        <f>IFERROR(VLOOKUP(B282,'Sender-Receiver'!$B$3:$BP$1500,41,FALSE),"")</f>
        <v>M3H InCh 1zu1 | Ingest Ch26-07 | IngSRV-07</v>
      </c>
      <c r="E282" t="s">
        <v>1240</v>
      </c>
      <c r="F282">
        <v>14</v>
      </c>
      <c r="G282" t="s">
        <v>1801</v>
      </c>
      <c r="M282" t="str">
        <f>IF(OR(BOM!$AE$4=FALSE,BOM!$AE$4="-"),IF(ISERROR(SEARCH("send",B282)),"","pool:TPC"),IF(ISERROR(SEARCH("send",B282)),"","pool:TPC|pool:TPC"))</f>
        <v/>
      </c>
      <c r="S282" t="str">
        <f>IFERROR(IF(VLOOKUP(B282,'Sender-Receiver'!$B$3:$BP$1500,60,FALSE)="x","true","false"),"false")</f>
        <v>true</v>
      </c>
      <c r="T282" t="str">
        <f t="shared" si="4"/>
        <v>full</v>
      </c>
      <c r="Y282" t="str">
        <f>IF(BOM!$AE$4=FALSE,IF(ISERROR(SEARCH("Embrionix",BOM!$M$4)),"none",IF(ISERROR(SEARCH("Quadsplit",BOM!$N$4)),IF(ISERROR(SEARCH("rec",B282)),"none","merge"),"none")),IF(ISERROR(SEARCH("rec",B282)),"split","merge"))</f>
        <v>merge</v>
      </c>
    </row>
    <row r="283" spans="1:25" x14ac:dyDescent="0.2">
      <c r="A283" t="s">
        <v>1238</v>
      </c>
      <c r="B283" t="s">
        <v>1802</v>
      </c>
      <c r="C283" t="str">
        <f>IFERROR(VLOOKUP(B283,'Sender-Receiver'!$B$3:$BP$1500,61,FALSE),"")</f>
        <v>Type:Aud_1CH_M,Type:Aud_2CH_LR,Type:Aud_3CH_LRC,Type:Aud_6CH_5.1,#SNP</v>
      </c>
      <c r="D283" t="str">
        <f>IFERROR(VLOOKUP(B283,'Sender-Receiver'!$B$3:$BP$1500,41,FALSE),"")</f>
        <v>M3H InCh 1zu1 | Ingest Ch26-08 | IngSRV-07</v>
      </c>
      <c r="E283" t="s">
        <v>1240</v>
      </c>
      <c r="F283">
        <v>14</v>
      </c>
      <c r="G283" t="s">
        <v>1803</v>
      </c>
      <c r="M283" t="str">
        <f>IF(OR(BOM!$AE$4=FALSE,BOM!$AE$4="-"),IF(ISERROR(SEARCH("send",B283)),"","pool:TPC"),IF(ISERROR(SEARCH("send",B283)),"","pool:TPC|pool:TPC"))</f>
        <v/>
      </c>
      <c r="S283" t="str">
        <f>IFERROR(IF(VLOOKUP(B283,'Sender-Receiver'!$B$3:$BP$1500,60,FALSE)="x","true","false"),"false")</f>
        <v>true</v>
      </c>
      <c r="T283" t="str">
        <f t="shared" si="4"/>
        <v>full</v>
      </c>
      <c r="Y283" t="str">
        <f>IF(BOM!$AE$4=FALSE,IF(ISERROR(SEARCH("Embrionix",BOM!$M$4)),"none",IF(ISERROR(SEARCH("Quadsplit",BOM!$N$4)),IF(ISERROR(SEARCH("rec",B283)),"none","merge"),"none")),IF(ISERROR(SEARCH("rec",B283)),"split","merge"))</f>
        <v>merge</v>
      </c>
    </row>
    <row r="284" spans="1:25" x14ac:dyDescent="0.2">
      <c r="A284" t="s">
        <v>1238</v>
      </c>
      <c r="B284" t="s">
        <v>1804</v>
      </c>
      <c r="C284" t="str">
        <f>IFERROR(VLOOKUP(B284,'Sender-Receiver'!$B$3:$BP$1500,61,FALSE),"")</f>
        <v>Type:Aud_1CH_M,Type:Aud_2CH_LR,Type:Aud_3CH_LRC,Type:Aud_6CH_5.1,#SNP</v>
      </c>
      <c r="D284" t="str">
        <f>IFERROR(VLOOKUP(B284,'Sender-Receiver'!$B$3:$BP$1500,41,FALSE),"")</f>
        <v>M3H InCh 1zu1 | Ingest Ch26-09 | IngSRV-07</v>
      </c>
      <c r="E284" t="s">
        <v>1240</v>
      </c>
      <c r="F284">
        <v>14</v>
      </c>
      <c r="G284" t="s">
        <v>1805</v>
      </c>
      <c r="M284" t="str">
        <f>IF(OR(BOM!$AE$4=FALSE,BOM!$AE$4="-"),IF(ISERROR(SEARCH("send",B284)),"","pool:TPC"),IF(ISERROR(SEARCH("send",B284)),"","pool:TPC|pool:TPC"))</f>
        <v/>
      </c>
      <c r="S284" t="str">
        <f>IFERROR(IF(VLOOKUP(B284,'Sender-Receiver'!$B$3:$BP$1500,60,FALSE)="x","true","false"),"false")</f>
        <v>true</v>
      </c>
      <c r="T284" t="str">
        <f t="shared" si="4"/>
        <v>full</v>
      </c>
      <c r="Y284" t="str">
        <f>IF(BOM!$AE$4=FALSE,IF(ISERROR(SEARCH("Embrionix",BOM!$M$4)),"none",IF(ISERROR(SEARCH("Quadsplit",BOM!$N$4)),IF(ISERROR(SEARCH("rec",B284)),"none","merge"),"none")),IF(ISERROR(SEARCH("rec",B284)),"split","merge"))</f>
        <v>merge</v>
      </c>
    </row>
    <row r="285" spans="1:25" x14ac:dyDescent="0.2">
      <c r="A285" t="s">
        <v>1238</v>
      </c>
      <c r="B285" t="s">
        <v>1806</v>
      </c>
      <c r="C285" t="str">
        <f>IFERROR(VLOOKUP(B285,'Sender-Receiver'!$B$3:$BP$1500,61,FALSE),"")</f>
        <v>#SNP</v>
      </c>
      <c r="D285" t="str">
        <f>IFERROR(VLOOKUP(B285,'Sender-Receiver'!$B$3:$BP$1500,41,FALSE),"")</f>
        <v xml:space="preserve"> |  | IngSRV-07</v>
      </c>
      <c r="E285" t="s">
        <v>1240</v>
      </c>
      <c r="F285">
        <v>14</v>
      </c>
      <c r="G285" t="s">
        <v>1807</v>
      </c>
      <c r="M285" t="str">
        <f>IF(OR(BOM!$AE$4=FALSE,BOM!$AE$4="-"),IF(ISERROR(SEARCH("send",B285)),"","pool:TPC"),IF(ISERROR(SEARCH("send",B285)),"","pool:TPC|pool:TPC"))</f>
        <v/>
      </c>
      <c r="S285" t="str">
        <f>IFERROR(IF(VLOOKUP(B285,'Sender-Receiver'!$B$3:$BP$1500,60,FALSE)="x","true","false"),"false")</f>
        <v>false</v>
      </c>
      <c r="T285" t="str">
        <f t="shared" si="4"/>
        <v>off</v>
      </c>
      <c r="Y285" t="str">
        <f>IF(BOM!$AE$4=FALSE,IF(ISERROR(SEARCH("Embrionix",BOM!$M$4)),"none",IF(ISERROR(SEARCH("Quadsplit",BOM!$N$4)),IF(ISERROR(SEARCH("rec",B285)),"none","merge"),"none")),IF(ISERROR(SEARCH("rec",B285)),"split","merge"))</f>
        <v>merge</v>
      </c>
    </row>
    <row r="286" spans="1:25" x14ac:dyDescent="0.2">
      <c r="A286" t="s">
        <v>1238</v>
      </c>
      <c r="B286" t="s">
        <v>1808</v>
      </c>
      <c r="C286" t="str">
        <f>IFERROR(VLOOKUP(B286,'Sender-Receiver'!$B$3:$BP$1500,61,FALSE),"")</f>
        <v>#SNP</v>
      </c>
      <c r="D286" t="str">
        <f>IFERROR(VLOOKUP(B286,'Sender-Receiver'!$B$3:$BP$1500,41,FALSE),"")</f>
        <v xml:space="preserve"> |  | IngSRV-07</v>
      </c>
      <c r="E286" t="s">
        <v>1240</v>
      </c>
      <c r="F286">
        <v>14</v>
      </c>
      <c r="G286" t="s">
        <v>1809</v>
      </c>
      <c r="M286" t="str">
        <f>IF(OR(BOM!$AE$4=FALSE,BOM!$AE$4="-"),IF(ISERROR(SEARCH("send",B286)),"","pool:TPC"),IF(ISERROR(SEARCH("send",B286)),"","pool:TPC|pool:TPC"))</f>
        <v/>
      </c>
      <c r="S286" t="str">
        <f>IFERROR(IF(VLOOKUP(B286,'Sender-Receiver'!$B$3:$BP$1500,60,FALSE)="x","true","false"),"false")</f>
        <v>false</v>
      </c>
      <c r="T286" t="str">
        <f t="shared" si="4"/>
        <v>off</v>
      </c>
      <c r="Y286" t="str">
        <f>IF(BOM!$AE$4=FALSE,IF(ISERROR(SEARCH("Embrionix",BOM!$M$4)),"none",IF(ISERROR(SEARCH("Quadsplit",BOM!$N$4)),IF(ISERROR(SEARCH("rec",B286)),"none","merge"),"none")),IF(ISERROR(SEARCH("rec",B286)),"split","merge"))</f>
        <v>merge</v>
      </c>
    </row>
    <row r="287" spans="1:25" x14ac:dyDescent="0.2">
      <c r="A287" t="s">
        <v>1238</v>
      </c>
      <c r="B287" t="s">
        <v>1810</v>
      </c>
      <c r="C287" t="str">
        <f>IFERROR(VLOOKUP(B287,'Sender-Receiver'!$B$3:$BP$1500,61,FALSE),"")</f>
        <v>#SNP</v>
      </c>
      <c r="D287" t="str">
        <f>IFERROR(VLOOKUP(B287,'Sender-Receiver'!$B$3:$BP$1500,41,FALSE),"")</f>
        <v xml:space="preserve"> |  | IngSRV-07</v>
      </c>
      <c r="E287" t="s">
        <v>1240</v>
      </c>
      <c r="F287">
        <v>14</v>
      </c>
      <c r="G287" t="s">
        <v>1811</v>
      </c>
      <c r="M287" t="str">
        <f>IF(OR(BOM!$AE$4=FALSE,BOM!$AE$4="-"),IF(ISERROR(SEARCH("send",B287)),"","pool:TPC"),IF(ISERROR(SEARCH("send",B287)),"","pool:TPC|pool:TPC"))</f>
        <v/>
      </c>
      <c r="S287" t="str">
        <f>IFERROR(IF(VLOOKUP(B287,'Sender-Receiver'!$B$3:$BP$1500,60,FALSE)="x","true","false"),"false")</f>
        <v>false</v>
      </c>
      <c r="T287" t="str">
        <f t="shared" si="4"/>
        <v>off</v>
      </c>
      <c r="Y287" t="str">
        <f>IF(BOM!$AE$4=FALSE,IF(ISERROR(SEARCH("Embrionix",BOM!$M$4)),"none",IF(ISERROR(SEARCH("Quadsplit",BOM!$N$4)),IF(ISERROR(SEARCH("rec",B287)),"none","merge"),"none")),IF(ISERROR(SEARCH("rec",B287)),"split","merge"))</f>
        <v>merge</v>
      </c>
    </row>
    <row r="288" spans="1:25" x14ac:dyDescent="0.2">
      <c r="A288" t="s">
        <v>1238</v>
      </c>
      <c r="B288" t="s">
        <v>1812</v>
      </c>
      <c r="C288" t="str">
        <f>IFERROR(VLOOKUP(B288,'Sender-Receiver'!$B$3:$BP$1500,61,FALSE),"")</f>
        <v>#SNP</v>
      </c>
      <c r="D288" t="str">
        <f>IFERROR(VLOOKUP(B288,'Sender-Receiver'!$B$3:$BP$1500,41,FALSE),"")</f>
        <v xml:space="preserve"> |  | IngSRV-07</v>
      </c>
      <c r="E288" t="s">
        <v>1240</v>
      </c>
      <c r="F288">
        <v>14</v>
      </c>
      <c r="G288" t="s">
        <v>1813</v>
      </c>
      <c r="M288" t="str">
        <f>IF(OR(BOM!$AE$4=FALSE,BOM!$AE$4="-"),IF(ISERROR(SEARCH("send",B288)),"","pool:TPC"),IF(ISERROR(SEARCH("send",B288)),"","pool:TPC|pool:TPC"))</f>
        <v/>
      </c>
      <c r="S288" t="str">
        <f>IFERROR(IF(VLOOKUP(B288,'Sender-Receiver'!$B$3:$BP$1500,60,FALSE)="x","true","false"),"false")</f>
        <v>false</v>
      </c>
      <c r="T288" t="str">
        <f t="shared" si="4"/>
        <v>off</v>
      </c>
      <c r="Y288" t="str">
        <f>IF(BOM!$AE$4=FALSE,IF(ISERROR(SEARCH("Embrionix",BOM!$M$4)),"none",IF(ISERROR(SEARCH("Quadsplit",BOM!$N$4)),IF(ISERROR(SEARCH("rec",B288)),"none","merge"),"none")),IF(ISERROR(SEARCH("rec",B288)),"split","merge"))</f>
        <v>merge</v>
      </c>
    </row>
    <row r="289" spans="1:25" x14ac:dyDescent="0.2">
      <c r="A289" t="s">
        <v>1238</v>
      </c>
      <c r="B289" t="s">
        <v>1814</v>
      </c>
      <c r="C289" t="str">
        <f>IFERROR(VLOOKUP(B289,'Sender-Receiver'!$B$3:$BP$1500,61,FALSE),"")</f>
        <v>#SNP</v>
      </c>
      <c r="D289" t="str">
        <f>IFERROR(VLOOKUP(B289,'Sender-Receiver'!$B$3:$BP$1500,41,FALSE),"")</f>
        <v xml:space="preserve"> |  | IngSRV-07</v>
      </c>
      <c r="E289" t="s">
        <v>1240</v>
      </c>
      <c r="F289">
        <v>14</v>
      </c>
      <c r="G289" t="s">
        <v>1815</v>
      </c>
      <c r="M289" t="str">
        <f>IF(OR(BOM!$AE$4=FALSE,BOM!$AE$4="-"),IF(ISERROR(SEARCH("send",B289)),"","pool:TPC"),IF(ISERROR(SEARCH("send",B289)),"","pool:TPC|pool:TPC"))</f>
        <v/>
      </c>
      <c r="S289" t="str">
        <f>IFERROR(IF(VLOOKUP(B289,'Sender-Receiver'!$B$3:$BP$1500,60,FALSE)="x","true","false"),"false")</f>
        <v>false</v>
      </c>
      <c r="T289" t="str">
        <f t="shared" si="4"/>
        <v>off</v>
      </c>
      <c r="Y289" t="str">
        <f>IF(BOM!$AE$4=FALSE,IF(ISERROR(SEARCH("Embrionix",BOM!$M$4)),"none",IF(ISERROR(SEARCH("Quadsplit",BOM!$N$4)),IF(ISERROR(SEARCH("rec",B289)),"none","merge"),"none")),IF(ISERROR(SEARCH("rec",B289)),"split","merge"))</f>
        <v>merge</v>
      </c>
    </row>
    <row r="290" spans="1:25" x14ac:dyDescent="0.2">
      <c r="A290" t="s">
        <v>1238</v>
      </c>
      <c r="B290" t="s">
        <v>1816</v>
      </c>
      <c r="C290" t="str">
        <f>IFERROR(VLOOKUP(B290,'Sender-Receiver'!$B$3:$BP$1500,61,FALSE),"")</f>
        <v>Type:Aud_1CH_M,Type:Aud_2CH_LR,Type:Aud_3CH_LRC,Type:Aud_6CH_5.1,Type:Aud_8CH_RAW,#SNP</v>
      </c>
      <c r="D290" t="str">
        <f>IFERROR(VLOOKUP(B290,'Sender-Receiver'!$B$3:$BP$1500,41,FALSE),"")</f>
        <v>M3H InCh 1zu1 | Ingest Ch26-15 | IngSRV-07</v>
      </c>
      <c r="E290" t="s">
        <v>1240</v>
      </c>
      <c r="F290">
        <v>14</v>
      </c>
      <c r="G290" t="s">
        <v>1817</v>
      </c>
      <c r="M290" t="str">
        <f>IF(OR(BOM!$AE$4=FALSE,BOM!$AE$4="-"),IF(ISERROR(SEARCH("send",B290)),"","pool:TPC"),IF(ISERROR(SEARCH("send",B290)),"","pool:TPC|pool:TPC"))</f>
        <v/>
      </c>
      <c r="S290" t="str">
        <f>IFERROR(IF(VLOOKUP(B290,'Sender-Receiver'!$B$3:$BP$1500,60,FALSE)="x","true","false"),"false")</f>
        <v>true</v>
      </c>
      <c r="T290" t="str">
        <f t="shared" si="4"/>
        <v>full</v>
      </c>
      <c r="Y290" t="str">
        <f>IF(BOM!$AE$4=FALSE,IF(ISERROR(SEARCH("Embrionix",BOM!$M$4)),"none",IF(ISERROR(SEARCH("Quadsplit",BOM!$N$4)),IF(ISERROR(SEARCH("rec",B290)),"none","merge"),"none")),IF(ISERROR(SEARCH("rec",B290)),"split","merge"))</f>
        <v>merge</v>
      </c>
    </row>
    <row r="291" spans="1:25" x14ac:dyDescent="0.2">
      <c r="A291" t="s">
        <v>1238</v>
      </c>
      <c r="B291" t="s">
        <v>1818</v>
      </c>
      <c r="C291" t="str">
        <f>IFERROR(VLOOKUP(B291,'Sender-Receiver'!$B$3:$BP$1500,61,FALSE),"")</f>
        <v>Type:Aud_1CH_M,Type:Aud_2CH_LR,Type:Aud_3CH_LRC,Type:Aud_6CH_5.1,Type:Aud_8CH_RAW,#SNP</v>
      </c>
      <c r="D291" t="str">
        <f>IFERROR(VLOOKUP(B291,'Sender-Receiver'!$B$3:$BP$1500,41,FALSE),"")</f>
        <v>M3H InCh 1zu1 | Ingest Ch26-16 | IngSRV-07</v>
      </c>
      <c r="E291" t="s">
        <v>1240</v>
      </c>
      <c r="F291">
        <v>14</v>
      </c>
      <c r="G291" t="s">
        <v>1819</v>
      </c>
      <c r="M291" t="str">
        <f>IF(OR(BOM!$AE$4=FALSE,BOM!$AE$4="-"),IF(ISERROR(SEARCH("send",B291)),"","pool:TPC"),IF(ISERROR(SEARCH("send",B291)),"","pool:TPC|pool:TPC"))</f>
        <v/>
      </c>
      <c r="S291" t="str">
        <f>IFERROR(IF(VLOOKUP(B291,'Sender-Receiver'!$B$3:$BP$1500,60,FALSE)="x","true","false"),"false")</f>
        <v>true</v>
      </c>
      <c r="T291" t="str">
        <f t="shared" si="4"/>
        <v>full</v>
      </c>
      <c r="Y291" t="str">
        <f>IF(BOM!$AE$4=FALSE,IF(ISERROR(SEARCH("Embrionix",BOM!$M$4)),"none",IF(ISERROR(SEARCH("Quadsplit",BOM!$N$4)),IF(ISERROR(SEARCH("rec",B291)),"none","merge"),"none")),IF(ISERROR(SEARCH("rec",B291)),"split","merge"))</f>
        <v>merge</v>
      </c>
    </row>
    <row r="292" spans="1:25" x14ac:dyDescent="0.2">
      <c r="A292" t="s">
        <v>1238</v>
      </c>
      <c r="B292" t="s">
        <v>1820</v>
      </c>
      <c r="C292" t="str">
        <f>IFERROR(VLOOKUP(B292,'Sender-Receiver'!$B$3:$BP$1500,61,FALSE),"")</f>
        <v>Type:Anc_Prot,#SNP</v>
      </c>
      <c r="D292" t="str">
        <f>IFERROR(VLOOKUP(B292,'Sender-Receiver'!$B$3:$BP$1500,41,FALSE),"")</f>
        <v>M3H InCh 1zu1 | Ingest Ch26-ANC1 | IngSRV-07</v>
      </c>
      <c r="E292" t="s">
        <v>1240</v>
      </c>
      <c r="F292">
        <v>14</v>
      </c>
      <c r="G292" t="s">
        <v>1821</v>
      </c>
      <c r="M292" t="str">
        <f>IF(OR(BOM!$AE$4=FALSE,BOM!$AE$4="-"),IF(ISERROR(SEARCH("send",B292)),"","pool:TPC"),IF(ISERROR(SEARCH("send",B292)),"","pool:TPC|pool:TPC"))</f>
        <v/>
      </c>
      <c r="S292" t="str">
        <f>IFERROR(IF(VLOOKUP(B292,'Sender-Receiver'!$B$3:$BP$1500,60,FALSE)="x","true","false"),"false")</f>
        <v>true</v>
      </c>
      <c r="T292" t="str">
        <f t="shared" si="4"/>
        <v>full</v>
      </c>
      <c r="Y292" t="str">
        <f>IF(BOM!$AE$4=FALSE,IF(ISERROR(SEARCH("Embrionix",BOM!$M$4)),"none",IF(ISERROR(SEARCH("Quadsplit",BOM!$N$4)),IF(ISERROR(SEARCH("rec",B292)),"none","merge"),"none")),IF(ISERROR(SEARCH("rec",B292)),"split","merge"))</f>
        <v>merge</v>
      </c>
    </row>
    <row r="293" spans="1:25" x14ac:dyDescent="0.2">
      <c r="A293" t="s">
        <v>1238</v>
      </c>
      <c r="B293" t="s">
        <v>1822</v>
      </c>
      <c r="C293" t="str">
        <f>IFERROR(VLOOKUP(B293,'Sender-Receiver'!$B$3:$BP$1500,61,FALSE),"")</f>
        <v>#SNP</v>
      </c>
      <c r="D293" t="str">
        <f>IFERROR(VLOOKUP(B293,'Sender-Receiver'!$B$3:$BP$1500,41,FALSE),"")</f>
        <v xml:space="preserve"> |  | IngSRV-07</v>
      </c>
      <c r="E293" t="s">
        <v>1240</v>
      </c>
      <c r="F293">
        <v>14</v>
      </c>
      <c r="G293" t="s">
        <v>1823</v>
      </c>
      <c r="M293" t="str">
        <f>IF(OR(BOM!$AE$4=FALSE,BOM!$AE$4="-"),IF(ISERROR(SEARCH("send",B293)),"","pool:TPC"),IF(ISERROR(SEARCH("send",B293)),"","pool:TPC|pool:TPC"))</f>
        <v/>
      </c>
      <c r="S293" t="str">
        <f>IFERROR(IF(VLOOKUP(B293,'Sender-Receiver'!$B$3:$BP$1500,60,FALSE)="x","true","false"),"false")</f>
        <v>false</v>
      </c>
      <c r="T293" t="str">
        <f t="shared" si="4"/>
        <v>off</v>
      </c>
      <c r="Y293" t="str">
        <f>IF(BOM!$AE$4=FALSE,IF(ISERROR(SEARCH("Embrionix",BOM!$M$4)),"none",IF(ISERROR(SEARCH("Quadsplit",BOM!$N$4)),IF(ISERROR(SEARCH("rec",B293)),"none","merge"),"none")),IF(ISERROR(SEARCH("rec",B293)),"split","merge"))</f>
        <v>merge</v>
      </c>
    </row>
    <row r="294" spans="1:25" x14ac:dyDescent="0.2">
      <c r="A294" t="s">
        <v>1238</v>
      </c>
      <c r="B294" t="s">
        <v>1824</v>
      </c>
      <c r="C294" t="str">
        <f>IFERROR(VLOOKUP(B294,'Sender-Receiver'!$B$3:$BP$1500,61,FALSE),"")</f>
        <v>#SNP</v>
      </c>
      <c r="D294" t="str">
        <f>IFERROR(VLOOKUP(B294,'Sender-Receiver'!$B$3:$BP$1500,41,FALSE),"")</f>
        <v xml:space="preserve"> |  | IngSRV-07</v>
      </c>
      <c r="E294" t="s">
        <v>1240</v>
      </c>
      <c r="F294">
        <v>14</v>
      </c>
      <c r="G294" t="s">
        <v>1825</v>
      </c>
      <c r="M294" t="str">
        <f>IF(OR(BOM!$AE$4=FALSE,BOM!$AE$4="-"),IF(ISERROR(SEARCH("send",B294)),"","pool:TPC"),IF(ISERROR(SEARCH("send",B294)),"","pool:TPC|pool:TPC"))</f>
        <v/>
      </c>
      <c r="S294" t="str">
        <f>IFERROR(IF(VLOOKUP(B294,'Sender-Receiver'!$B$3:$BP$1500,60,FALSE)="x","true","false"),"false")</f>
        <v>false</v>
      </c>
      <c r="T294" t="str">
        <f t="shared" si="4"/>
        <v>off</v>
      </c>
      <c r="Y294" t="str">
        <f>IF(BOM!$AE$4=FALSE,IF(ISERROR(SEARCH("Embrionix",BOM!$M$4)),"none",IF(ISERROR(SEARCH("Quadsplit",BOM!$N$4)),IF(ISERROR(SEARCH("rec",B294)),"none","merge"),"none")),IF(ISERROR(SEARCH("rec",B294)),"split","merge"))</f>
        <v>merge</v>
      </c>
    </row>
    <row r="295" spans="1:25" x14ac:dyDescent="0.2">
      <c r="A295" t="s">
        <v>1238</v>
      </c>
      <c r="B295" t="s">
        <v>1826</v>
      </c>
      <c r="C295" t="str">
        <f>IFERROR(VLOOKUP(B295,'Sender-Receiver'!$B$3:$BP$1500,61,FALSE),"")</f>
        <v>#SNP</v>
      </c>
      <c r="D295" t="str">
        <f>IFERROR(VLOOKUP(B295,'Sender-Receiver'!$B$3:$BP$1500,41,FALSE),"")</f>
        <v xml:space="preserve"> |  | IngSRV-07</v>
      </c>
      <c r="E295" t="s">
        <v>1240</v>
      </c>
      <c r="F295">
        <v>14</v>
      </c>
      <c r="G295" t="s">
        <v>1827</v>
      </c>
      <c r="M295" t="str">
        <f>IF(OR(BOM!$AE$4=FALSE,BOM!$AE$4="-"),IF(ISERROR(SEARCH("send",B295)),"","pool:TPC"),IF(ISERROR(SEARCH("send",B295)),"","pool:TPC|pool:TPC"))</f>
        <v/>
      </c>
      <c r="S295" t="str">
        <f>IFERROR(IF(VLOOKUP(B295,'Sender-Receiver'!$B$3:$BP$1500,60,FALSE)="x","true","false"),"false")</f>
        <v>false</v>
      </c>
      <c r="T295" t="str">
        <f t="shared" si="4"/>
        <v>off</v>
      </c>
      <c r="Y295" t="str">
        <f>IF(BOM!$AE$4=FALSE,IF(ISERROR(SEARCH("Embrionix",BOM!$M$4)),"none",IF(ISERROR(SEARCH("Quadsplit",BOM!$N$4)),IF(ISERROR(SEARCH("rec",B295)),"none","merge"),"none")),IF(ISERROR(SEARCH("rec",B295)),"split","merge"))</f>
        <v>merge</v>
      </c>
    </row>
    <row r="296" spans="1:25" x14ac:dyDescent="0.2">
      <c r="A296" t="s">
        <v>1238</v>
      </c>
      <c r="B296" t="s">
        <v>1828</v>
      </c>
      <c r="C296" t="str">
        <f>IFERROR(VLOOKUP(B296,'Sender-Receiver'!$B$3:$BP$1500,61,FALSE),"")</f>
        <v>Type:Vid_1080i50,Type:Vid_1080p25,Type:Vid_1080p50,Type:Vid_1080p60,#SNP</v>
      </c>
      <c r="D296" t="str">
        <f>IFERROR(VLOOKUP(B296,'Sender-Receiver'!$B$3:$BP$1500,41,FALSE),"")</f>
        <v>M3H InCh PGM | Ingest Ch27 | IngSRV-07</v>
      </c>
      <c r="E296" t="s">
        <v>1240</v>
      </c>
      <c r="F296">
        <v>15</v>
      </c>
      <c r="G296" t="s">
        <v>1829</v>
      </c>
      <c r="M296" t="str">
        <f>IF(OR(BOM!$AE$4=FALSE,BOM!$AE$4="-"),IF(ISERROR(SEARCH("send",B296)),"","pool:TPC"),IF(ISERROR(SEARCH("send",B296)),"","pool:TPC|pool:TPC"))</f>
        <v/>
      </c>
      <c r="S296" t="str">
        <f>IFERROR(IF(VLOOKUP(B296,'Sender-Receiver'!$B$3:$BP$1500,60,FALSE)="x","true","false"),"false")</f>
        <v>true</v>
      </c>
      <c r="T296" t="str">
        <f t="shared" si="4"/>
        <v>full</v>
      </c>
      <c r="Y296" t="str">
        <f>IF(BOM!$AE$4=FALSE,IF(ISERROR(SEARCH("Embrionix",BOM!$M$4)),"none",IF(ISERROR(SEARCH("Quadsplit",BOM!$N$4)),IF(ISERROR(SEARCH("rec",B296)),"none","merge"),"none")),IF(ISERROR(SEARCH("rec",B296)),"split","merge"))</f>
        <v>merge</v>
      </c>
    </row>
    <row r="297" spans="1:25" x14ac:dyDescent="0.2">
      <c r="A297" t="s">
        <v>1238</v>
      </c>
      <c r="B297" t="s">
        <v>1830</v>
      </c>
      <c r="C297" t="str">
        <f>IFERROR(VLOOKUP(B297,'Sender-Receiver'!$B$3:$BP$1500,61,FALSE),"")</f>
        <v>Type:Aud_1CH_M,Type:Aud_2CH_LR,Type:Aud_3CH_LRC,Type:Aud_6CH_5.1,#SNP</v>
      </c>
      <c r="D297" t="str">
        <f>IFERROR(VLOOKUP(B297,'Sender-Receiver'!$B$3:$BP$1500,41,FALSE),"")</f>
        <v>M3H InCh PGM | Ingest Ch27-01 | IngSRV-07</v>
      </c>
      <c r="E297" t="s">
        <v>1240</v>
      </c>
      <c r="F297">
        <v>15</v>
      </c>
      <c r="G297" t="s">
        <v>1831</v>
      </c>
      <c r="M297" t="str">
        <f>IF(OR(BOM!$AE$4=FALSE,BOM!$AE$4="-"),IF(ISERROR(SEARCH("send",B297)),"","pool:TPC"),IF(ISERROR(SEARCH("send",B297)),"","pool:TPC|pool:TPC"))</f>
        <v/>
      </c>
      <c r="S297" t="str">
        <f>IFERROR(IF(VLOOKUP(B297,'Sender-Receiver'!$B$3:$BP$1500,60,FALSE)="x","true","false"),"false")</f>
        <v>true</v>
      </c>
      <c r="T297" t="str">
        <f t="shared" si="4"/>
        <v>full</v>
      </c>
      <c r="Y297" t="str">
        <f>IF(BOM!$AE$4=FALSE,IF(ISERROR(SEARCH("Embrionix",BOM!$M$4)),"none",IF(ISERROR(SEARCH("Quadsplit",BOM!$N$4)),IF(ISERROR(SEARCH("rec",B297)),"none","merge"),"none")),IF(ISERROR(SEARCH("rec",B297)),"split","merge"))</f>
        <v>merge</v>
      </c>
    </row>
    <row r="298" spans="1:25" x14ac:dyDescent="0.2">
      <c r="A298" t="s">
        <v>1238</v>
      </c>
      <c r="B298" t="s">
        <v>1832</v>
      </c>
      <c r="C298" t="str">
        <f>IFERROR(VLOOKUP(B298,'Sender-Receiver'!$B$3:$BP$1500,61,FALSE),"")</f>
        <v>Type:Aud_1CH_M,Type:Aud_2CH_LR,Type:Aud_3CH_LRC,Type:Aud_6CH_5.1,#SNP</v>
      </c>
      <c r="D298" t="str">
        <f>IFERROR(VLOOKUP(B298,'Sender-Receiver'!$B$3:$BP$1500,41,FALSE),"")</f>
        <v>M3H InCh PGM | Ingest Ch27-02 | IngSRV-07</v>
      </c>
      <c r="E298" t="s">
        <v>1240</v>
      </c>
      <c r="F298">
        <v>15</v>
      </c>
      <c r="G298" t="s">
        <v>1833</v>
      </c>
      <c r="M298" t="str">
        <f>IF(OR(BOM!$AE$4=FALSE,BOM!$AE$4="-"),IF(ISERROR(SEARCH("send",B298)),"","pool:TPC"),IF(ISERROR(SEARCH("send",B298)),"","pool:TPC|pool:TPC"))</f>
        <v/>
      </c>
      <c r="S298" t="str">
        <f>IFERROR(IF(VLOOKUP(B298,'Sender-Receiver'!$B$3:$BP$1500,60,FALSE)="x","true","false"),"false")</f>
        <v>true</v>
      </c>
      <c r="T298" t="str">
        <f t="shared" si="4"/>
        <v>full</v>
      </c>
      <c r="Y298" t="str">
        <f>IF(BOM!$AE$4=FALSE,IF(ISERROR(SEARCH("Embrionix",BOM!$M$4)),"none",IF(ISERROR(SEARCH("Quadsplit",BOM!$N$4)),IF(ISERROR(SEARCH("rec",B298)),"none","merge"),"none")),IF(ISERROR(SEARCH("rec",B298)),"split","merge"))</f>
        <v>merge</v>
      </c>
    </row>
    <row r="299" spans="1:25" x14ac:dyDescent="0.2">
      <c r="A299" t="s">
        <v>1238</v>
      </c>
      <c r="B299" t="s">
        <v>1834</v>
      </c>
      <c r="C299" t="str">
        <f>IFERROR(VLOOKUP(B299,'Sender-Receiver'!$B$3:$BP$1500,61,FALSE),"")</f>
        <v>Type:Aud_1CH_M,Type:Aud_2CH_LR,Type:Aud_3CH_LRC,Type:Aud_6CH_5.1,#SNP</v>
      </c>
      <c r="D299" t="str">
        <f>IFERROR(VLOOKUP(B299,'Sender-Receiver'!$B$3:$BP$1500,41,FALSE),"")</f>
        <v>M3H InCh PGM | Ingest Ch27-03 | IngSRV-07</v>
      </c>
      <c r="E299" t="s">
        <v>1240</v>
      </c>
      <c r="F299">
        <v>15</v>
      </c>
      <c r="G299" t="s">
        <v>1835</v>
      </c>
      <c r="M299" t="str">
        <f>IF(OR(BOM!$AE$4=FALSE,BOM!$AE$4="-"),IF(ISERROR(SEARCH("send",B299)),"","pool:TPC"),IF(ISERROR(SEARCH("send",B299)),"","pool:TPC|pool:TPC"))</f>
        <v/>
      </c>
      <c r="S299" t="str">
        <f>IFERROR(IF(VLOOKUP(B299,'Sender-Receiver'!$B$3:$BP$1500,60,FALSE)="x","true","false"),"false")</f>
        <v>true</v>
      </c>
      <c r="T299" t="str">
        <f t="shared" si="4"/>
        <v>full</v>
      </c>
      <c r="Y299" t="str">
        <f>IF(BOM!$AE$4=FALSE,IF(ISERROR(SEARCH("Embrionix",BOM!$M$4)),"none",IF(ISERROR(SEARCH("Quadsplit",BOM!$N$4)),IF(ISERROR(SEARCH("rec",B299)),"none","merge"),"none")),IF(ISERROR(SEARCH("rec",B299)),"split","merge"))</f>
        <v>merge</v>
      </c>
    </row>
    <row r="300" spans="1:25" x14ac:dyDescent="0.2">
      <c r="A300" t="s">
        <v>1238</v>
      </c>
      <c r="B300" t="s">
        <v>1836</v>
      </c>
      <c r="C300" t="str">
        <f>IFERROR(VLOOKUP(B300,'Sender-Receiver'!$B$3:$BP$1500,61,FALSE),"")</f>
        <v>Type:Aud_1CH_M,Type:Aud_2CH_LR,Type:Aud_3CH_LRC,Type:Aud_6CH_5.1,#SNP</v>
      </c>
      <c r="D300" t="str">
        <f>IFERROR(VLOOKUP(B300,'Sender-Receiver'!$B$3:$BP$1500,41,FALSE),"")</f>
        <v>M3H InCh PGM | Ingest Ch27-04 | IngSRV-07</v>
      </c>
      <c r="E300" t="s">
        <v>1240</v>
      </c>
      <c r="F300">
        <v>15</v>
      </c>
      <c r="G300" t="s">
        <v>1837</v>
      </c>
      <c r="M300" t="str">
        <f>IF(OR(BOM!$AE$4=FALSE,BOM!$AE$4="-"),IF(ISERROR(SEARCH("send",B300)),"","pool:TPC"),IF(ISERROR(SEARCH("send",B300)),"","pool:TPC|pool:TPC"))</f>
        <v/>
      </c>
      <c r="S300" t="str">
        <f>IFERROR(IF(VLOOKUP(B300,'Sender-Receiver'!$B$3:$BP$1500,60,FALSE)="x","true","false"),"false")</f>
        <v>true</v>
      </c>
      <c r="T300" t="str">
        <f t="shared" si="4"/>
        <v>full</v>
      </c>
      <c r="Y300" t="str">
        <f>IF(BOM!$AE$4=FALSE,IF(ISERROR(SEARCH("Embrionix",BOM!$M$4)),"none",IF(ISERROR(SEARCH("Quadsplit",BOM!$N$4)),IF(ISERROR(SEARCH("rec",B300)),"none","merge"),"none")),IF(ISERROR(SEARCH("rec",B300)),"split","merge"))</f>
        <v>merge</v>
      </c>
    </row>
    <row r="301" spans="1:25" x14ac:dyDescent="0.2">
      <c r="A301" t="s">
        <v>1238</v>
      </c>
      <c r="B301" t="s">
        <v>1838</v>
      </c>
      <c r="C301" t="str">
        <f>IFERROR(VLOOKUP(B301,'Sender-Receiver'!$B$3:$BP$1500,61,FALSE),"")</f>
        <v>Type:Aud_1CH_M,Type:Aud_2CH_LR,Type:Aud_3CH_LRC,Type:Aud_6CH_5.1,#SNP</v>
      </c>
      <c r="D301" t="str">
        <f>IFERROR(VLOOKUP(B301,'Sender-Receiver'!$B$3:$BP$1500,41,FALSE),"")</f>
        <v>M3H InCh PGM | Ingest Ch27-05 | IngSRV-07</v>
      </c>
      <c r="E301" t="s">
        <v>1240</v>
      </c>
      <c r="F301">
        <v>15</v>
      </c>
      <c r="G301" t="s">
        <v>1839</v>
      </c>
      <c r="M301" t="str">
        <f>IF(OR(BOM!$AE$4=FALSE,BOM!$AE$4="-"),IF(ISERROR(SEARCH("send",B301)),"","pool:TPC"),IF(ISERROR(SEARCH("send",B301)),"","pool:TPC|pool:TPC"))</f>
        <v/>
      </c>
      <c r="S301" t="str">
        <f>IFERROR(IF(VLOOKUP(B301,'Sender-Receiver'!$B$3:$BP$1500,60,FALSE)="x","true","false"),"false")</f>
        <v>true</v>
      </c>
      <c r="T301" t="str">
        <f t="shared" si="4"/>
        <v>full</v>
      </c>
      <c r="Y301" t="str">
        <f>IF(BOM!$AE$4=FALSE,IF(ISERROR(SEARCH("Embrionix",BOM!$M$4)),"none",IF(ISERROR(SEARCH("Quadsplit",BOM!$N$4)),IF(ISERROR(SEARCH("rec",B301)),"none","merge"),"none")),IF(ISERROR(SEARCH("rec",B301)),"split","merge"))</f>
        <v>merge</v>
      </c>
    </row>
    <row r="302" spans="1:25" x14ac:dyDescent="0.2">
      <c r="A302" t="s">
        <v>1238</v>
      </c>
      <c r="B302" t="s">
        <v>1840</v>
      </c>
      <c r="C302" t="str">
        <f>IFERROR(VLOOKUP(B302,'Sender-Receiver'!$B$3:$BP$1500,61,FALSE),"")</f>
        <v>Type:Aud_1CH_M,Type:Aud_2CH_LR,Type:Aud_3CH_LRC,Type:Aud_6CH_5.1,#SNP</v>
      </c>
      <c r="D302" t="str">
        <f>IFERROR(VLOOKUP(B302,'Sender-Receiver'!$B$3:$BP$1500,41,FALSE),"")</f>
        <v>M3H InCh PGM | Ingest Ch27-06 | IngSRV-07</v>
      </c>
      <c r="E302" t="s">
        <v>1240</v>
      </c>
      <c r="F302">
        <v>15</v>
      </c>
      <c r="G302" t="s">
        <v>1841</v>
      </c>
      <c r="M302" t="str">
        <f>IF(OR(BOM!$AE$4=FALSE,BOM!$AE$4="-"),IF(ISERROR(SEARCH("send",B302)),"","pool:TPC"),IF(ISERROR(SEARCH("send",B302)),"","pool:TPC|pool:TPC"))</f>
        <v/>
      </c>
      <c r="S302" t="str">
        <f>IFERROR(IF(VLOOKUP(B302,'Sender-Receiver'!$B$3:$BP$1500,60,FALSE)="x","true","false"),"false")</f>
        <v>true</v>
      </c>
      <c r="T302" t="str">
        <f t="shared" si="4"/>
        <v>full</v>
      </c>
      <c r="Y302" t="str">
        <f>IF(BOM!$AE$4=FALSE,IF(ISERROR(SEARCH("Embrionix",BOM!$M$4)),"none",IF(ISERROR(SEARCH("Quadsplit",BOM!$N$4)),IF(ISERROR(SEARCH("rec",B302)),"none","merge"),"none")),IF(ISERROR(SEARCH("rec",B302)),"split","merge"))</f>
        <v>merge</v>
      </c>
    </row>
    <row r="303" spans="1:25" x14ac:dyDescent="0.2">
      <c r="A303" t="s">
        <v>1238</v>
      </c>
      <c r="B303" t="s">
        <v>1842</v>
      </c>
      <c r="C303" t="str">
        <f>IFERROR(VLOOKUP(B303,'Sender-Receiver'!$B$3:$BP$1500,61,FALSE),"")</f>
        <v>Type:Aud_1CH_M,Type:Aud_2CH_LR,Type:Aud_3CH_LRC,Type:Aud_6CH_5.1,#SNP</v>
      </c>
      <c r="D303" t="str">
        <f>IFERROR(VLOOKUP(B303,'Sender-Receiver'!$B$3:$BP$1500,41,FALSE),"")</f>
        <v>M3H InCh PGM | Ingest Ch27-07 | IngSRV-07</v>
      </c>
      <c r="E303" t="s">
        <v>1240</v>
      </c>
      <c r="F303">
        <v>15</v>
      </c>
      <c r="G303" t="s">
        <v>1843</v>
      </c>
      <c r="M303" t="str">
        <f>IF(OR(BOM!$AE$4=FALSE,BOM!$AE$4="-"),IF(ISERROR(SEARCH("send",B303)),"","pool:TPC"),IF(ISERROR(SEARCH("send",B303)),"","pool:TPC|pool:TPC"))</f>
        <v/>
      </c>
      <c r="S303" t="str">
        <f>IFERROR(IF(VLOOKUP(B303,'Sender-Receiver'!$B$3:$BP$1500,60,FALSE)="x","true","false"),"false")</f>
        <v>true</v>
      </c>
      <c r="T303" t="str">
        <f t="shared" si="4"/>
        <v>full</v>
      </c>
      <c r="Y303" t="str">
        <f>IF(BOM!$AE$4=FALSE,IF(ISERROR(SEARCH("Embrionix",BOM!$M$4)),"none",IF(ISERROR(SEARCH("Quadsplit",BOM!$N$4)),IF(ISERROR(SEARCH("rec",B303)),"none","merge"),"none")),IF(ISERROR(SEARCH("rec",B303)),"split","merge"))</f>
        <v>merge</v>
      </c>
    </row>
    <row r="304" spans="1:25" x14ac:dyDescent="0.2">
      <c r="A304" t="s">
        <v>1238</v>
      </c>
      <c r="B304" t="s">
        <v>1844</v>
      </c>
      <c r="C304" t="str">
        <f>IFERROR(VLOOKUP(B304,'Sender-Receiver'!$B$3:$BP$1500,61,FALSE),"")</f>
        <v>Type:Aud_1CH_M,Type:Aud_2CH_LR,Type:Aud_3CH_LRC,Type:Aud_6CH_5.1,#SNP</v>
      </c>
      <c r="D304" t="str">
        <f>IFERROR(VLOOKUP(B304,'Sender-Receiver'!$B$3:$BP$1500,41,FALSE),"")</f>
        <v>M3H InCh PGM | Ingest Ch27-08 | IngSRV-07</v>
      </c>
      <c r="E304" t="s">
        <v>1240</v>
      </c>
      <c r="F304">
        <v>15</v>
      </c>
      <c r="G304" t="s">
        <v>1845</v>
      </c>
      <c r="M304" t="str">
        <f>IF(OR(BOM!$AE$4=FALSE,BOM!$AE$4="-"),IF(ISERROR(SEARCH("send",B304)),"","pool:TPC"),IF(ISERROR(SEARCH("send",B304)),"","pool:TPC|pool:TPC"))</f>
        <v/>
      </c>
      <c r="S304" t="str">
        <f>IFERROR(IF(VLOOKUP(B304,'Sender-Receiver'!$B$3:$BP$1500,60,FALSE)="x","true","false"),"false")</f>
        <v>true</v>
      </c>
      <c r="T304" t="str">
        <f t="shared" si="4"/>
        <v>full</v>
      </c>
      <c r="Y304" t="str">
        <f>IF(BOM!$AE$4=FALSE,IF(ISERROR(SEARCH("Embrionix",BOM!$M$4)),"none",IF(ISERROR(SEARCH("Quadsplit",BOM!$N$4)),IF(ISERROR(SEARCH("rec",B304)),"none","merge"),"none")),IF(ISERROR(SEARCH("rec",B304)),"split","merge"))</f>
        <v>merge</v>
      </c>
    </row>
    <row r="305" spans="1:25" x14ac:dyDescent="0.2">
      <c r="A305" t="s">
        <v>1238</v>
      </c>
      <c r="B305" t="s">
        <v>1846</v>
      </c>
      <c r="C305" t="str">
        <f>IFERROR(VLOOKUP(B305,'Sender-Receiver'!$B$3:$BP$1500,61,FALSE),"")</f>
        <v>Type:Aud_1CH_M,Type:Aud_2CH_LR,Type:Aud_3CH_LRC,Type:Aud_6CH_5.1,#SNP</v>
      </c>
      <c r="D305" t="str">
        <f>IFERROR(VLOOKUP(B305,'Sender-Receiver'!$B$3:$BP$1500,41,FALSE),"")</f>
        <v>M3H InCh PGM | Ingest Ch27-09 | IngSRV-07</v>
      </c>
      <c r="E305" t="s">
        <v>1240</v>
      </c>
      <c r="F305">
        <v>15</v>
      </c>
      <c r="G305" t="s">
        <v>1847</v>
      </c>
      <c r="M305" t="str">
        <f>IF(OR(BOM!$AE$4=FALSE,BOM!$AE$4="-"),IF(ISERROR(SEARCH("send",B305)),"","pool:TPC"),IF(ISERROR(SEARCH("send",B305)),"","pool:TPC|pool:TPC"))</f>
        <v/>
      </c>
      <c r="S305" t="str">
        <f>IFERROR(IF(VLOOKUP(B305,'Sender-Receiver'!$B$3:$BP$1500,60,FALSE)="x","true","false"),"false")</f>
        <v>true</v>
      </c>
      <c r="T305" t="str">
        <f t="shared" si="4"/>
        <v>full</v>
      </c>
      <c r="Y305" t="str">
        <f>IF(BOM!$AE$4=FALSE,IF(ISERROR(SEARCH("Embrionix",BOM!$M$4)),"none",IF(ISERROR(SEARCH("Quadsplit",BOM!$N$4)),IF(ISERROR(SEARCH("rec",B305)),"none","merge"),"none")),IF(ISERROR(SEARCH("rec",B305)),"split","merge"))</f>
        <v>merge</v>
      </c>
    </row>
    <row r="306" spans="1:25" x14ac:dyDescent="0.2">
      <c r="A306" t="s">
        <v>1238</v>
      </c>
      <c r="B306" t="s">
        <v>1848</v>
      </c>
      <c r="C306" t="str">
        <f>IFERROR(VLOOKUP(B306,'Sender-Receiver'!$B$3:$BP$1500,61,FALSE),"")</f>
        <v>#SNP</v>
      </c>
      <c r="D306" t="str">
        <f>IFERROR(VLOOKUP(B306,'Sender-Receiver'!$B$3:$BP$1500,41,FALSE),"")</f>
        <v xml:space="preserve"> |  | IngSRV-07</v>
      </c>
      <c r="E306" t="s">
        <v>1240</v>
      </c>
      <c r="F306">
        <v>15</v>
      </c>
      <c r="G306" t="s">
        <v>1849</v>
      </c>
      <c r="M306" t="str">
        <f>IF(OR(BOM!$AE$4=FALSE,BOM!$AE$4="-"),IF(ISERROR(SEARCH("send",B306)),"","pool:TPC"),IF(ISERROR(SEARCH("send",B306)),"","pool:TPC|pool:TPC"))</f>
        <v/>
      </c>
      <c r="S306" t="str">
        <f>IFERROR(IF(VLOOKUP(B306,'Sender-Receiver'!$B$3:$BP$1500,60,FALSE)="x","true","false"),"false")</f>
        <v>false</v>
      </c>
      <c r="T306" t="str">
        <f t="shared" si="4"/>
        <v>off</v>
      </c>
      <c r="Y306" t="str">
        <f>IF(BOM!$AE$4=FALSE,IF(ISERROR(SEARCH("Embrionix",BOM!$M$4)),"none",IF(ISERROR(SEARCH("Quadsplit",BOM!$N$4)),IF(ISERROR(SEARCH("rec",B306)),"none","merge"),"none")),IF(ISERROR(SEARCH("rec",B306)),"split","merge"))</f>
        <v>merge</v>
      </c>
    </row>
    <row r="307" spans="1:25" x14ac:dyDescent="0.2">
      <c r="A307" t="s">
        <v>1238</v>
      </c>
      <c r="B307" t="s">
        <v>1850</v>
      </c>
      <c r="C307" t="str">
        <f>IFERROR(VLOOKUP(B307,'Sender-Receiver'!$B$3:$BP$1500,61,FALSE),"")</f>
        <v>#SNP</v>
      </c>
      <c r="D307" t="str">
        <f>IFERROR(VLOOKUP(B307,'Sender-Receiver'!$B$3:$BP$1500,41,FALSE),"")</f>
        <v xml:space="preserve"> |  | IngSRV-07</v>
      </c>
      <c r="E307" t="s">
        <v>1240</v>
      </c>
      <c r="F307">
        <v>15</v>
      </c>
      <c r="G307" t="s">
        <v>1851</v>
      </c>
      <c r="M307" t="str">
        <f>IF(OR(BOM!$AE$4=FALSE,BOM!$AE$4="-"),IF(ISERROR(SEARCH("send",B307)),"","pool:TPC"),IF(ISERROR(SEARCH("send",B307)),"","pool:TPC|pool:TPC"))</f>
        <v/>
      </c>
      <c r="S307" t="str">
        <f>IFERROR(IF(VLOOKUP(B307,'Sender-Receiver'!$B$3:$BP$1500,60,FALSE)="x","true","false"),"false")</f>
        <v>false</v>
      </c>
      <c r="T307" t="str">
        <f t="shared" si="4"/>
        <v>off</v>
      </c>
      <c r="Y307" t="str">
        <f>IF(BOM!$AE$4=FALSE,IF(ISERROR(SEARCH("Embrionix",BOM!$M$4)),"none",IF(ISERROR(SEARCH("Quadsplit",BOM!$N$4)),IF(ISERROR(SEARCH("rec",B307)),"none","merge"),"none")),IF(ISERROR(SEARCH("rec",B307)),"split","merge"))</f>
        <v>merge</v>
      </c>
    </row>
    <row r="308" spans="1:25" x14ac:dyDescent="0.2">
      <c r="A308" t="s">
        <v>1238</v>
      </c>
      <c r="B308" t="s">
        <v>1852</v>
      </c>
      <c r="C308" t="str">
        <f>IFERROR(VLOOKUP(B308,'Sender-Receiver'!$B$3:$BP$1500,61,FALSE),"")</f>
        <v>#SNP</v>
      </c>
      <c r="D308" t="str">
        <f>IFERROR(VLOOKUP(B308,'Sender-Receiver'!$B$3:$BP$1500,41,FALSE),"")</f>
        <v xml:space="preserve"> |  | IngSRV-07</v>
      </c>
      <c r="E308" t="s">
        <v>1240</v>
      </c>
      <c r="F308">
        <v>15</v>
      </c>
      <c r="G308" t="s">
        <v>1853</v>
      </c>
      <c r="M308" t="str">
        <f>IF(OR(BOM!$AE$4=FALSE,BOM!$AE$4="-"),IF(ISERROR(SEARCH("send",B308)),"","pool:TPC"),IF(ISERROR(SEARCH("send",B308)),"","pool:TPC|pool:TPC"))</f>
        <v/>
      </c>
      <c r="S308" t="str">
        <f>IFERROR(IF(VLOOKUP(B308,'Sender-Receiver'!$B$3:$BP$1500,60,FALSE)="x","true","false"),"false")</f>
        <v>false</v>
      </c>
      <c r="T308" t="str">
        <f t="shared" si="4"/>
        <v>off</v>
      </c>
      <c r="Y308" t="str">
        <f>IF(BOM!$AE$4=FALSE,IF(ISERROR(SEARCH("Embrionix",BOM!$M$4)),"none",IF(ISERROR(SEARCH("Quadsplit",BOM!$N$4)),IF(ISERROR(SEARCH("rec",B308)),"none","merge"),"none")),IF(ISERROR(SEARCH("rec",B308)),"split","merge"))</f>
        <v>merge</v>
      </c>
    </row>
    <row r="309" spans="1:25" x14ac:dyDescent="0.2">
      <c r="A309" t="s">
        <v>1238</v>
      </c>
      <c r="B309" t="s">
        <v>1854</v>
      </c>
      <c r="C309" t="str">
        <f>IFERROR(VLOOKUP(B309,'Sender-Receiver'!$B$3:$BP$1500,61,FALSE),"")</f>
        <v>#SNP</v>
      </c>
      <c r="D309" t="str">
        <f>IFERROR(VLOOKUP(B309,'Sender-Receiver'!$B$3:$BP$1500,41,FALSE),"")</f>
        <v xml:space="preserve"> |  | IngSRV-07</v>
      </c>
      <c r="E309" t="s">
        <v>1240</v>
      </c>
      <c r="F309">
        <v>15</v>
      </c>
      <c r="G309" t="s">
        <v>1855</v>
      </c>
      <c r="M309" t="str">
        <f>IF(OR(BOM!$AE$4=FALSE,BOM!$AE$4="-"),IF(ISERROR(SEARCH("send",B309)),"","pool:TPC"),IF(ISERROR(SEARCH("send",B309)),"","pool:TPC|pool:TPC"))</f>
        <v/>
      </c>
      <c r="S309" t="str">
        <f>IFERROR(IF(VLOOKUP(B309,'Sender-Receiver'!$B$3:$BP$1500,60,FALSE)="x","true","false"),"false")</f>
        <v>false</v>
      </c>
      <c r="T309" t="str">
        <f t="shared" si="4"/>
        <v>off</v>
      </c>
      <c r="Y309" t="str">
        <f>IF(BOM!$AE$4=FALSE,IF(ISERROR(SEARCH("Embrionix",BOM!$M$4)),"none",IF(ISERROR(SEARCH("Quadsplit",BOM!$N$4)),IF(ISERROR(SEARCH("rec",B309)),"none","merge"),"none")),IF(ISERROR(SEARCH("rec",B309)),"split","merge"))</f>
        <v>merge</v>
      </c>
    </row>
    <row r="310" spans="1:25" x14ac:dyDescent="0.2">
      <c r="A310" t="s">
        <v>1238</v>
      </c>
      <c r="B310" t="s">
        <v>1856</v>
      </c>
      <c r="C310" t="str">
        <f>IFERROR(VLOOKUP(B310,'Sender-Receiver'!$B$3:$BP$1500,61,FALSE),"")</f>
        <v>#SNP</v>
      </c>
      <c r="D310" t="str">
        <f>IFERROR(VLOOKUP(B310,'Sender-Receiver'!$B$3:$BP$1500,41,FALSE),"")</f>
        <v xml:space="preserve"> |  | IngSRV-07</v>
      </c>
      <c r="E310" t="s">
        <v>1240</v>
      </c>
      <c r="F310">
        <v>15</v>
      </c>
      <c r="G310" t="s">
        <v>1857</v>
      </c>
      <c r="M310" t="str">
        <f>IF(OR(BOM!$AE$4=FALSE,BOM!$AE$4="-"),IF(ISERROR(SEARCH("send",B310)),"","pool:TPC"),IF(ISERROR(SEARCH("send",B310)),"","pool:TPC|pool:TPC"))</f>
        <v/>
      </c>
      <c r="S310" t="str">
        <f>IFERROR(IF(VLOOKUP(B310,'Sender-Receiver'!$B$3:$BP$1500,60,FALSE)="x","true","false"),"false")</f>
        <v>false</v>
      </c>
      <c r="T310" t="str">
        <f t="shared" si="4"/>
        <v>off</v>
      </c>
      <c r="Y310" t="str">
        <f>IF(BOM!$AE$4=FALSE,IF(ISERROR(SEARCH("Embrionix",BOM!$M$4)),"none",IF(ISERROR(SEARCH("Quadsplit",BOM!$N$4)),IF(ISERROR(SEARCH("rec",B310)),"none","merge"),"none")),IF(ISERROR(SEARCH("rec",B310)),"split","merge"))</f>
        <v>merge</v>
      </c>
    </row>
    <row r="311" spans="1:25" x14ac:dyDescent="0.2">
      <c r="A311" t="s">
        <v>1238</v>
      </c>
      <c r="B311" t="s">
        <v>1858</v>
      </c>
      <c r="C311" t="str">
        <f>IFERROR(VLOOKUP(B311,'Sender-Receiver'!$B$3:$BP$1500,61,FALSE),"")</f>
        <v>Type:Aud_1CH_M,Type:Aud_2CH_LR,Type:Aud_3CH_LRC,Type:Aud_6CH_5.1,Type:Aud_8CH_RAW,#SNP</v>
      </c>
      <c r="D311" t="str">
        <f>IFERROR(VLOOKUP(B311,'Sender-Receiver'!$B$3:$BP$1500,41,FALSE),"")</f>
        <v>M3H InCh PGM | Ingest Ch27-15 | IngSRV-07</v>
      </c>
      <c r="E311" t="s">
        <v>1240</v>
      </c>
      <c r="F311">
        <v>15</v>
      </c>
      <c r="G311" t="s">
        <v>1859</v>
      </c>
      <c r="M311" t="str">
        <f>IF(OR(BOM!$AE$4=FALSE,BOM!$AE$4="-"),IF(ISERROR(SEARCH("send",B311)),"","pool:TPC"),IF(ISERROR(SEARCH("send",B311)),"","pool:TPC|pool:TPC"))</f>
        <v/>
      </c>
      <c r="S311" t="str">
        <f>IFERROR(IF(VLOOKUP(B311,'Sender-Receiver'!$B$3:$BP$1500,60,FALSE)="x","true","false"),"false")</f>
        <v>true</v>
      </c>
      <c r="T311" t="str">
        <f t="shared" si="4"/>
        <v>full</v>
      </c>
      <c r="Y311" t="str">
        <f>IF(BOM!$AE$4=FALSE,IF(ISERROR(SEARCH("Embrionix",BOM!$M$4)),"none",IF(ISERROR(SEARCH("Quadsplit",BOM!$N$4)),IF(ISERROR(SEARCH("rec",B311)),"none","merge"),"none")),IF(ISERROR(SEARCH("rec",B311)),"split","merge"))</f>
        <v>merge</v>
      </c>
    </row>
    <row r="312" spans="1:25" x14ac:dyDescent="0.2">
      <c r="A312" t="s">
        <v>1238</v>
      </c>
      <c r="B312" t="s">
        <v>1860</v>
      </c>
      <c r="C312" t="str">
        <f>IFERROR(VLOOKUP(B312,'Sender-Receiver'!$B$3:$BP$1500,61,FALSE),"")</f>
        <v>Type:Aud_1CH_M,Type:Aud_2CH_LR,Type:Aud_3CH_LRC,Type:Aud_6CH_5.1,Type:Aud_8CH_RAW,#SNP</v>
      </c>
      <c r="D312" t="str">
        <f>IFERROR(VLOOKUP(B312,'Sender-Receiver'!$B$3:$BP$1500,41,FALSE),"")</f>
        <v>M3H InCh PGM | Ingest Ch27-16 | IngSRV-07</v>
      </c>
      <c r="E312" t="s">
        <v>1240</v>
      </c>
      <c r="F312">
        <v>15</v>
      </c>
      <c r="G312" t="s">
        <v>1861</v>
      </c>
      <c r="M312" t="str">
        <f>IF(OR(BOM!$AE$4=FALSE,BOM!$AE$4="-"),IF(ISERROR(SEARCH("send",B312)),"","pool:TPC"),IF(ISERROR(SEARCH("send",B312)),"","pool:TPC|pool:TPC"))</f>
        <v/>
      </c>
      <c r="S312" t="str">
        <f>IFERROR(IF(VLOOKUP(B312,'Sender-Receiver'!$B$3:$BP$1500,60,FALSE)="x","true","false"),"false")</f>
        <v>true</v>
      </c>
      <c r="T312" t="str">
        <f t="shared" si="4"/>
        <v>full</v>
      </c>
      <c r="Y312" t="str">
        <f>IF(BOM!$AE$4=FALSE,IF(ISERROR(SEARCH("Embrionix",BOM!$M$4)),"none",IF(ISERROR(SEARCH("Quadsplit",BOM!$N$4)),IF(ISERROR(SEARCH("rec",B312)),"none","merge"),"none")),IF(ISERROR(SEARCH("rec",B312)),"split","merge"))</f>
        <v>merge</v>
      </c>
    </row>
    <row r="313" spans="1:25" x14ac:dyDescent="0.2">
      <c r="A313" t="s">
        <v>1238</v>
      </c>
      <c r="B313" t="s">
        <v>1862</v>
      </c>
      <c r="C313" t="str">
        <f>IFERROR(VLOOKUP(B313,'Sender-Receiver'!$B$3:$BP$1500,61,FALSE),"")</f>
        <v>Type:Anc_Prot,#SNP</v>
      </c>
      <c r="D313" t="str">
        <f>IFERROR(VLOOKUP(B313,'Sender-Receiver'!$B$3:$BP$1500,41,FALSE),"")</f>
        <v>M3H InCh PGM | Ingest Ch27-ANC1 | IngSRV-07</v>
      </c>
      <c r="E313" t="s">
        <v>1240</v>
      </c>
      <c r="F313">
        <v>15</v>
      </c>
      <c r="G313" t="s">
        <v>1863</v>
      </c>
      <c r="M313" t="str">
        <f>IF(OR(BOM!$AE$4=FALSE,BOM!$AE$4="-"),IF(ISERROR(SEARCH("send",B313)),"","pool:TPC"),IF(ISERROR(SEARCH("send",B313)),"","pool:TPC|pool:TPC"))</f>
        <v/>
      </c>
      <c r="S313" t="str">
        <f>IFERROR(IF(VLOOKUP(B313,'Sender-Receiver'!$B$3:$BP$1500,60,FALSE)="x","true","false"),"false")</f>
        <v>true</v>
      </c>
      <c r="T313" t="str">
        <f t="shared" si="4"/>
        <v>full</v>
      </c>
      <c r="Y313" t="str">
        <f>IF(BOM!$AE$4=FALSE,IF(ISERROR(SEARCH("Embrionix",BOM!$M$4)),"none",IF(ISERROR(SEARCH("Quadsplit",BOM!$N$4)),IF(ISERROR(SEARCH("rec",B313)),"none","merge"),"none")),IF(ISERROR(SEARCH("rec",B313)),"split","merge"))</f>
        <v>merge</v>
      </c>
    </row>
    <row r="314" spans="1:25" x14ac:dyDescent="0.2">
      <c r="A314" t="s">
        <v>1238</v>
      </c>
      <c r="B314" t="s">
        <v>1864</v>
      </c>
      <c r="C314" t="str">
        <f>IFERROR(VLOOKUP(B314,'Sender-Receiver'!$B$3:$BP$1500,61,FALSE),"")</f>
        <v>#SNP</v>
      </c>
      <c r="D314" t="str">
        <f>IFERROR(VLOOKUP(B314,'Sender-Receiver'!$B$3:$BP$1500,41,FALSE),"")</f>
        <v xml:space="preserve"> |  | IngSRV-07</v>
      </c>
      <c r="E314" t="s">
        <v>1240</v>
      </c>
      <c r="F314">
        <v>15</v>
      </c>
      <c r="G314" t="s">
        <v>1865</v>
      </c>
      <c r="M314" t="str">
        <f>IF(OR(BOM!$AE$4=FALSE,BOM!$AE$4="-"),IF(ISERROR(SEARCH("send",B314)),"","pool:TPC"),IF(ISERROR(SEARCH("send",B314)),"","pool:TPC|pool:TPC"))</f>
        <v/>
      </c>
      <c r="S314" t="str">
        <f>IFERROR(IF(VLOOKUP(B314,'Sender-Receiver'!$B$3:$BP$1500,60,FALSE)="x","true","false"),"false")</f>
        <v>false</v>
      </c>
      <c r="T314" t="str">
        <f t="shared" si="4"/>
        <v>off</v>
      </c>
      <c r="Y314" t="str">
        <f>IF(BOM!$AE$4=FALSE,IF(ISERROR(SEARCH("Embrionix",BOM!$M$4)),"none",IF(ISERROR(SEARCH("Quadsplit",BOM!$N$4)),IF(ISERROR(SEARCH("rec",B314)),"none","merge"),"none")),IF(ISERROR(SEARCH("rec",B314)),"split","merge"))</f>
        <v>merge</v>
      </c>
    </row>
    <row r="315" spans="1:25" x14ac:dyDescent="0.2">
      <c r="A315" t="s">
        <v>1238</v>
      </c>
      <c r="B315" t="s">
        <v>1866</v>
      </c>
      <c r="C315" t="str">
        <f>IFERROR(VLOOKUP(B315,'Sender-Receiver'!$B$3:$BP$1500,61,FALSE),"")</f>
        <v>#SNP</v>
      </c>
      <c r="D315" t="str">
        <f>IFERROR(VLOOKUP(B315,'Sender-Receiver'!$B$3:$BP$1500,41,FALSE),"")</f>
        <v xml:space="preserve"> |  | IngSRV-07</v>
      </c>
      <c r="E315" t="s">
        <v>1240</v>
      </c>
      <c r="F315">
        <v>15</v>
      </c>
      <c r="G315" t="s">
        <v>1867</v>
      </c>
      <c r="M315" t="str">
        <f>IF(OR(BOM!$AE$4=FALSE,BOM!$AE$4="-"),IF(ISERROR(SEARCH("send",B315)),"","pool:TPC"),IF(ISERROR(SEARCH("send",B315)),"","pool:TPC|pool:TPC"))</f>
        <v/>
      </c>
      <c r="S315" t="str">
        <f>IFERROR(IF(VLOOKUP(B315,'Sender-Receiver'!$B$3:$BP$1500,60,FALSE)="x","true","false"),"false")</f>
        <v>false</v>
      </c>
      <c r="T315" t="str">
        <f t="shared" si="4"/>
        <v>off</v>
      </c>
      <c r="Y315" t="str">
        <f>IF(BOM!$AE$4=FALSE,IF(ISERROR(SEARCH("Embrionix",BOM!$M$4)),"none",IF(ISERROR(SEARCH("Quadsplit",BOM!$N$4)),IF(ISERROR(SEARCH("rec",B315)),"none","merge"),"none")),IF(ISERROR(SEARCH("rec",B315)),"split","merge"))</f>
        <v>merge</v>
      </c>
    </row>
    <row r="316" spans="1:25" x14ac:dyDescent="0.2">
      <c r="A316" t="s">
        <v>1238</v>
      </c>
      <c r="B316" t="s">
        <v>1868</v>
      </c>
      <c r="C316" t="str">
        <f>IFERROR(VLOOKUP(B316,'Sender-Receiver'!$B$3:$BP$1500,61,FALSE),"")</f>
        <v>#SNP</v>
      </c>
      <c r="D316" t="str">
        <f>IFERROR(VLOOKUP(B316,'Sender-Receiver'!$B$3:$BP$1500,41,FALSE),"")</f>
        <v xml:space="preserve"> |  | IngSRV-07</v>
      </c>
      <c r="E316" t="s">
        <v>1240</v>
      </c>
      <c r="F316">
        <v>15</v>
      </c>
      <c r="G316" t="s">
        <v>1869</v>
      </c>
      <c r="M316" t="str">
        <f>IF(OR(BOM!$AE$4=FALSE,BOM!$AE$4="-"),IF(ISERROR(SEARCH("send",B316)),"","pool:TPC"),IF(ISERROR(SEARCH("send",B316)),"","pool:TPC|pool:TPC"))</f>
        <v/>
      </c>
      <c r="S316" t="str">
        <f>IFERROR(IF(VLOOKUP(B316,'Sender-Receiver'!$B$3:$BP$1500,60,FALSE)="x","true","false"),"false")</f>
        <v>false</v>
      </c>
      <c r="T316" t="str">
        <f t="shared" si="4"/>
        <v>off</v>
      </c>
      <c r="Y316" t="str">
        <f>IF(BOM!$AE$4=FALSE,IF(ISERROR(SEARCH("Embrionix",BOM!$M$4)),"none",IF(ISERROR(SEARCH("Quadsplit",BOM!$N$4)),IF(ISERROR(SEARCH("rec",B316)),"none","merge"),"none")),IF(ISERROR(SEARCH("rec",B316)),"split","merge"))</f>
        <v>merge</v>
      </c>
    </row>
    <row r="317" spans="1:25" x14ac:dyDescent="0.2">
      <c r="A317" t="s">
        <v>1238</v>
      </c>
      <c r="B317" t="s">
        <v>1870</v>
      </c>
      <c r="C317" t="str">
        <f>IFERROR(VLOOKUP(B317,'Sender-Receiver'!$B$3:$BP$1500,61,FALSE),"")</f>
        <v>Type:Vid_1080i50,Type:Vid_1080p25,Type:Vid_1080p50,Type:Vid_1080p60,#SNP</v>
      </c>
      <c r="D317" t="str">
        <f>IFERROR(VLOOKUP(B317,'Sender-Receiver'!$B$3:$BP$1500,41,FALSE),"")</f>
        <v>M3H InCh ARCHIV | Ingest Ch28 | IngSRV-07</v>
      </c>
      <c r="E317" t="s">
        <v>1240</v>
      </c>
      <c r="F317">
        <v>16</v>
      </c>
      <c r="G317" t="s">
        <v>1871</v>
      </c>
      <c r="M317" t="str">
        <f>IF(OR(BOM!$AE$4=FALSE,BOM!$AE$4="-"),IF(ISERROR(SEARCH("send",B317)),"","pool:TPC"),IF(ISERROR(SEARCH("send",B317)),"","pool:TPC|pool:TPC"))</f>
        <v/>
      </c>
      <c r="S317" t="str">
        <f>IFERROR(IF(VLOOKUP(B317,'Sender-Receiver'!$B$3:$BP$1500,60,FALSE)="x","true","false"),"false")</f>
        <v>true</v>
      </c>
      <c r="T317" t="str">
        <f t="shared" si="4"/>
        <v>full</v>
      </c>
      <c r="Y317" t="str">
        <f>IF(BOM!$AE$4=FALSE,IF(ISERROR(SEARCH("Embrionix",BOM!$M$4)),"none",IF(ISERROR(SEARCH("Quadsplit",BOM!$N$4)),IF(ISERROR(SEARCH("rec",B317)),"none","merge"),"none")),IF(ISERROR(SEARCH("rec",B317)),"split","merge"))</f>
        <v>merge</v>
      </c>
    </row>
    <row r="318" spans="1:25" x14ac:dyDescent="0.2">
      <c r="A318" t="s">
        <v>1238</v>
      </c>
      <c r="B318" t="s">
        <v>1872</v>
      </c>
      <c r="C318" t="str">
        <f>IFERROR(VLOOKUP(B318,'Sender-Receiver'!$B$3:$BP$1500,61,FALSE),"")</f>
        <v>Type:Aud_1CH_M,Type:Aud_2CH_LR,Type:Aud_3CH_LRC,Type:Aud_6CH_5.1,#SNP</v>
      </c>
      <c r="D318" t="str">
        <f>IFERROR(VLOOKUP(B318,'Sender-Receiver'!$B$3:$BP$1500,41,FALSE),"")</f>
        <v>M3H InCh ARCHIV | Ingest Ch28-01 | IngSRV-07</v>
      </c>
      <c r="E318" t="s">
        <v>1240</v>
      </c>
      <c r="F318">
        <v>16</v>
      </c>
      <c r="G318" t="s">
        <v>1873</v>
      </c>
      <c r="M318" t="str">
        <f>IF(OR(BOM!$AE$4=FALSE,BOM!$AE$4="-"),IF(ISERROR(SEARCH("send",B318)),"","pool:TPC"),IF(ISERROR(SEARCH("send",B318)),"","pool:TPC|pool:TPC"))</f>
        <v/>
      </c>
      <c r="S318" t="str">
        <f>IFERROR(IF(VLOOKUP(B318,'Sender-Receiver'!$B$3:$BP$1500,60,FALSE)="x","true","false"),"false")</f>
        <v>true</v>
      </c>
      <c r="T318" t="str">
        <f t="shared" si="4"/>
        <v>full</v>
      </c>
      <c r="Y318" t="str">
        <f>IF(BOM!$AE$4=FALSE,IF(ISERROR(SEARCH("Embrionix",BOM!$M$4)),"none",IF(ISERROR(SEARCH("Quadsplit",BOM!$N$4)),IF(ISERROR(SEARCH("rec",B318)),"none","merge"),"none")),IF(ISERROR(SEARCH("rec",B318)),"split","merge"))</f>
        <v>merge</v>
      </c>
    </row>
    <row r="319" spans="1:25" x14ac:dyDescent="0.2">
      <c r="A319" t="s">
        <v>1238</v>
      </c>
      <c r="B319" t="s">
        <v>1874</v>
      </c>
      <c r="C319" t="str">
        <f>IFERROR(VLOOKUP(B319,'Sender-Receiver'!$B$3:$BP$1500,61,FALSE),"")</f>
        <v>Type:Aud_1CH_M,Type:Aud_2CH_LR,Type:Aud_3CH_LRC,Type:Aud_6CH_5.1,#SNP</v>
      </c>
      <c r="D319" t="str">
        <f>IFERROR(VLOOKUP(B319,'Sender-Receiver'!$B$3:$BP$1500,41,FALSE),"")</f>
        <v>M3H InCh ARCHIV | Ingest Ch28-02 | IngSRV-07</v>
      </c>
      <c r="E319" t="s">
        <v>1240</v>
      </c>
      <c r="F319">
        <v>16</v>
      </c>
      <c r="G319" t="s">
        <v>1875</v>
      </c>
      <c r="M319" t="str">
        <f>IF(OR(BOM!$AE$4=FALSE,BOM!$AE$4="-"),IF(ISERROR(SEARCH("send",B319)),"","pool:TPC"),IF(ISERROR(SEARCH("send",B319)),"","pool:TPC|pool:TPC"))</f>
        <v/>
      </c>
      <c r="S319" t="str">
        <f>IFERROR(IF(VLOOKUP(B319,'Sender-Receiver'!$B$3:$BP$1500,60,FALSE)="x","true","false"),"false")</f>
        <v>true</v>
      </c>
      <c r="T319" t="str">
        <f t="shared" si="4"/>
        <v>full</v>
      </c>
      <c r="Y319" t="str">
        <f>IF(BOM!$AE$4=FALSE,IF(ISERROR(SEARCH("Embrionix",BOM!$M$4)),"none",IF(ISERROR(SEARCH("Quadsplit",BOM!$N$4)),IF(ISERROR(SEARCH("rec",B319)),"none","merge"),"none")),IF(ISERROR(SEARCH("rec",B319)),"split","merge"))</f>
        <v>merge</v>
      </c>
    </row>
    <row r="320" spans="1:25" x14ac:dyDescent="0.2">
      <c r="A320" t="s">
        <v>1238</v>
      </c>
      <c r="B320" t="s">
        <v>1876</v>
      </c>
      <c r="C320" t="str">
        <f>IFERROR(VLOOKUP(B320,'Sender-Receiver'!$B$3:$BP$1500,61,FALSE),"")</f>
        <v>Type:Aud_1CH_M,Type:Aud_2CH_LR,Type:Aud_3CH_LRC,Type:Aud_6CH_5.1,#SNP</v>
      </c>
      <c r="D320" t="str">
        <f>IFERROR(VLOOKUP(B320,'Sender-Receiver'!$B$3:$BP$1500,41,FALSE),"")</f>
        <v>M3H InCh ARCHIV | Ingest Ch28-03 | IngSRV-07</v>
      </c>
      <c r="E320" t="s">
        <v>1240</v>
      </c>
      <c r="F320">
        <v>16</v>
      </c>
      <c r="G320" t="s">
        <v>1877</v>
      </c>
      <c r="M320" t="str">
        <f>IF(OR(BOM!$AE$4=FALSE,BOM!$AE$4="-"),IF(ISERROR(SEARCH("send",B320)),"","pool:TPC"),IF(ISERROR(SEARCH("send",B320)),"","pool:TPC|pool:TPC"))</f>
        <v/>
      </c>
      <c r="S320" t="str">
        <f>IFERROR(IF(VLOOKUP(B320,'Sender-Receiver'!$B$3:$BP$1500,60,FALSE)="x","true","false"),"false")</f>
        <v>true</v>
      </c>
      <c r="T320" t="str">
        <f t="shared" si="4"/>
        <v>full</v>
      </c>
      <c r="Y320" t="str">
        <f>IF(BOM!$AE$4=FALSE,IF(ISERROR(SEARCH("Embrionix",BOM!$M$4)),"none",IF(ISERROR(SEARCH("Quadsplit",BOM!$N$4)),IF(ISERROR(SEARCH("rec",B320)),"none","merge"),"none")),IF(ISERROR(SEARCH("rec",B320)),"split","merge"))</f>
        <v>merge</v>
      </c>
    </row>
    <row r="321" spans="1:25" x14ac:dyDescent="0.2">
      <c r="A321" t="s">
        <v>1238</v>
      </c>
      <c r="B321" t="s">
        <v>1878</v>
      </c>
      <c r="C321" t="str">
        <f>IFERROR(VLOOKUP(B321,'Sender-Receiver'!$B$3:$BP$1500,61,FALSE),"")</f>
        <v>Type:Aud_1CH_M,Type:Aud_2CH_LR,Type:Aud_3CH_LRC,Type:Aud_6CH_5.1,#SNP</v>
      </c>
      <c r="D321" t="str">
        <f>IFERROR(VLOOKUP(B321,'Sender-Receiver'!$B$3:$BP$1500,41,FALSE),"")</f>
        <v>M3H InCh ARCHIV | Ingest Ch28-04 | IngSRV-07</v>
      </c>
      <c r="E321" t="s">
        <v>1240</v>
      </c>
      <c r="F321">
        <v>16</v>
      </c>
      <c r="G321" t="s">
        <v>1879</v>
      </c>
      <c r="M321" t="str">
        <f>IF(OR(BOM!$AE$4=FALSE,BOM!$AE$4="-"),IF(ISERROR(SEARCH("send",B321)),"","pool:TPC"),IF(ISERROR(SEARCH("send",B321)),"","pool:TPC|pool:TPC"))</f>
        <v/>
      </c>
      <c r="S321" t="str">
        <f>IFERROR(IF(VLOOKUP(B321,'Sender-Receiver'!$B$3:$BP$1500,60,FALSE)="x","true","false"),"false")</f>
        <v>true</v>
      </c>
      <c r="T321" t="str">
        <f t="shared" si="4"/>
        <v>full</v>
      </c>
      <c r="Y321" t="str">
        <f>IF(BOM!$AE$4=FALSE,IF(ISERROR(SEARCH("Embrionix",BOM!$M$4)),"none",IF(ISERROR(SEARCH("Quadsplit",BOM!$N$4)),IF(ISERROR(SEARCH("rec",B321)),"none","merge"),"none")),IF(ISERROR(SEARCH("rec",B321)),"split","merge"))</f>
        <v>merge</v>
      </c>
    </row>
    <row r="322" spans="1:25" x14ac:dyDescent="0.2">
      <c r="A322" t="s">
        <v>1238</v>
      </c>
      <c r="B322" t="s">
        <v>1880</v>
      </c>
      <c r="C322" t="str">
        <f>IFERROR(VLOOKUP(B322,'Sender-Receiver'!$B$3:$BP$1500,61,FALSE),"")</f>
        <v>Type:Aud_1CH_M,Type:Aud_2CH_LR,Type:Aud_3CH_LRC,Type:Aud_6CH_5.1,#SNP</v>
      </c>
      <c r="D322" t="str">
        <f>IFERROR(VLOOKUP(B322,'Sender-Receiver'!$B$3:$BP$1500,41,FALSE),"")</f>
        <v>M3H InCh ARCHIV | Ingest Ch28-05 | IngSRV-07</v>
      </c>
      <c r="E322" t="s">
        <v>1240</v>
      </c>
      <c r="F322">
        <v>16</v>
      </c>
      <c r="G322" t="s">
        <v>1881</v>
      </c>
      <c r="M322" t="str">
        <f>IF(OR(BOM!$AE$4=FALSE,BOM!$AE$4="-"),IF(ISERROR(SEARCH("send",B322)),"","pool:TPC"),IF(ISERROR(SEARCH("send",B322)),"","pool:TPC|pool:TPC"))</f>
        <v/>
      </c>
      <c r="S322" t="str">
        <f>IFERROR(IF(VLOOKUP(B322,'Sender-Receiver'!$B$3:$BP$1500,60,FALSE)="x","true","false"),"false")</f>
        <v>true</v>
      </c>
      <c r="T322" t="str">
        <f t="shared" si="4"/>
        <v>full</v>
      </c>
      <c r="Y322" t="str">
        <f>IF(BOM!$AE$4=FALSE,IF(ISERROR(SEARCH("Embrionix",BOM!$M$4)),"none",IF(ISERROR(SEARCH("Quadsplit",BOM!$N$4)),IF(ISERROR(SEARCH("rec",B322)),"none","merge"),"none")),IF(ISERROR(SEARCH("rec",B322)),"split","merge"))</f>
        <v>merge</v>
      </c>
    </row>
    <row r="323" spans="1:25" x14ac:dyDescent="0.2">
      <c r="A323" t="s">
        <v>1238</v>
      </c>
      <c r="B323" t="s">
        <v>1882</v>
      </c>
      <c r="C323" t="str">
        <f>IFERROR(VLOOKUP(B323,'Sender-Receiver'!$B$3:$BP$1500,61,FALSE),"")</f>
        <v>Type:Aud_1CH_M,Type:Aud_2CH_LR,Type:Aud_3CH_LRC,Type:Aud_6CH_5.1,#SNP</v>
      </c>
      <c r="D323" t="str">
        <f>IFERROR(VLOOKUP(B323,'Sender-Receiver'!$B$3:$BP$1500,41,FALSE),"")</f>
        <v>M3H InCh ARCHIV | Ingest Ch28-06 | IngSRV-07</v>
      </c>
      <c r="E323" t="s">
        <v>1240</v>
      </c>
      <c r="F323">
        <v>16</v>
      </c>
      <c r="G323" t="s">
        <v>1883</v>
      </c>
      <c r="M323" t="str">
        <f>IF(OR(BOM!$AE$4=FALSE,BOM!$AE$4="-"),IF(ISERROR(SEARCH("send",B323)),"","pool:TPC"),IF(ISERROR(SEARCH("send",B323)),"","pool:TPC|pool:TPC"))</f>
        <v/>
      </c>
      <c r="S323" t="str">
        <f>IFERROR(IF(VLOOKUP(B323,'Sender-Receiver'!$B$3:$BP$1500,60,FALSE)="x","true","false"),"false")</f>
        <v>true</v>
      </c>
      <c r="T323" t="str">
        <f t="shared" ref="T323:T386" si="5">IF(S323="true","full","off")</f>
        <v>full</v>
      </c>
      <c r="Y323" t="str">
        <f>IF(BOM!$AE$4=FALSE,IF(ISERROR(SEARCH("Embrionix",BOM!$M$4)),"none",IF(ISERROR(SEARCH("Quadsplit",BOM!$N$4)),IF(ISERROR(SEARCH("rec",B323)),"none","merge"),"none")),IF(ISERROR(SEARCH("rec",B323)),"split","merge"))</f>
        <v>merge</v>
      </c>
    </row>
    <row r="324" spans="1:25" x14ac:dyDescent="0.2">
      <c r="A324" t="s">
        <v>1238</v>
      </c>
      <c r="B324" t="s">
        <v>1884</v>
      </c>
      <c r="C324" t="str">
        <f>IFERROR(VLOOKUP(B324,'Sender-Receiver'!$B$3:$BP$1500,61,FALSE),"")</f>
        <v>Type:Aud_1CH_M,Type:Aud_2CH_LR,Type:Aud_3CH_LRC,Type:Aud_6CH_5.1,#SNP</v>
      </c>
      <c r="D324" t="str">
        <f>IFERROR(VLOOKUP(B324,'Sender-Receiver'!$B$3:$BP$1500,41,FALSE),"")</f>
        <v>M3H InCh ARCHIV | Ingest Ch28-07 | IngSRV-07</v>
      </c>
      <c r="E324" t="s">
        <v>1240</v>
      </c>
      <c r="F324">
        <v>16</v>
      </c>
      <c r="G324" t="s">
        <v>1885</v>
      </c>
      <c r="M324" t="str">
        <f>IF(OR(BOM!$AE$4=FALSE,BOM!$AE$4="-"),IF(ISERROR(SEARCH("send",B324)),"","pool:TPC"),IF(ISERROR(SEARCH("send",B324)),"","pool:TPC|pool:TPC"))</f>
        <v/>
      </c>
      <c r="S324" t="str">
        <f>IFERROR(IF(VLOOKUP(B324,'Sender-Receiver'!$B$3:$BP$1500,60,FALSE)="x","true","false"),"false")</f>
        <v>true</v>
      </c>
      <c r="T324" t="str">
        <f t="shared" si="5"/>
        <v>full</v>
      </c>
      <c r="Y324" t="str">
        <f>IF(BOM!$AE$4=FALSE,IF(ISERROR(SEARCH("Embrionix",BOM!$M$4)),"none",IF(ISERROR(SEARCH("Quadsplit",BOM!$N$4)),IF(ISERROR(SEARCH("rec",B324)),"none","merge"),"none")),IF(ISERROR(SEARCH("rec",B324)),"split","merge"))</f>
        <v>merge</v>
      </c>
    </row>
    <row r="325" spans="1:25" x14ac:dyDescent="0.2">
      <c r="A325" t="s">
        <v>1238</v>
      </c>
      <c r="B325" t="s">
        <v>1886</v>
      </c>
      <c r="C325" t="str">
        <f>IFERROR(VLOOKUP(B325,'Sender-Receiver'!$B$3:$BP$1500,61,FALSE),"")</f>
        <v>Type:Aud_1CH_M,Type:Aud_2CH_LR,Type:Aud_3CH_LRC,Type:Aud_6CH_5.1,#SNP</v>
      </c>
      <c r="D325" t="str">
        <f>IFERROR(VLOOKUP(B325,'Sender-Receiver'!$B$3:$BP$1500,41,FALSE),"")</f>
        <v>M3H InCh ARCHIV | Ingest Ch28-08 | IngSRV-07</v>
      </c>
      <c r="E325" t="s">
        <v>1240</v>
      </c>
      <c r="F325">
        <v>16</v>
      </c>
      <c r="G325" t="s">
        <v>1887</v>
      </c>
      <c r="M325" t="str">
        <f>IF(OR(BOM!$AE$4=FALSE,BOM!$AE$4="-"),IF(ISERROR(SEARCH("send",B325)),"","pool:TPC"),IF(ISERROR(SEARCH("send",B325)),"","pool:TPC|pool:TPC"))</f>
        <v/>
      </c>
      <c r="S325" t="str">
        <f>IFERROR(IF(VLOOKUP(B325,'Sender-Receiver'!$B$3:$BP$1500,60,FALSE)="x","true","false"),"false")</f>
        <v>true</v>
      </c>
      <c r="T325" t="str">
        <f t="shared" si="5"/>
        <v>full</v>
      </c>
      <c r="Y325" t="str">
        <f>IF(BOM!$AE$4=FALSE,IF(ISERROR(SEARCH("Embrionix",BOM!$M$4)),"none",IF(ISERROR(SEARCH("Quadsplit",BOM!$N$4)),IF(ISERROR(SEARCH("rec",B325)),"none","merge"),"none")),IF(ISERROR(SEARCH("rec",B325)),"split","merge"))</f>
        <v>merge</v>
      </c>
    </row>
    <row r="326" spans="1:25" x14ac:dyDescent="0.2">
      <c r="A326" t="s">
        <v>1238</v>
      </c>
      <c r="B326" t="s">
        <v>1888</v>
      </c>
      <c r="C326" t="str">
        <f>IFERROR(VLOOKUP(B326,'Sender-Receiver'!$B$3:$BP$1500,61,FALSE),"")</f>
        <v>Type:Aud_1CH_M,Type:Aud_2CH_LR,Type:Aud_3CH_LRC,Type:Aud_6CH_5.1,#SNP</v>
      </c>
      <c r="D326" t="str">
        <f>IFERROR(VLOOKUP(B326,'Sender-Receiver'!$B$3:$BP$1500,41,FALSE),"")</f>
        <v>M3H InCh ARCHIV | Ingest Ch28-09 | IngSRV-07</v>
      </c>
      <c r="E326" t="s">
        <v>1240</v>
      </c>
      <c r="F326">
        <v>16</v>
      </c>
      <c r="G326" t="s">
        <v>1889</v>
      </c>
      <c r="M326" t="str">
        <f>IF(OR(BOM!$AE$4=FALSE,BOM!$AE$4="-"),IF(ISERROR(SEARCH("send",B326)),"","pool:TPC"),IF(ISERROR(SEARCH("send",B326)),"","pool:TPC|pool:TPC"))</f>
        <v/>
      </c>
      <c r="S326" t="str">
        <f>IFERROR(IF(VLOOKUP(B326,'Sender-Receiver'!$B$3:$BP$1500,60,FALSE)="x","true","false"),"false")</f>
        <v>true</v>
      </c>
      <c r="T326" t="str">
        <f t="shared" si="5"/>
        <v>full</v>
      </c>
      <c r="Y326" t="str">
        <f>IF(BOM!$AE$4=FALSE,IF(ISERROR(SEARCH("Embrionix",BOM!$M$4)),"none",IF(ISERROR(SEARCH("Quadsplit",BOM!$N$4)),IF(ISERROR(SEARCH("rec",B326)),"none","merge"),"none")),IF(ISERROR(SEARCH("rec",B326)),"split","merge"))</f>
        <v>merge</v>
      </c>
    </row>
    <row r="327" spans="1:25" x14ac:dyDescent="0.2">
      <c r="A327" t="s">
        <v>1238</v>
      </c>
      <c r="B327" t="s">
        <v>1890</v>
      </c>
      <c r="C327" t="str">
        <f>IFERROR(VLOOKUP(B327,'Sender-Receiver'!$B$3:$BP$1500,61,FALSE),"")</f>
        <v>#SNP</v>
      </c>
      <c r="D327" t="str">
        <f>IFERROR(VLOOKUP(B327,'Sender-Receiver'!$B$3:$BP$1500,41,FALSE),"")</f>
        <v xml:space="preserve"> |  | IngSRV-07</v>
      </c>
      <c r="E327" t="s">
        <v>1240</v>
      </c>
      <c r="F327">
        <v>16</v>
      </c>
      <c r="G327" t="s">
        <v>1891</v>
      </c>
      <c r="M327" t="str">
        <f>IF(OR(BOM!$AE$4=FALSE,BOM!$AE$4="-"),IF(ISERROR(SEARCH("send",B327)),"","pool:TPC"),IF(ISERROR(SEARCH("send",B327)),"","pool:TPC|pool:TPC"))</f>
        <v/>
      </c>
      <c r="S327" t="str">
        <f>IFERROR(IF(VLOOKUP(B327,'Sender-Receiver'!$B$3:$BP$1500,60,FALSE)="x","true","false"),"false")</f>
        <v>false</v>
      </c>
      <c r="T327" t="str">
        <f t="shared" si="5"/>
        <v>off</v>
      </c>
      <c r="Y327" t="str">
        <f>IF(BOM!$AE$4=FALSE,IF(ISERROR(SEARCH("Embrionix",BOM!$M$4)),"none",IF(ISERROR(SEARCH("Quadsplit",BOM!$N$4)),IF(ISERROR(SEARCH("rec",B327)),"none","merge"),"none")),IF(ISERROR(SEARCH("rec",B327)),"split","merge"))</f>
        <v>merge</v>
      </c>
    </row>
    <row r="328" spans="1:25" x14ac:dyDescent="0.2">
      <c r="A328" t="s">
        <v>1238</v>
      </c>
      <c r="B328" t="s">
        <v>1892</v>
      </c>
      <c r="C328" t="str">
        <f>IFERROR(VLOOKUP(B328,'Sender-Receiver'!$B$3:$BP$1500,61,FALSE),"")</f>
        <v>#SNP</v>
      </c>
      <c r="D328" t="str">
        <f>IFERROR(VLOOKUP(B328,'Sender-Receiver'!$B$3:$BP$1500,41,FALSE),"")</f>
        <v xml:space="preserve"> |  | IngSRV-07</v>
      </c>
      <c r="E328" t="s">
        <v>1240</v>
      </c>
      <c r="F328">
        <v>16</v>
      </c>
      <c r="G328" t="s">
        <v>1893</v>
      </c>
      <c r="M328" t="str">
        <f>IF(OR(BOM!$AE$4=FALSE,BOM!$AE$4="-"),IF(ISERROR(SEARCH("send",B328)),"","pool:TPC"),IF(ISERROR(SEARCH("send",B328)),"","pool:TPC|pool:TPC"))</f>
        <v/>
      </c>
      <c r="S328" t="str">
        <f>IFERROR(IF(VLOOKUP(B328,'Sender-Receiver'!$B$3:$BP$1500,60,FALSE)="x","true","false"),"false")</f>
        <v>false</v>
      </c>
      <c r="T328" t="str">
        <f t="shared" si="5"/>
        <v>off</v>
      </c>
      <c r="Y328" t="str">
        <f>IF(BOM!$AE$4=FALSE,IF(ISERROR(SEARCH("Embrionix",BOM!$M$4)),"none",IF(ISERROR(SEARCH("Quadsplit",BOM!$N$4)),IF(ISERROR(SEARCH("rec",B328)),"none","merge"),"none")),IF(ISERROR(SEARCH("rec",B328)),"split","merge"))</f>
        <v>merge</v>
      </c>
    </row>
    <row r="329" spans="1:25" x14ac:dyDescent="0.2">
      <c r="A329" t="s">
        <v>1238</v>
      </c>
      <c r="B329" t="s">
        <v>1894</v>
      </c>
      <c r="C329" t="str">
        <f>IFERROR(VLOOKUP(B329,'Sender-Receiver'!$B$3:$BP$1500,61,FALSE),"")</f>
        <v>#SNP</v>
      </c>
      <c r="D329" t="str">
        <f>IFERROR(VLOOKUP(B329,'Sender-Receiver'!$B$3:$BP$1500,41,FALSE),"")</f>
        <v xml:space="preserve"> |  | IngSRV-07</v>
      </c>
      <c r="E329" t="s">
        <v>1240</v>
      </c>
      <c r="F329">
        <v>16</v>
      </c>
      <c r="G329" t="s">
        <v>1895</v>
      </c>
      <c r="M329" t="str">
        <f>IF(OR(BOM!$AE$4=FALSE,BOM!$AE$4="-"),IF(ISERROR(SEARCH("send",B329)),"","pool:TPC"),IF(ISERROR(SEARCH("send",B329)),"","pool:TPC|pool:TPC"))</f>
        <v/>
      </c>
      <c r="S329" t="str">
        <f>IFERROR(IF(VLOOKUP(B329,'Sender-Receiver'!$B$3:$BP$1500,60,FALSE)="x","true","false"),"false")</f>
        <v>false</v>
      </c>
      <c r="T329" t="str">
        <f t="shared" si="5"/>
        <v>off</v>
      </c>
      <c r="Y329" t="str">
        <f>IF(BOM!$AE$4=FALSE,IF(ISERROR(SEARCH("Embrionix",BOM!$M$4)),"none",IF(ISERROR(SEARCH("Quadsplit",BOM!$N$4)),IF(ISERROR(SEARCH("rec",B329)),"none","merge"),"none")),IF(ISERROR(SEARCH("rec",B329)),"split","merge"))</f>
        <v>merge</v>
      </c>
    </row>
    <row r="330" spans="1:25" x14ac:dyDescent="0.2">
      <c r="A330" t="s">
        <v>1238</v>
      </c>
      <c r="B330" t="s">
        <v>1896</v>
      </c>
      <c r="C330" t="str">
        <f>IFERROR(VLOOKUP(B330,'Sender-Receiver'!$B$3:$BP$1500,61,FALSE),"")</f>
        <v>#SNP</v>
      </c>
      <c r="D330" t="str">
        <f>IFERROR(VLOOKUP(B330,'Sender-Receiver'!$B$3:$BP$1500,41,FALSE),"")</f>
        <v xml:space="preserve"> |  | IngSRV-07</v>
      </c>
      <c r="E330" t="s">
        <v>1240</v>
      </c>
      <c r="F330">
        <v>16</v>
      </c>
      <c r="G330" t="s">
        <v>1897</v>
      </c>
      <c r="M330" t="str">
        <f>IF(OR(BOM!$AE$4=FALSE,BOM!$AE$4="-"),IF(ISERROR(SEARCH("send",B330)),"","pool:TPC"),IF(ISERROR(SEARCH("send",B330)),"","pool:TPC|pool:TPC"))</f>
        <v/>
      </c>
      <c r="S330" t="str">
        <f>IFERROR(IF(VLOOKUP(B330,'Sender-Receiver'!$B$3:$BP$1500,60,FALSE)="x","true","false"),"false")</f>
        <v>false</v>
      </c>
      <c r="T330" t="str">
        <f t="shared" si="5"/>
        <v>off</v>
      </c>
      <c r="Y330" t="str">
        <f>IF(BOM!$AE$4=FALSE,IF(ISERROR(SEARCH("Embrionix",BOM!$M$4)),"none",IF(ISERROR(SEARCH("Quadsplit",BOM!$N$4)),IF(ISERROR(SEARCH("rec",B330)),"none","merge"),"none")),IF(ISERROR(SEARCH("rec",B330)),"split","merge"))</f>
        <v>merge</v>
      </c>
    </row>
    <row r="331" spans="1:25" x14ac:dyDescent="0.2">
      <c r="A331" t="s">
        <v>1238</v>
      </c>
      <c r="B331" t="s">
        <v>1898</v>
      </c>
      <c r="C331" t="str">
        <f>IFERROR(VLOOKUP(B331,'Sender-Receiver'!$B$3:$BP$1500,61,FALSE),"")</f>
        <v>#SNP</v>
      </c>
      <c r="D331" t="str">
        <f>IFERROR(VLOOKUP(B331,'Sender-Receiver'!$B$3:$BP$1500,41,FALSE),"")</f>
        <v xml:space="preserve"> |  | IngSRV-07</v>
      </c>
      <c r="E331" t="s">
        <v>1240</v>
      </c>
      <c r="F331">
        <v>16</v>
      </c>
      <c r="G331" t="s">
        <v>1899</v>
      </c>
      <c r="M331" t="str">
        <f>IF(OR(BOM!$AE$4=FALSE,BOM!$AE$4="-"),IF(ISERROR(SEARCH("send",B331)),"","pool:TPC"),IF(ISERROR(SEARCH("send",B331)),"","pool:TPC|pool:TPC"))</f>
        <v/>
      </c>
      <c r="S331" t="str">
        <f>IFERROR(IF(VLOOKUP(B331,'Sender-Receiver'!$B$3:$BP$1500,60,FALSE)="x","true","false"),"false")</f>
        <v>false</v>
      </c>
      <c r="T331" t="str">
        <f t="shared" si="5"/>
        <v>off</v>
      </c>
      <c r="Y331" t="str">
        <f>IF(BOM!$AE$4=FALSE,IF(ISERROR(SEARCH("Embrionix",BOM!$M$4)),"none",IF(ISERROR(SEARCH("Quadsplit",BOM!$N$4)),IF(ISERROR(SEARCH("rec",B331)),"none","merge"),"none")),IF(ISERROR(SEARCH("rec",B331)),"split","merge"))</f>
        <v>merge</v>
      </c>
    </row>
    <row r="332" spans="1:25" x14ac:dyDescent="0.2">
      <c r="A332" t="s">
        <v>1238</v>
      </c>
      <c r="B332" t="s">
        <v>1900</v>
      </c>
      <c r="C332" t="str">
        <f>IFERROR(VLOOKUP(B332,'Sender-Receiver'!$B$3:$BP$1500,61,FALSE),"")</f>
        <v>Type:Aud_1CH_M,Type:Aud_2CH_LR,Type:Aud_3CH_LRC,Type:Aud_6CH_5.1,Type:Aud_8CH_RAW,#SNP</v>
      </c>
      <c r="D332" t="str">
        <f>IFERROR(VLOOKUP(B332,'Sender-Receiver'!$B$3:$BP$1500,41,FALSE),"")</f>
        <v>M3H InCh ARCHIV | Ingest Ch28-15 | IngSRV-07</v>
      </c>
      <c r="E332" t="s">
        <v>1240</v>
      </c>
      <c r="F332">
        <v>16</v>
      </c>
      <c r="G332" t="s">
        <v>1901</v>
      </c>
      <c r="M332" t="str">
        <f>IF(OR(BOM!$AE$4=FALSE,BOM!$AE$4="-"),IF(ISERROR(SEARCH("send",B332)),"","pool:TPC"),IF(ISERROR(SEARCH("send",B332)),"","pool:TPC|pool:TPC"))</f>
        <v/>
      </c>
      <c r="S332" t="str">
        <f>IFERROR(IF(VLOOKUP(B332,'Sender-Receiver'!$B$3:$BP$1500,60,FALSE)="x","true","false"),"false")</f>
        <v>true</v>
      </c>
      <c r="T332" t="str">
        <f t="shared" si="5"/>
        <v>full</v>
      </c>
      <c r="Y332" t="str">
        <f>IF(BOM!$AE$4=FALSE,IF(ISERROR(SEARCH("Embrionix",BOM!$M$4)),"none",IF(ISERROR(SEARCH("Quadsplit",BOM!$N$4)),IF(ISERROR(SEARCH("rec",B332)),"none","merge"),"none")),IF(ISERROR(SEARCH("rec",B332)),"split","merge"))</f>
        <v>merge</v>
      </c>
    </row>
    <row r="333" spans="1:25" x14ac:dyDescent="0.2">
      <c r="A333" t="s">
        <v>1238</v>
      </c>
      <c r="B333" t="s">
        <v>1902</v>
      </c>
      <c r="C333" t="str">
        <f>IFERROR(VLOOKUP(B333,'Sender-Receiver'!$B$3:$BP$1500,61,FALSE),"")</f>
        <v>Type:Aud_1CH_M,Type:Aud_2CH_LR,Type:Aud_3CH_LRC,Type:Aud_6CH_5.1,Type:Aud_8CH_RAW,#SNP</v>
      </c>
      <c r="D333" t="str">
        <f>IFERROR(VLOOKUP(B333,'Sender-Receiver'!$B$3:$BP$1500,41,FALSE),"")</f>
        <v>M3H InCh ARCHIV | Ingest Ch28-16 | IngSRV-07</v>
      </c>
      <c r="E333" t="s">
        <v>1240</v>
      </c>
      <c r="F333">
        <v>16</v>
      </c>
      <c r="G333" t="s">
        <v>1903</v>
      </c>
      <c r="M333" t="str">
        <f>IF(OR(BOM!$AE$4=FALSE,BOM!$AE$4="-"),IF(ISERROR(SEARCH("send",B333)),"","pool:TPC"),IF(ISERROR(SEARCH("send",B333)),"","pool:TPC|pool:TPC"))</f>
        <v/>
      </c>
      <c r="S333" t="str">
        <f>IFERROR(IF(VLOOKUP(B333,'Sender-Receiver'!$B$3:$BP$1500,60,FALSE)="x","true","false"),"false")</f>
        <v>true</v>
      </c>
      <c r="T333" t="str">
        <f t="shared" si="5"/>
        <v>full</v>
      </c>
      <c r="Y333" t="str">
        <f>IF(BOM!$AE$4=FALSE,IF(ISERROR(SEARCH("Embrionix",BOM!$M$4)),"none",IF(ISERROR(SEARCH("Quadsplit",BOM!$N$4)),IF(ISERROR(SEARCH("rec",B333)),"none","merge"),"none")),IF(ISERROR(SEARCH("rec",B333)),"split","merge"))</f>
        <v>merge</v>
      </c>
    </row>
    <row r="334" spans="1:25" x14ac:dyDescent="0.2">
      <c r="A334" t="s">
        <v>1238</v>
      </c>
      <c r="B334" t="s">
        <v>1904</v>
      </c>
      <c r="C334" t="str">
        <f>IFERROR(VLOOKUP(B334,'Sender-Receiver'!$B$3:$BP$1500,61,FALSE),"")</f>
        <v>Type:Anc_Prot,#SNP</v>
      </c>
      <c r="D334" t="str">
        <f>IFERROR(VLOOKUP(B334,'Sender-Receiver'!$B$3:$BP$1500,41,FALSE),"")</f>
        <v>M3H InCh ARCHIV | Ingest Ch28-ANC1 | IngSRV-07</v>
      </c>
      <c r="E334" t="s">
        <v>1240</v>
      </c>
      <c r="F334">
        <v>16</v>
      </c>
      <c r="G334" t="s">
        <v>1905</v>
      </c>
      <c r="M334" t="str">
        <f>IF(OR(BOM!$AE$4=FALSE,BOM!$AE$4="-"),IF(ISERROR(SEARCH("send",B334)),"","pool:TPC"),IF(ISERROR(SEARCH("send",B334)),"","pool:TPC|pool:TPC"))</f>
        <v/>
      </c>
      <c r="S334" t="str">
        <f>IFERROR(IF(VLOOKUP(B334,'Sender-Receiver'!$B$3:$BP$1500,60,FALSE)="x","true","false"),"false")</f>
        <v>true</v>
      </c>
      <c r="T334" t="str">
        <f t="shared" si="5"/>
        <v>full</v>
      </c>
      <c r="Y334" t="str">
        <f>IF(BOM!$AE$4=FALSE,IF(ISERROR(SEARCH("Embrionix",BOM!$M$4)),"none",IF(ISERROR(SEARCH("Quadsplit",BOM!$N$4)),IF(ISERROR(SEARCH("rec",B334)),"none","merge"),"none")),IF(ISERROR(SEARCH("rec",B334)),"split","merge"))</f>
        <v>merge</v>
      </c>
    </row>
    <row r="335" spans="1:25" x14ac:dyDescent="0.2">
      <c r="A335" t="s">
        <v>1238</v>
      </c>
      <c r="B335" t="s">
        <v>1906</v>
      </c>
      <c r="C335" t="str">
        <f>IFERROR(VLOOKUP(B335,'Sender-Receiver'!$B$3:$BP$1500,61,FALSE),"")</f>
        <v>#SNP</v>
      </c>
      <c r="D335" t="str">
        <f>IFERROR(VLOOKUP(B335,'Sender-Receiver'!$B$3:$BP$1500,41,FALSE),"")</f>
        <v xml:space="preserve"> |  | IngSRV-07</v>
      </c>
      <c r="E335" t="s">
        <v>1240</v>
      </c>
      <c r="F335">
        <v>16</v>
      </c>
      <c r="G335" t="s">
        <v>1907</v>
      </c>
      <c r="M335" t="str">
        <f>IF(OR(BOM!$AE$4=FALSE,BOM!$AE$4="-"),IF(ISERROR(SEARCH("send",B335)),"","pool:TPC"),IF(ISERROR(SEARCH("send",B335)),"","pool:TPC|pool:TPC"))</f>
        <v/>
      </c>
      <c r="S335" t="str">
        <f>IFERROR(IF(VLOOKUP(B335,'Sender-Receiver'!$B$3:$BP$1500,60,FALSE)="x","true","false"),"false")</f>
        <v>false</v>
      </c>
      <c r="T335" t="str">
        <f t="shared" si="5"/>
        <v>off</v>
      </c>
      <c r="Y335" t="str">
        <f>IF(BOM!$AE$4=FALSE,IF(ISERROR(SEARCH("Embrionix",BOM!$M$4)),"none",IF(ISERROR(SEARCH("Quadsplit",BOM!$N$4)),IF(ISERROR(SEARCH("rec",B335)),"none","merge"),"none")),IF(ISERROR(SEARCH("rec",B335)),"split","merge"))</f>
        <v>merge</v>
      </c>
    </row>
    <row r="336" spans="1:25" x14ac:dyDescent="0.2">
      <c r="A336" t="s">
        <v>1238</v>
      </c>
      <c r="B336" t="s">
        <v>1908</v>
      </c>
      <c r="C336" t="str">
        <f>IFERROR(VLOOKUP(B336,'Sender-Receiver'!$B$3:$BP$1500,61,FALSE),"")</f>
        <v>#SNP</v>
      </c>
      <c r="D336" t="str">
        <f>IFERROR(VLOOKUP(B336,'Sender-Receiver'!$B$3:$BP$1500,41,FALSE),"")</f>
        <v xml:space="preserve"> |  | IngSRV-07</v>
      </c>
      <c r="E336" t="s">
        <v>1240</v>
      </c>
      <c r="F336">
        <v>16</v>
      </c>
      <c r="G336" t="s">
        <v>1909</v>
      </c>
      <c r="M336" t="str">
        <f>IF(OR(BOM!$AE$4=FALSE,BOM!$AE$4="-"),IF(ISERROR(SEARCH("send",B336)),"","pool:TPC"),IF(ISERROR(SEARCH("send",B336)),"","pool:TPC|pool:TPC"))</f>
        <v/>
      </c>
      <c r="S336" t="str">
        <f>IFERROR(IF(VLOOKUP(B336,'Sender-Receiver'!$B$3:$BP$1500,60,FALSE)="x","true","false"),"false")</f>
        <v>false</v>
      </c>
      <c r="T336" t="str">
        <f t="shared" si="5"/>
        <v>off</v>
      </c>
      <c r="Y336" t="str">
        <f>IF(BOM!$AE$4=FALSE,IF(ISERROR(SEARCH("Embrionix",BOM!$M$4)),"none",IF(ISERROR(SEARCH("Quadsplit",BOM!$N$4)),IF(ISERROR(SEARCH("rec",B336)),"none","merge"),"none")),IF(ISERROR(SEARCH("rec",B336)),"split","merge"))</f>
        <v>merge</v>
      </c>
    </row>
    <row r="337" spans="1:25" x14ac:dyDescent="0.2">
      <c r="A337" t="s">
        <v>1238</v>
      </c>
      <c r="B337" t="s">
        <v>1910</v>
      </c>
      <c r="C337" t="str">
        <f>IFERROR(VLOOKUP(B337,'Sender-Receiver'!$B$3:$BP$1500,61,FALSE),"")</f>
        <v>#SNP</v>
      </c>
      <c r="D337" t="str">
        <f>IFERROR(VLOOKUP(B337,'Sender-Receiver'!$B$3:$BP$1500,41,FALSE),"")</f>
        <v xml:space="preserve"> |  | IngSRV-07</v>
      </c>
      <c r="E337" t="s">
        <v>1240</v>
      </c>
      <c r="F337">
        <v>16</v>
      </c>
      <c r="G337" t="s">
        <v>1911</v>
      </c>
      <c r="M337" t="str">
        <f>IF(OR(BOM!$AE$4=FALSE,BOM!$AE$4="-"),IF(ISERROR(SEARCH("send",B337)),"","pool:TPC"),IF(ISERROR(SEARCH("send",B337)),"","pool:TPC|pool:TPC"))</f>
        <v/>
      </c>
      <c r="S337" t="str">
        <f>IFERROR(IF(VLOOKUP(B337,'Sender-Receiver'!$B$3:$BP$1500,60,FALSE)="x","true","false"),"false")</f>
        <v>false</v>
      </c>
      <c r="T337" t="str">
        <f t="shared" si="5"/>
        <v>off</v>
      </c>
      <c r="Y337" t="str">
        <f>IF(BOM!$AE$4=FALSE,IF(ISERROR(SEARCH("Embrionix",BOM!$M$4)),"none",IF(ISERROR(SEARCH("Quadsplit",BOM!$N$4)),IF(ISERROR(SEARCH("rec",B337)),"none","merge"),"none")),IF(ISERROR(SEARCH("rec",B337)),"split","merge"))</f>
        <v>merge</v>
      </c>
    </row>
    <row r="338" spans="1:25" x14ac:dyDescent="0.2">
      <c r="A338" t="s">
        <v>1238</v>
      </c>
      <c r="B338" t="s">
        <v>1912</v>
      </c>
      <c r="C338" t="str">
        <f>IFERROR(VLOOKUP(B338,'Sender-Receiver'!$B$3:$BP$1500,61,FALSE),"")</f>
        <v>Type:Vid_1080i50,#SNP</v>
      </c>
      <c r="D338" t="str">
        <f>IFERROR(VLOOKUP(B338,'Sender-Receiver'!$B$3:$BP$1500,41,FALSE),"")</f>
        <v>MEDEM Edits Out | Out Edit07 | EditPC-07 OUT</v>
      </c>
      <c r="E338" t="s">
        <v>1240</v>
      </c>
      <c r="F338">
        <v>17</v>
      </c>
      <c r="G338" t="s">
        <v>1913</v>
      </c>
      <c r="M338" t="str">
        <f>IF(OR(BOM!$AE$4=FALSE,BOM!$AE$4="-"),IF(ISERROR(SEARCH("send",B338)),"","pool:TPC"),IF(ISERROR(SEARCH("send",B338)),"","pool:TPC|pool:TPC"))</f>
        <v>pool:TPC|pool:TPC</v>
      </c>
      <c r="S338" t="str">
        <f>IFERROR(IF(VLOOKUP(B338,'Sender-Receiver'!$B$3:$BP$1500,60,FALSE)="x","true","false"),"false")</f>
        <v>true</v>
      </c>
      <c r="T338" t="str">
        <f t="shared" si="5"/>
        <v>full</v>
      </c>
      <c r="Y338" t="str">
        <f>IF(BOM!$AE$4=FALSE,IF(ISERROR(SEARCH("Embrionix",BOM!$M$4)),"none",IF(ISERROR(SEARCH("Quadsplit",BOM!$N$4)),IF(ISERROR(SEARCH("rec",B338)),"none","merge"),"none")),IF(ISERROR(SEARCH("rec",B338)),"split","merge"))</f>
        <v>split</v>
      </c>
    </row>
    <row r="339" spans="1:25" x14ac:dyDescent="0.2">
      <c r="A339" t="s">
        <v>1238</v>
      </c>
      <c r="B339" t="s">
        <v>1914</v>
      </c>
      <c r="C339" t="str">
        <f>IFERROR(VLOOKUP(B339,'Sender-Receiver'!$B$3:$BP$1500,61,FALSE),"")</f>
        <v>Type:Aud_2CH_LR,#SNP</v>
      </c>
      <c r="D339" t="str">
        <f>IFERROR(VLOOKUP(B339,'Sender-Receiver'!$B$3:$BP$1500,41,FALSE),"")</f>
        <v>MEDEM Edits Out | Out Edit07-01 | EditPC-07 OUT</v>
      </c>
      <c r="E339" t="s">
        <v>1240</v>
      </c>
      <c r="F339">
        <v>17</v>
      </c>
      <c r="G339" t="s">
        <v>1915</v>
      </c>
      <c r="M339" t="str">
        <f>IF(OR(BOM!$AE$4=FALSE,BOM!$AE$4="-"),IF(ISERROR(SEARCH("send",B339)),"","pool:TPC"),IF(ISERROR(SEARCH("send",B339)),"","pool:TPC|pool:TPC"))</f>
        <v>pool:TPC|pool:TPC</v>
      </c>
      <c r="S339" t="str">
        <f>IFERROR(IF(VLOOKUP(B339,'Sender-Receiver'!$B$3:$BP$1500,60,FALSE)="x","true","false"),"false")</f>
        <v>true</v>
      </c>
      <c r="T339" t="str">
        <f t="shared" si="5"/>
        <v>full</v>
      </c>
      <c r="Y339" t="str">
        <f>IF(BOM!$AE$4=FALSE,IF(ISERROR(SEARCH("Embrionix",BOM!$M$4)),"none",IF(ISERROR(SEARCH("Quadsplit",BOM!$N$4)),IF(ISERROR(SEARCH("rec",B339)),"none","merge"),"none")),IF(ISERROR(SEARCH("rec",B339)),"split","merge"))</f>
        <v>split</v>
      </c>
    </row>
    <row r="340" spans="1:25" x14ac:dyDescent="0.2">
      <c r="A340" t="s">
        <v>1238</v>
      </c>
      <c r="B340" t="s">
        <v>1916</v>
      </c>
      <c r="C340" t="str">
        <f>IFERROR(VLOOKUP(B340,'Sender-Receiver'!$B$3:$BP$1500,61,FALSE),"")</f>
        <v>Type:Aud_1CH_M,#SNP</v>
      </c>
      <c r="D340" t="str">
        <f>IFERROR(VLOOKUP(B340,'Sender-Receiver'!$B$3:$BP$1500,41,FALSE),"")</f>
        <v>MEDEM Edits Out | Out Edit07-02 | EditPC-07 OUT</v>
      </c>
      <c r="E340" t="s">
        <v>1240</v>
      </c>
      <c r="F340">
        <v>17</v>
      </c>
      <c r="G340" t="s">
        <v>1917</v>
      </c>
      <c r="M340" t="str">
        <f>IF(OR(BOM!$AE$4=FALSE,BOM!$AE$4="-"),IF(ISERROR(SEARCH("send",B340)),"","pool:TPC"),IF(ISERROR(SEARCH("send",B340)),"","pool:TPC|pool:TPC"))</f>
        <v>pool:TPC|pool:TPC</v>
      </c>
      <c r="S340" t="str">
        <f>IFERROR(IF(VLOOKUP(B340,'Sender-Receiver'!$B$3:$BP$1500,60,FALSE)="x","true","false"),"false")</f>
        <v>true</v>
      </c>
      <c r="T340" t="str">
        <f t="shared" si="5"/>
        <v>full</v>
      </c>
      <c r="Y340" t="str">
        <f>IF(BOM!$AE$4=FALSE,IF(ISERROR(SEARCH("Embrionix",BOM!$M$4)),"none",IF(ISERROR(SEARCH("Quadsplit",BOM!$N$4)),IF(ISERROR(SEARCH("rec",B340)),"none","merge"),"none")),IF(ISERROR(SEARCH("rec",B340)),"split","merge"))</f>
        <v>split</v>
      </c>
    </row>
    <row r="341" spans="1:25" x14ac:dyDescent="0.2">
      <c r="A341" t="s">
        <v>1238</v>
      </c>
      <c r="B341" t="s">
        <v>1918</v>
      </c>
      <c r="C341" t="str">
        <f>IFERROR(VLOOKUP(B341,'Sender-Receiver'!$B$3:$BP$1500,61,FALSE),"")</f>
        <v>Type:Aud_1CH_M,#SNP</v>
      </c>
      <c r="D341" t="str">
        <f>IFERROR(VLOOKUP(B341,'Sender-Receiver'!$B$3:$BP$1500,41,FALSE),"")</f>
        <v>MEDEM Edits Out | Out Edit07-03 | EditPC-07 OUT</v>
      </c>
      <c r="E341" t="s">
        <v>1240</v>
      </c>
      <c r="F341">
        <v>17</v>
      </c>
      <c r="G341" t="s">
        <v>1919</v>
      </c>
      <c r="M341" t="str">
        <f>IF(OR(BOM!$AE$4=FALSE,BOM!$AE$4="-"),IF(ISERROR(SEARCH("send",B341)),"","pool:TPC"),IF(ISERROR(SEARCH("send",B341)),"","pool:TPC|pool:TPC"))</f>
        <v>pool:TPC|pool:TPC</v>
      </c>
      <c r="S341" t="str">
        <f>IFERROR(IF(VLOOKUP(B341,'Sender-Receiver'!$B$3:$BP$1500,60,FALSE)="x","true","false"),"false")</f>
        <v>true</v>
      </c>
      <c r="T341" t="str">
        <f t="shared" si="5"/>
        <v>full</v>
      </c>
      <c r="Y341" t="str">
        <f>IF(BOM!$AE$4=FALSE,IF(ISERROR(SEARCH("Embrionix",BOM!$M$4)),"none",IF(ISERROR(SEARCH("Quadsplit",BOM!$N$4)),IF(ISERROR(SEARCH("rec",B341)),"none","merge"),"none")),IF(ISERROR(SEARCH("rec",B341)),"split","merge"))</f>
        <v>split</v>
      </c>
    </row>
    <row r="342" spans="1:25" x14ac:dyDescent="0.2">
      <c r="A342" t="s">
        <v>1238</v>
      </c>
      <c r="B342" t="s">
        <v>1920</v>
      </c>
      <c r="C342" t="str">
        <f>IFERROR(VLOOKUP(B342,'Sender-Receiver'!$B$3:$BP$1500,61,FALSE),"")</f>
        <v>Type:Aud_2CH_LR,#SNP</v>
      </c>
      <c r="D342" t="str">
        <f>IFERROR(VLOOKUP(B342,'Sender-Receiver'!$B$3:$BP$1500,41,FALSE),"")</f>
        <v>MEDEM Edits Out | Out Edit07-04 | EditPC-07 OUT</v>
      </c>
      <c r="E342" t="s">
        <v>1240</v>
      </c>
      <c r="F342">
        <v>17</v>
      </c>
      <c r="G342" t="s">
        <v>1921</v>
      </c>
      <c r="M342" t="str">
        <f>IF(OR(BOM!$AE$4=FALSE,BOM!$AE$4="-"),IF(ISERROR(SEARCH("send",B342)),"","pool:TPC"),IF(ISERROR(SEARCH("send",B342)),"","pool:TPC|pool:TPC"))</f>
        <v>pool:TPC|pool:TPC</v>
      </c>
      <c r="S342" t="str">
        <f>IFERROR(IF(VLOOKUP(B342,'Sender-Receiver'!$B$3:$BP$1500,60,FALSE)="x","true","false"),"false")</f>
        <v>true</v>
      </c>
      <c r="T342" t="str">
        <f t="shared" si="5"/>
        <v>full</v>
      </c>
      <c r="Y342" t="str">
        <f>IF(BOM!$AE$4=FALSE,IF(ISERROR(SEARCH("Embrionix",BOM!$M$4)),"none",IF(ISERROR(SEARCH("Quadsplit",BOM!$N$4)),IF(ISERROR(SEARCH("rec",B342)),"none","merge"),"none")),IF(ISERROR(SEARCH("rec",B342)),"split","merge"))</f>
        <v>split</v>
      </c>
    </row>
    <row r="343" spans="1:25" x14ac:dyDescent="0.2">
      <c r="A343" t="s">
        <v>1238</v>
      </c>
      <c r="B343" t="s">
        <v>1922</v>
      </c>
      <c r="C343" t="str">
        <f>IFERROR(VLOOKUP(B343,'Sender-Receiver'!$B$3:$BP$1500,61,FALSE),"")</f>
        <v>Type:Aud_1CH_M,#SNP</v>
      </c>
      <c r="D343" t="str">
        <f>IFERROR(VLOOKUP(B343,'Sender-Receiver'!$B$3:$BP$1500,41,FALSE),"")</f>
        <v>MEDEM Edits Out | Out Edit07-05 | EditPC-07 OUT</v>
      </c>
      <c r="E343" t="s">
        <v>1240</v>
      </c>
      <c r="F343">
        <v>17</v>
      </c>
      <c r="G343" t="s">
        <v>1923</v>
      </c>
      <c r="M343" t="str">
        <f>IF(OR(BOM!$AE$4=FALSE,BOM!$AE$4="-"),IF(ISERROR(SEARCH("send",B343)),"","pool:TPC"),IF(ISERROR(SEARCH("send",B343)),"","pool:TPC|pool:TPC"))</f>
        <v>pool:TPC|pool:TPC</v>
      </c>
      <c r="S343" t="str">
        <f>IFERROR(IF(VLOOKUP(B343,'Sender-Receiver'!$B$3:$BP$1500,60,FALSE)="x","true","false"),"false")</f>
        <v>true</v>
      </c>
      <c r="T343" t="str">
        <f t="shared" si="5"/>
        <v>full</v>
      </c>
      <c r="Y343" t="str">
        <f>IF(BOM!$AE$4=FALSE,IF(ISERROR(SEARCH("Embrionix",BOM!$M$4)),"none",IF(ISERROR(SEARCH("Quadsplit",BOM!$N$4)),IF(ISERROR(SEARCH("rec",B343)),"none","merge"),"none")),IF(ISERROR(SEARCH("rec",B343)),"split","merge"))</f>
        <v>split</v>
      </c>
    </row>
    <row r="344" spans="1:25" x14ac:dyDescent="0.2">
      <c r="A344" t="s">
        <v>1238</v>
      </c>
      <c r="B344" t="s">
        <v>1924</v>
      </c>
      <c r="C344" t="str">
        <f>IFERROR(VLOOKUP(B344,'Sender-Receiver'!$B$3:$BP$1500,61,FALSE),"")</f>
        <v>Type:Aud_1CH_M,#SNP</v>
      </c>
      <c r="D344" t="str">
        <f>IFERROR(VLOOKUP(B344,'Sender-Receiver'!$B$3:$BP$1500,41,FALSE),"")</f>
        <v>MEDEM Edits Out | Out Edit07-06 | EditPC-07 OUT</v>
      </c>
      <c r="E344" t="s">
        <v>1240</v>
      </c>
      <c r="F344">
        <v>17</v>
      </c>
      <c r="G344" t="s">
        <v>1925</v>
      </c>
      <c r="M344" t="str">
        <f>IF(OR(BOM!$AE$4=FALSE,BOM!$AE$4="-"),IF(ISERROR(SEARCH("send",B344)),"","pool:TPC"),IF(ISERROR(SEARCH("send",B344)),"","pool:TPC|pool:TPC"))</f>
        <v>pool:TPC|pool:TPC</v>
      </c>
      <c r="S344" t="str">
        <f>IFERROR(IF(VLOOKUP(B344,'Sender-Receiver'!$B$3:$BP$1500,60,FALSE)="x","true","false"),"false")</f>
        <v>true</v>
      </c>
      <c r="T344" t="str">
        <f t="shared" si="5"/>
        <v>full</v>
      </c>
      <c r="Y344" t="str">
        <f>IF(BOM!$AE$4=FALSE,IF(ISERROR(SEARCH("Embrionix",BOM!$M$4)),"none",IF(ISERROR(SEARCH("Quadsplit",BOM!$N$4)),IF(ISERROR(SEARCH("rec",B344)),"none","merge"),"none")),IF(ISERROR(SEARCH("rec",B344)),"split","merge"))</f>
        <v>split</v>
      </c>
    </row>
    <row r="345" spans="1:25" x14ac:dyDescent="0.2">
      <c r="A345" t="s">
        <v>1238</v>
      </c>
      <c r="B345" t="s">
        <v>1926</v>
      </c>
      <c r="C345" t="str">
        <f>IFERROR(VLOOKUP(B345,'Sender-Receiver'!$B$3:$BP$1500,61,FALSE),"")</f>
        <v>Type:Aud_2CH_LR,#SNP</v>
      </c>
      <c r="D345" t="str">
        <f>IFERROR(VLOOKUP(B345,'Sender-Receiver'!$B$3:$BP$1500,41,FALSE),"")</f>
        <v>MEDEM Edits Out | Out Edit07-07 | EditPC-07 OUT</v>
      </c>
      <c r="E345" t="s">
        <v>1240</v>
      </c>
      <c r="F345">
        <v>17</v>
      </c>
      <c r="G345" t="s">
        <v>1927</v>
      </c>
      <c r="M345" t="str">
        <f>IF(OR(BOM!$AE$4=FALSE,BOM!$AE$4="-"),IF(ISERROR(SEARCH("send",B345)),"","pool:TPC"),IF(ISERROR(SEARCH("send",B345)),"","pool:TPC|pool:TPC"))</f>
        <v>pool:TPC|pool:TPC</v>
      </c>
      <c r="S345" t="str">
        <f>IFERROR(IF(VLOOKUP(B345,'Sender-Receiver'!$B$3:$BP$1500,60,FALSE)="x","true","false"),"false")</f>
        <v>true</v>
      </c>
      <c r="T345" t="str">
        <f t="shared" si="5"/>
        <v>full</v>
      </c>
      <c r="Y345" t="str">
        <f>IF(BOM!$AE$4=FALSE,IF(ISERROR(SEARCH("Embrionix",BOM!$M$4)),"none",IF(ISERROR(SEARCH("Quadsplit",BOM!$N$4)),IF(ISERROR(SEARCH("rec",B345)),"none","merge"),"none")),IF(ISERROR(SEARCH("rec",B345)),"split","merge"))</f>
        <v>split</v>
      </c>
    </row>
    <row r="346" spans="1:25" x14ac:dyDescent="0.2">
      <c r="A346" t="s">
        <v>1238</v>
      </c>
      <c r="B346" t="s">
        <v>1928</v>
      </c>
      <c r="C346" t="str">
        <f>IFERROR(VLOOKUP(B346,'Sender-Receiver'!$B$3:$BP$1500,61,FALSE),"")</f>
        <v>Type:Aud_6CH_5.1,#SNP</v>
      </c>
      <c r="D346" t="str">
        <f>IFERROR(VLOOKUP(B346,'Sender-Receiver'!$B$3:$BP$1500,41,FALSE),"")</f>
        <v>MEDEM Edits Out | Out Edit07-08 | EditPC-07 OUT</v>
      </c>
      <c r="E346" t="s">
        <v>1240</v>
      </c>
      <c r="F346">
        <v>17</v>
      </c>
      <c r="G346" t="s">
        <v>1929</v>
      </c>
      <c r="M346" t="str">
        <f>IF(OR(BOM!$AE$4=FALSE,BOM!$AE$4="-"),IF(ISERROR(SEARCH("send",B346)),"","pool:TPC"),IF(ISERROR(SEARCH("send",B346)),"","pool:TPC|pool:TPC"))</f>
        <v>pool:TPC|pool:TPC</v>
      </c>
      <c r="S346" t="str">
        <f>IFERROR(IF(VLOOKUP(B346,'Sender-Receiver'!$B$3:$BP$1500,60,FALSE)="x","true","false"),"false")</f>
        <v>true</v>
      </c>
      <c r="T346" t="str">
        <f t="shared" si="5"/>
        <v>full</v>
      </c>
      <c r="Y346" t="str">
        <f>IF(BOM!$AE$4=FALSE,IF(ISERROR(SEARCH("Embrionix",BOM!$M$4)),"none",IF(ISERROR(SEARCH("Quadsplit",BOM!$N$4)),IF(ISERROR(SEARCH("rec",B346)),"none","merge"),"none")),IF(ISERROR(SEARCH("rec",B346)),"split","merge"))</f>
        <v>split</v>
      </c>
    </row>
    <row r="347" spans="1:25" x14ac:dyDescent="0.2">
      <c r="A347" t="s">
        <v>1238</v>
      </c>
      <c r="B347" t="s">
        <v>1930</v>
      </c>
      <c r="C347" t="str">
        <f>IFERROR(VLOOKUP(B347,'Sender-Receiver'!$B$3:$BP$1500,61,FALSE),"")</f>
        <v>#SNP</v>
      </c>
      <c r="D347" t="str">
        <f>IFERROR(VLOOKUP(B347,'Sender-Receiver'!$B$3:$BP$1500,41,FALSE),"")</f>
        <v xml:space="preserve"> |  | EditPC-07 OUT</v>
      </c>
      <c r="E347" t="s">
        <v>1240</v>
      </c>
      <c r="F347">
        <v>17</v>
      </c>
      <c r="G347" t="s">
        <v>1931</v>
      </c>
      <c r="M347" t="str">
        <f>IF(OR(BOM!$AE$4=FALSE,BOM!$AE$4="-"),IF(ISERROR(SEARCH("send",B347)),"","pool:TPC"),IF(ISERROR(SEARCH("send",B347)),"","pool:TPC|pool:TPC"))</f>
        <v>pool:TPC|pool:TPC</v>
      </c>
      <c r="S347" t="str">
        <f>IFERROR(IF(VLOOKUP(B347,'Sender-Receiver'!$B$3:$BP$1500,60,FALSE)="x","true","false"),"false")</f>
        <v>false</v>
      </c>
      <c r="T347" t="str">
        <f t="shared" si="5"/>
        <v>off</v>
      </c>
      <c r="Y347" t="str">
        <f>IF(BOM!$AE$4=FALSE,IF(ISERROR(SEARCH("Embrionix",BOM!$M$4)),"none",IF(ISERROR(SEARCH("Quadsplit",BOM!$N$4)),IF(ISERROR(SEARCH("rec",B347)),"none","merge"),"none")),IF(ISERROR(SEARCH("rec",B347)),"split","merge"))</f>
        <v>split</v>
      </c>
    </row>
    <row r="348" spans="1:25" x14ac:dyDescent="0.2">
      <c r="A348" t="s">
        <v>1238</v>
      </c>
      <c r="B348" t="s">
        <v>1932</v>
      </c>
      <c r="C348" t="str">
        <f>IFERROR(VLOOKUP(B348,'Sender-Receiver'!$B$3:$BP$1500,61,FALSE),"")</f>
        <v>#SNP</v>
      </c>
      <c r="D348" t="str">
        <f>IFERROR(VLOOKUP(B348,'Sender-Receiver'!$B$3:$BP$1500,41,FALSE),"")</f>
        <v xml:space="preserve"> |  | EditPC-07 OUT</v>
      </c>
      <c r="E348" t="s">
        <v>1240</v>
      </c>
      <c r="F348">
        <v>17</v>
      </c>
      <c r="G348" t="s">
        <v>1933</v>
      </c>
      <c r="M348" t="str">
        <f>IF(OR(BOM!$AE$4=FALSE,BOM!$AE$4="-"),IF(ISERROR(SEARCH("send",B348)),"","pool:TPC"),IF(ISERROR(SEARCH("send",B348)),"","pool:TPC|pool:TPC"))</f>
        <v>pool:TPC|pool:TPC</v>
      </c>
      <c r="S348" t="str">
        <f>IFERROR(IF(VLOOKUP(B348,'Sender-Receiver'!$B$3:$BP$1500,60,FALSE)="x","true","false"),"false")</f>
        <v>false</v>
      </c>
      <c r="T348" t="str">
        <f t="shared" si="5"/>
        <v>off</v>
      </c>
      <c r="Y348" t="str">
        <f>IF(BOM!$AE$4=FALSE,IF(ISERROR(SEARCH("Embrionix",BOM!$M$4)),"none",IF(ISERROR(SEARCH("Quadsplit",BOM!$N$4)),IF(ISERROR(SEARCH("rec",B348)),"none","merge"),"none")),IF(ISERROR(SEARCH("rec",B348)),"split","merge"))</f>
        <v>split</v>
      </c>
    </row>
    <row r="349" spans="1:25" x14ac:dyDescent="0.2">
      <c r="A349" t="s">
        <v>1238</v>
      </c>
      <c r="B349" t="s">
        <v>1934</v>
      </c>
      <c r="C349" t="str">
        <f>IFERROR(VLOOKUP(B349,'Sender-Receiver'!$B$3:$BP$1500,61,FALSE),"")</f>
        <v>#SNP</v>
      </c>
      <c r="D349" t="str">
        <f>IFERROR(VLOOKUP(B349,'Sender-Receiver'!$B$3:$BP$1500,41,FALSE),"")</f>
        <v xml:space="preserve"> |  | EditPC-07 OUT</v>
      </c>
      <c r="E349" t="s">
        <v>1240</v>
      </c>
      <c r="F349">
        <v>17</v>
      </c>
      <c r="G349" t="s">
        <v>1935</v>
      </c>
      <c r="M349" t="str">
        <f>IF(OR(BOM!$AE$4=FALSE,BOM!$AE$4="-"),IF(ISERROR(SEARCH("send",B349)),"","pool:TPC"),IF(ISERROR(SEARCH("send",B349)),"","pool:TPC|pool:TPC"))</f>
        <v>pool:TPC|pool:TPC</v>
      </c>
      <c r="S349" t="str">
        <f>IFERROR(IF(VLOOKUP(B349,'Sender-Receiver'!$B$3:$BP$1500,60,FALSE)="x","true","false"),"false")</f>
        <v>false</v>
      </c>
      <c r="T349" t="str">
        <f t="shared" si="5"/>
        <v>off</v>
      </c>
      <c r="Y349" t="str">
        <f>IF(BOM!$AE$4=FALSE,IF(ISERROR(SEARCH("Embrionix",BOM!$M$4)),"none",IF(ISERROR(SEARCH("Quadsplit",BOM!$N$4)),IF(ISERROR(SEARCH("rec",B349)),"none","merge"),"none")),IF(ISERROR(SEARCH("rec",B349)),"split","merge"))</f>
        <v>split</v>
      </c>
    </row>
    <row r="350" spans="1:25" x14ac:dyDescent="0.2">
      <c r="A350" t="s">
        <v>1238</v>
      </c>
      <c r="B350" t="s">
        <v>1936</v>
      </c>
      <c r="C350" t="str">
        <f>IFERROR(VLOOKUP(B350,'Sender-Receiver'!$B$3:$BP$1500,61,FALSE),"")</f>
        <v>#SNP</v>
      </c>
      <c r="D350" t="str">
        <f>IFERROR(VLOOKUP(B350,'Sender-Receiver'!$B$3:$BP$1500,41,FALSE),"")</f>
        <v xml:space="preserve"> |  | EditPC-07 OUT</v>
      </c>
      <c r="E350" t="s">
        <v>1240</v>
      </c>
      <c r="F350">
        <v>17</v>
      </c>
      <c r="G350" t="s">
        <v>1937</v>
      </c>
      <c r="M350" t="str">
        <f>IF(OR(BOM!$AE$4=FALSE,BOM!$AE$4="-"),IF(ISERROR(SEARCH("send",B350)),"","pool:TPC"),IF(ISERROR(SEARCH("send",B350)),"","pool:TPC|pool:TPC"))</f>
        <v>pool:TPC|pool:TPC</v>
      </c>
      <c r="S350" t="str">
        <f>IFERROR(IF(VLOOKUP(B350,'Sender-Receiver'!$B$3:$BP$1500,60,FALSE)="x","true","false"),"false")</f>
        <v>false</v>
      </c>
      <c r="T350" t="str">
        <f t="shared" si="5"/>
        <v>off</v>
      </c>
      <c r="Y350" t="str">
        <f>IF(BOM!$AE$4=FALSE,IF(ISERROR(SEARCH("Embrionix",BOM!$M$4)),"none",IF(ISERROR(SEARCH("Quadsplit",BOM!$N$4)),IF(ISERROR(SEARCH("rec",B350)),"none","merge"),"none")),IF(ISERROR(SEARCH("rec",B350)),"split","merge"))</f>
        <v>split</v>
      </c>
    </row>
    <row r="351" spans="1:25" x14ac:dyDescent="0.2">
      <c r="A351" t="s">
        <v>1238</v>
      </c>
      <c r="B351" t="s">
        <v>1938</v>
      </c>
      <c r="C351" t="str">
        <f>IFERROR(VLOOKUP(B351,'Sender-Receiver'!$B$3:$BP$1500,61,FALSE),"")</f>
        <v>#SNP</v>
      </c>
      <c r="D351" t="str">
        <f>IFERROR(VLOOKUP(B351,'Sender-Receiver'!$B$3:$BP$1500,41,FALSE),"")</f>
        <v xml:space="preserve"> |  | EditPC-07 OUT</v>
      </c>
      <c r="E351" t="s">
        <v>1240</v>
      </c>
      <c r="F351">
        <v>17</v>
      </c>
      <c r="G351" t="s">
        <v>1939</v>
      </c>
      <c r="M351" t="str">
        <f>IF(OR(BOM!$AE$4=FALSE,BOM!$AE$4="-"),IF(ISERROR(SEARCH("send",B351)),"","pool:TPC"),IF(ISERROR(SEARCH("send",B351)),"","pool:TPC|pool:TPC"))</f>
        <v>pool:TPC|pool:TPC</v>
      </c>
      <c r="S351" t="str">
        <f>IFERROR(IF(VLOOKUP(B351,'Sender-Receiver'!$B$3:$BP$1500,60,FALSE)="x","true","false"),"false")</f>
        <v>false</v>
      </c>
      <c r="T351" t="str">
        <f t="shared" si="5"/>
        <v>off</v>
      </c>
      <c r="Y351" t="str">
        <f>IF(BOM!$AE$4=FALSE,IF(ISERROR(SEARCH("Embrionix",BOM!$M$4)),"none",IF(ISERROR(SEARCH("Quadsplit",BOM!$N$4)),IF(ISERROR(SEARCH("rec",B351)),"none","merge"),"none")),IF(ISERROR(SEARCH("rec",B351)),"split","merge"))</f>
        <v>split</v>
      </c>
    </row>
    <row r="352" spans="1:25" x14ac:dyDescent="0.2">
      <c r="A352" t="s">
        <v>1238</v>
      </c>
      <c r="B352" t="s">
        <v>1940</v>
      </c>
      <c r="C352" t="str">
        <f>IFERROR(VLOOKUP(B352,'Sender-Receiver'!$B$3:$BP$1500,61,FALSE),"")</f>
        <v>#SNP</v>
      </c>
      <c r="D352" t="str">
        <f>IFERROR(VLOOKUP(B352,'Sender-Receiver'!$B$3:$BP$1500,41,FALSE),"")</f>
        <v xml:space="preserve"> |  | EditPC-07 OUT</v>
      </c>
      <c r="E352" t="s">
        <v>1240</v>
      </c>
      <c r="F352">
        <v>17</v>
      </c>
      <c r="G352" t="s">
        <v>1941</v>
      </c>
      <c r="M352" t="str">
        <f>IF(OR(BOM!$AE$4=FALSE,BOM!$AE$4="-"),IF(ISERROR(SEARCH("send",B352)),"","pool:TPC"),IF(ISERROR(SEARCH("send",B352)),"","pool:TPC|pool:TPC"))</f>
        <v>pool:TPC|pool:TPC</v>
      </c>
      <c r="S352" t="str">
        <f>IFERROR(IF(VLOOKUP(B352,'Sender-Receiver'!$B$3:$BP$1500,60,FALSE)="x","true","false"),"false")</f>
        <v>false</v>
      </c>
      <c r="T352" t="str">
        <f t="shared" si="5"/>
        <v>off</v>
      </c>
      <c r="Y352" t="str">
        <f>IF(BOM!$AE$4=FALSE,IF(ISERROR(SEARCH("Embrionix",BOM!$M$4)),"none",IF(ISERROR(SEARCH("Quadsplit",BOM!$N$4)),IF(ISERROR(SEARCH("rec",B352)),"none","merge"),"none")),IF(ISERROR(SEARCH("rec",B352)),"split","merge"))</f>
        <v>split</v>
      </c>
    </row>
    <row r="353" spans="1:25" x14ac:dyDescent="0.2">
      <c r="A353" t="s">
        <v>1238</v>
      </c>
      <c r="B353" t="s">
        <v>1942</v>
      </c>
      <c r="C353" t="str">
        <f>IFERROR(VLOOKUP(B353,'Sender-Receiver'!$B$3:$BP$1500,61,FALSE),"")</f>
        <v>Type:Aud_8CH_RAW,#SNP</v>
      </c>
      <c r="D353" t="str">
        <f>IFERROR(VLOOKUP(B353,'Sender-Receiver'!$B$3:$BP$1500,41,FALSE),"")</f>
        <v>MEDEM Edits Out | Out Edit07-15 | EditPC-07 OUT</v>
      </c>
      <c r="E353" t="s">
        <v>1240</v>
      </c>
      <c r="F353">
        <v>17</v>
      </c>
      <c r="G353" t="s">
        <v>1943</v>
      </c>
      <c r="M353" t="str">
        <f>IF(OR(BOM!$AE$4=FALSE,BOM!$AE$4="-"),IF(ISERROR(SEARCH("send",B353)),"","pool:TPC"),IF(ISERROR(SEARCH("send",B353)),"","pool:TPC|pool:TPC"))</f>
        <v>pool:TPC|pool:TPC</v>
      </c>
      <c r="S353" t="str">
        <f>IFERROR(IF(VLOOKUP(B353,'Sender-Receiver'!$B$3:$BP$1500,60,FALSE)="x","true","false"),"false")</f>
        <v>true</v>
      </c>
      <c r="T353" t="str">
        <f t="shared" si="5"/>
        <v>full</v>
      </c>
      <c r="Y353" t="str">
        <f>IF(BOM!$AE$4=FALSE,IF(ISERROR(SEARCH("Embrionix",BOM!$M$4)),"none",IF(ISERROR(SEARCH("Quadsplit",BOM!$N$4)),IF(ISERROR(SEARCH("rec",B353)),"none","merge"),"none")),IF(ISERROR(SEARCH("rec",B353)),"split","merge"))</f>
        <v>split</v>
      </c>
    </row>
    <row r="354" spans="1:25" x14ac:dyDescent="0.2">
      <c r="A354" t="s">
        <v>1238</v>
      </c>
      <c r="B354" t="s">
        <v>1944</v>
      </c>
      <c r="C354" t="str">
        <f>IFERROR(VLOOKUP(B354,'Sender-Receiver'!$B$3:$BP$1500,61,FALSE),"")</f>
        <v>Type:Aud_8CH_RAW,#SNP</v>
      </c>
      <c r="D354" t="str">
        <f>IFERROR(VLOOKUP(B354,'Sender-Receiver'!$B$3:$BP$1500,41,FALSE),"")</f>
        <v>MEDEM Edits Out | Out Edit07-16 | EditPC-07 OUT</v>
      </c>
      <c r="E354" t="s">
        <v>1240</v>
      </c>
      <c r="F354">
        <v>17</v>
      </c>
      <c r="G354" t="s">
        <v>1945</v>
      </c>
      <c r="M354" t="str">
        <f>IF(OR(BOM!$AE$4=FALSE,BOM!$AE$4="-"),IF(ISERROR(SEARCH("send",B354)),"","pool:TPC"),IF(ISERROR(SEARCH("send",B354)),"","pool:TPC|pool:TPC"))</f>
        <v>pool:TPC|pool:TPC</v>
      </c>
      <c r="S354" t="str">
        <f>IFERROR(IF(VLOOKUP(B354,'Sender-Receiver'!$B$3:$BP$1500,60,FALSE)="x","true","false"),"false")</f>
        <v>true</v>
      </c>
      <c r="T354" t="str">
        <f t="shared" si="5"/>
        <v>full</v>
      </c>
      <c r="Y354" t="str">
        <f>IF(BOM!$AE$4=FALSE,IF(ISERROR(SEARCH("Embrionix",BOM!$M$4)),"none",IF(ISERROR(SEARCH("Quadsplit",BOM!$N$4)),IF(ISERROR(SEARCH("rec",B354)),"none","merge"),"none")),IF(ISERROR(SEARCH("rec",B354)),"split","merge"))</f>
        <v>split</v>
      </c>
    </row>
    <row r="355" spans="1:25" x14ac:dyDescent="0.2">
      <c r="A355" t="s">
        <v>1238</v>
      </c>
      <c r="B355" t="s">
        <v>1946</v>
      </c>
      <c r="C355" t="str">
        <f>IFERROR(VLOOKUP(B355,'Sender-Receiver'!$B$3:$BP$1500,61,FALSE),"")</f>
        <v>Type:Anc_Prot,#SNP</v>
      </c>
      <c r="D355" t="str">
        <f>IFERROR(VLOOKUP(B355,'Sender-Receiver'!$B$3:$BP$1500,41,FALSE),"")</f>
        <v>MEDEM Edits Out | Out Edit07-ANC1 | EditPC-07 OUT</v>
      </c>
      <c r="E355" t="s">
        <v>1240</v>
      </c>
      <c r="F355">
        <v>17</v>
      </c>
      <c r="G355" t="s">
        <v>1947</v>
      </c>
      <c r="M355" t="str">
        <f>IF(OR(BOM!$AE$4=FALSE,BOM!$AE$4="-"),IF(ISERROR(SEARCH("send",B355)),"","pool:TPC"),IF(ISERROR(SEARCH("send",B355)),"","pool:TPC|pool:TPC"))</f>
        <v>pool:TPC|pool:TPC</v>
      </c>
      <c r="S355" t="str">
        <f>IFERROR(IF(VLOOKUP(B355,'Sender-Receiver'!$B$3:$BP$1500,60,FALSE)="x","true","false"),"false")</f>
        <v>true</v>
      </c>
      <c r="T355" t="str">
        <f t="shared" si="5"/>
        <v>full</v>
      </c>
      <c r="Y355" t="str">
        <f>IF(BOM!$AE$4=FALSE,IF(ISERROR(SEARCH("Embrionix",BOM!$M$4)),"none",IF(ISERROR(SEARCH("Quadsplit",BOM!$N$4)),IF(ISERROR(SEARCH("rec",B355)),"none","merge"),"none")),IF(ISERROR(SEARCH("rec",B355)),"split","merge"))</f>
        <v>split</v>
      </c>
    </row>
    <row r="356" spans="1:25" x14ac:dyDescent="0.2">
      <c r="A356" t="s">
        <v>1238</v>
      </c>
      <c r="B356" t="s">
        <v>1948</v>
      </c>
      <c r="C356" t="str">
        <f>IFERROR(VLOOKUP(B356,'Sender-Receiver'!$B$3:$BP$1500,61,FALSE),"")</f>
        <v>#SNP</v>
      </c>
      <c r="D356" t="str">
        <f>IFERROR(VLOOKUP(B356,'Sender-Receiver'!$B$3:$BP$1500,41,FALSE),"")</f>
        <v xml:space="preserve"> |  | EditPC-07 OUT</v>
      </c>
      <c r="E356" t="s">
        <v>1240</v>
      </c>
      <c r="F356">
        <v>17</v>
      </c>
      <c r="G356" t="s">
        <v>1949</v>
      </c>
      <c r="M356" t="str">
        <f>IF(OR(BOM!$AE$4=FALSE,BOM!$AE$4="-"),IF(ISERROR(SEARCH("send",B356)),"","pool:TPC"),IF(ISERROR(SEARCH("send",B356)),"","pool:TPC|pool:TPC"))</f>
        <v>pool:TPC|pool:TPC</v>
      </c>
      <c r="S356" t="str">
        <f>IFERROR(IF(VLOOKUP(B356,'Sender-Receiver'!$B$3:$BP$1500,60,FALSE)="x","true","false"),"false")</f>
        <v>false</v>
      </c>
      <c r="T356" t="str">
        <f t="shared" si="5"/>
        <v>off</v>
      </c>
      <c r="Y356" t="str">
        <f>IF(BOM!$AE$4=FALSE,IF(ISERROR(SEARCH("Embrionix",BOM!$M$4)),"none",IF(ISERROR(SEARCH("Quadsplit",BOM!$N$4)),IF(ISERROR(SEARCH("rec",B356)),"none","merge"),"none")),IF(ISERROR(SEARCH("rec",B356)),"split","merge"))</f>
        <v>split</v>
      </c>
    </row>
    <row r="357" spans="1:25" x14ac:dyDescent="0.2">
      <c r="A357" t="s">
        <v>1238</v>
      </c>
      <c r="B357" t="s">
        <v>1950</v>
      </c>
      <c r="C357" t="str">
        <f>IFERROR(VLOOKUP(B357,'Sender-Receiver'!$B$3:$BP$1500,61,FALSE),"")</f>
        <v>#SNP</v>
      </c>
      <c r="D357" t="str">
        <f>IFERROR(VLOOKUP(B357,'Sender-Receiver'!$B$3:$BP$1500,41,FALSE),"")</f>
        <v xml:space="preserve"> |  | EditPC-07 OUT</v>
      </c>
      <c r="E357" t="s">
        <v>1240</v>
      </c>
      <c r="F357">
        <v>17</v>
      </c>
      <c r="G357" t="s">
        <v>1951</v>
      </c>
      <c r="M357" t="str">
        <f>IF(OR(BOM!$AE$4=FALSE,BOM!$AE$4="-"),IF(ISERROR(SEARCH("send",B357)),"","pool:TPC"),IF(ISERROR(SEARCH("send",B357)),"","pool:TPC|pool:TPC"))</f>
        <v>pool:TPC|pool:TPC</v>
      </c>
      <c r="S357" t="str">
        <f>IFERROR(IF(VLOOKUP(B357,'Sender-Receiver'!$B$3:$BP$1500,60,FALSE)="x","true","false"),"false")</f>
        <v>false</v>
      </c>
      <c r="T357" t="str">
        <f t="shared" si="5"/>
        <v>off</v>
      </c>
      <c r="Y357" t="str">
        <f>IF(BOM!$AE$4=FALSE,IF(ISERROR(SEARCH("Embrionix",BOM!$M$4)),"none",IF(ISERROR(SEARCH("Quadsplit",BOM!$N$4)),IF(ISERROR(SEARCH("rec",B357)),"none","merge"),"none")),IF(ISERROR(SEARCH("rec",B357)),"split","merge"))</f>
        <v>split</v>
      </c>
    </row>
    <row r="358" spans="1:25" x14ac:dyDescent="0.2">
      <c r="A358" t="s">
        <v>1238</v>
      </c>
      <c r="B358" t="s">
        <v>1952</v>
      </c>
      <c r="C358" t="str">
        <f>IFERROR(VLOOKUP(B358,'Sender-Receiver'!$B$3:$BP$1500,61,FALSE),"")</f>
        <v>#SNP</v>
      </c>
      <c r="D358" t="str">
        <f>IFERROR(VLOOKUP(B358,'Sender-Receiver'!$B$3:$BP$1500,41,FALSE),"")</f>
        <v xml:space="preserve"> |  | EditPC-07 OUT</v>
      </c>
      <c r="E358" t="s">
        <v>1240</v>
      </c>
      <c r="F358">
        <v>17</v>
      </c>
      <c r="G358" t="s">
        <v>1953</v>
      </c>
      <c r="M358" t="str">
        <f>IF(OR(BOM!$AE$4=FALSE,BOM!$AE$4="-"),IF(ISERROR(SEARCH("send",B358)),"","pool:TPC"),IF(ISERROR(SEARCH("send",B358)),"","pool:TPC|pool:TPC"))</f>
        <v>pool:TPC|pool:TPC</v>
      </c>
      <c r="S358" t="str">
        <f>IFERROR(IF(VLOOKUP(B358,'Sender-Receiver'!$B$3:$BP$1500,60,FALSE)="x","true","false"),"false")</f>
        <v>false</v>
      </c>
      <c r="T358" t="str">
        <f t="shared" si="5"/>
        <v>off</v>
      </c>
      <c r="Y358" t="str">
        <f>IF(BOM!$AE$4=FALSE,IF(ISERROR(SEARCH("Embrionix",BOM!$M$4)),"none",IF(ISERROR(SEARCH("Quadsplit",BOM!$N$4)),IF(ISERROR(SEARCH("rec",B358)),"none","merge"),"none")),IF(ISERROR(SEARCH("rec",B358)),"split","merge"))</f>
        <v>split</v>
      </c>
    </row>
    <row r="359" spans="1:25" x14ac:dyDescent="0.2">
      <c r="A359" t="s">
        <v>1238</v>
      </c>
      <c r="B359" t="s">
        <v>1954</v>
      </c>
      <c r="C359" t="str">
        <f>IFERROR(VLOOKUP(B359,'Sender-Receiver'!$B$3:$BP$1500,61,FALSE),"")</f>
        <v>Type:Vid_1080i50,#SNP</v>
      </c>
      <c r="D359" t="str">
        <f>IFERROR(VLOOKUP(B359,'Sender-Receiver'!$B$3:$BP$1500,41,FALSE),"")</f>
        <v>MEDEM Edits Out | Out Edit08 | EditPC-08 OUT</v>
      </c>
      <c r="E359" t="s">
        <v>1240</v>
      </c>
      <c r="F359">
        <v>18</v>
      </c>
      <c r="G359" t="s">
        <v>1955</v>
      </c>
      <c r="M359" t="str">
        <f>IF(OR(BOM!$AE$4=FALSE,BOM!$AE$4="-"),IF(ISERROR(SEARCH("send",B359)),"","pool:TPC"),IF(ISERROR(SEARCH("send",B359)),"","pool:TPC|pool:TPC"))</f>
        <v>pool:TPC|pool:TPC</v>
      </c>
      <c r="S359" t="str">
        <f>IFERROR(IF(VLOOKUP(B359,'Sender-Receiver'!$B$3:$BP$1500,60,FALSE)="x","true","false"),"false")</f>
        <v>true</v>
      </c>
      <c r="T359" t="str">
        <f t="shared" si="5"/>
        <v>full</v>
      </c>
      <c r="Y359" t="str">
        <f>IF(BOM!$AE$4=FALSE,IF(ISERROR(SEARCH("Embrionix",BOM!$M$4)),"none",IF(ISERROR(SEARCH("Quadsplit",BOM!$N$4)),IF(ISERROR(SEARCH("rec",B359)),"none","merge"),"none")),IF(ISERROR(SEARCH("rec",B359)),"split","merge"))</f>
        <v>split</v>
      </c>
    </row>
    <row r="360" spans="1:25" x14ac:dyDescent="0.2">
      <c r="A360" t="s">
        <v>1238</v>
      </c>
      <c r="B360" t="s">
        <v>1956</v>
      </c>
      <c r="C360" t="str">
        <f>IFERROR(VLOOKUP(B360,'Sender-Receiver'!$B$3:$BP$1500,61,FALSE),"")</f>
        <v>Type:Aud_2CH_LR,#SNP</v>
      </c>
      <c r="D360" t="str">
        <f>IFERROR(VLOOKUP(B360,'Sender-Receiver'!$B$3:$BP$1500,41,FALSE),"")</f>
        <v>MEDEM Edits Out | Out Edit08-01 | EditPC-08 OUT</v>
      </c>
      <c r="E360" t="s">
        <v>1240</v>
      </c>
      <c r="F360">
        <v>18</v>
      </c>
      <c r="G360" t="s">
        <v>1957</v>
      </c>
      <c r="M360" t="str">
        <f>IF(OR(BOM!$AE$4=FALSE,BOM!$AE$4="-"),IF(ISERROR(SEARCH("send",B360)),"","pool:TPC"),IF(ISERROR(SEARCH("send",B360)),"","pool:TPC|pool:TPC"))</f>
        <v>pool:TPC|pool:TPC</v>
      </c>
      <c r="S360" t="str">
        <f>IFERROR(IF(VLOOKUP(B360,'Sender-Receiver'!$B$3:$BP$1500,60,FALSE)="x","true","false"),"false")</f>
        <v>true</v>
      </c>
      <c r="T360" t="str">
        <f t="shared" si="5"/>
        <v>full</v>
      </c>
      <c r="Y360" t="str">
        <f>IF(BOM!$AE$4=FALSE,IF(ISERROR(SEARCH("Embrionix",BOM!$M$4)),"none",IF(ISERROR(SEARCH("Quadsplit",BOM!$N$4)),IF(ISERROR(SEARCH("rec",B360)),"none","merge"),"none")),IF(ISERROR(SEARCH("rec",B360)),"split","merge"))</f>
        <v>split</v>
      </c>
    </row>
    <row r="361" spans="1:25" x14ac:dyDescent="0.2">
      <c r="A361" t="s">
        <v>1238</v>
      </c>
      <c r="B361" t="s">
        <v>1958</v>
      </c>
      <c r="C361" t="str">
        <f>IFERROR(VLOOKUP(B361,'Sender-Receiver'!$B$3:$BP$1500,61,FALSE),"")</f>
        <v>Type:Aud_1CH_M,#SNP</v>
      </c>
      <c r="D361" t="str">
        <f>IFERROR(VLOOKUP(B361,'Sender-Receiver'!$B$3:$BP$1500,41,FALSE),"")</f>
        <v>MEDEM Edits Out | Out Edit08-02 | EditPC-08 OUT</v>
      </c>
      <c r="E361" t="s">
        <v>1240</v>
      </c>
      <c r="F361">
        <v>18</v>
      </c>
      <c r="G361" t="s">
        <v>1959</v>
      </c>
      <c r="M361" t="str">
        <f>IF(OR(BOM!$AE$4=FALSE,BOM!$AE$4="-"),IF(ISERROR(SEARCH("send",B361)),"","pool:TPC"),IF(ISERROR(SEARCH("send",B361)),"","pool:TPC|pool:TPC"))</f>
        <v>pool:TPC|pool:TPC</v>
      </c>
      <c r="S361" t="str">
        <f>IFERROR(IF(VLOOKUP(B361,'Sender-Receiver'!$B$3:$BP$1500,60,FALSE)="x","true","false"),"false")</f>
        <v>true</v>
      </c>
      <c r="T361" t="str">
        <f t="shared" si="5"/>
        <v>full</v>
      </c>
      <c r="Y361" t="str">
        <f>IF(BOM!$AE$4=FALSE,IF(ISERROR(SEARCH("Embrionix",BOM!$M$4)),"none",IF(ISERROR(SEARCH("Quadsplit",BOM!$N$4)),IF(ISERROR(SEARCH("rec",B361)),"none","merge"),"none")),IF(ISERROR(SEARCH("rec",B361)),"split","merge"))</f>
        <v>split</v>
      </c>
    </row>
    <row r="362" spans="1:25" x14ac:dyDescent="0.2">
      <c r="A362" t="s">
        <v>1238</v>
      </c>
      <c r="B362" t="s">
        <v>1960</v>
      </c>
      <c r="C362" t="str">
        <f>IFERROR(VLOOKUP(B362,'Sender-Receiver'!$B$3:$BP$1500,61,FALSE),"")</f>
        <v>Type:Aud_1CH_M,#SNP</v>
      </c>
      <c r="D362" t="str">
        <f>IFERROR(VLOOKUP(B362,'Sender-Receiver'!$B$3:$BP$1500,41,FALSE),"")</f>
        <v>MEDEM Edits Out | Out Edit08-03 | EditPC-08 OUT</v>
      </c>
      <c r="E362" t="s">
        <v>1240</v>
      </c>
      <c r="F362">
        <v>18</v>
      </c>
      <c r="G362" t="s">
        <v>1961</v>
      </c>
      <c r="M362" t="str">
        <f>IF(OR(BOM!$AE$4=FALSE,BOM!$AE$4="-"),IF(ISERROR(SEARCH("send",B362)),"","pool:TPC"),IF(ISERROR(SEARCH("send",B362)),"","pool:TPC|pool:TPC"))</f>
        <v>pool:TPC|pool:TPC</v>
      </c>
      <c r="S362" t="str">
        <f>IFERROR(IF(VLOOKUP(B362,'Sender-Receiver'!$B$3:$BP$1500,60,FALSE)="x","true","false"),"false")</f>
        <v>true</v>
      </c>
      <c r="T362" t="str">
        <f t="shared" si="5"/>
        <v>full</v>
      </c>
      <c r="Y362" t="str">
        <f>IF(BOM!$AE$4=FALSE,IF(ISERROR(SEARCH("Embrionix",BOM!$M$4)),"none",IF(ISERROR(SEARCH("Quadsplit",BOM!$N$4)),IF(ISERROR(SEARCH("rec",B362)),"none","merge"),"none")),IF(ISERROR(SEARCH("rec",B362)),"split","merge"))</f>
        <v>split</v>
      </c>
    </row>
    <row r="363" spans="1:25" x14ac:dyDescent="0.2">
      <c r="A363" t="s">
        <v>1238</v>
      </c>
      <c r="B363" t="s">
        <v>1962</v>
      </c>
      <c r="C363" t="str">
        <f>IFERROR(VLOOKUP(B363,'Sender-Receiver'!$B$3:$BP$1500,61,FALSE),"")</f>
        <v>Type:Aud_2CH_LR,#SNP</v>
      </c>
      <c r="D363" t="str">
        <f>IFERROR(VLOOKUP(B363,'Sender-Receiver'!$B$3:$BP$1500,41,FALSE),"")</f>
        <v>MEDEM Edits Out | Out Edit08-04 | EditPC-08 OUT</v>
      </c>
      <c r="E363" t="s">
        <v>1240</v>
      </c>
      <c r="F363">
        <v>18</v>
      </c>
      <c r="G363" t="s">
        <v>1963</v>
      </c>
      <c r="M363" t="str">
        <f>IF(OR(BOM!$AE$4=FALSE,BOM!$AE$4="-"),IF(ISERROR(SEARCH("send",B363)),"","pool:TPC"),IF(ISERROR(SEARCH("send",B363)),"","pool:TPC|pool:TPC"))</f>
        <v>pool:TPC|pool:TPC</v>
      </c>
      <c r="S363" t="str">
        <f>IFERROR(IF(VLOOKUP(B363,'Sender-Receiver'!$B$3:$BP$1500,60,FALSE)="x","true","false"),"false")</f>
        <v>true</v>
      </c>
      <c r="T363" t="str">
        <f t="shared" si="5"/>
        <v>full</v>
      </c>
      <c r="Y363" t="str">
        <f>IF(BOM!$AE$4=FALSE,IF(ISERROR(SEARCH("Embrionix",BOM!$M$4)),"none",IF(ISERROR(SEARCH("Quadsplit",BOM!$N$4)),IF(ISERROR(SEARCH("rec",B363)),"none","merge"),"none")),IF(ISERROR(SEARCH("rec",B363)),"split","merge"))</f>
        <v>split</v>
      </c>
    </row>
    <row r="364" spans="1:25" x14ac:dyDescent="0.2">
      <c r="A364" t="s">
        <v>1238</v>
      </c>
      <c r="B364" t="s">
        <v>1964</v>
      </c>
      <c r="C364" t="str">
        <f>IFERROR(VLOOKUP(B364,'Sender-Receiver'!$B$3:$BP$1500,61,FALSE),"")</f>
        <v>Type:Aud_1CH_M,#SNP</v>
      </c>
      <c r="D364" t="str">
        <f>IFERROR(VLOOKUP(B364,'Sender-Receiver'!$B$3:$BP$1500,41,FALSE),"")</f>
        <v>MEDEM Edits Out | Out Edit08-05 | EditPC-08 OUT</v>
      </c>
      <c r="E364" t="s">
        <v>1240</v>
      </c>
      <c r="F364">
        <v>18</v>
      </c>
      <c r="G364" t="s">
        <v>1965</v>
      </c>
      <c r="M364" t="str">
        <f>IF(OR(BOM!$AE$4=FALSE,BOM!$AE$4="-"),IF(ISERROR(SEARCH("send",B364)),"","pool:TPC"),IF(ISERROR(SEARCH("send",B364)),"","pool:TPC|pool:TPC"))</f>
        <v>pool:TPC|pool:TPC</v>
      </c>
      <c r="S364" t="str">
        <f>IFERROR(IF(VLOOKUP(B364,'Sender-Receiver'!$B$3:$BP$1500,60,FALSE)="x","true","false"),"false")</f>
        <v>true</v>
      </c>
      <c r="T364" t="str">
        <f t="shared" si="5"/>
        <v>full</v>
      </c>
      <c r="Y364" t="str">
        <f>IF(BOM!$AE$4=FALSE,IF(ISERROR(SEARCH("Embrionix",BOM!$M$4)),"none",IF(ISERROR(SEARCH("Quadsplit",BOM!$N$4)),IF(ISERROR(SEARCH("rec",B364)),"none","merge"),"none")),IF(ISERROR(SEARCH("rec",B364)),"split","merge"))</f>
        <v>split</v>
      </c>
    </row>
    <row r="365" spans="1:25" x14ac:dyDescent="0.2">
      <c r="A365" t="s">
        <v>1238</v>
      </c>
      <c r="B365" t="s">
        <v>1966</v>
      </c>
      <c r="C365" t="str">
        <f>IFERROR(VLOOKUP(B365,'Sender-Receiver'!$B$3:$BP$1500,61,FALSE),"")</f>
        <v>Type:Aud_1CH_M,#SNP</v>
      </c>
      <c r="D365" t="str">
        <f>IFERROR(VLOOKUP(B365,'Sender-Receiver'!$B$3:$BP$1500,41,FALSE),"")</f>
        <v>MEDEM Edits Out | Out Edit08-06 | EditPC-08 OUT</v>
      </c>
      <c r="E365" t="s">
        <v>1240</v>
      </c>
      <c r="F365">
        <v>18</v>
      </c>
      <c r="G365" t="s">
        <v>1967</v>
      </c>
      <c r="M365" t="str">
        <f>IF(OR(BOM!$AE$4=FALSE,BOM!$AE$4="-"),IF(ISERROR(SEARCH("send",B365)),"","pool:TPC"),IF(ISERROR(SEARCH("send",B365)),"","pool:TPC|pool:TPC"))</f>
        <v>pool:TPC|pool:TPC</v>
      </c>
      <c r="S365" t="str">
        <f>IFERROR(IF(VLOOKUP(B365,'Sender-Receiver'!$B$3:$BP$1500,60,FALSE)="x","true","false"),"false")</f>
        <v>true</v>
      </c>
      <c r="T365" t="str">
        <f t="shared" si="5"/>
        <v>full</v>
      </c>
      <c r="Y365" t="str">
        <f>IF(BOM!$AE$4=FALSE,IF(ISERROR(SEARCH("Embrionix",BOM!$M$4)),"none",IF(ISERROR(SEARCH("Quadsplit",BOM!$N$4)),IF(ISERROR(SEARCH("rec",B365)),"none","merge"),"none")),IF(ISERROR(SEARCH("rec",B365)),"split","merge"))</f>
        <v>split</v>
      </c>
    </row>
    <row r="366" spans="1:25" x14ac:dyDescent="0.2">
      <c r="A366" t="s">
        <v>1238</v>
      </c>
      <c r="B366" t="s">
        <v>1968</v>
      </c>
      <c r="C366" t="str">
        <f>IFERROR(VLOOKUP(B366,'Sender-Receiver'!$B$3:$BP$1500,61,FALSE),"")</f>
        <v>Type:Aud_2CH_LR,#SNP</v>
      </c>
      <c r="D366" t="str">
        <f>IFERROR(VLOOKUP(B366,'Sender-Receiver'!$B$3:$BP$1500,41,FALSE),"")</f>
        <v>MEDEM Edits Out | Out Edit08-07 | EditPC-08 OUT</v>
      </c>
      <c r="E366" t="s">
        <v>1240</v>
      </c>
      <c r="F366">
        <v>18</v>
      </c>
      <c r="G366" t="s">
        <v>1969</v>
      </c>
      <c r="M366" t="str">
        <f>IF(OR(BOM!$AE$4=FALSE,BOM!$AE$4="-"),IF(ISERROR(SEARCH("send",B366)),"","pool:TPC"),IF(ISERROR(SEARCH("send",B366)),"","pool:TPC|pool:TPC"))</f>
        <v>pool:TPC|pool:TPC</v>
      </c>
      <c r="S366" t="str">
        <f>IFERROR(IF(VLOOKUP(B366,'Sender-Receiver'!$B$3:$BP$1500,60,FALSE)="x","true","false"),"false")</f>
        <v>true</v>
      </c>
      <c r="T366" t="str">
        <f t="shared" si="5"/>
        <v>full</v>
      </c>
      <c r="Y366" t="str">
        <f>IF(BOM!$AE$4=FALSE,IF(ISERROR(SEARCH("Embrionix",BOM!$M$4)),"none",IF(ISERROR(SEARCH("Quadsplit",BOM!$N$4)),IF(ISERROR(SEARCH("rec",B366)),"none","merge"),"none")),IF(ISERROR(SEARCH("rec",B366)),"split","merge"))</f>
        <v>split</v>
      </c>
    </row>
    <row r="367" spans="1:25" x14ac:dyDescent="0.2">
      <c r="A367" t="s">
        <v>1238</v>
      </c>
      <c r="B367" t="s">
        <v>1970</v>
      </c>
      <c r="C367" t="str">
        <f>IFERROR(VLOOKUP(B367,'Sender-Receiver'!$B$3:$BP$1500,61,FALSE),"")</f>
        <v>Type:Aud_6CH_5.1,#SNP</v>
      </c>
      <c r="D367" t="str">
        <f>IFERROR(VLOOKUP(B367,'Sender-Receiver'!$B$3:$BP$1500,41,FALSE),"")</f>
        <v>MEDEM Edits Out | Out Edit08-08 | EditPC-08 OUT</v>
      </c>
      <c r="E367" t="s">
        <v>1240</v>
      </c>
      <c r="F367">
        <v>18</v>
      </c>
      <c r="G367" t="s">
        <v>1971</v>
      </c>
      <c r="M367" t="str">
        <f>IF(OR(BOM!$AE$4=FALSE,BOM!$AE$4="-"),IF(ISERROR(SEARCH("send",B367)),"","pool:TPC"),IF(ISERROR(SEARCH("send",B367)),"","pool:TPC|pool:TPC"))</f>
        <v>pool:TPC|pool:TPC</v>
      </c>
      <c r="S367" t="str">
        <f>IFERROR(IF(VLOOKUP(B367,'Sender-Receiver'!$B$3:$BP$1500,60,FALSE)="x","true","false"),"false")</f>
        <v>true</v>
      </c>
      <c r="T367" t="str">
        <f t="shared" si="5"/>
        <v>full</v>
      </c>
      <c r="Y367" t="str">
        <f>IF(BOM!$AE$4=FALSE,IF(ISERROR(SEARCH("Embrionix",BOM!$M$4)),"none",IF(ISERROR(SEARCH("Quadsplit",BOM!$N$4)),IF(ISERROR(SEARCH("rec",B367)),"none","merge"),"none")),IF(ISERROR(SEARCH("rec",B367)),"split","merge"))</f>
        <v>split</v>
      </c>
    </row>
    <row r="368" spans="1:25" x14ac:dyDescent="0.2">
      <c r="A368" t="s">
        <v>1238</v>
      </c>
      <c r="B368" t="s">
        <v>1972</v>
      </c>
      <c r="C368" t="str">
        <f>IFERROR(VLOOKUP(B368,'Sender-Receiver'!$B$3:$BP$1500,61,FALSE),"")</f>
        <v>#SNP</v>
      </c>
      <c r="D368" t="str">
        <f>IFERROR(VLOOKUP(B368,'Sender-Receiver'!$B$3:$BP$1500,41,FALSE),"")</f>
        <v xml:space="preserve"> |  | EditPC-08 OUT</v>
      </c>
      <c r="E368" t="s">
        <v>1240</v>
      </c>
      <c r="F368">
        <v>18</v>
      </c>
      <c r="G368" t="s">
        <v>1973</v>
      </c>
      <c r="M368" t="str">
        <f>IF(OR(BOM!$AE$4=FALSE,BOM!$AE$4="-"),IF(ISERROR(SEARCH("send",B368)),"","pool:TPC"),IF(ISERROR(SEARCH("send",B368)),"","pool:TPC|pool:TPC"))</f>
        <v>pool:TPC|pool:TPC</v>
      </c>
      <c r="S368" t="str">
        <f>IFERROR(IF(VLOOKUP(B368,'Sender-Receiver'!$B$3:$BP$1500,60,FALSE)="x","true","false"),"false")</f>
        <v>false</v>
      </c>
      <c r="T368" t="str">
        <f t="shared" si="5"/>
        <v>off</v>
      </c>
      <c r="Y368" t="str">
        <f>IF(BOM!$AE$4=FALSE,IF(ISERROR(SEARCH("Embrionix",BOM!$M$4)),"none",IF(ISERROR(SEARCH("Quadsplit",BOM!$N$4)),IF(ISERROR(SEARCH("rec",B368)),"none","merge"),"none")),IF(ISERROR(SEARCH("rec",B368)),"split","merge"))</f>
        <v>split</v>
      </c>
    </row>
    <row r="369" spans="1:25" x14ac:dyDescent="0.2">
      <c r="A369" t="s">
        <v>1238</v>
      </c>
      <c r="B369" t="s">
        <v>1974</v>
      </c>
      <c r="C369" t="str">
        <f>IFERROR(VLOOKUP(B369,'Sender-Receiver'!$B$3:$BP$1500,61,FALSE),"")</f>
        <v>#SNP</v>
      </c>
      <c r="D369" t="str">
        <f>IFERROR(VLOOKUP(B369,'Sender-Receiver'!$B$3:$BP$1500,41,FALSE),"")</f>
        <v xml:space="preserve"> |  | EditPC-08 OUT</v>
      </c>
      <c r="E369" t="s">
        <v>1240</v>
      </c>
      <c r="F369">
        <v>18</v>
      </c>
      <c r="G369" t="s">
        <v>1975</v>
      </c>
      <c r="M369" t="str">
        <f>IF(OR(BOM!$AE$4=FALSE,BOM!$AE$4="-"),IF(ISERROR(SEARCH("send",B369)),"","pool:TPC"),IF(ISERROR(SEARCH("send",B369)),"","pool:TPC|pool:TPC"))</f>
        <v>pool:TPC|pool:TPC</v>
      </c>
      <c r="S369" t="str">
        <f>IFERROR(IF(VLOOKUP(B369,'Sender-Receiver'!$B$3:$BP$1500,60,FALSE)="x","true","false"),"false")</f>
        <v>false</v>
      </c>
      <c r="T369" t="str">
        <f t="shared" si="5"/>
        <v>off</v>
      </c>
      <c r="Y369" t="str">
        <f>IF(BOM!$AE$4=FALSE,IF(ISERROR(SEARCH("Embrionix",BOM!$M$4)),"none",IF(ISERROR(SEARCH("Quadsplit",BOM!$N$4)),IF(ISERROR(SEARCH("rec",B369)),"none","merge"),"none")),IF(ISERROR(SEARCH("rec",B369)),"split","merge"))</f>
        <v>split</v>
      </c>
    </row>
    <row r="370" spans="1:25" x14ac:dyDescent="0.2">
      <c r="A370" t="s">
        <v>1238</v>
      </c>
      <c r="B370" t="s">
        <v>1976</v>
      </c>
      <c r="C370" t="str">
        <f>IFERROR(VLOOKUP(B370,'Sender-Receiver'!$B$3:$BP$1500,61,FALSE),"")</f>
        <v>#SNP</v>
      </c>
      <c r="D370" t="str">
        <f>IFERROR(VLOOKUP(B370,'Sender-Receiver'!$B$3:$BP$1500,41,FALSE),"")</f>
        <v xml:space="preserve"> |  | EditPC-08 OUT</v>
      </c>
      <c r="E370" t="s">
        <v>1240</v>
      </c>
      <c r="F370">
        <v>18</v>
      </c>
      <c r="G370" t="s">
        <v>1977</v>
      </c>
      <c r="M370" t="str">
        <f>IF(OR(BOM!$AE$4=FALSE,BOM!$AE$4="-"),IF(ISERROR(SEARCH("send",B370)),"","pool:TPC"),IF(ISERROR(SEARCH("send",B370)),"","pool:TPC|pool:TPC"))</f>
        <v>pool:TPC|pool:TPC</v>
      </c>
      <c r="S370" t="str">
        <f>IFERROR(IF(VLOOKUP(B370,'Sender-Receiver'!$B$3:$BP$1500,60,FALSE)="x","true","false"),"false")</f>
        <v>false</v>
      </c>
      <c r="T370" t="str">
        <f t="shared" si="5"/>
        <v>off</v>
      </c>
      <c r="Y370" t="str">
        <f>IF(BOM!$AE$4=FALSE,IF(ISERROR(SEARCH("Embrionix",BOM!$M$4)),"none",IF(ISERROR(SEARCH("Quadsplit",BOM!$N$4)),IF(ISERROR(SEARCH("rec",B370)),"none","merge"),"none")),IF(ISERROR(SEARCH("rec",B370)),"split","merge"))</f>
        <v>split</v>
      </c>
    </row>
    <row r="371" spans="1:25" x14ac:dyDescent="0.2">
      <c r="A371" t="s">
        <v>1238</v>
      </c>
      <c r="B371" t="s">
        <v>1978</v>
      </c>
      <c r="C371" t="str">
        <f>IFERROR(VLOOKUP(B371,'Sender-Receiver'!$B$3:$BP$1500,61,FALSE),"")</f>
        <v>#SNP</v>
      </c>
      <c r="D371" t="str">
        <f>IFERROR(VLOOKUP(B371,'Sender-Receiver'!$B$3:$BP$1500,41,FALSE),"")</f>
        <v xml:space="preserve"> |  | EditPC-08 OUT</v>
      </c>
      <c r="E371" t="s">
        <v>1240</v>
      </c>
      <c r="F371">
        <v>18</v>
      </c>
      <c r="G371" t="s">
        <v>1979</v>
      </c>
      <c r="M371" t="str">
        <f>IF(OR(BOM!$AE$4=FALSE,BOM!$AE$4="-"),IF(ISERROR(SEARCH("send",B371)),"","pool:TPC"),IF(ISERROR(SEARCH("send",B371)),"","pool:TPC|pool:TPC"))</f>
        <v>pool:TPC|pool:TPC</v>
      </c>
      <c r="S371" t="str">
        <f>IFERROR(IF(VLOOKUP(B371,'Sender-Receiver'!$B$3:$BP$1500,60,FALSE)="x","true","false"),"false")</f>
        <v>false</v>
      </c>
      <c r="T371" t="str">
        <f t="shared" si="5"/>
        <v>off</v>
      </c>
      <c r="Y371" t="str">
        <f>IF(BOM!$AE$4=FALSE,IF(ISERROR(SEARCH("Embrionix",BOM!$M$4)),"none",IF(ISERROR(SEARCH("Quadsplit",BOM!$N$4)),IF(ISERROR(SEARCH("rec",B371)),"none","merge"),"none")),IF(ISERROR(SEARCH("rec",B371)),"split","merge"))</f>
        <v>split</v>
      </c>
    </row>
    <row r="372" spans="1:25" x14ac:dyDescent="0.2">
      <c r="A372" t="s">
        <v>1238</v>
      </c>
      <c r="B372" t="s">
        <v>1980</v>
      </c>
      <c r="C372" t="str">
        <f>IFERROR(VLOOKUP(B372,'Sender-Receiver'!$B$3:$BP$1500,61,FALSE),"")</f>
        <v>#SNP</v>
      </c>
      <c r="D372" t="str">
        <f>IFERROR(VLOOKUP(B372,'Sender-Receiver'!$B$3:$BP$1500,41,FALSE),"")</f>
        <v xml:space="preserve"> |  | EditPC-08 OUT</v>
      </c>
      <c r="E372" t="s">
        <v>1240</v>
      </c>
      <c r="F372">
        <v>18</v>
      </c>
      <c r="G372" t="s">
        <v>1981</v>
      </c>
      <c r="M372" t="str">
        <f>IF(OR(BOM!$AE$4=FALSE,BOM!$AE$4="-"),IF(ISERROR(SEARCH("send",B372)),"","pool:TPC"),IF(ISERROR(SEARCH("send",B372)),"","pool:TPC|pool:TPC"))</f>
        <v>pool:TPC|pool:TPC</v>
      </c>
      <c r="S372" t="str">
        <f>IFERROR(IF(VLOOKUP(B372,'Sender-Receiver'!$B$3:$BP$1500,60,FALSE)="x","true","false"),"false")</f>
        <v>false</v>
      </c>
      <c r="T372" t="str">
        <f t="shared" si="5"/>
        <v>off</v>
      </c>
      <c r="Y372" t="str">
        <f>IF(BOM!$AE$4=FALSE,IF(ISERROR(SEARCH("Embrionix",BOM!$M$4)),"none",IF(ISERROR(SEARCH("Quadsplit",BOM!$N$4)),IF(ISERROR(SEARCH("rec",B372)),"none","merge"),"none")),IF(ISERROR(SEARCH("rec",B372)),"split","merge"))</f>
        <v>split</v>
      </c>
    </row>
    <row r="373" spans="1:25" x14ac:dyDescent="0.2">
      <c r="A373" t="s">
        <v>1238</v>
      </c>
      <c r="B373" t="s">
        <v>1982</v>
      </c>
      <c r="C373" t="str">
        <f>IFERROR(VLOOKUP(B373,'Sender-Receiver'!$B$3:$BP$1500,61,FALSE),"")</f>
        <v>#SNP</v>
      </c>
      <c r="D373" t="str">
        <f>IFERROR(VLOOKUP(B373,'Sender-Receiver'!$B$3:$BP$1500,41,FALSE),"")</f>
        <v xml:space="preserve"> |  | EditPC-08 OUT</v>
      </c>
      <c r="E373" t="s">
        <v>1240</v>
      </c>
      <c r="F373">
        <v>18</v>
      </c>
      <c r="G373" t="s">
        <v>1983</v>
      </c>
      <c r="M373" t="str">
        <f>IF(OR(BOM!$AE$4=FALSE,BOM!$AE$4="-"),IF(ISERROR(SEARCH("send",B373)),"","pool:TPC"),IF(ISERROR(SEARCH("send",B373)),"","pool:TPC|pool:TPC"))</f>
        <v>pool:TPC|pool:TPC</v>
      </c>
      <c r="S373" t="str">
        <f>IFERROR(IF(VLOOKUP(B373,'Sender-Receiver'!$B$3:$BP$1500,60,FALSE)="x","true","false"),"false")</f>
        <v>false</v>
      </c>
      <c r="T373" t="str">
        <f t="shared" si="5"/>
        <v>off</v>
      </c>
      <c r="Y373" t="str">
        <f>IF(BOM!$AE$4=FALSE,IF(ISERROR(SEARCH("Embrionix",BOM!$M$4)),"none",IF(ISERROR(SEARCH("Quadsplit",BOM!$N$4)),IF(ISERROR(SEARCH("rec",B373)),"none","merge"),"none")),IF(ISERROR(SEARCH("rec",B373)),"split","merge"))</f>
        <v>split</v>
      </c>
    </row>
    <row r="374" spans="1:25" x14ac:dyDescent="0.2">
      <c r="A374" t="s">
        <v>1238</v>
      </c>
      <c r="B374" t="s">
        <v>1984</v>
      </c>
      <c r="C374" t="str">
        <f>IFERROR(VLOOKUP(B374,'Sender-Receiver'!$B$3:$BP$1500,61,FALSE),"")</f>
        <v>Type:Aud_8CH_RAW,#SNP</v>
      </c>
      <c r="D374" t="str">
        <f>IFERROR(VLOOKUP(B374,'Sender-Receiver'!$B$3:$BP$1500,41,FALSE),"")</f>
        <v>MEDEM Edits Out | Out Edit08-15 | EditPC-08 OUT</v>
      </c>
      <c r="E374" t="s">
        <v>1240</v>
      </c>
      <c r="F374">
        <v>18</v>
      </c>
      <c r="G374" t="s">
        <v>1985</v>
      </c>
      <c r="M374" t="str">
        <f>IF(OR(BOM!$AE$4=FALSE,BOM!$AE$4="-"),IF(ISERROR(SEARCH("send",B374)),"","pool:TPC"),IF(ISERROR(SEARCH("send",B374)),"","pool:TPC|pool:TPC"))</f>
        <v>pool:TPC|pool:TPC</v>
      </c>
      <c r="S374" t="str">
        <f>IFERROR(IF(VLOOKUP(B374,'Sender-Receiver'!$B$3:$BP$1500,60,FALSE)="x","true","false"),"false")</f>
        <v>true</v>
      </c>
      <c r="T374" t="str">
        <f t="shared" si="5"/>
        <v>full</v>
      </c>
      <c r="Y374" t="str">
        <f>IF(BOM!$AE$4=FALSE,IF(ISERROR(SEARCH("Embrionix",BOM!$M$4)),"none",IF(ISERROR(SEARCH("Quadsplit",BOM!$N$4)),IF(ISERROR(SEARCH("rec",B374)),"none","merge"),"none")),IF(ISERROR(SEARCH("rec",B374)),"split","merge"))</f>
        <v>split</v>
      </c>
    </row>
    <row r="375" spans="1:25" x14ac:dyDescent="0.2">
      <c r="A375" t="s">
        <v>1238</v>
      </c>
      <c r="B375" t="s">
        <v>1986</v>
      </c>
      <c r="C375" t="str">
        <f>IFERROR(VLOOKUP(B375,'Sender-Receiver'!$B$3:$BP$1500,61,FALSE),"")</f>
        <v>Type:Aud_8CH_RAW,#SNP</v>
      </c>
      <c r="D375" t="str">
        <f>IFERROR(VLOOKUP(B375,'Sender-Receiver'!$B$3:$BP$1500,41,FALSE),"")</f>
        <v>MEDEM Edits Out | Out Edit08-16 | EditPC-08 OUT</v>
      </c>
      <c r="E375" t="s">
        <v>1240</v>
      </c>
      <c r="F375">
        <v>18</v>
      </c>
      <c r="G375" t="s">
        <v>1987</v>
      </c>
      <c r="M375" t="str">
        <f>IF(OR(BOM!$AE$4=FALSE,BOM!$AE$4="-"),IF(ISERROR(SEARCH("send",B375)),"","pool:TPC"),IF(ISERROR(SEARCH("send",B375)),"","pool:TPC|pool:TPC"))</f>
        <v>pool:TPC|pool:TPC</v>
      </c>
      <c r="S375" t="str">
        <f>IFERROR(IF(VLOOKUP(B375,'Sender-Receiver'!$B$3:$BP$1500,60,FALSE)="x","true","false"),"false")</f>
        <v>true</v>
      </c>
      <c r="T375" t="str">
        <f t="shared" si="5"/>
        <v>full</v>
      </c>
      <c r="Y375" t="str">
        <f>IF(BOM!$AE$4=FALSE,IF(ISERROR(SEARCH("Embrionix",BOM!$M$4)),"none",IF(ISERROR(SEARCH("Quadsplit",BOM!$N$4)),IF(ISERROR(SEARCH("rec",B375)),"none","merge"),"none")),IF(ISERROR(SEARCH("rec",B375)),"split","merge"))</f>
        <v>split</v>
      </c>
    </row>
    <row r="376" spans="1:25" x14ac:dyDescent="0.2">
      <c r="A376" t="s">
        <v>1238</v>
      </c>
      <c r="B376" t="s">
        <v>1988</v>
      </c>
      <c r="C376" t="str">
        <f>IFERROR(VLOOKUP(B376,'Sender-Receiver'!$B$3:$BP$1500,61,FALSE),"")</f>
        <v>Type:Anc_Prot,#SNP</v>
      </c>
      <c r="D376" t="str">
        <f>IFERROR(VLOOKUP(B376,'Sender-Receiver'!$B$3:$BP$1500,41,FALSE),"")</f>
        <v>MEDEM Edits Out | Out Edit08-ANC1 | EditPC-08 OUT</v>
      </c>
      <c r="E376" t="s">
        <v>1240</v>
      </c>
      <c r="F376">
        <v>18</v>
      </c>
      <c r="G376" t="s">
        <v>1989</v>
      </c>
      <c r="M376" t="str">
        <f>IF(OR(BOM!$AE$4=FALSE,BOM!$AE$4="-"),IF(ISERROR(SEARCH("send",B376)),"","pool:TPC"),IF(ISERROR(SEARCH("send",B376)),"","pool:TPC|pool:TPC"))</f>
        <v>pool:TPC|pool:TPC</v>
      </c>
      <c r="S376" t="str">
        <f>IFERROR(IF(VLOOKUP(B376,'Sender-Receiver'!$B$3:$BP$1500,60,FALSE)="x","true","false"),"false")</f>
        <v>true</v>
      </c>
      <c r="T376" t="str">
        <f t="shared" si="5"/>
        <v>full</v>
      </c>
      <c r="Y376" t="str">
        <f>IF(BOM!$AE$4=FALSE,IF(ISERROR(SEARCH("Embrionix",BOM!$M$4)),"none",IF(ISERROR(SEARCH("Quadsplit",BOM!$N$4)),IF(ISERROR(SEARCH("rec",B376)),"none","merge"),"none")),IF(ISERROR(SEARCH("rec",B376)),"split","merge"))</f>
        <v>split</v>
      </c>
    </row>
    <row r="377" spans="1:25" x14ac:dyDescent="0.2">
      <c r="A377" t="s">
        <v>1238</v>
      </c>
      <c r="B377" t="s">
        <v>1990</v>
      </c>
      <c r="C377" t="str">
        <f>IFERROR(VLOOKUP(B377,'Sender-Receiver'!$B$3:$BP$1500,61,FALSE),"")</f>
        <v>#SNP</v>
      </c>
      <c r="D377" t="str">
        <f>IFERROR(VLOOKUP(B377,'Sender-Receiver'!$B$3:$BP$1500,41,FALSE),"")</f>
        <v xml:space="preserve"> |  | EditPC-08 OUT</v>
      </c>
      <c r="E377" t="s">
        <v>1240</v>
      </c>
      <c r="F377">
        <v>18</v>
      </c>
      <c r="G377" t="s">
        <v>1991</v>
      </c>
      <c r="M377" t="str">
        <f>IF(OR(BOM!$AE$4=FALSE,BOM!$AE$4="-"),IF(ISERROR(SEARCH("send",B377)),"","pool:TPC"),IF(ISERROR(SEARCH("send",B377)),"","pool:TPC|pool:TPC"))</f>
        <v>pool:TPC|pool:TPC</v>
      </c>
      <c r="S377" t="str">
        <f>IFERROR(IF(VLOOKUP(B377,'Sender-Receiver'!$B$3:$BP$1500,60,FALSE)="x","true","false"),"false")</f>
        <v>false</v>
      </c>
      <c r="T377" t="str">
        <f t="shared" si="5"/>
        <v>off</v>
      </c>
      <c r="Y377" t="str">
        <f>IF(BOM!$AE$4=FALSE,IF(ISERROR(SEARCH("Embrionix",BOM!$M$4)),"none",IF(ISERROR(SEARCH("Quadsplit",BOM!$N$4)),IF(ISERROR(SEARCH("rec",B377)),"none","merge"),"none")),IF(ISERROR(SEARCH("rec",B377)),"split","merge"))</f>
        <v>split</v>
      </c>
    </row>
    <row r="378" spans="1:25" x14ac:dyDescent="0.2">
      <c r="A378" t="s">
        <v>1238</v>
      </c>
      <c r="B378" t="s">
        <v>1992</v>
      </c>
      <c r="C378" t="str">
        <f>IFERROR(VLOOKUP(B378,'Sender-Receiver'!$B$3:$BP$1500,61,FALSE),"")</f>
        <v>#SNP</v>
      </c>
      <c r="D378" t="str">
        <f>IFERROR(VLOOKUP(B378,'Sender-Receiver'!$B$3:$BP$1500,41,FALSE),"")</f>
        <v xml:space="preserve"> |  | EditPC-08 OUT</v>
      </c>
      <c r="E378" t="s">
        <v>1240</v>
      </c>
      <c r="F378">
        <v>18</v>
      </c>
      <c r="G378" t="s">
        <v>1993</v>
      </c>
      <c r="M378" t="str">
        <f>IF(OR(BOM!$AE$4=FALSE,BOM!$AE$4="-"),IF(ISERROR(SEARCH("send",B378)),"","pool:TPC"),IF(ISERROR(SEARCH("send",B378)),"","pool:TPC|pool:TPC"))</f>
        <v>pool:TPC|pool:TPC</v>
      </c>
      <c r="S378" t="str">
        <f>IFERROR(IF(VLOOKUP(B378,'Sender-Receiver'!$B$3:$BP$1500,60,FALSE)="x","true","false"),"false")</f>
        <v>false</v>
      </c>
      <c r="T378" t="str">
        <f t="shared" si="5"/>
        <v>off</v>
      </c>
      <c r="Y378" t="str">
        <f>IF(BOM!$AE$4=FALSE,IF(ISERROR(SEARCH("Embrionix",BOM!$M$4)),"none",IF(ISERROR(SEARCH("Quadsplit",BOM!$N$4)),IF(ISERROR(SEARCH("rec",B378)),"none","merge"),"none")),IF(ISERROR(SEARCH("rec",B378)),"split","merge"))</f>
        <v>split</v>
      </c>
    </row>
    <row r="379" spans="1:25" x14ac:dyDescent="0.2">
      <c r="A379" t="s">
        <v>1238</v>
      </c>
      <c r="B379" t="s">
        <v>1994</v>
      </c>
      <c r="C379" t="str">
        <f>IFERROR(VLOOKUP(B379,'Sender-Receiver'!$B$3:$BP$1500,61,FALSE),"")</f>
        <v>#SNP</v>
      </c>
      <c r="D379" t="str">
        <f>IFERROR(VLOOKUP(B379,'Sender-Receiver'!$B$3:$BP$1500,41,FALSE),"")</f>
        <v xml:space="preserve"> |  | EditPC-08 OUT</v>
      </c>
      <c r="E379" t="s">
        <v>1240</v>
      </c>
      <c r="F379">
        <v>18</v>
      </c>
      <c r="G379" t="s">
        <v>1995</v>
      </c>
      <c r="M379" t="str">
        <f>IF(OR(BOM!$AE$4=FALSE,BOM!$AE$4="-"),IF(ISERROR(SEARCH("send",B379)),"","pool:TPC"),IF(ISERROR(SEARCH("send",B379)),"","pool:TPC|pool:TPC"))</f>
        <v>pool:TPC|pool:TPC</v>
      </c>
      <c r="S379" t="str">
        <f>IFERROR(IF(VLOOKUP(B379,'Sender-Receiver'!$B$3:$BP$1500,60,FALSE)="x","true","false"),"false")</f>
        <v>false</v>
      </c>
      <c r="T379" t="str">
        <f t="shared" si="5"/>
        <v>off</v>
      </c>
      <c r="Y379" t="str">
        <f>IF(BOM!$AE$4=FALSE,IF(ISERROR(SEARCH("Embrionix",BOM!$M$4)),"none",IF(ISERROR(SEARCH("Quadsplit",BOM!$N$4)),IF(ISERROR(SEARCH("rec",B379)),"none","merge"),"none")),IF(ISERROR(SEARCH("rec",B379)),"split","merge"))</f>
        <v>split</v>
      </c>
    </row>
    <row r="380" spans="1:25" x14ac:dyDescent="0.2">
      <c r="A380" t="s">
        <v>1238</v>
      </c>
      <c r="B380" t="s">
        <v>1996</v>
      </c>
      <c r="C380" t="str">
        <f>IFERROR(VLOOKUP(B380,'Sender-Receiver'!$B$3:$BP$1500,61,FALSE),"")</f>
        <v>Type:Vid_1080i50,#SNP</v>
      </c>
      <c r="D380" t="str">
        <f>IFERROR(VLOOKUP(B380,'Sender-Receiver'!$B$3:$BP$1500,41,FALSE),"")</f>
        <v>MEDEM Edits Out | Out Edit09 | EditPC-09 OUT</v>
      </c>
      <c r="E380" t="s">
        <v>1240</v>
      </c>
      <c r="F380">
        <v>19</v>
      </c>
      <c r="G380" t="s">
        <v>1997</v>
      </c>
      <c r="M380" t="str">
        <f>IF(OR(BOM!$AE$4=FALSE,BOM!$AE$4="-"),IF(ISERROR(SEARCH("send",B380)),"","pool:TPC"),IF(ISERROR(SEARCH("send",B380)),"","pool:TPC|pool:TPC"))</f>
        <v>pool:TPC|pool:TPC</v>
      </c>
      <c r="S380" t="str">
        <f>IFERROR(IF(VLOOKUP(B380,'Sender-Receiver'!$B$3:$BP$1500,60,FALSE)="x","true","false"),"false")</f>
        <v>true</v>
      </c>
      <c r="T380" t="str">
        <f t="shared" si="5"/>
        <v>full</v>
      </c>
      <c r="Y380" t="str">
        <f>IF(BOM!$AE$4=FALSE,IF(ISERROR(SEARCH("Embrionix",BOM!$M$4)),"none",IF(ISERROR(SEARCH("Quadsplit",BOM!$N$4)),IF(ISERROR(SEARCH("rec",B380)),"none","merge"),"none")),IF(ISERROR(SEARCH("rec",B380)),"split","merge"))</f>
        <v>split</v>
      </c>
    </row>
    <row r="381" spans="1:25" x14ac:dyDescent="0.2">
      <c r="A381" t="s">
        <v>1238</v>
      </c>
      <c r="B381" t="s">
        <v>1998</v>
      </c>
      <c r="C381" t="str">
        <f>IFERROR(VLOOKUP(B381,'Sender-Receiver'!$B$3:$BP$1500,61,FALSE),"")</f>
        <v>Type:Aud_2CH_LR,#SNP</v>
      </c>
      <c r="D381" t="str">
        <f>IFERROR(VLOOKUP(B381,'Sender-Receiver'!$B$3:$BP$1500,41,FALSE),"")</f>
        <v>MEDEM Edits Out | Out Edit09-01 | EditPC-09 OUT</v>
      </c>
      <c r="E381" t="s">
        <v>1240</v>
      </c>
      <c r="F381">
        <v>19</v>
      </c>
      <c r="G381" t="s">
        <v>1999</v>
      </c>
      <c r="M381" t="str">
        <f>IF(OR(BOM!$AE$4=FALSE,BOM!$AE$4="-"),IF(ISERROR(SEARCH("send",B381)),"","pool:TPC"),IF(ISERROR(SEARCH("send",B381)),"","pool:TPC|pool:TPC"))</f>
        <v>pool:TPC|pool:TPC</v>
      </c>
      <c r="S381" t="str">
        <f>IFERROR(IF(VLOOKUP(B381,'Sender-Receiver'!$B$3:$BP$1500,60,FALSE)="x","true","false"),"false")</f>
        <v>true</v>
      </c>
      <c r="T381" t="str">
        <f t="shared" si="5"/>
        <v>full</v>
      </c>
      <c r="Y381" t="str">
        <f>IF(BOM!$AE$4=FALSE,IF(ISERROR(SEARCH("Embrionix",BOM!$M$4)),"none",IF(ISERROR(SEARCH("Quadsplit",BOM!$N$4)),IF(ISERROR(SEARCH("rec",B381)),"none","merge"),"none")),IF(ISERROR(SEARCH("rec",B381)),"split","merge"))</f>
        <v>split</v>
      </c>
    </row>
    <row r="382" spans="1:25" x14ac:dyDescent="0.2">
      <c r="A382" t="s">
        <v>1238</v>
      </c>
      <c r="B382" t="s">
        <v>2000</v>
      </c>
      <c r="C382" t="str">
        <f>IFERROR(VLOOKUP(B382,'Sender-Receiver'!$B$3:$BP$1500,61,FALSE),"")</f>
        <v>Type:Aud_1CH_M,#SNP</v>
      </c>
      <c r="D382" t="str">
        <f>IFERROR(VLOOKUP(B382,'Sender-Receiver'!$B$3:$BP$1500,41,FALSE),"")</f>
        <v>MEDEM Edits Out | Out Edit09-02 | EditPC-09 OUT</v>
      </c>
      <c r="E382" t="s">
        <v>1240</v>
      </c>
      <c r="F382">
        <v>19</v>
      </c>
      <c r="G382" t="s">
        <v>2001</v>
      </c>
      <c r="M382" t="str">
        <f>IF(OR(BOM!$AE$4=FALSE,BOM!$AE$4="-"),IF(ISERROR(SEARCH("send",B382)),"","pool:TPC"),IF(ISERROR(SEARCH("send",B382)),"","pool:TPC|pool:TPC"))</f>
        <v>pool:TPC|pool:TPC</v>
      </c>
      <c r="S382" t="str">
        <f>IFERROR(IF(VLOOKUP(B382,'Sender-Receiver'!$B$3:$BP$1500,60,FALSE)="x","true","false"),"false")</f>
        <v>true</v>
      </c>
      <c r="T382" t="str">
        <f t="shared" si="5"/>
        <v>full</v>
      </c>
      <c r="Y382" t="str">
        <f>IF(BOM!$AE$4=FALSE,IF(ISERROR(SEARCH("Embrionix",BOM!$M$4)),"none",IF(ISERROR(SEARCH("Quadsplit",BOM!$N$4)),IF(ISERROR(SEARCH("rec",B382)),"none","merge"),"none")),IF(ISERROR(SEARCH("rec",B382)),"split","merge"))</f>
        <v>split</v>
      </c>
    </row>
    <row r="383" spans="1:25" x14ac:dyDescent="0.2">
      <c r="A383" t="s">
        <v>1238</v>
      </c>
      <c r="B383" t="s">
        <v>2002</v>
      </c>
      <c r="C383" t="str">
        <f>IFERROR(VLOOKUP(B383,'Sender-Receiver'!$B$3:$BP$1500,61,FALSE),"")</f>
        <v>Type:Aud_1CH_M,#SNP</v>
      </c>
      <c r="D383" t="str">
        <f>IFERROR(VLOOKUP(B383,'Sender-Receiver'!$B$3:$BP$1500,41,FALSE),"")</f>
        <v>MEDEM Edits Out | Out Edit09-03 | EditPC-09 OUT</v>
      </c>
      <c r="E383" t="s">
        <v>1240</v>
      </c>
      <c r="F383">
        <v>19</v>
      </c>
      <c r="G383" t="s">
        <v>2003</v>
      </c>
      <c r="M383" t="str">
        <f>IF(OR(BOM!$AE$4=FALSE,BOM!$AE$4="-"),IF(ISERROR(SEARCH("send",B383)),"","pool:TPC"),IF(ISERROR(SEARCH("send",B383)),"","pool:TPC|pool:TPC"))</f>
        <v>pool:TPC|pool:TPC</v>
      </c>
      <c r="S383" t="str">
        <f>IFERROR(IF(VLOOKUP(B383,'Sender-Receiver'!$B$3:$BP$1500,60,FALSE)="x","true","false"),"false")</f>
        <v>true</v>
      </c>
      <c r="T383" t="str">
        <f t="shared" si="5"/>
        <v>full</v>
      </c>
      <c r="Y383" t="str">
        <f>IF(BOM!$AE$4=FALSE,IF(ISERROR(SEARCH("Embrionix",BOM!$M$4)),"none",IF(ISERROR(SEARCH("Quadsplit",BOM!$N$4)),IF(ISERROR(SEARCH("rec",B383)),"none","merge"),"none")),IF(ISERROR(SEARCH("rec",B383)),"split","merge"))</f>
        <v>split</v>
      </c>
    </row>
    <row r="384" spans="1:25" x14ac:dyDescent="0.2">
      <c r="A384" t="s">
        <v>1238</v>
      </c>
      <c r="B384" t="s">
        <v>2004</v>
      </c>
      <c r="C384" t="str">
        <f>IFERROR(VLOOKUP(B384,'Sender-Receiver'!$B$3:$BP$1500,61,FALSE),"")</f>
        <v>Type:Aud_2CH_LR,#SNP</v>
      </c>
      <c r="D384" t="str">
        <f>IFERROR(VLOOKUP(B384,'Sender-Receiver'!$B$3:$BP$1500,41,FALSE),"")</f>
        <v>MEDEM Edits Out | Out Edit09-04 | EditPC-09 OUT</v>
      </c>
      <c r="E384" t="s">
        <v>1240</v>
      </c>
      <c r="F384">
        <v>19</v>
      </c>
      <c r="G384" t="s">
        <v>2005</v>
      </c>
      <c r="M384" t="str">
        <f>IF(OR(BOM!$AE$4=FALSE,BOM!$AE$4="-"),IF(ISERROR(SEARCH("send",B384)),"","pool:TPC"),IF(ISERROR(SEARCH("send",B384)),"","pool:TPC|pool:TPC"))</f>
        <v>pool:TPC|pool:TPC</v>
      </c>
      <c r="S384" t="str">
        <f>IFERROR(IF(VLOOKUP(B384,'Sender-Receiver'!$B$3:$BP$1500,60,FALSE)="x","true","false"),"false")</f>
        <v>true</v>
      </c>
      <c r="T384" t="str">
        <f t="shared" si="5"/>
        <v>full</v>
      </c>
      <c r="Y384" t="str">
        <f>IF(BOM!$AE$4=FALSE,IF(ISERROR(SEARCH("Embrionix",BOM!$M$4)),"none",IF(ISERROR(SEARCH("Quadsplit",BOM!$N$4)),IF(ISERROR(SEARCH("rec",B384)),"none","merge"),"none")),IF(ISERROR(SEARCH("rec",B384)),"split","merge"))</f>
        <v>split</v>
      </c>
    </row>
    <row r="385" spans="1:25" x14ac:dyDescent="0.2">
      <c r="A385" t="s">
        <v>1238</v>
      </c>
      <c r="B385" t="s">
        <v>2006</v>
      </c>
      <c r="C385" t="str">
        <f>IFERROR(VLOOKUP(B385,'Sender-Receiver'!$B$3:$BP$1500,61,FALSE),"")</f>
        <v>Type:Aud_1CH_M,#SNP</v>
      </c>
      <c r="D385" t="str">
        <f>IFERROR(VLOOKUP(B385,'Sender-Receiver'!$B$3:$BP$1500,41,FALSE),"")</f>
        <v>MEDEM Edits Out | Out Edit09-05 | EditPC-09 OUT</v>
      </c>
      <c r="E385" t="s">
        <v>1240</v>
      </c>
      <c r="F385">
        <v>19</v>
      </c>
      <c r="G385" t="s">
        <v>2007</v>
      </c>
      <c r="M385" t="str">
        <f>IF(OR(BOM!$AE$4=FALSE,BOM!$AE$4="-"),IF(ISERROR(SEARCH("send",B385)),"","pool:TPC"),IF(ISERROR(SEARCH("send",B385)),"","pool:TPC|pool:TPC"))</f>
        <v>pool:TPC|pool:TPC</v>
      </c>
      <c r="S385" t="str">
        <f>IFERROR(IF(VLOOKUP(B385,'Sender-Receiver'!$B$3:$BP$1500,60,FALSE)="x","true","false"),"false")</f>
        <v>true</v>
      </c>
      <c r="T385" t="str">
        <f t="shared" si="5"/>
        <v>full</v>
      </c>
      <c r="Y385" t="str">
        <f>IF(BOM!$AE$4=FALSE,IF(ISERROR(SEARCH("Embrionix",BOM!$M$4)),"none",IF(ISERROR(SEARCH("Quadsplit",BOM!$N$4)),IF(ISERROR(SEARCH("rec",B385)),"none","merge"),"none")),IF(ISERROR(SEARCH("rec",B385)),"split","merge"))</f>
        <v>split</v>
      </c>
    </row>
    <row r="386" spans="1:25" x14ac:dyDescent="0.2">
      <c r="A386" t="s">
        <v>1238</v>
      </c>
      <c r="B386" t="s">
        <v>2008</v>
      </c>
      <c r="C386" t="str">
        <f>IFERROR(VLOOKUP(B386,'Sender-Receiver'!$B$3:$BP$1500,61,FALSE),"")</f>
        <v>Type:Aud_1CH_M,#SNP</v>
      </c>
      <c r="D386" t="str">
        <f>IFERROR(VLOOKUP(B386,'Sender-Receiver'!$B$3:$BP$1500,41,FALSE),"")</f>
        <v>MEDEM Edits Out | Out Edit09-06 | EditPC-09 OUT</v>
      </c>
      <c r="E386" t="s">
        <v>1240</v>
      </c>
      <c r="F386">
        <v>19</v>
      </c>
      <c r="G386" t="s">
        <v>2009</v>
      </c>
      <c r="M386" t="str">
        <f>IF(OR(BOM!$AE$4=FALSE,BOM!$AE$4="-"),IF(ISERROR(SEARCH("send",B386)),"","pool:TPC"),IF(ISERROR(SEARCH("send",B386)),"","pool:TPC|pool:TPC"))</f>
        <v>pool:TPC|pool:TPC</v>
      </c>
      <c r="S386" t="str">
        <f>IFERROR(IF(VLOOKUP(B386,'Sender-Receiver'!$B$3:$BP$1500,60,FALSE)="x","true","false"),"false")</f>
        <v>true</v>
      </c>
      <c r="T386" t="str">
        <f t="shared" si="5"/>
        <v>full</v>
      </c>
      <c r="Y386" t="str">
        <f>IF(BOM!$AE$4=FALSE,IF(ISERROR(SEARCH("Embrionix",BOM!$M$4)),"none",IF(ISERROR(SEARCH("Quadsplit",BOM!$N$4)),IF(ISERROR(SEARCH("rec",B386)),"none","merge"),"none")),IF(ISERROR(SEARCH("rec",B386)),"split","merge"))</f>
        <v>split</v>
      </c>
    </row>
    <row r="387" spans="1:25" x14ac:dyDescent="0.2">
      <c r="A387" t="s">
        <v>1238</v>
      </c>
      <c r="B387" t="s">
        <v>2010</v>
      </c>
      <c r="C387" t="str">
        <f>IFERROR(VLOOKUP(B387,'Sender-Receiver'!$B$3:$BP$1500,61,FALSE),"")</f>
        <v>Type:Aud_2CH_LR,#SNP</v>
      </c>
      <c r="D387" t="str">
        <f>IFERROR(VLOOKUP(B387,'Sender-Receiver'!$B$3:$BP$1500,41,FALSE),"")</f>
        <v>MEDEM Edits Out | Out Edit09-07 | EditPC-09 OUT</v>
      </c>
      <c r="E387" t="s">
        <v>1240</v>
      </c>
      <c r="F387">
        <v>19</v>
      </c>
      <c r="G387" t="s">
        <v>2011</v>
      </c>
      <c r="M387" t="str">
        <f>IF(OR(BOM!$AE$4=FALSE,BOM!$AE$4="-"),IF(ISERROR(SEARCH("send",B387)),"","pool:TPC"),IF(ISERROR(SEARCH("send",B387)),"","pool:TPC|pool:TPC"))</f>
        <v>pool:TPC|pool:TPC</v>
      </c>
      <c r="S387" t="str">
        <f>IFERROR(IF(VLOOKUP(B387,'Sender-Receiver'!$B$3:$BP$1500,60,FALSE)="x","true","false"),"false")</f>
        <v>true</v>
      </c>
      <c r="T387" t="str">
        <f t="shared" ref="T387:T450" si="6">IF(S387="true","full","off")</f>
        <v>full</v>
      </c>
      <c r="Y387" t="str">
        <f>IF(BOM!$AE$4=FALSE,IF(ISERROR(SEARCH("Embrionix",BOM!$M$4)),"none",IF(ISERROR(SEARCH("Quadsplit",BOM!$N$4)),IF(ISERROR(SEARCH("rec",B387)),"none","merge"),"none")),IF(ISERROR(SEARCH("rec",B387)),"split","merge"))</f>
        <v>split</v>
      </c>
    </row>
    <row r="388" spans="1:25" x14ac:dyDescent="0.2">
      <c r="A388" t="s">
        <v>1238</v>
      </c>
      <c r="B388" t="s">
        <v>2012</v>
      </c>
      <c r="C388" t="str">
        <f>IFERROR(VLOOKUP(B388,'Sender-Receiver'!$B$3:$BP$1500,61,FALSE),"")</f>
        <v>Type:Aud_6CH_5.1,#SNP</v>
      </c>
      <c r="D388" t="str">
        <f>IFERROR(VLOOKUP(B388,'Sender-Receiver'!$B$3:$BP$1500,41,FALSE),"")</f>
        <v>MEDEM Edits Out | Out Edit09-08 | EditPC-09 OUT</v>
      </c>
      <c r="E388" t="s">
        <v>1240</v>
      </c>
      <c r="F388">
        <v>19</v>
      </c>
      <c r="G388" t="s">
        <v>2013</v>
      </c>
      <c r="M388" t="str">
        <f>IF(OR(BOM!$AE$4=FALSE,BOM!$AE$4="-"),IF(ISERROR(SEARCH("send",B388)),"","pool:TPC"),IF(ISERROR(SEARCH("send",B388)),"","pool:TPC|pool:TPC"))</f>
        <v>pool:TPC|pool:TPC</v>
      </c>
      <c r="S388" t="str">
        <f>IFERROR(IF(VLOOKUP(B388,'Sender-Receiver'!$B$3:$BP$1500,60,FALSE)="x","true","false"),"false")</f>
        <v>true</v>
      </c>
      <c r="T388" t="str">
        <f t="shared" si="6"/>
        <v>full</v>
      </c>
      <c r="Y388" t="str">
        <f>IF(BOM!$AE$4=FALSE,IF(ISERROR(SEARCH("Embrionix",BOM!$M$4)),"none",IF(ISERROR(SEARCH("Quadsplit",BOM!$N$4)),IF(ISERROR(SEARCH("rec",B388)),"none","merge"),"none")),IF(ISERROR(SEARCH("rec",B388)),"split","merge"))</f>
        <v>split</v>
      </c>
    </row>
    <row r="389" spans="1:25" x14ac:dyDescent="0.2">
      <c r="A389" t="s">
        <v>1238</v>
      </c>
      <c r="B389" t="s">
        <v>2014</v>
      </c>
      <c r="C389" t="str">
        <f>IFERROR(VLOOKUP(B389,'Sender-Receiver'!$B$3:$BP$1500,61,FALSE),"")</f>
        <v>#SNP</v>
      </c>
      <c r="D389" t="str">
        <f>IFERROR(VLOOKUP(B389,'Sender-Receiver'!$B$3:$BP$1500,41,FALSE),"")</f>
        <v xml:space="preserve"> |  | EditPC-09 OUT</v>
      </c>
      <c r="E389" t="s">
        <v>1240</v>
      </c>
      <c r="F389">
        <v>19</v>
      </c>
      <c r="G389" t="s">
        <v>2015</v>
      </c>
      <c r="M389" t="str">
        <f>IF(OR(BOM!$AE$4=FALSE,BOM!$AE$4="-"),IF(ISERROR(SEARCH("send",B389)),"","pool:TPC"),IF(ISERROR(SEARCH("send",B389)),"","pool:TPC|pool:TPC"))</f>
        <v>pool:TPC|pool:TPC</v>
      </c>
      <c r="S389" t="str">
        <f>IFERROR(IF(VLOOKUP(B389,'Sender-Receiver'!$B$3:$BP$1500,60,FALSE)="x","true","false"),"false")</f>
        <v>false</v>
      </c>
      <c r="T389" t="str">
        <f t="shared" si="6"/>
        <v>off</v>
      </c>
      <c r="Y389" t="str">
        <f>IF(BOM!$AE$4=FALSE,IF(ISERROR(SEARCH("Embrionix",BOM!$M$4)),"none",IF(ISERROR(SEARCH("Quadsplit",BOM!$N$4)),IF(ISERROR(SEARCH("rec",B389)),"none","merge"),"none")),IF(ISERROR(SEARCH("rec",B389)),"split","merge"))</f>
        <v>split</v>
      </c>
    </row>
    <row r="390" spans="1:25" x14ac:dyDescent="0.2">
      <c r="A390" t="s">
        <v>1238</v>
      </c>
      <c r="B390" t="s">
        <v>2016</v>
      </c>
      <c r="C390" t="str">
        <f>IFERROR(VLOOKUP(B390,'Sender-Receiver'!$B$3:$BP$1500,61,FALSE),"")</f>
        <v>#SNP</v>
      </c>
      <c r="D390" t="str">
        <f>IFERROR(VLOOKUP(B390,'Sender-Receiver'!$B$3:$BP$1500,41,FALSE),"")</f>
        <v xml:space="preserve"> |  | EditPC-09 OUT</v>
      </c>
      <c r="E390" t="s">
        <v>1240</v>
      </c>
      <c r="F390">
        <v>19</v>
      </c>
      <c r="G390" t="s">
        <v>2017</v>
      </c>
      <c r="M390" t="str">
        <f>IF(OR(BOM!$AE$4=FALSE,BOM!$AE$4="-"),IF(ISERROR(SEARCH("send",B390)),"","pool:TPC"),IF(ISERROR(SEARCH("send",B390)),"","pool:TPC|pool:TPC"))</f>
        <v>pool:TPC|pool:TPC</v>
      </c>
      <c r="S390" t="str">
        <f>IFERROR(IF(VLOOKUP(B390,'Sender-Receiver'!$B$3:$BP$1500,60,FALSE)="x","true","false"),"false")</f>
        <v>false</v>
      </c>
      <c r="T390" t="str">
        <f t="shared" si="6"/>
        <v>off</v>
      </c>
      <c r="Y390" t="str">
        <f>IF(BOM!$AE$4=FALSE,IF(ISERROR(SEARCH("Embrionix",BOM!$M$4)),"none",IF(ISERROR(SEARCH("Quadsplit",BOM!$N$4)),IF(ISERROR(SEARCH("rec",B390)),"none","merge"),"none")),IF(ISERROR(SEARCH("rec",B390)),"split","merge"))</f>
        <v>split</v>
      </c>
    </row>
    <row r="391" spans="1:25" x14ac:dyDescent="0.2">
      <c r="A391" t="s">
        <v>1238</v>
      </c>
      <c r="B391" t="s">
        <v>2018</v>
      </c>
      <c r="C391" t="str">
        <f>IFERROR(VLOOKUP(B391,'Sender-Receiver'!$B$3:$BP$1500,61,FALSE),"")</f>
        <v>#SNP</v>
      </c>
      <c r="D391" t="str">
        <f>IFERROR(VLOOKUP(B391,'Sender-Receiver'!$B$3:$BP$1500,41,FALSE),"")</f>
        <v xml:space="preserve"> |  | EditPC-09 OUT</v>
      </c>
      <c r="E391" t="s">
        <v>1240</v>
      </c>
      <c r="F391">
        <v>19</v>
      </c>
      <c r="G391" t="s">
        <v>2019</v>
      </c>
      <c r="M391" t="str">
        <f>IF(OR(BOM!$AE$4=FALSE,BOM!$AE$4="-"),IF(ISERROR(SEARCH("send",B391)),"","pool:TPC"),IF(ISERROR(SEARCH("send",B391)),"","pool:TPC|pool:TPC"))</f>
        <v>pool:TPC|pool:TPC</v>
      </c>
      <c r="S391" t="str">
        <f>IFERROR(IF(VLOOKUP(B391,'Sender-Receiver'!$B$3:$BP$1500,60,FALSE)="x","true","false"),"false")</f>
        <v>false</v>
      </c>
      <c r="T391" t="str">
        <f t="shared" si="6"/>
        <v>off</v>
      </c>
      <c r="Y391" t="str">
        <f>IF(BOM!$AE$4=FALSE,IF(ISERROR(SEARCH("Embrionix",BOM!$M$4)),"none",IF(ISERROR(SEARCH("Quadsplit",BOM!$N$4)),IF(ISERROR(SEARCH("rec",B391)),"none","merge"),"none")),IF(ISERROR(SEARCH("rec",B391)),"split","merge"))</f>
        <v>split</v>
      </c>
    </row>
    <row r="392" spans="1:25" x14ac:dyDescent="0.2">
      <c r="A392" t="s">
        <v>1238</v>
      </c>
      <c r="B392" t="s">
        <v>2020</v>
      </c>
      <c r="C392" t="str">
        <f>IFERROR(VLOOKUP(B392,'Sender-Receiver'!$B$3:$BP$1500,61,FALSE),"")</f>
        <v>#SNP</v>
      </c>
      <c r="D392" t="str">
        <f>IFERROR(VLOOKUP(B392,'Sender-Receiver'!$B$3:$BP$1500,41,FALSE),"")</f>
        <v xml:space="preserve"> |  | EditPC-09 OUT</v>
      </c>
      <c r="E392" t="s">
        <v>1240</v>
      </c>
      <c r="F392">
        <v>19</v>
      </c>
      <c r="G392" t="s">
        <v>2021</v>
      </c>
      <c r="M392" t="str">
        <f>IF(OR(BOM!$AE$4=FALSE,BOM!$AE$4="-"),IF(ISERROR(SEARCH("send",B392)),"","pool:TPC"),IF(ISERROR(SEARCH("send",B392)),"","pool:TPC|pool:TPC"))</f>
        <v>pool:TPC|pool:TPC</v>
      </c>
      <c r="S392" t="str">
        <f>IFERROR(IF(VLOOKUP(B392,'Sender-Receiver'!$B$3:$BP$1500,60,FALSE)="x","true","false"),"false")</f>
        <v>false</v>
      </c>
      <c r="T392" t="str">
        <f t="shared" si="6"/>
        <v>off</v>
      </c>
      <c r="Y392" t="str">
        <f>IF(BOM!$AE$4=FALSE,IF(ISERROR(SEARCH("Embrionix",BOM!$M$4)),"none",IF(ISERROR(SEARCH("Quadsplit",BOM!$N$4)),IF(ISERROR(SEARCH("rec",B392)),"none","merge"),"none")),IF(ISERROR(SEARCH("rec",B392)),"split","merge"))</f>
        <v>split</v>
      </c>
    </row>
    <row r="393" spans="1:25" x14ac:dyDescent="0.2">
      <c r="A393" t="s">
        <v>1238</v>
      </c>
      <c r="B393" t="s">
        <v>2022</v>
      </c>
      <c r="C393" t="str">
        <f>IFERROR(VLOOKUP(B393,'Sender-Receiver'!$B$3:$BP$1500,61,FALSE),"")</f>
        <v>#SNP</v>
      </c>
      <c r="D393" t="str">
        <f>IFERROR(VLOOKUP(B393,'Sender-Receiver'!$B$3:$BP$1500,41,FALSE),"")</f>
        <v xml:space="preserve"> |  | EditPC-09 OUT</v>
      </c>
      <c r="E393" t="s">
        <v>1240</v>
      </c>
      <c r="F393">
        <v>19</v>
      </c>
      <c r="G393" t="s">
        <v>2023</v>
      </c>
      <c r="M393" t="str">
        <f>IF(OR(BOM!$AE$4=FALSE,BOM!$AE$4="-"),IF(ISERROR(SEARCH("send",B393)),"","pool:TPC"),IF(ISERROR(SEARCH("send",B393)),"","pool:TPC|pool:TPC"))</f>
        <v>pool:TPC|pool:TPC</v>
      </c>
      <c r="S393" t="str">
        <f>IFERROR(IF(VLOOKUP(B393,'Sender-Receiver'!$B$3:$BP$1500,60,FALSE)="x","true","false"),"false")</f>
        <v>false</v>
      </c>
      <c r="T393" t="str">
        <f t="shared" si="6"/>
        <v>off</v>
      </c>
      <c r="Y393" t="str">
        <f>IF(BOM!$AE$4=FALSE,IF(ISERROR(SEARCH("Embrionix",BOM!$M$4)),"none",IF(ISERROR(SEARCH("Quadsplit",BOM!$N$4)),IF(ISERROR(SEARCH("rec",B393)),"none","merge"),"none")),IF(ISERROR(SEARCH("rec",B393)),"split","merge"))</f>
        <v>split</v>
      </c>
    </row>
    <row r="394" spans="1:25" x14ac:dyDescent="0.2">
      <c r="A394" t="s">
        <v>1238</v>
      </c>
      <c r="B394" t="s">
        <v>2024</v>
      </c>
      <c r="C394" t="str">
        <f>IFERROR(VLOOKUP(B394,'Sender-Receiver'!$B$3:$BP$1500,61,FALSE),"")</f>
        <v>#SNP</v>
      </c>
      <c r="D394" t="str">
        <f>IFERROR(VLOOKUP(B394,'Sender-Receiver'!$B$3:$BP$1500,41,FALSE),"")</f>
        <v xml:space="preserve"> |  | EditPC-09 OUT</v>
      </c>
      <c r="E394" t="s">
        <v>1240</v>
      </c>
      <c r="F394">
        <v>19</v>
      </c>
      <c r="G394" t="s">
        <v>2025</v>
      </c>
      <c r="M394" t="str">
        <f>IF(OR(BOM!$AE$4=FALSE,BOM!$AE$4="-"),IF(ISERROR(SEARCH("send",B394)),"","pool:TPC"),IF(ISERROR(SEARCH("send",B394)),"","pool:TPC|pool:TPC"))</f>
        <v>pool:TPC|pool:TPC</v>
      </c>
      <c r="S394" t="str">
        <f>IFERROR(IF(VLOOKUP(B394,'Sender-Receiver'!$B$3:$BP$1500,60,FALSE)="x","true","false"),"false")</f>
        <v>false</v>
      </c>
      <c r="T394" t="str">
        <f t="shared" si="6"/>
        <v>off</v>
      </c>
      <c r="Y394" t="str">
        <f>IF(BOM!$AE$4=FALSE,IF(ISERROR(SEARCH("Embrionix",BOM!$M$4)),"none",IF(ISERROR(SEARCH("Quadsplit",BOM!$N$4)),IF(ISERROR(SEARCH("rec",B394)),"none","merge"),"none")),IF(ISERROR(SEARCH("rec",B394)),"split","merge"))</f>
        <v>split</v>
      </c>
    </row>
    <row r="395" spans="1:25" x14ac:dyDescent="0.2">
      <c r="A395" t="s">
        <v>1238</v>
      </c>
      <c r="B395" t="s">
        <v>2026</v>
      </c>
      <c r="C395" t="str">
        <f>IFERROR(VLOOKUP(B395,'Sender-Receiver'!$B$3:$BP$1500,61,FALSE),"")</f>
        <v>Type:Aud_8CH_RAW,#SNP</v>
      </c>
      <c r="D395" t="str">
        <f>IFERROR(VLOOKUP(B395,'Sender-Receiver'!$B$3:$BP$1500,41,FALSE),"")</f>
        <v>MEDEM Edits Out | Out Edit09-15 | EditPC-09 OUT</v>
      </c>
      <c r="E395" t="s">
        <v>1240</v>
      </c>
      <c r="F395">
        <v>19</v>
      </c>
      <c r="G395" t="s">
        <v>2027</v>
      </c>
      <c r="M395" t="str">
        <f>IF(OR(BOM!$AE$4=FALSE,BOM!$AE$4="-"),IF(ISERROR(SEARCH("send",B395)),"","pool:TPC"),IF(ISERROR(SEARCH("send",B395)),"","pool:TPC|pool:TPC"))</f>
        <v>pool:TPC|pool:TPC</v>
      </c>
      <c r="S395" t="str">
        <f>IFERROR(IF(VLOOKUP(B395,'Sender-Receiver'!$B$3:$BP$1500,60,FALSE)="x","true","false"),"false")</f>
        <v>true</v>
      </c>
      <c r="T395" t="str">
        <f t="shared" si="6"/>
        <v>full</v>
      </c>
      <c r="Y395" t="str">
        <f>IF(BOM!$AE$4=FALSE,IF(ISERROR(SEARCH("Embrionix",BOM!$M$4)),"none",IF(ISERROR(SEARCH("Quadsplit",BOM!$N$4)),IF(ISERROR(SEARCH("rec",B395)),"none","merge"),"none")),IF(ISERROR(SEARCH("rec",B395)),"split","merge"))</f>
        <v>split</v>
      </c>
    </row>
    <row r="396" spans="1:25" x14ac:dyDescent="0.2">
      <c r="A396" t="s">
        <v>1238</v>
      </c>
      <c r="B396" t="s">
        <v>2028</v>
      </c>
      <c r="C396" t="str">
        <f>IFERROR(VLOOKUP(B396,'Sender-Receiver'!$B$3:$BP$1500,61,FALSE),"")</f>
        <v>Type:Aud_8CH_RAW,#SNP</v>
      </c>
      <c r="D396" t="str">
        <f>IFERROR(VLOOKUP(B396,'Sender-Receiver'!$B$3:$BP$1500,41,FALSE),"")</f>
        <v>MEDEM Edits Out | Out Edit09-16 | EditPC-09 OUT</v>
      </c>
      <c r="E396" t="s">
        <v>1240</v>
      </c>
      <c r="F396">
        <v>19</v>
      </c>
      <c r="G396" t="s">
        <v>2029</v>
      </c>
      <c r="M396" t="str">
        <f>IF(OR(BOM!$AE$4=FALSE,BOM!$AE$4="-"),IF(ISERROR(SEARCH("send",B396)),"","pool:TPC"),IF(ISERROR(SEARCH("send",B396)),"","pool:TPC|pool:TPC"))</f>
        <v>pool:TPC|pool:TPC</v>
      </c>
      <c r="S396" t="str">
        <f>IFERROR(IF(VLOOKUP(B396,'Sender-Receiver'!$B$3:$BP$1500,60,FALSE)="x","true","false"),"false")</f>
        <v>true</v>
      </c>
      <c r="T396" t="str">
        <f t="shared" si="6"/>
        <v>full</v>
      </c>
      <c r="Y396" t="str">
        <f>IF(BOM!$AE$4=FALSE,IF(ISERROR(SEARCH("Embrionix",BOM!$M$4)),"none",IF(ISERROR(SEARCH("Quadsplit",BOM!$N$4)),IF(ISERROR(SEARCH("rec",B396)),"none","merge"),"none")),IF(ISERROR(SEARCH("rec",B396)),"split","merge"))</f>
        <v>split</v>
      </c>
    </row>
    <row r="397" spans="1:25" x14ac:dyDescent="0.2">
      <c r="A397" t="s">
        <v>1238</v>
      </c>
      <c r="B397" t="s">
        <v>2030</v>
      </c>
      <c r="C397" t="str">
        <f>IFERROR(VLOOKUP(B397,'Sender-Receiver'!$B$3:$BP$1500,61,FALSE),"")</f>
        <v>Type:Anc_Prot,#SNP</v>
      </c>
      <c r="D397" t="str">
        <f>IFERROR(VLOOKUP(B397,'Sender-Receiver'!$B$3:$BP$1500,41,FALSE),"")</f>
        <v>MEDEM Edits Out | Out Edit09-ANC1 | EditPC-09 OUT</v>
      </c>
      <c r="E397" t="s">
        <v>1240</v>
      </c>
      <c r="F397">
        <v>19</v>
      </c>
      <c r="G397" t="s">
        <v>2031</v>
      </c>
      <c r="M397" t="str">
        <f>IF(OR(BOM!$AE$4=FALSE,BOM!$AE$4="-"),IF(ISERROR(SEARCH("send",B397)),"","pool:TPC"),IF(ISERROR(SEARCH("send",B397)),"","pool:TPC|pool:TPC"))</f>
        <v>pool:TPC|pool:TPC</v>
      </c>
      <c r="S397" t="str">
        <f>IFERROR(IF(VLOOKUP(B397,'Sender-Receiver'!$B$3:$BP$1500,60,FALSE)="x","true","false"),"false")</f>
        <v>true</v>
      </c>
      <c r="T397" t="str">
        <f t="shared" si="6"/>
        <v>full</v>
      </c>
      <c r="Y397" t="str">
        <f>IF(BOM!$AE$4=FALSE,IF(ISERROR(SEARCH("Embrionix",BOM!$M$4)),"none",IF(ISERROR(SEARCH("Quadsplit",BOM!$N$4)),IF(ISERROR(SEARCH("rec",B397)),"none","merge"),"none")),IF(ISERROR(SEARCH("rec",B397)),"split","merge"))</f>
        <v>split</v>
      </c>
    </row>
    <row r="398" spans="1:25" x14ac:dyDescent="0.2">
      <c r="A398" t="s">
        <v>1238</v>
      </c>
      <c r="B398" t="s">
        <v>2032</v>
      </c>
      <c r="C398" t="str">
        <f>IFERROR(VLOOKUP(B398,'Sender-Receiver'!$B$3:$BP$1500,61,FALSE),"")</f>
        <v>#SNP</v>
      </c>
      <c r="D398" t="str">
        <f>IFERROR(VLOOKUP(B398,'Sender-Receiver'!$B$3:$BP$1500,41,FALSE),"")</f>
        <v xml:space="preserve"> |  | EditPC-09 OUT</v>
      </c>
      <c r="E398" t="s">
        <v>1240</v>
      </c>
      <c r="F398">
        <v>19</v>
      </c>
      <c r="G398" t="s">
        <v>2033</v>
      </c>
      <c r="M398" t="str">
        <f>IF(OR(BOM!$AE$4=FALSE,BOM!$AE$4="-"),IF(ISERROR(SEARCH("send",B398)),"","pool:TPC"),IF(ISERROR(SEARCH("send",B398)),"","pool:TPC|pool:TPC"))</f>
        <v>pool:TPC|pool:TPC</v>
      </c>
      <c r="S398" t="str">
        <f>IFERROR(IF(VLOOKUP(B398,'Sender-Receiver'!$B$3:$BP$1500,60,FALSE)="x","true","false"),"false")</f>
        <v>false</v>
      </c>
      <c r="T398" t="str">
        <f t="shared" si="6"/>
        <v>off</v>
      </c>
      <c r="Y398" t="str">
        <f>IF(BOM!$AE$4=FALSE,IF(ISERROR(SEARCH("Embrionix",BOM!$M$4)),"none",IF(ISERROR(SEARCH("Quadsplit",BOM!$N$4)),IF(ISERROR(SEARCH("rec",B398)),"none","merge"),"none")),IF(ISERROR(SEARCH("rec",B398)),"split","merge"))</f>
        <v>split</v>
      </c>
    </row>
    <row r="399" spans="1:25" x14ac:dyDescent="0.2">
      <c r="A399" t="s">
        <v>1238</v>
      </c>
      <c r="B399" t="s">
        <v>2034</v>
      </c>
      <c r="C399" t="str">
        <f>IFERROR(VLOOKUP(B399,'Sender-Receiver'!$B$3:$BP$1500,61,FALSE),"")</f>
        <v>#SNP</v>
      </c>
      <c r="D399" t="str">
        <f>IFERROR(VLOOKUP(B399,'Sender-Receiver'!$B$3:$BP$1500,41,FALSE),"")</f>
        <v xml:space="preserve"> |  | EditPC-09 OUT</v>
      </c>
      <c r="E399" t="s">
        <v>1240</v>
      </c>
      <c r="F399">
        <v>19</v>
      </c>
      <c r="G399" t="s">
        <v>2035</v>
      </c>
      <c r="M399" t="str">
        <f>IF(OR(BOM!$AE$4=FALSE,BOM!$AE$4="-"),IF(ISERROR(SEARCH("send",B399)),"","pool:TPC"),IF(ISERROR(SEARCH("send",B399)),"","pool:TPC|pool:TPC"))</f>
        <v>pool:TPC|pool:TPC</v>
      </c>
      <c r="S399" t="str">
        <f>IFERROR(IF(VLOOKUP(B399,'Sender-Receiver'!$B$3:$BP$1500,60,FALSE)="x","true","false"),"false")</f>
        <v>false</v>
      </c>
      <c r="T399" t="str">
        <f t="shared" si="6"/>
        <v>off</v>
      </c>
      <c r="Y399" t="str">
        <f>IF(BOM!$AE$4=FALSE,IF(ISERROR(SEARCH("Embrionix",BOM!$M$4)),"none",IF(ISERROR(SEARCH("Quadsplit",BOM!$N$4)),IF(ISERROR(SEARCH("rec",B399)),"none","merge"),"none")),IF(ISERROR(SEARCH("rec",B399)),"split","merge"))</f>
        <v>split</v>
      </c>
    </row>
    <row r="400" spans="1:25" x14ac:dyDescent="0.2">
      <c r="A400" t="s">
        <v>1238</v>
      </c>
      <c r="B400" t="s">
        <v>2036</v>
      </c>
      <c r="C400" t="str">
        <f>IFERROR(VLOOKUP(B400,'Sender-Receiver'!$B$3:$BP$1500,61,FALSE),"")</f>
        <v>#SNP</v>
      </c>
      <c r="D400" t="str">
        <f>IFERROR(VLOOKUP(B400,'Sender-Receiver'!$B$3:$BP$1500,41,FALSE),"")</f>
        <v xml:space="preserve"> |  | EditPC-09 OUT</v>
      </c>
      <c r="E400" t="s">
        <v>1240</v>
      </c>
      <c r="F400">
        <v>19</v>
      </c>
      <c r="G400" t="s">
        <v>2037</v>
      </c>
      <c r="M400" t="str">
        <f>IF(OR(BOM!$AE$4=FALSE,BOM!$AE$4="-"),IF(ISERROR(SEARCH("send",B400)),"","pool:TPC"),IF(ISERROR(SEARCH("send",B400)),"","pool:TPC|pool:TPC"))</f>
        <v>pool:TPC|pool:TPC</v>
      </c>
      <c r="S400" t="str">
        <f>IFERROR(IF(VLOOKUP(B400,'Sender-Receiver'!$B$3:$BP$1500,60,FALSE)="x","true","false"),"false")</f>
        <v>false</v>
      </c>
      <c r="T400" t="str">
        <f t="shared" si="6"/>
        <v>off</v>
      </c>
      <c r="Y400" t="str">
        <f>IF(BOM!$AE$4=FALSE,IF(ISERROR(SEARCH("Embrionix",BOM!$M$4)),"none",IF(ISERROR(SEARCH("Quadsplit",BOM!$N$4)),IF(ISERROR(SEARCH("rec",B400)),"none","merge"),"none")),IF(ISERROR(SEARCH("rec",B400)),"split","merge"))</f>
        <v>split</v>
      </c>
    </row>
    <row r="401" spans="1:25" x14ac:dyDescent="0.2">
      <c r="A401" t="s">
        <v>1238</v>
      </c>
      <c r="B401" t="s">
        <v>2038</v>
      </c>
      <c r="C401" t="str">
        <f>IFERROR(VLOOKUP(B401,'Sender-Receiver'!$B$3:$BP$1500,61,FALSE),"")</f>
        <v>Type:Vid_1080i50,#SNP</v>
      </c>
      <c r="D401" t="str">
        <f>IFERROR(VLOOKUP(B401,'Sender-Receiver'!$B$3:$BP$1500,41,FALSE),"")</f>
        <v>MEDEM Edits Out | Out Edit10 | EditPC-10 OUT</v>
      </c>
      <c r="E401" t="s">
        <v>1240</v>
      </c>
      <c r="F401">
        <v>20</v>
      </c>
      <c r="G401" t="s">
        <v>2039</v>
      </c>
      <c r="M401" t="str">
        <f>IF(OR(BOM!$AE$4=FALSE,BOM!$AE$4="-"),IF(ISERROR(SEARCH("send",B401)),"","pool:TPC"),IF(ISERROR(SEARCH("send",B401)),"","pool:TPC|pool:TPC"))</f>
        <v>pool:TPC|pool:TPC</v>
      </c>
      <c r="S401" t="str">
        <f>IFERROR(IF(VLOOKUP(B401,'Sender-Receiver'!$B$3:$BP$1500,60,FALSE)="x","true","false"),"false")</f>
        <v>true</v>
      </c>
      <c r="T401" t="str">
        <f t="shared" si="6"/>
        <v>full</v>
      </c>
      <c r="Y401" t="str">
        <f>IF(BOM!$AE$4=FALSE,IF(ISERROR(SEARCH("Embrionix",BOM!$M$4)),"none",IF(ISERROR(SEARCH("Quadsplit",BOM!$N$4)),IF(ISERROR(SEARCH("rec",B401)),"none","merge"),"none")),IF(ISERROR(SEARCH("rec",B401)),"split","merge"))</f>
        <v>split</v>
      </c>
    </row>
    <row r="402" spans="1:25" x14ac:dyDescent="0.2">
      <c r="A402" t="s">
        <v>1238</v>
      </c>
      <c r="B402" t="s">
        <v>2040</v>
      </c>
      <c r="C402" t="str">
        <f>IFERROR(VLOOKUP(B402,'Sender-Receiver'!$B$3:$BP$1500,61,FALSE),"")</f>
        <v>Type:Aud_2CH_LR,#SNP</v>
      </c>
      <c r="D402" t="str">
        <f>IFERROR(VLOOKUP(B402,'Sender-Receiver'!$B$3:$BP$1500,41,FALSE),"")</f>
        <v>MEDEM Edits Out | Out Edit10-01 | EditPC-10 OUT</v>
      </c>
      <c r="E402" t="s">
        <v>1240</v>
      </c>
      <c r="F402">
        <v>20</v>
      </c>
      <c r="G402" t="s">
        <v>2041</v>
      </c>
      <c r="M402" t="str">
        <f>IF(OR(BOM!$AE$4=FALSE,BOM!$AE$4="-"),IF(ISERROR(SEARCH("send",B402)),"","pool:TPC"),IF(ISERROR(SEARCH("send",B402)),"","pool:TPC|pool:TPC"))</f>
        <v>pool:TPC|pool:TPC</v>
      </c>
      <c r="S402" t="str">
        <f>IFERROR(IF(VLOOKUP(B402,'Sender-Receiver'!$B$3:$BP$1500,60,FALSE)="x","true","false"),"false")</f>
        <v>true</v>
      </c>
      <c r="T402" t="str">
        <f t="shared" si="6"/>
        <v>full</v>
      </c>
      <c r="Y402" t="str">
        <f>IF(BOM!$AE$4=FALSE,IF(ISERROR(SEARCH("Embrionix",BOM!$M$4)),"none",IF(ISERROR(SEARCH("Quadsplit",BOM!$N$4)),IF(ISERROR(SEARCH("rec",B402)),"none","merge"),"none")),IF(ISERROR(SEARCH("rec",B402)),"split","merge"))</f>
        <v>split</v>
      </c>
    </row>
    <row r="403" spans="1:25" x14ac:dyDescent="0.2">
      <c r="A403" t="s">
        <v>1238</v>
      </c>
      <c r="B403" t="s">
        <v>2042</v>
      </c>
      <c r="C403" t="str">
        <f>IFERROR(VLOOKUP(B403,'Sender-Receiver'!$B$3:$BP$1500,61,FALSE),"")</f>
        <v>Type:Aud_1CH_M,#SNP</v>
      </c>
      <c r="D403" t="str">
        <f>IFERROR(VLOOKUP(B403,'Sender-Receiver'!$B$3:$BP$1500,41,FALSE),"")</f>
        <v>MEDEM Edits Out | Out Edit10-02 | EditPC-10 OUT</v>
      </c>
      <c r="E403" t="s">
        <v>1240</v>
      </c>
      <c r="F403">
        <v>20</v>
      </c>
      <c r="G403" t="s">
        <v>2043</v>
      </c>
      <c r="M403" t="str">
        <f>IF(OR(BOM!$AE$4=FALSE,BOM!$AE$4="-"),IF(ISERROR(SEARCH("send",B403)),"","pool:TPC"),IF(ISERROR(SEARCH("send",B403)),"","pool:TPC|pool:TPC"))</f>
        <v>pool:TPC|pool:TPC</v>
      </c>
      <c r="S403" t="str">
        <f>IFERROR(IF(VLOOKUP(B403,'Sender-Receiver'!$B$3:$BP$1500,60,FALSE)="x","true","false"),"false")</f>
        <v>true</v>
      </c>
      <c r="T403" t="str">
        <f t="shared" si="6"/>
        <v>full</v>
      </c>
      <c r="Y403" t="str">
        <f>IF(BOM!$AE$4=FALSE,IF(ISERROR(SEARCH("Embrionix",BOM!$M$4)),"none",IF(ISERROR(SEARCH("Quadsplit",BOM!$N$4)),IF(ISERROR(SEARCH("rec",B403)),"none","merge"),"none")),IF(ISERROR(SEARCH("rec",B403)),"split","merge"))</f>
        <v>split</v>
      </c>
    </row>
    <row r="404" spans="1:25" x14ac:dyDescent="0.2">
      <c r="A404" t="s">
        <v>1238</v>
      </c>
      <c r="B404" t="s">
        <v>2044</v>
      </c>
      <c r="C404" t="str">
        <f>IFERROR(VLOOKUP(B404,'Sender-Receiver'!$B$3:$BP$1500,61,FALSE),"")</f>
        <v>Type:Aud_1CH_M,#SNP</v>
      </c>
      <c r="D404" t="str">
        <f>IFERROR(VLOOKUP(B404,'Sender-Receiver'!$B$3:$BP$1500,41,FALSE),"")</f>
        <v>MEDEM Edits Out | Out Edit10-03 | EditPC-10 OUT</v>
      </c>
      <c r="E404" t="s">
        <v>1240</v>
      </c>
      <c r="F404">
        <v>20</v>
      </c>
      <c r="G404" t="s">
        <v>2045</v>
      </c>
      <c r="M404" t="str">
        <f>IF(OR(BOM!$AE$4=FALSE,BOM!$AE$4="-"),IF(ISERROR(SEARCH("send",B404)),"","pool:TPC"),IF(ISERROR(SEARCH("send",B404)),"","pool:TPC|pool:TPC"))</f>
        <v>pool:TPC|pool:TPC</v>
      </c>
      <c r="S404" t="str">
        <f>IFERROR(IF(VLOOKUP(B404,'Sender-Receiver'!$B$3:$BP$1500,60,FALSE)="x","true","false"),"false")</f>
        <v>true</v>
      </c>
      <c r="T404" t="str">
        <f t="shared" si="6"/>
        <v>full</v>
      </c>
      <c r="Y404" t="str">
        <f>IF(BOM!$AE$4=FALSE,IF(ISERROR(SEARCH("Embrionix",BOM!$M$4)),"none",IF(ISERROR(SEARCH("Quadsplit",BOM!$N$4)),IF(ISERROR(SEARCH("rec",B404)),"none","merge"),"none")),IF(ISERROR(SEARCH("rec",B404)),"split","merge"))</f>
        <v>split</v>
      </c>
    </row>
    <row r="405" spans="1:25" x14ac:dyDescent="0.2">
      <c r="A405" t="s">
        <v>1238</v>
      </c>
      <c r="B405" t="s">
        <v>2046</v>
      </c>
      <c r="C405" t="str">
        <f>IFERROR(VLOOKUP(B405,'Sender-Receiver'!$B$3:$BP$1500,61,FALSE),"")</f>
        <v>Type:Aud_2CH_LR,#SNP</v>
      </c>
      <c r="D405" t="str">
        <f>IFERROR(VLOOKUP(B405,'Sender-Receiver'!$B$3:$BP$1500,41,FALSE),"")</f>
        <v>MEDEM Edits Out | Out Edit10-04 | EditPC-10 OUT</v>
      </c>
      <c r="E405" t="s">
        <v>1240</v>
      </c>
      <c r="F405">
        <v>20</v>
      </c>
      <c r="G405" t="s">
        <v>2047</v>
      </c>
      <c r="M405" t="str">
        <f>IF(OR(BOM!$AE$4=FALSE,BOM!$AE$4="-"),IF(ISERROR(SEARCH("send",B405)),"","pool:TPC"),IF(ISERROR(SEARCH("send",B405)),"","pool:TPC|pool:TPC"))</f>
        <v>pool:TPC|pool:TPC</v>
      </c>
      <c r="S405" t="str">
        <f>IFERROR(IF(VLOOKUP(B405,'Sender-Receiver'!$B$3:$BP$1500,60,FALSE)="x","true","false"),"false")</f>
        <v>true</v>
      </c>
      <c r="T405" t="str">
        <f t="shared" si="6"/>
        <v>full</v>
      </c>
      <c r="Y405" t="str">
        <f>IF(BOM!$AE$4=FALSE,IF(ISERROR(SEARCH("Embrionix",BOM!$M$4)),"none",IF(ISERROR(SEARCH("Quadsplit",BOM!$N$4)),IF(ISERROR(SEARCH("rec",B405)),"none","merge"),"none")),IF(ISERROR(SEARCH("rec",B405)),"split","merge"))</f>
        <v>split</v>
      </c>
    </row>
    <row r="406" spans="1:25" x14ac:dyDescent="0.2">
      <c r="A406" t="s">
        <v>1238</v>
      </c>
      <c r="B406" t="s">
        <v>2048</v>
      </c>
      <c r="C406" t="str">
        <f>IFERROR(VLOOKUP(B406,'Sender-Receiver'!$B$3:$BP$1500,61,FALSE),"")</f>
        <v>Type:Aud_1CH_M,#SNP</v>
      </c>
      <c r="D406" t="str">
        <f>IFERROR(VLOOKUP(B406,'Sender-Receiver'!$B$3:$BP$1500,41,FALSE),"")</f>
        <v>MEDEM Edits Out | Out Edit10-05 | EditPC-10 OUT</v>
      </c>
      <c r="E406" t="s">
        <v>1240</v>
      </c>
      <c r="F406">
        <v>20</v>
      </c>
      <c r="G406" t="s">
        <v>2049</v>
      </c>
      <c r="M406" t="str">
        <f>IF(OR(BOM!$AE$4=FALSE,BOM!$AE$4="-"),IF(ISERROR(SEARCH("send",B406)),"","pool:TPC"),IF(ISERROR(SEARCH("send",B406)),"","pool:TPC|pool:TPC"))</f>
        <v>pool:TPC|pool:TPC</v>
      </c>
      <c r="S406" t="str">
        <f>IFERROR(IF(VLOOKUP(B406,'Sender-Receiver'!$B$3:$BP$1500,60,FALSE)="x","true","false"),"false")</f>
        <v>true</v>
      </c>
      <c r="T406" t="str">
        <f t="shared" si="6"/>
        <v>full</v>
      </c>
      <c r="Y406" t="str">
        <f>IF(BOM!$AE$4=FALSE,IF(ISERROR(SEARCH("Embrionix",BOM!$M$4)),"none",IF(ISERROR(SEARCH("Quadsplit",BOM!$N$4)),IF(ISERROR(SEARCH("rec",B406)),"none","merge"),"none")),IF(ISERROR(SEARCH("rec",B406)),"split","merge"))</f>
        <v>split</v>
      </c>
    </row>
    <row r="407" spans="1:25" x14ac:dyDescent="0.2">
      <c r="A407" t="s">
        <v>1238</v>
      </c>
      <c r="B407" t="s">
        <v>2050</v>
      </c>
      <c r="C407" t="str">
        <f>IFERROR(VLOOKUP(B407,'Sender-Receiver'!$B$3:$BP$1500,61,FALSE),"")</f>
        <v>Type:Aud_1CH_M,#SNP</v>
      </c>
      <c r="D407" t="str">
        <f>IFERROR(VLOOKUP(B407,'Sender-Receiver'!$B$3:$BP$1500,41,FALSE),"")</f>
        <v>MEDEM Edits Out | Out Edit10-06 | EditPC-10 OUT</v>
      </c>
      <c r="E407" t="s">
        <v>1240</v>
      </c>
      <c r="F407">
        <v>20</v>
      </c>
      <c r="G407" t="s">
        <v>2051</v>
      </c>
      <c r="M407" t="str">
        <f>IF(OR(BOM!$AE$4=FALSE,BOM!$AE$4="-"),IF(ISERROR(SEARCH("send",B407)),"","pool:TPC"),IF(ISERROR(SEARCH("send",B407)),"","pool:TPC|pool:TPC"))</f>
        <v>pool:TPC|pool:TPC</v>
      </c>
      <c r="S407" t="str">
        <f>IFERROR(IF(VLOOKUP(B407,'Sender-Receiver'!$B$3:$BP$1500,60,FALSE)="x","true","false"),"false")</f>
        <v>true</v>
      </c>
      <c r="T407" t="str">
        <f t="shared" si="6"/>
        <v>full</v>
      </c>
      <c r="Y407" t="str">
        <f>IF(BOM!$AE$4=FALSE,IF(ISERROR(SEARCH("Embrionix",BOM!$M$4)),"none",IF(ISERROR(SEARCH("Quadsplit",BOM!$N$4)),IF(ISERROR(SEARCH("rec",B407)),"none","merge"),"none")),IF(ISERROR(SEARCH("rec",B407)),"split","merge"))</f>
        <v>split</v>
      </c>
    </row>
    <row r="408" spans="1:25" x14ac:dyDescent="0.2">
      <c r="A408" t="s">
        <v>1238</v>
      </c>
      <c r="B408" t="s">
        <v>2052</v>
      </c>
      <c r="C408" t="str">
        <f>IFERROR(VLOOKUP(B408,'Sender-Receiver'!$B$3:$BP$1500,61,FALSE),"")</f>
        <v>Type:Aud_2CH_LR,#SNP</v>
      </c>
      <c r="D408" t="str">
        <f>IFERROR(VLOOKUP(B408,'Sender-Receiver'!$B$3:$BP$1500,41,FALSE),"")</f>
        <v>MEDEM Edits Out | Out Edit10-07 | EditPC-10 OUT</v>
      </c>
      <c r="E408" t="s">
        <v>1240</v>
      </c>
      <c r="F408">
        <v>20</v>
      </c>
      <c r="G408" t="s">
        <v>2053</v>
      </c>
      <c r="M408" t="str">
        <f>IF(OR(BOM!$AE$4=FALSE,BOM!$AE$4="-"),IF(ISERROR(SEARCH("send",B408)),"","pool:TPC"),IF(ISERROR(SEARCH("send",B408)),"","pool:TPC|pool:TPC"))</f>
        <v>pool:TPC|pool:TPC</v>
      </c>
      <c r="S408" t="str">
        <f>IFERROR(IF(VLOOKUP(B408,'Sender-Receiver'!$B$3:$BP$1500,60,FALSE)="x","true","false"),"false")</f>
        <v>true</v>
      </c>
      <c r="T408" t="str">
        <f t="shared" si="6"/>
        <v>full</v>
      </c>
      <c r="Y408" t="str">
        <f>IF(BOM!$AE$4=FALSE,IF(ISERROR(SEARCH("Embrionix",BOM!$M$4)),"none",IF(ISERROR(SEARCH("Quadsplit",BOM!$N$4)),IF(ISERROR(SEARCH("rec",B408)),"none","merge"),"none")),IF(ISERROR(SEARCH("rec",B408)),"split","merge"))</f>
        <v>split</v>
      </c>
    </row>
    <row r="409" spans="1:25" x14ac:dyDescent="0.2">
      <c r="A409" t="s">
        <v>1238</v>
      </c>
      <c r="B409" t="s">
        <v>2054</v>
      </c>
      <c r="C409" t="str">
        <f>IFERROR(VLOOKUP(B409,'Sender-Receiver'!$B$3:$BP$1500,61,FALSE),"")</f>
        <v>Type:Aud_6CH_5.1,#SNP</v>
      </c>
      <c r="D409" t="str">
        <f>IFERROR(VLOOKUP(B409,'Sender-Receiver'!$B$3:$BP$1500,41,FALSE),"")</f>
        <v>MEDEM Edits Out | Out Edit10-08 | EditPC-10 OUT</v>
      </c>
      <c r="E409" t="s">
        <v>1240</v>
      </c>
      <c r="F409">
        <v>20</v>
      </c>
      <c r="G409" t="s">
        <v>2055</v>
      </c>
      <c r="M409" t="str">
        <f>IF(OR(BOM!$AE$4=FALSE,BOM!$AE$4="-"),IF(ISERROR(SEARCH("send",B409)),"","pool:TPC"),IF(ISERROR(SEARCH("send",B409)),"","pool:TPC|pool:TPC"))</f>
        <v>pool:TPC|pool:TPC</v>
      </c>
      <c r="S409" t="str">
        <f>IFERROR(IF(VLOOKUP(B409,'Sender-Receiver'!$B$3:$BP$1500,60,FALSE)="x","true","false"),"false")</f>
        <v>true</v>
      </c>
      <c r="T409" t="str">
        <f t="shared" si="6"/>
        <v>full</v>
      </c>
      <c r="Y409" t="str">
        <f>IF(BOM!$AE$4=FALSE,IF(ISERROR(SEARCH("Embrionix",BOM!$M$4)),"none",IF(ISERROR(SEARCH("Quadsplit",BOM!$N$4)),IF(ISERROR(SEARCH("rec",B409)),"none","merge"),"none")),IF(ISERROR(SEARCH("rec",B409)),"split","merge"))</f>
        <v>split</v>
      </c>
    </row>
    <row r="410" spans="1:25" x14ac:dyDescent="0.2">
      <c r="A410" t="s">
        <v>1238</v>
      </c>
      <c r="B410" t="s">
        <v>2056</v>
      </c>
      <c r="C410" t="str">
        <f>IFERROR(VLOOKUP(B410,'Sender-Receiver'!$B$3:$BP$1500,61,FALSE),"")</f>
        <v>#SNP</v>
      </c>
      <c r="D410" t="str">
        <f>IFERROR(VLOOKUP(B410,'Sender-Receiver'!$B$3:$BP$1500,41,FALSE),"")</f>
        <v xml:space="preserve"> |  | EditPC-10 OUT</v>
      </c>
      <c r="E410" t="s">
        <v>1240</v>
      </c>
      <c r="F410">
        <v>20</v>
      </c>
      <c r="G410" t="s">
        <v>2057</v>
      </c>
      <c r="M410" t="str">
        <f>IF(OR(BOM!$AE$4=FALSE,BOM!$AE$4="-"),IF(ISERROR(SEARCH("send",B410)),"","pool:TPC"),IF(ISERROR(SEARCH("send",B410)),"","pool:TPC|pool:TPC"))</f>
        <v>pool:TPC|pool:TPC</v>
      </c>
      <c r="S410" t="str">
        <f>IFERROR(IF(VLOOKUP(B410,'Sender-Receiver'!$B$3:$BP$1500,60,FALSE)="x","true","false"),"false")</f>
        <v>false</v>
      </c>
      <c r="T410" t="str">
        <f t="shared" si="6"/>
        <v>off</v>
      </c>
      <c r="Y410" t="str">
        <f>IF(BOM!$AE$4=FALSE,IF(ISERROR(SEARCH("Embrionix",BOM!$M$4)),"none",IF(ISERROR(SEARCH("Quadsplit",BOM!$N$4)),IF(ISERROR(SEARCH("rec",B410)),"none","merge"),"none")),IF(ISERROR(SEARCH("rec",B410)),"split","merge"))</f>
        <v>split</v>
      </c>
    </row>
    <row r="411" spans="1:25" x14ac:dyDescent="0.2">
      <c r="A411" t="s">
        <v>1238</v>
      </c>
      <c r="B411" t="s">
        <v>2058</v>
      </c>
      <c r="C411" t="str">
        <f>IFERROR(VLOOKUP(B411,'Sender-Receiver'!$B$3:$BP$1500,61,FALSE),"")</f>
        <v>#SNP</v>
      </c>
      <c r="D411" t="str">
        <f>IFERROR(VLOOKUP(B411,'Sender-Receiver'!$B$3:$BP$1500,41,FALSE),"")</f>
        <v xml:space="preserve"> |  | EditPC-10 OUT</v>
      </c>
      <c r="E411" t="s">
        <v>1240</v>
      </c>
      <c r="F411">
        <v>20</v>
      </c>
      <c r="G411" t="s">
        <v>2059</v>
      </c>
      <c r="M411" t="str">
        <f>IF(OR(BOM!$AE$4=FALSE,BOM!$AE$4="-"),IF(ISERROR(SEARCH("send",B411)),"","pool:TPC"),IF(ISERROR(SEARCH("send",B411)),"","pool:TPC|pool:TPC"))</f>
        <v>pool:TPC|pool:TPC</v>
      </c>
      <c r="S411" t="str">
        <f>IFERROR(IF(VLOOKUP(B411,'Sender-Receiver'!$B$3:$BP$1500,60,FALSE)="x","true","false"),"false")</f>
        <v>false</v>
      </c>
      <c r="T411" t="str">
        <f t="shared" si="6"/>
        <v>off</v>
      </c>
      <c r="Y411" t="str">
        <f>IF(BOM!$AE$4=FALSE,IF(ISERROR(SEARCH("Embrionix",BOM!$M$4)),"none",IF(ISERROR(SEARCH("Quadsplit",BOM!$N$4)),IF(ISERROR(SEARCH("rec",B411)),"none","merge"),"none")),IF(ISERROR(SEARCH("rec",B411)),"split","merge"))</f>
        <v>split</v>
      </c>
    </row>
    <row r="412" spans="1:25" x14ac:dyDescent="0.2">
      <c r="A412" t="s">
        <v>1238</v>
      </c>
      <c r="B412" t="s">
        <v>2060</v>
      </c>
      <c r="C412" t="str">
        <f>IFERROR(VLOOKUP(B412,'Sender-Receiver'!$B$3:$BP$1500,61,FALSE),"")</f>
        <v>#SNP</v>
      </c>
      <c r="D412" t="str">
        <f>IFERROR(VLOOKUP(B412,'Sender-Receiver'!$B$3:$BP$1500,41,FALSE),"")</f>
        <v xml:space="preserve"> |  | EditPC-10 OUT</v>
      </c>
      <c r="E412" t="s">
        <v>1240</v>
      </c>
      <c r="F412">
        <v>20</v>
      </c>
      <c r="G412" t="s">
        <v>2061</v>
      </c>
      <c r="M412" t="str">
        <f>IF(OR(BOM!$AE$4=FALSE,BOM!$AE$4="-"),IF(ISERROR(SEARCH("send",B412)),"","pool:TPC"),IF(ISERROR(SEARCH("send",B412)),"","pool:TPC|pool:TPC"))</f>
        <v>pool:TPC|pool:TPC</v>
      </c>
      <c r="S412" t="str">
        <f>IFERROR(IF(VLOOKUP(B412,'Sender-Receiver'!$B$3:$BP$1500,60,FALSE)="x","true","false"),"false")</f>
        <v>false</v>
      </c>
      <c r="T412" t="str">
        <f t="shared" si="6"/>
        <v>off</v>
      </c>
      <c r="Y412" t="str">
        <f>IF(BOM!$AE$4=FALSE,IF(ISERROR(SEARCH("Embrionix",BOM!$M$4)),"none",IF(ISERROR(SEARCH("Quadsplit",BOM!$N$4)),IF(ISERROR(SEARCH("rec",B412)),"none","merge"),"none")),IF(ISERROR(SEARCH("rec",B412)),"split","merge"))</f>
        <v>split</v>
      </c>
    </row>
    <row r="413" spans="1:25" x14ac:dyDescent="0.2">
      <c r="A413" t="s">
        <v>1238</v>
      </c>
      <c r="B413" t="s">
        <v>2062</v>
      </c>
      <c r="C413" t="str">
        <f>IFERROR(VLOOKUP(B413,'Sender-Receiver'!$B$3:$BP$1500,61,FALSE),"")</f>
        <v>#SNP</v>
      </c>
      <c r="D413" t="str">
        <f>IFERROR(VLOOKUP(B413,'Sender-Receiver'!$B$3:$BP$1500,41,FALSE),"")</f>
        <v xml:space="preserve"> |  | EditPC-10 OUT</v>
      </c>
      <c r="E413" t="s">
        <v>1240</v>
      </c>
      <c r="F413">
        <v>20</v>
      </c>
      <c r="G413" t="s">
        <v>2063</v>
      </c>
      <c r="M413" t="str">
        <f>IF(OR(BOM!$AE$4=FALSE,BOM!$AE$4="-"),IF(ISERROR(SEARCH("send",B413)),"","pool:TPC"),IF(ISERROR(SEARCH("send",B413)),"","pool:TPC|pool:TPC"))</f>
        <v>pool:TPC|pool:TPC</v>
      </c>
      <c r="S413" t="str">
        <f>IFERROR(IF(VLOOKUP(B413,'Sender-Receiver'!$B$3:$BP$1500,60,FALSE)="x","true","false"),"false")</f>
        <v>false</v>
      </c>
      <c r="T413" t="str">
        <f t="shared" si="6"/>
        <v>off</v>
      </c>
      <c r="Y413" t="str">
        <f>IF(BOM!$AE$4=FALSE,IF(ISERROR(SEARCH("Embrionix",BOM!$M$4)),"none",IF(ISERROR(SEARCH("Quadsplit",BOM!$N$4)),IF(ISERROR(SEARCH("rec",B413)),"none","merge"),"none")),IF(ISERROR(SEARCH("rec",B413)),"split","merge"))</f>
        <v>split</v>
      </c>
    </row>
    <row r="414" spans="1:25" x14ac:dyDescent="0.2">
      <c r="A414" t="s">
        <v>1238</v>
      </c>
      <c r="B414" t="s">
        <v>2064</v>
      </c>
      <c r="C414" t="str">
        <f>IFERROR(VLOOKUP(B414,'Sender-Receiver'!$B$3:$BP$1500,61,FALSE),"")</f>
        <v>#SNP</v>
      </c>
      <c r="D414" t="str">
        <f>IFERROR(VLOOKUP(B414,'Sender-Receiver'!$B$3:$BP$1500,41,FALSE),"")</f>
        <v xml:space="preserve"> |  | EditPC-10 OUT</v>
      </c>
      <c r="E414" t="s">
        <v>1240</v>
      </c>
      <c r="F414">
        <v>20</v>
      </c>
      <c r="G414" t="s">
        <v>2065</v>
      </c>
      <c r="M414" t="str">
        <f>IF(OR(BOM!$AE$4=FALSE,BOM!$AE$4="-"),IF(ISERROR(SEARCH("send",B414)),"","pool:TPC"),IF(ISERROR(SEARCH("send",B414)),"","pool:TPC|pool:TPC"))</f>
        <v>pool:TPC|pool:TPC</v>
      </c>
      <c r="S414" t="str">
        <f>IFERROR(IF(VLOOKUP(B414,'Sender-Receiver'!$B$3:$BP$1500,60,FALSE)="x","true","false"),"false")</f>
        <v>false</v>
      </c>
      <c r="T414" t="str">
        <f t="shared" si="6"/>
        <v>off</v>
      </c>
      <c r="Y414" t="str">
        <f>IF(BOM!$AE$4=FALSE,IF(ISERROR(SEARCH("Embrionix",BOM!$M$4)),"none",IF(ISERROR(SEARCH("Quadsplit",BOM!$N$4)),IF(ISERROR(SEARCH("rec",B414)),"none","merge"),"none")),IF(ISERROR(SEARCH("rec",B414)),"split","merge"))</f>
        <v>split</v>
      </c>
    </row>
    <row r="415" spans="1:25" x14ac:dyDescent="0.2">
      <c r="A415" t="s">
        <v>1238</v>
      </c>
      <c r="B415" t="s">
        <v>2066</v>
      </c>
      <c r="C415" t="str">
        <f>IFERROR(VLOOKUP(B415,'Sender-Receiver'!$B$3:$BP$1500,61,FALSE),"")</f>
        <v>#SNP</v>
      </c>
      <c r="D415" t="str">
        <f>IFERROR(VLOOKUP(B415,'Sender-Receiver'!$B$3:$BP$1500,41,FALSE),"")</f>
        <v xml:space="preserve"> |  | EditPC-10 OUT</v>
      </c>
      <c r="E415" t="s">
        <v>1240</v>
      </c>
      <c r="F415">
        <v>20</v>
      </c>
      <c r="G415" t="s">
        <v>2067</v>
      </c>
      <c r="M415" t="str">
        <f>IF(OR(BOM!$AE$4=FALSE,BOM!$AE$4="-"),IF(ISERROR(SEARCH("send",B415)),"","pool:TPC"),IF(ISERROR(SEARCH("send",B415)),"","pool:TPC|pool:TPC"))</f>
        <v>pool:TPC|pool:TPC</v>
      </c>
      <c r="S415" t="str">
        <f>IFERROR(IF(VLOOKUP(B415,'Sender-Receiver'!$B$3:$BP$1500,60,FALSE)="x","true","false"),"false")</f>
        <v>false</v>
      </c>
      <c r="T415" t="str">
        <f t="shared" si="6"/>
        <v>off</v>
      </c>
      <c r="Y415" t="str">
        <f>IF(BOM!$AE$4=FALSE,IF(ISERROR(SEARCH("Embrionix",BOM!$M$4)),"none",IF(ISERROR(SEARCH("Quadsplit",BOM!$N$4)),IF(ISERROR(SEARCH("rec",B415)),"none","merge"),"none")),IF(ISERROR(SEARCH("rec",B415)),"split","merge"))</f>
        <v>split</v>
      </c>
    </row>
    <row r="416" spans="1:25" x14ac:dyDescent="0.2">
      <c r="A416" t="s">
        <v>1238</v>
      </c>
      <c r="B416" t="s">
        <v>2068</v>
      </c>
      <c r="C416" t="str">
        <f>IFERROR(VLOOKUP(B416,'Sender-Receiver'!$B$3:$BP$1500,61,FALSE),"")</f>
        <v>Type:Aud_8CH_RAW,#SNP</v>
      </c>
      <c r="D416" t="str">
        <f>IFERROR(VLOOKUP(B416,'Sender-Receiver'!$B$3:$BP$1500,41,FALSE),"")</f>
        <v>MEDEM Edits Out | Out Edit10-15 | EditPC-10 OUT</v>
      </c>
      <c r="E416" t="s">
        <v>1240</v>
      </c>
      <c r="F416">
        <v>20</v>
      </c>
      <c r="G416" t="s">
        <v>2069</v>
      </c>
      <c r="M416" t="str">
        <f>IF(OR(BOM!$AE$4=FALSE,BOM!$AE$4="-"),IF(ISERROR(SEARCH("send",B416)),"","pool:TPC"),IF(ISERROR(SEARCH("send",B416)),"","pool:TPC|pool:TPC"))</f>
        <v>pool:TPC|pool:TPC</v>
      </c>
      <c r="S416" t="str">
        <f>IFERROR(IF(VLOOKUP(B416,'Sender-Receiver'!$B$3:$BP$1500,60,FALSE)="x","true","false"),"false")</f>
        <v>true</v>
      </c>
      <c r="T416" t="str">
        <f t="shared" si="6"/>
        <v>full</v>
      </c>
      <c r="Y416" t="str">
        <f>IF(BOM!$AE$4=FALSE,IF(ISERROR(SEARCH("Embrionix",BOM!$M$4)),"none",IF(ISERROR(SEARCH("Quadsplit",BOM!$N$4)),IF(ISERROR(SEARCH("rec",B416)),"none","merge"),"none")),IF(ISERROR(SEARCH("rec",B416)),"split","merge"))</f>
        <v>split</v>
      </c>
    </row>
    <row r="417" spans="1:25" x14ac:dyDescent="0.2">
      <c r="A417" t="s">
        <v>1238</v>
      </c>
      <c r="B417" t="s">
        <v>2070</v>
      </c>
      <c r="C417" t="str">
        <f>IFERROR(VLOOKUP(B417,'Sender-Receiver'!$B$3:$BP$1500,61,FALSE),"")</f>
        <v>Type:Aud_8CH_RAW,#SNP</v>
      </c>
      <c r="D417" t="str">
        <f>IFERROR(VLOOKUP(B417,'Sender-Receiver'!$B$3:$BP$1500,41,FALSE),"")</f>
        <v>MEDEM Edits Out | Out Edit10-16 | EditPC-10 OUT</v>
      </c>
      <c r="E417" t="s">
        <v>1240</v>
      </c>
      <c r="F417">
        <v>20</v>
      </c>
      <c r="G417" t="s">
        <v>2071</v>
      </c>
      <c r="M417" t="str">
        <f>IF(OR(BOM!$AE$4=FALSE,BOM!$AE$4="-"),IF(ISERROR(SEARCH("send",B417)),"","pool:TPC"),IF(ISERROR(SEARCH("send",B417)),"","pool:TPC|pool:TPC"))</f>
        <v>pool:TPC|pool:TPC</v>
      </c>
      <c r="S417" t="str">
        <f>IFERROR(IF(VLOOKUP(B417,'Sender-Receiver'!$B$3:$BP$1500,60,FALSE)="x","true","false"),"false")</f>
        <v>true</v>
      </c>
      <c r="T417" t="str">
        <f t="shared" si="6"/>
        <v>full</v>
      </c>
      <c r="Y417" t="str">
        <f>IF(BOM!$AE$4=FALSE,IF(ISERROR(SEARCH("Embrionix",BOM!$M$4)),"none",IF(ISERROR(SEARCH("Quadsplit",BOM!$N$4)),IF(ISERROR(SEARCH("rec",B417)),"none","merge"),"none")),IF(ISERROR(SEARCH("rec",B417)),"split","merge"))</f>
        <v>split</v>
      </c>
    </row>
    <row r="418" spans="1:25" x14ac:dyDescent="0.2">
      <c r="A418" t="s">
        <v>1238</v>
      </c>
      <c r="B418" t="s">
        <v>2072</v>
      </c>
      <c r="C418" t="str">
        <f>IFERROR(VLOOKUP(B418,'Sender-Receiver'!$B$3:$BP$1500,61,FALSE),"")</f>
        <v>Type:Anc_Prot,#SNP</v>
      </c>
      <c r="D418" t="str">
        <f>IFERROR(VLOOKUP(B418,'Sender-Receiver'!$B$3:$BP$1500,41,FALSE),"")</f>
        <v>MEDEM Edits Out | Out Edit10-ANC1 | EditPC-10 OUT</v>
      </c>
      <c r="E418" t="s">
        <v>1240</v>
      </c>
      <c r="F418">
        <v>20</v>
      </c>
      <c r="G418" t="s">
        <v>2073</v>
      </c>
      <c r="M418" t="str">
        <f>IF(OR(BOM!$AE$4=FALSE,BOM!$AE$4="-"),IF(ISERROR(SEARCH("send",B418)),"","pool:TPC"),IF(ISERROR(SEARCH("send",B418)),"","pool:TPC|pool:TPC"))</f>
        <v>pool:TPC|pool:TPC</v>
      </c>
      <c r="S418" t="str">
        <f>IFERROR(IF(VLOOKUP(B418,'Sender-Receiver'!$B$3:$BP$1500,60,FALSE)="x","true","false"),"false")</f>
        <v>true</v>
      </c>
      <c r="T418" t="str">
        <f t="shared" si="6"/>
        <v>full</v>
      </c>
      <c r="Y418" t="str">
        <f>IF(BOM!$AE$4=FALSE,IF(ISERROR(SEARCH("Embrionix",BOM!$M$4)),"none",IF(ISERROR(SEARCH("Quadsplit",BOM!$N$4)),IF(ISERROR(SEARCH("rec",B418)),"none","merge"),"none")),IF(ISERROR(SEARCH("rec",B418)),"split","merge"))</f>
        <v>split</v>
      </c>
    </row>
    <row r="419" spans="1:25" x14ac:dyDescent="0.2">
      <c r="A419" t="s">
        <v>1238</v>
      </c>
      <c r="B419" t="s">
        <v>2074</v>
      </c>
      <c r="C419" t="str">
        <f>IFERROR(VLOOKUP(B419,'Sender-Receiver'!$B$3:$BP$1500,61,FALSE),"")</f>
        <v>#SNP</v>
      </c>
      <c r="D419" t="str">
        <f>IFERROR(VLOOKUP(B419,'Sender-Receiver'!$B$3:$BP$1500,41,FALSE),"")</f>
        <v xml:space="preserve"> |  | EditPC-10 OUT</v>
      </c>
      <c r="E419" t="s">
        <v>1240</v>
      </c>
      <c r="F419">
        <v>20</v>
      </c>
      <c r="G419" t="s">
        <v>2075</v>
      </c>
      <c r="M419" t="str">
        <f>IF(OR(BOM!$AE$4=FALSE,BOM!$AE$4="-"),IF(ISERROR(SEARCH("send",B419)),"","pool:TPC"),IF(ISERROR(SEARCH("send",B419)),"","pool:TPC|pool:TPC"))</f>
        <v>pool:TPC|pool:TPC</v>
      </c>
      <c r="S419" t="str">
        <f>IFERROR(IF(VLOOKUP(B419,'Sender-Receiver'!$B$3:$BP$1500,60,FALSE)="x","true","false"),"false")</f>
        <v>false</v>
      </c>
      <c r="T419" t="str">
        <f t="shared" si="6"/>
        <v>off</v>
      </c>
      <c r="Y419" t="str">
        <f>IF(BOM!$AE$4=FALSE,IF(ISERROR(SEARCH("Embrionix",BOM!$M$4)),"none",IF(ISERROR(SEARCH("Quadsplit",BOM!$N$4)),IF(ISERROR(SEARCH("rec",B419)),"none","merge"),"none")),IF(ISERROR(SEARCH("rec",B419)),"split","merge"))</f>
        <v>split</v>
      </c>
    </row>
    <row r="420" spans="1:25" x14ac:dyDescent="0.2">
      <c r="A420" t="s">
        <v>1238</v>
      </c>
      <c r="B420" t="s">
        <v>2076</v>
      </c>
      <c r="C420" t="str">
        <f>IFERROR(VLOOKUP(B420,'Sender-Receiver'!$B$3:$BP$1500,61,FALSE),"")</f>
        <v>#SNP</v>
      </c>
      <c r="D420" t="str">
        <f>IFERROR(VLOOKUP(B420,'Sender-Receiver'!$B$3:$BP$1500,41,FALSE),"")</f>
        <v xml:space="preserve"> |  | EditPC-10 OUT</v>
      </c>
      <c r="E420" t="s">
        <v>1240</v>
      </c>
      <c r="F420">
        <v>20</v>
      </c>
      <c r="G420" t="s">
        <v>2077</v>
      </c>
      <c r="M420" t="str">
        <f>IF(OR(BOM!$AE$4=FALSE,BOM!$AE$4="-"),IF(ISERROR(SEARCH("send",B420)),"","pool:TPC"),IF(ISERROR(SEARCH("send",B420)),"","pool:TPC|pool:TPC"))</f>
        <v>pool:TPC|pool:TPC</v>
      </c>
      <c r="S420" t="str">
        <f>IFERROR(IF(VLOOKUP(B420,'Sender-Receiver'!$B$3:$BP$1500,60,FALSE)="x","true","false"),"false")</f>
        <v>false</v>
      </c>
      <c r="T420" t="str">
        <f t="shared" si="6"/>
        <v>off</v>
      </c>
      <c r="Y420" t="str">
        <f>IF(BOM!$AE$4=FALSE,IF(ISERROR(SEARCH("Embrionix",BOM!$M$4)),"none",IF(ISERROR(SEARCH("Quadsplit",BOM!$N$4)),IF(ISERROR(SEARCH("rec",B420)),"none","merge"),"none")),IF(ISERROR(SEARCH("rec",B420)),"split","merge"))</f>
        <v>split</v>
      </c>
    </row>
    <row r="421" spans="1:25" x14ac:dyDescent="0.2">
      <c r="A421" t="s">
        <v>1238</v>
      </c>
      <c r="B421" t="s">
        <v>2078</v>
      </c>
      <c r="C421" t="str">
        <f>IFERROR(VLOOKUP(B421,'Sender-Receiver'!$B$3:$BP$1500,61,FALSE),"")</f>
        <v>#SNP</v>
      </c>
      <c r="D421" t="str">
        <f>IFERROR(VLOOKUP(B421,'Sender-Receiver'!$B$3:$BP$1500,41,FALSE),"")</f>
        <v xml:space="preserve"> |  | EditPC-10 OUT</v>
      </c>
      <c r="E421" t="s">
        <v>1240</v>
      </c>
      <c r="F421">
        <v>20</v>
      </c>
      <c r="G421" t="s">
        <v>2079</v>
      </c>
      <c r="M421" t="str">
        <f>IF(OR(BOM!$AE$4=FALSE,BOM!$AE$4="-"),IF(ISERROR(SEARCH("send",B421)),"","pool:TPC"),IF(ISERROR(SEARCH("send",B421)),"","pool:TPC|pool:TPC"))</f>
        <v>pool:TPC|pool:TPC</v>
      </c>
      <c r="S421" t="str">
        <f>IFERROR(IF(VLOOKUP(B421,'Sender-Receiver'!$B$3:$BP$1500,60,FALSE)="x","true","false"),"false")</f>
        <v>false</v>
      </c>
      <c r="T421" t="str">
        <f t="shared" si="6"/>
        <v>off</v>
      </c>
      <c r="Y421" t="str">
        <f>IF(BOM!$AE$4=FALSE,IF(ISERROR(SEARCH("Embrionix",BOM!$M$4)),"none",IF(ISERROR(SEARCH("Quadsplit",BOM!$N$4)),IF(ISERROR(SEARCH("rec",B421)),"none","merge"),"none")),IF(ISERROR(SEARCH("rec",B421)),"split","merge"))</f>
        <v>split</v>
      </c>
    </row>
    <row r="422" spans="1:25" x14ac:dyDescent="0.2">
      <c r="A422" t="s">
        <v>1238</v>
      </c>
      <c r="B422" t="s">
        <v>2080</v>
      </c>
      <c r="C422" t="str">
        <f>IFERROR(VLOOKUP(B422,'Sender-Receiver'!$B$3:$BP$1500,61,FALSE),"")</f>
        <v>Type:Vid_1080i50,Type:Vid_1080p25,Type:Vid_1080p50,Type:Vid_1080p60,#SNP</v>
      </c>
      <c r="D422" t="str">
        <f>IFERROR(VLOOKUP(B422,'Sender-Receiver'!$B$3:$BP$1500,41,FALSE),"")</f>
        <v>MEDEM Edit07 | In Edit07 | EditPC-07 IN</v>
      </c>
      <c r="E422" t="s">
        <v>1240</v>
      </c>
      <c r="F422">
        <v>21</v>
      </c>
      <c r="G422" t="s">
        <v>2081</v>
      </c>
      <c r="M422" t="str">
        <f>IF(OR(BOM!$AE$4=FALSE,BOM!$AE$4="-"),IF(ISERROR(SEARCH("send",B422)),"","pool:TPC"),IF(ISERROR(SEARCH("send",B422)),"","pool:TPC|pool:TPC"))</f>
        <v/>
      </c>
      <c r="S422" t="str">
        <f>IFERROR(IF(VLOOKUP(B422,'Sender-Receiver'!$B$3:$BP$1500,60,FALSE)="x","true","false"),"false")</f>
        <v>true</v>
      </c>
      <c r="T422" t="str">
        <f t="shared" si="6"/>
        <v>full</v>
      </c>
      <c r="Y422" t="str">
        <f>IF(BOM!$AE$4=FALSE,IF(ISERROR(SEARCH("Embrionix",BOM!$M$4)),"none",IF(ISERROR(SEARCH("Quadsplit",BOM!$N$4)),IF(ISERROR(SEARCH("rec",B422)),"none","merge"),"none")),IF(ISERROR(SEARCH("rec",B422)),"split","merge"))</f>
        <v>merge</v>
      </c>
    </row>
    <row r="423" spans="1:25" x14ac:dyDescent="0.2">
      <c r="A423" t="s">
        <v>1238</v>
      </c>
      <c r="B423" t="s">
        <v>2082</v>
      </c>
      <c r="C423" t="str">
        <f>IFERROR(VLOOKUP(B423,'Sender-Receiver'!$B$3:$BP$1500,61,FALSE),"")</f>
        <v>Type:Aud_1CH_M,Type:Aud_2CH_LR,Type:Aud_3CH_LRC,Type:Aud_6CH_5.1,#SNP</v>
      </c>
      <c r="D423" t="str">
        <f>IFERROR(VLOOKUP(B423,'Sender-Receiver'!$B$3:$BP$1500,41,FALSE),"")</f>
        <v>MEDEM Edit07 | In Edit07-01 | EditPC-07 IN</v>
      </c>
      <c r="E423" t="s">
        <v>1240</v>
      </c>
      <c r="F423">
        <v>21</v>
      </c>
      <c r="G423" t="s">
        <v>2083</v>
      </c>
      <c r="M423" t="str">
        <f>IF(OR(BOM!$AE$4=FALSE,BOM!$AE$4="-"),IF(ISERROR(SEARCH("send",B423)),"","pool:TPC"),IF(ISERROR(SEARCH("send",B423)),"","pool:TPC|pool:TPC"))</f>
        <v/>
      </c>
      <c r="S423" t="str">
        <f>IFERROR(IF(VLOOKUP(B423,'Sender-Receiver'!$B$3:$BP$1500,60,FALSE)="x","true","false"),"false")</f>
        <v>true</v>
      </c>
      <c r="T423" t="str">
        <f t="shared" si="6"/>
        <v>full</v>
      </c>
      <c r="Y423" t="str">
        <f>IF(BOM!$AE$4=FALSE,IF(ISERROR(SEARCH("Embrionix",BOM!$M$4)),"none",IF(ISERROR(SEARCH("Quadsplit",BOM!$N$4)),IF(ISERROR(SEARCH("rec",B423)),"none","merge"),"none")),IF(ISERROR(SEARCH("rec",B423)),"split","merge"))</f>
        <v>merge</v>
      </c>
    </row>
    <row r="424" spans="1:25" x14ac:dyDescent="0.2">
      <c r="A424" t="s">
        <v>1238</v>
      </c>
      <c r="B424" t="s">
        <v>2084</v>
      </c>
      <c r="C424" t="str">
        <f>IFERROR(VLOOKUP(B424,'Sender-Receiver'!$B$3:$BP$1500,61,FALSE),"")</f>
        <v>Type:Aud_1CH_M,Type:Aud_2CH_LR,Type:Aud_3CH_LRC,Type:Aud_6CH_5.1,#SNP</v>
      </c>
      <c r="D424" t="str">
        <f>IFERROR(VLOOKUP(B424,'Sender-Receiver'!$B$3:$BP$1500,41,FALSE),"")</f>
        <v>MEDEM Edit07 | In Edit07-02 | EditPC-07 IN</v>
      </c>
      <c r="E424" t="s">
        <v>1240</v>
      </c>
      <c r="F424">
        <v>21</v>
      </c>
      <c r="G424" t="s">
        <v>2085</v>
      </c>
      <c r="M424" t="str">
        <f>IF(OR(BOM!$AE$4=FALSE,BOM!$AE$4="-"),IF(ISERROR(SEARCH("send",B424)),"","pool:TPC"),IF(ISERROR(SEARCH("send",B424)),"","pool:TPC|pool:TPC"))</f>
        <v/>
      </c>
      <c r="S424" t="str">
        <f>IFERROR(IF(VLOOKUP(B424,'Sender-Receiver'!$B$3:$BP$1500,60,FALSE)="x","true","false"),"false")</f>
        <v>true</v>
      </c>
      <c r="T424" t="str">
        <f t="shared" si="6"/>
        <v>full</v>
      </c>
      <c r="Y424" t="str">
        <f>IF(BOM!$AE$4=FALSE,IF(ISERROR(SEARCH("Embrionix",BOM!$M$4)),"none",IF(ISERROR(SEARCH("Quadsplit",BOM!$N$4)),IF(ISERROR(SEARCH("rec",B424)),"none","merge"),"none")),IF(ISERROR(SEARCH("rec",B424)),"split","merge"))</f>
        <v>merge</v>
      </c>
    </row>
    <row r="425" spans="1:25" x14ac:dyDescent="0.2">
      <c r="A425" t="s">
        <v>1238</v>
      </c>
      <c r="B425" t="s">
        <v>2086</v>
      </c>
      <c r="C425" t="str">
        <f>IFERROR(VLOOKUP(B425,'Sender-Receiver'!$B$3:$BP$1500,61,FALSE),"")</f>
        <v>Type:Aud_1CH_M,Type:Aud_2CH_LR,Type:Aud_3CH_LRC,Type:Aud_6CH_5.1,#SNP</v>
      </c>
      <c r="D425" t="str">
        <f>IFERROR(VLOOKUP(B425,'Sender-Receiver'!$B$3:$BP$1500,41,FALSE),"")</f>
        <v>MEDEM Edit07 | In Edit07-03 | EditPC-07 IN</v>
      </c>
      <c r="E425" t="s">
        <v>1240</v>
      </c>
      <c r="F425">
        <v>21</v>
      </c>
      <c r="G425" t="s">
        <v>2087</v>
      </c>
      <c r="M425" t="str">
        <f>IF(OR(BOM!$AE$4=FALSE,BOM!$AE$4="-"),IF(ISERROR(SEARCH("send",B425)),"","pool:TPC"),IF(ISERROR(SEARCH("send",B425)),"","pool:TPC|pool:TPC"))</f>
        <v/>
      </c>
      <c r="S425" t="str">
        <f>IFERROR(IF(VLOOKUP(B425,'Sender-Receiver'!$B$3:$BP$1500,60,FALSE)="x","true","false"),"false")</f>
        <v>true</v>
      </c>
      <c r="T425" t="str">
        <f t="shared" si="6"/>
        <v>full</v>
      </c>
      <c r="Y425" t="str">
        <f>IF(BOM!$AE$4=FALSE,IF(ISERROR(SEARCH("Embrionix",BOM!$M$4)),"none",IF(ISERROR(SEARCH("Quadsplit",BOM!$N$4)),IF(ISERROR(SEARCH("rec",B425)),"none","merge"),"none")),IF(ISERROR(SEARCH("rec",B425)),"split","merge"))</f>
        <v>merge</v>
      </c>
    </row>
    <row r="426" spans="1:25" x14ac:dyDescent="0.2">
      <c r="A426" t="s">
        <v>1238</v>
      </c>
      <c r="B426" t="s">
        <v>2088</v>
      </c>
      <c r="C426" t="str">
        <f>IFERROR(VLOOKUP(B426,'Sender-Receiver'!$B$3:$BP$1500,61,FALSE),"")</f>
        <v>Type:Aud_1CH_M,Type:Aud_2CH_LR,Type:Aud_3CH_LRC,Type:Aud_6CH_5.1,#SNP</v>
      </c>
      <c r="D426" t="str">
        <f>IFERROR(VLOOKUP(B426,'Sender-Receiver'!$B$3:$BP$1500,41,FALSE),"")</f>
        <v>MEDEM Edit07 | In Edit07-04 | EditPC-07 IN</v>
      </c>
      <c r="E426" t="s">
        <v>1240</v>
      </c>
      <c r="F426">
        <v>21</v>
      </c>
      <c r="G426" t="s">
        <v>2089</v>
      </c>
      <c r="M426" t="str">
        <f>IF(OR(BOM!$AE$4=FALSE,BOM!$AE$4="-"),IF(ISERROR(SEARCH("send",B426)),"","pool:TPC"),IF(ISERROR(SEARCH("send",B426)),"","pool:TPC|pool:TPC"))</f>
        <v/>
      </c>
      <c r="S426" t="str">
        <f>IFERROR(IF(VLOOKUP(B426,'Sender-Receiver'!$B$3:$BP$1500,60,FALSE)="x","true","false"),"false")</f>
        <v>true</v>
      </c>
      <c r="T426" t="str">
        <f t="shared" si="6"/>
        <v>full</v>
      </c>
      <c r="Y426" t="str">
        <f>IF(BOM!$AE$4=FALSE,IF(ISERROR(SEARCH("Embrionix",BOM!$M$4)),"none",IF(ISERROR(SEARCH("Quadsplit",BOM!$N$4)),IF(ISERROR(SEARCH("rec",B426)),"none","merge"),"none")),IF(ISERROR(SEARCH("rec",B426)),"split","merge"))</f>
        <v>merge</v>
      </c>
    </row>
    <row r="427" spans="1:25" x14ac:dyDescent="0.2">
      <c r="A427" t="s">
        <v>1238</v>
      </c>
      <c r="B427" t="s">
        <v>2090</v>
      </c>
      <c r="C427" t="str">
        <f>IFERROR(VLOOKUP(B427,'Sender-Receiver'!$B$3:$BP$1500,61,FALSE),"")</f>
        <v>Type:Aud_1CH_M,Type:Aud_2CH_LR,Type:Aud_3CH_LRC,Type:Aud_6CH_5.1,#SNP</v>
      </c>
      <c r="D427" t="str">
        <f>IFERROR(VLOOKUP(B427,'Sender-Receiver'!$B$3:$BP$1500,41,FALSE),"")</f>
        <v>MEDEM Edit07 | In Edit07-05 | EditPC-07 IN</v>
      </c>
      <c r="E427" t="s">
        <v>1240</v>
      </c>
      <c r="F427">
        <v>21</v>
      </c>
      <c r="G427" t="s">
        <v>2091</v>
      </c>
      <c r="M427" t="str">
        <f>IF(OR(BOM!$AE$4=FALSE,BOM!$AE$4="-"),IF(ISERROR(SEARCH("send",B427)),"","pool:TPC"),IF(ISERROR(SEARCH("send",B427)),"","pool:TPC|pool:TPC"))</f>
        <v/>
      </c>
      <c r="S427" t="str">
        <f>IFERROR(IF(VLOOKUP(B427,'Sender-Receiver'!$B$3:$BP$1500,60,FALSE)="x","true","false"),"false")</f>
        <v>true</v>
      </c>
      <c r="T427" t="str">
        <f t="shared" si="6"/>
        <v>full</v>
      </c>
      <c r="Y427" t="str">
        <f>IF(BOM!$AE$4=FALSE,IF(ISERROR(SEARCH("Embrionix",BOM!$M$4)),"none",IF(ISERROR(SEARCH("Quadsplit",BOM!$N$4)),IF(ISERROR(SEARCH("rec",B427)),"none","merge"),"none")),IF(ISERROR(SEARCH("rec",B427)),"split","merge"))</f>
        <v>merge</v>
      </c>
    </row>
    <row r="428" spans="1:25" x14ac:dyDescent="0.2">
      <c r="A428" t="s">
        <v>1238</v>
      </c>
      <c r="B428" t="s">
        <v>2092</v>
      </c>
      <c r="C428" t="str">
        <f>IFERROR(VLOOKUP(B428,'Sender-Receiver'!$B$3:$BP$1500,61,FALSE),"")</f>
        <v>Type:Aud_1CH_M,Type:Aud_2CH_LR,Type:Aud_3CH_LRC,Type:Aud_6CH_5.1,#SNP</v>
      </c>
      <c r="D428" t="str">
        <f>IFERROR(VLOOKUP(B428,'Sender-Receiver'!$B$3:$BP$1500,41,FALSE),"")</f>
        <v>MEDEM Edit07 | In Edit07-06 | EditPC-07 IN</v>
      </c>
      <c r="E428" t="s">
        <v>1240</v>
      </c>
      <c r="F428">
        <v>21</v>
      </c>
      <c r="G428" t="s">
        <v>2093</v>
      </c>
      <c r="M428" t="str">
        <f>IF(OR(BOM!$AE$4=FALSE,BOM!$AE$4="-"),IF(ISERROR(SEARCH("send",B428)),"","pool:TPC"),IF(ISERROR(SEARCH("send",B428)),"","pool:TPC|pool:TPC"))</f>
        <v/>
      </c>
      <c r="S428" t="str">
        <f>IFERROR(IF(VLOOKUP(B428,'Sender-Receiver'!$B$3:$BP$1500,60,FALSE)="x","true","false"),"false")</f>
        <v>true</v>
      </c>
      <c r="T428" t="str">
        <f t="shared" si="6"/>
        <v>full</v>
      </c>
      <c r="Y428" t="str">
        <f>IF(BOM!$AE$4=FALSE,IF(ISERROR(SEARCH("Embrionix",BOM!$M$4)),"none",IF(ISERROR(SEARCH("Quadsplit",BOM!$N$4)),IF(ISERROR(SEARCH("rec",B428)),"none","merge"),"none")),IF(ISERROR(SEARCH("rec",B428)),"split","merge"))</f>
        <v>merge</v>
      </c>
    </row>
    <row r="429" spans="1:25" x14ac:dyDescent="0.2">
      <c r="A429" t="s">
        <v>1238</v>
      </c>
      <c r="B429" t="s">
        <v>2094</v>
      </c>
      <c r="C429" t="str">
        <f>IFERROR(VLOOKUP(B429,'Sender-Receiver'!$B$3:$BP$1500,61,FALSE),"")</f>
        <v>Type:Aud_1CH_M,Type:Aud_2CH_LR,Type:Aud_3CH_LRC,Type:Aud_6CH_5.1,#SNP</v>
      </c>
      <c r="D429" t="str">
        <f>IFERROR(VLOOKUP(B429,'Sender-Receiver'!$B$3:$BP$1500,41,FALSE),"")</f>
        <v>MEDEM Edit07 | In Edit07-07 | EditPC-07 IN</v>
      </c>
      <c r="E429" t="s">
        <v>1240</v>
      </c>
      <c r="F429">
        <v>21</v>
      </c>
      <c r="G429" t="s">
        <v>2095</v>
      </c>
      <c r="M429" t="str">
        <f>IF(OR(BOM!$AE$4=FALSE,BOM!$AE$4="-"),IF(ISERROR(SEARCH("send",B429)),"","pool:TPC"),IF(ISERROR(SEARCH("send",B429)),"","pool:TPC|pool:TPC"))</f>
        <v/>
      </c>
      <c r="S429" t="str">
        <f>IFERROR(IF(VLOOKUP(B429,'Sender-Receiver'!$B$3:$BP$1500,60,FALSE)="x","true","false"),"false")</f>
        <v>true</v>
      </c>
      <c r="T429" t="str">
        <f t="shared" si="6"/>
        <v>full</v>
      </c>
      <c r="Y429" t="str">
        <f>IF(BOM!$AE$4=FALSE,IF(ISERROR(SEARCH("Embrionix",BOM!$M$4)),"none",IF(ISERROR(SEARCH("Quadsplit",BOM!$N$4)),IF(ISERROR(SEARCH("rec",B429)),"none","merge"),"none")),IF(ISERROR(SEARCH("rec",B429)),"split","merge"))</f>
        <v>merge</v>
      </c>
    </row>
    <row r="430" spans="1:25" x14ac:dyDescent="0.2">
      <c r="A430" t="s">
        <v>1238</v>
      </c>
      <c r="B430" t="s">
        <v>2096</v>
      </c>
      <c r="C430" t="str">
        <f>IFERROR(VLOOKUP(B430,'Sender-Receiver'!$B$3:$BP$1500,61,FALSE),"")</f>
        <v>Type:Aud_1CH_M,Type:Aud_2CH_LR,Type:Aud_3CH_LRC,Type:Aud_6CH_5.1,#SNP</v>
      </c>
      <c r="D430" t="str">
        <f>IFERROR(VLOOKUP(B430,'Sender-Receiver'!$B$3:$BP$1500,41,FALSE),"")</f>
        <v>MEDEM Edit07 | In Edit07-08 | EditPC-07 IN</v>
      </c>
      <c r="E430" t="s">
        <v>1240</v>
      </c>
      <c r="F430">
        <v>21</v>
      </c>
      <c r="G430" t="s">
        <v>2097</v>
      </c>
      <c r="M430" t="str">
        <f>IF(OR(BOM!$AE$4=FALSE,BOM!$AE$4="-"),IF(ISERROR(SEARCH("send",B430)),"","pool:TPC"),IF(ISERROR(SEARCH("send",B430)),"","pool:TPC|pool:TPC"))</f>
        <v/>
      </c>
      <c r="S430" t="str">
        <f>IFERROR(IF(VLOOKUP(B430,'Sender-Receiver'!$B$3:$BP$1500,60,FALSE)="x","true","false"),"false")</f>
        <v>true</v>
      </c>
      <c r="T430" t="str">
        <f t="shared" si="6"/>
        <v>full</v>
      </c>
      <c r="Y430" t="str">
        <f>IF(BOM!$AE$4=FALSE,IF(ISERROR(SEARCH("Embrionix",BOM!$M$4)),"none",IF(ISERROR(SEARCH("Quadsplit",BOM!$N$4)),IF(ISERROR(SEARCH("rec",B430)),"none","merge"),"none")),IF(ISERROR(SEARCH("rec",B430)),"split","merge"))</f>
        <v>merge</v>
      </c>
    </row>
    <row r="431" spans="1:25" x14ac:dyDescent="0.2">
      <c r="A431" t="s">
        <v>1238</v>
      </c>
      <c r="B431" t="s">
        <v>2098</v>
      </c>
      <c r="C431" t="str">
        <f>IFERROR(VLOOKUP(B431,'Sender-Receiver'!$B$3:$BP$1500,61,FALSE),"")</f>
        <v>Type:Aud_1CH_M,Type:Aud_2CH_LR,Type:Aud_3CH_LRC,Type:Aud_6CH_5.1,#SNP</v>
      </c>
      <c r="D431" t="str">
        <f>IFERROR(VLOOKUP(B431,'Sender-Receiver'!$B$3:$BP$1500,41,FALSE),"")</f>
        <v>MEDEM Edit07 | In Edit07-09 | EditPC-07 IN</v>
      </c>
      <c r="E431" t="s">
        <v>1240</v>
      </c>
      <c r="F431">
        <v>21</v>
      </c>
      <c r="G431" t="s">
        <v>2099</v>
      </c>
      <c r="M431" t="str">
        <f>IF(OR(BOM!$AE$4=FALSE,BOM!$AE$4="-"),IF(ISERROR(SEARCH("send",B431)),"","pool:TPC"),IF(ISERROR(SEARCH("send",B431)),"","pool:TPC|pool:TPC"))</f>
        <v/>
      </c>
      <c r="S431" t="str">
        <f>IFERROR(IF(VLOOKUP(B431,'Sender-Receiver'!$B$3:$BP$1500,60,FALSE)="x","true","false"),"false")</f>
        <v>true</v>
      </c>
      <c r="T431" t="str">
        <f t="shared" si="6"/>
        <v>full</v>
      </c>
      <c r="Y431" t="str">
        <f>IF(BOM!$AE$4=FALSE,IF(ISERROR(SEARCH("Embrionix",BOM!$M$4)),"none",IF(ISERROR(SEARCH("Quadsplit",BOM!$N$4)),IF(ISERROR(SEARCH("rec",B431)),"none","merge"),"none")),IF(ISERROR(SEARCH("rec",B431)),"split","merge"))</f>
        <v>merge</v>
      </c>
    </row>
    <row r="432" spans="1:25" x14ac:dyDescent="0.2">
      <c r="A432" t="s">
        <v>1238</v>
      </c>
      <c r="B432" t="s">
        <v>2100</v>
      </c>
      <c r="C432" t="str">
        <f>IFERROR(VLOOKUP(B432,'Sender-Receiver'!$B$3:$BP$1500,61,FALSE),"")</f>
        <v>#SNP</v>
      </c>
      <c r="D432" t="str">
        <f>IFERROR(VLOOKUP(B432,'Sender-Receiver'!$B$3:$BP$1500,41,FALSE),"")</f>
        <v xml:space="preserve"> |  | EditPC-07 IN</v>
      </c>
      <c r="E432" t="s">
        <v>1240</v>
      </c>
      <c r="F432">
        <v>21</v>
      </c>
      <c r="G432" t="s">
        <v>2101</v>
      </c>
      <c r="M432" t="str">
        <f>IF(OR(BOM!$AE$4=FALSE,BOM!$AE$4="-"),IF(ISERROR(SEARCH("send",B432)),"","pool:TPC"),IF(ISERROR(SEARCH("send",B432)),"","pool:TPC|pool:TPC"))</f>
        <v/>
      </c>
      <c r="S432" t="str">
        <f>IFERROR(IF(VLOOKUP(B432,'Sender-Receiver'!$B$3:$BP$1500,60,FALSE)="x","true","false"),"false")</f>
        <v>false</v>
      </c>
      <c r="T432" t="str">
        <f t="shared" si="6"/>
        <v>off</v>
      </c>
      <c r="Y432" t="str">
        <f>IF(BOM!$AE$4=FALSE,IF(ISERROR(SEARCH("Embrionix",BOM!$M$4)),"none",IF(ISERROR(SEARCH("Quadsplit",BOM!$N$4)),IF(ISERROR(SEARCH("rec",B432)),"none","merge"),"none")),IF(ISERROR(SEARCH("rec",B432)),"split","merge"))</f>
        <v>merge</v>
      </c>
    </row>
    <row r="433" spans="1:25" x14ac:dyDescent="0.2">
      <c r="A433" t="s">
        <v>1238</v>
      </c>
      <c r="B433" t="s">
        <v>2102</v>
      </c>
      <c r="C433" t="str">
        <f>IFERROR(VLOOKUP(B433,'Sender-Receiver'!$B$3:$BP$1500,61,FALSE),"")</f>
        <v>#SNP</v>
      </c>
      <c r="D433" t="str">
        <f>IFERROR(VLOOKUP(B433,'Sender-Receiver'!$B$3:$BP$1500,41,FALSE),"")</f>
        <v xml:space="preserve"> |  | EditPC-07 IN</v>
      </c>
      <c r="E433" t="s">
        <v>1240</v>
      </c>
      <c r="F433">
        <v>21</v>
      </c>
      <c r="G433" t="s">
        <v>2103</v>
      </c>
      <c r="M433" t="str">
        <f>IF(OR(BOM!$AE$4=FALSE,BOM!$AE$4="-"),IF(ISERROR(SEARCH("send",B433)),"","pool:TPC"),IF(ISERROR(SEARCH("send",B433)),"","pool:TPC|pool:TPC"))</f>
        <v/>
      </c>
      <c r="S433" t="str">
        <f>IFERROR(IF(VLOOKUP(B433,'Sender-Receiver'!$B$3:$BP$1500,60,FALSE)="x","true","false"),"false")</f>
        <v>false</v>
      </c>
      <c r="T433" t="str">
        <f t="shared" si="6"/>
        <v>off</v>
      </c>
      <c r="Y433" t="str">
        <f>IF(BOM!$AE$4=FALSE,IF(ISERROR(SEARCH("Embrionix",BOM!$M$4)),"none",IF(ISERROR(SEARCH("Quadsplit",BOM!$N$4)),IF(ISERROR(SEARCH("rec",B433)),"none","merge"),"none")),IF(ISERROR(SEARCH("rec",B433)),"split","merge"))</f>
        <v>merge</v>
      </c>
    </row>
    <row r="434" spans="1:25" x14ac:dyDescent="0.2">
      <c r="A434" t="s">
        <v>1238</v>
      </c>
      <c r="B434" t="s">
        <v>2104</v>
      </c>
      <c r="C434" t="str">
        <f>IFERROR(VLOOKUP(B434,'Sender-Receiver'!$B$3:$BP$1500,61,FALSE),"")</f>
        <v>#SNP</v>
      </c>
      <c r="D434" t="str">
        <f>IFERROR(VLOOKUP(B434,'Sender-Receiver'!$B$3:$BP$1500,41,FALSE),"")</f>
        <v xml:space="preserve"> |  | EditPC-07 IN</v>
      </c>
      <c r="E434" t="s">
        <v>1240</v>
      </c>
      <c r="F434">
        <v>21</v>
      </c>
      <c r="G434" t="s">
        <v>2105</v>
      </c>
      <c r="M434" t="str">
        <f>IF(OR(BOM!$AE$4=FALSE,BOM!$AE$4="-"),IF(ISERROR(SEARCH("send",B434)),"","pool:TPC"),IF(ISERROR(SEARCH("send",B434)),"","pool:TPC|pool:TPC"))</f>
        <v/>
      </c>
      <c r="S434" t="str">
        <f>IFERROR(IF(VLOOKUP(B434,'Sender-Receiver'!$B$3:$BP$1500,60,FALSE)="x","true","false"),"false")</f>
        <v>false</v>
      </c>
      <c r="T434" t="str">
        <f t="shared" si="6"/>
        <v>off</v>
      </c>
      <c r="Y434" t="str">
        <f>IF(BOM!$AE$4=FALSE,IF(ISERROR(SEARCH("Embrionix",BOM!$M$4)),"none",IF(ISERROR(SEARCH("Quadsplit",BOM!$N$4)),IF(ISERROR(SEARCH("rec",B434)),"none","merge"),"none")),IF(ISERROR(SEARCH("rec",B434)),"split","merge"))</f>
        <v>merge</v>
      </c>
    </row>
    <row r="435" spans="1:25" x14ac:dyDescent="0.2">
      <c r="A435" t="s">
        <v>1238</v>
      </c>
      <c r="B435" t="s">
        <v>2106</v>
      </c>
      <c r="C435" t="str">
        <f>IFERROR(VLOOKUP(B435,'Sender-Receiver'!$B$3:$BP$1500,61,FALSE),"")</f>
        <v>#SNP</v>
      </c>
      <c r="D435" t="str">
        <f>IFERROR(VLOOKUP(B435,'Sender-Receiver'!$B$3:$BP$1500,41,FALSE),"")</f>
        <v xml:space="preserve"> |  | EditPC-07 IN</v>
      </c>
      <c r="E435" t="s">
        <v>1240</v>
      </c>
      <c r="F435">
        <v>21</v>
      </c>
      <c r="G435" t="s">
        <v>2107</v>
      </c>
      <c r="M435" t="str">
        <f>IF(OR(BOM!$AE$4=FALSE,BOM!$AE$4="-"),IF(ISERROR(SEARCH("send",B435)),"","pool:TPC"),IF(ISERROR(SEARCH("send",B435)),"","pool:TPC|pool:TPC"))</f>
        <v/>
      </c>
      <c r="S435" t="str">
        <f>IFERROR(IF(VLOOKUP(B435,'Sender-Receiver'!$B$3:$BP$1500,60,FALSE)="x","true","false"),"false")</f>
        <v>false</v>
      </c>
      <c r="T435" t="str">
        <f t="shared" si="6"/>
        <v>off</v>
      </c>
      <c r="Y435" t="str">
        <f>IF(BOM!$AE$4=FALSE,IF(ISERROR(SEARCH("Embrionix",BOM!$M$4)),"none",IF(ISERROR(SEARCH("Quadsplit",BOM!$N$4)),IF(ISERROR(SEARCH("rec",B435)),"none","merge"),"none")),IF(ISERROR(SEARCH("rec",B435)),"split","merge"))</f>
        <v>merge</v>
      </c>
    </row>
    <row r="436" spans="1:25" x14ac:dyDescent="0.2">
      <c r="A436" t="s">
        <v>1238</v>
      </c>
      <c r="B436" t="s">
        <v>2108</v>
      </c>
      <c r="C436" t="str">
        <f>IFERROR(VLOOKUP(B436,'Sender-Receiver'!$B$3:$BP$1500,61,FALSE),"")</f>
        <v>#SNP</v>
      </c>
      <c r="D436" t="str">
        <f>IFERROR(VLOOKUP(B436,'Sender-Receiver'!$B$3:$BP$1500,41,FALSE),"")</f>
        <v xml:space="preserve"> |  | EditPC-07 IN</v>
      </c>
      <c r="E436" t="s">
        <v>1240</v>
      </c>
      <c r="F436">
        <v>21</v>
      </c>
      <c r="G436" t="s">
        <v>2109</v>
      </c>
      <c r="M436" t="str">
        <f>IF(OR(BOM!$AE$4=FALSE,BOM!$AE$4="-"),IF(ISERROR(SEARCH("send",B436)),"","pool:TPC"),IF(ISERROR(SEARCH("send",B436)),"","pool:TPC|pool:TPC"))</f>
        <v/>
      </c>
      <c r="S436" t="str">
        <f>IFERROR(IF(VLOOKUP(B436,'Sender-Receiver'!$B$3:$BP$1500,60,FALSE)="x","true","false"),"false")</f>
        <v>false</v>
      </c>
      <c r="T436" t="str">
        <f t="shared" si="6"/>
        <v>off</v>
      </c>
      <c r="Y436" t="str">
        <f>IF(BOM!$AE$4=FALSE,IF(ISERROR(SEARCH("Embrionix",BOM!$M$4)),"none",IF(ISERROR(SEARCH("Quadsplit",BOM!$N$4)),IF(ISERROR(SEARCH("rec",B436)),"none","merge"),"none")),IF(ISERROR(SEARCH("rec",B436)),"split","merge"))</f>
        <v>merge</v>
      </c>
    </row>
    <row r="437" spans="1:25" x14ac:dyDescent="0.2">
      <c r="A437" t="s">
        <v>1238</v>
      </c>
      <c r="B437" t="s">
        <v>2110</v>
      </c>
      <c r="C437" t="str">
        <f>IFERROR(VLOOKUP(B437,'Sender-Receiver'!$B$3:$BP$1500,61,FALSE),"")</f>
        <v>#SNP</v>
      </c>
      <c r="D437" t="str">
        <f>IFERROR(VLOOKUP(B437,'Sender-Receiver'!$B$3:$BP$1500,41,FALSE),"")</f>
        <v xml:space="preserve"> |  | EditPC-07 IN</v>
      </c>
      <c r="E437" t="s">
        <v>1240</v>
      </c>
      <c r="F437">
        <v>21</v>
      </c>
      <c r="G437" t="s">
        <v>2111</v>
      </c>
      <c r="M437" t="str">
        <f>IF(OR(BOM!$AE$4=FALSE,BOM!$AE$4="-"),IF(ISERROR(SEARCH("send",B437)),"","pool:TPC"),IF(ISERROR(SEARCH("send",B437)),"","pool:TPC|pool:TPC"))</f>
        <v/>
      </c>
      <c r="S437" t="str">
        <f>IFERROR(IF(VLOOKUP(B437,'Sender-Receiver'!$B$3:$BP$1500,60,FALSE)="x","true","false"),"false")</f>
        <v>false</v>
      </c>
      <c r="T437" t="str">
        <f t="shared" si="6"/>
        <v>off</v>
      </c>
      <c r="Y437" t="str">
        <f>IF(BOM!$AE$4=FALSE,IF(ISERROR(SEARCH("Embrionix",BOM!$M$4)),"none",IF(ISERROR(SEARCH("Quadsplit",BOM!$N$4)),IF(ISERROR(SEARCH("rec",B437)),"none","merge"),"none")),IF(ISERROR(SEARCH("rec",B437)),"split","merge"))</f>
        <v>merge</v>
      </c>
    </row>
    <row r="438" spans="1:25" x14ac:dyDescent="0.2">
      <c r="A438" t="s">
        <v>1238</v>
      </c>
      <c r="B438" t="s">
        <v>2112</v>
      </c>
      <c r="C438" t="str">
        <f>IFERROR(VLOOKUP(B438,'Sender-Receiver'!$B$3:$BP$1500,61,FALSE),"")</f>
        <v>#SNP</v>
      </c>
      <c r="D438" t="str">
        <f>IFERROR(VLOOKUP(B438,'Sender-Receiver'!$B$3:$BP$1500,41,FALSE),"")</f>
        <v xml:space="preserve"> |  | EditPC-07 IN</v>
      </c>
      <c r="E438" t="s">
        <v>1240</v>
      </c>
      <c r="F438">
        <v>21</v>
      </c>
      <c r="G438" t="s">
        <v>2113</v>
      </c>
      <c r="M438" t="str">
        <f>IF(OR(BOM!$AE$4=FALSE,BOM!$AE$4="-"),IF(ISERROR(SEARCH("send",B438)),"","pool:TPC"),IF(ISERROR(SEARCH("send",B438)),"","pool:TPC|pool:TPC"))</f>
        <v/>
      </c>
      <c r="S438" t="str">
        <f>IFERROR(IF(VLOOKUP(B438,'Sender-Receiver'!$B$3:$BP$1500,60,FALSE)="x","true","false"),"false")</f>
        <v>false</v>
      </c>
      <c r="T438" t="str">
        <f t="shared" si="6"/>
        <v>off</v>
      </c>
      <c r="Y438" t="str">
        <f>IF(BOM!$AE$4=FALSE,IF(ISERROR(SEARCH("Embrionix",BOM!$M$4)),"none",IF(ISERROR(SEARCH("Quadsplit",BOM!$N$4)),IF(ISERROR(SEARCH("rec",B438)),"none","merge"),"none")),IF(ISERROR(SEARCH("rec",B438)),"split","merge"))</f>
        <v>merge</v>
      </c>
    </row>
    <row r="439" spans="1:25" x14ac:dyDescent="0.2">
      <c r="A439" t="s">
        <v>1238</v>
      </c>
      <c r="B439" t="s">
        <v>2114</v>
      </c>
      <c r="C439" t="str">
        <f>IFERROR(VLOOKUP(B439,'Sender-Receiver'!$B$3:$BP$1500,61,FALSE),"")</f>
        <v>Type:Anc_Prot,#SNP</v>
      </c>
      <c r="D439" t="str">
        <f>IFERROR(VLOOKUP(B439,'Sender-Receiver'!$B$3:$BP$1500,41,FALSE),"")</f>
        <v>MEDEM Edit07 | In Edit07-ANC1 | EditPC-07 IN</v>
      </c>
      <c r="E439" t="s">
        <v>1240</v>
      </c>
      <c r="F439">
        <v>21</v>
      </c>
      <c r="G439" t="s">
        <v>2115</v>
      </c>
      <c r="M439" t="str">
        <f>IF(OR(BOM!$AE$4=FALSE,BOM!$AE$4="-"),IF(ISERROR(SEARCH("send",B439)),"","pool:TPC"),IF(ISERROR(SEARCH("send",B439)),"","pool:TPC|pool:TPC"))</f>
        <v/>
      </c>
      <c r="S439" t="str">
        <f>IFERROR(IF(VLOOKUP(B439,'Sender-Receiver'!$B$3:$BP$1500,60,FALSE)="x","true","false"),"false")</f>
        <v>true</v>
      </c>
      <c r="T439" t="str">
        <f t="shared" si="6"/>
        <v>full</v>
      </c>
      <c r="Y439" t="str">
        <f>IF(BOM!$AE$4=FALSE,IF(ISERROR(SEARCH("Embrionix",BOM!$M$4)),"none",IF(ISERROR(SEARCH("Quadsplit",BOM!$N$4)),IF(ISERROR(SEARCH("rec",B439)),"none","merge"),"none")),IF(ISERROR(SEARCH("rec",B439)),"split","merge"))</f>
        <v>merge</v>
      </c>
    </row>
    <row r="440" spans="1:25" x14ac:dyDescent="0.2">
      <c r="A440" t="s">
        <v>1238</v>
      </c>
      <c r="B440" t="s">
        <v>2116</v>
      </c>
      <c r="C440" t="str">
        <f>IFERROR(VLOOKUP(B440,'Sender-Receiver'!$B$3:$BP$1500,61,FALSE),"")</f>
        <v>#SNP</v>
      </c>
      <c r="D440" t="str">
        <f>IFERROR(VLOOKUP(B440,'Sender-Receiver'!$B$3:$BP$1500,41,FALSE),"")</f>
        <v xml:space="preserve"> |  | EditPC-07 IN</v>
      </c>
      <c r="E440" t="s">
        <v>1240</v>
      </c>
      <c r="F440">
        <v>21</v>
      </c>
      <c r="G440" t="s">
        <v>2117</v>
      </c>
      <c r="M440" t="str">
        <f>IF(OR(BOM!$AE$4=FALSE,BOM!$AE$4="-"),IF(ISERROR(SEARCH("send",B440)),"","pool:TPC"),IF(ISERROR(SEARCH("send",B440)),"","pool:TPC|pool:TPC"))</f>
        <v/>
      </c>
      <c r="S440" t="str">
        <f>IFERROR(IF(VLOOKUP(B440,'Sender-Receiver'!$B$3:$BP$1500,60,FALSE)="x","true","false"),"false")</f>
        <v>false</v>
      </c>
      <c r="T440" t="str">
        <f t="shared" si="6"/>
        <v>off</v>
      </c>
      <c r="Y440" t="str">
        <f>IF(BOM!$AE$4=FALSE,IF(ISERROR(SEARCH("Embrionix",BOM!$M$4)),"none",IF(ISERROR(SEARCH("Quadsplit",BOM!$N$4)),IF(ISERROR(SEARCH("rec",B440)),"none","merge"),"none")),IF(ISERROR(SEARCH("rec",B440)),"split","merge"))</f>
        <v>merge</v>
      </c>
    </row>
    <row r="441" spans="1:25" x14ac:dyDescent="0.2">
      <c r="A441" t="s">
        <v>1238</v>
      </c>
      <c r="B441" t="s">
        <v>2118</v>
      </c>
      <c r="C441" t="str">
        <f>IFERROR(VLOOKUP(B441,'Sender-Receiver'!$B$3:$BP$1500,61,FALSE),"")</f>
        <v>#SNP</v>
      </c>
      <c r="D441" t="str">
        <f>IFERROR(VLOOKUP(B441,'Sender-Receiver'!$B$3:$BP$1500,41,FALSE),"")</f>
        <v xml:space="preserve"> |  | EditPC-07 IN</v>
      </c>
      <c r="E441" t="s">
        <v>1240</v>
      </c>
      <c r="F441">
        <v>21</v>
      </c>
      <c r="G441" t="s">
        <v>2119</v>
      </c>
      <c r="M441" t="str">
        <f>IF(OR(BOM!$AE$4=FALSE,BOM!$AE$4="-"),IF(ISERROR(SEARCH("send",B441)),"","pool:TPC"),IF(ISERROR(SEARCH("send",B441)),"","pool:TPC|pool:TPC"))</f>
        <v/>
      </c>
      <c r="S441" t="str">
        <f>IFERROR(IF(VLOOKUP(B441,'Sender-Receiver'!$B$3:$BP$1500,60,FALSE)="x","true","false"),"false")</f>
        <v>false</v>
      </c>
      <c r="T441" t="str">
        <f t="shared" si="6"/>
        <v>off</v>
      </c>
      <c r="Y441" t="str">
        <f>IF(BOM!$AE$4=FALSE,IF(ISERROR(SEARCH("Embrionix",BOM!$M$4)),"none",IF(ISERROR(SEARCH("Quadsplit",BOM!$N$4)),IF(ISERROR(SEARCH("rec",B441)),"none","merge"),"none")),IF(ISERROR(SEARCH("rec",B441)),"split","merge"))</f>
        <v>merge</v>
      </c>
    </row>
    <row r="442" spans="1:25" x14ac:dyDescent="0.2">
      <c r="A442" t="s">
        <v>1238</v>
      </c>
      <c r="B442" t="s">
        <v>2120</v>
      </c>
      <c r="C442" t="str">
        <f>IFERROR(VLOOKUP(B442,'Sender-Receiver'!$B$3:$BP$1500,61,FALSE),"")</f>
        <v>#SNP</v>
      </c>
      <c r="D442" t="str">
        <f>IFERROR(VLOOKUP(B442,'Sender-Receiver'!$B$3:$BP$1500,41,FALSE),"")</f>
        <v xml:space="preserve"> |  | EditPC-07 IN</v>
      </c>
      <c r="E442" t="s">
        <v>1240</v>
      </c>
      <c r="F442">
        <v>21</v>
      </c>
      <c r="G442" t="s">
        <v>2121</v>
      </c>
      <c r="M442" t="str">
        <f>IF(OR(BOM!$AE$4=FALSE,BOM!$AE$4="-"),IF(ISERROR(SEARCH("send",B442)),"","pool:TPC"),IF(ISERROR(SEARCH("send",B442)),"","pool:TPC|pool:TPC"))</f>
        <v/>
      </c>
      <c r="S442" t="str">
        <f>IFERROR(IF(VLOOKUP(B442,'Sender-Receiver'!$B$3:$BP$1500,60,FALSE)="x","true","false"),"false")</f>
        <v>false</v>
      </c>
      <c r="T442" t="str">
        <f t="shared" si="6"/>
        <v>off</v>
      </c>
      <c r="Y442" t="str">
        <f>IF(BOM!$AE$4=FALSE,IF(ISERROR(SEARCH("Embrionix",BOM!$M$4)),"none",IF(ISERROR(SEARCH("Quadsplit",BOM!$N$4)),IF(ISERROR(SEARCH("rec",B442)),"none","merge"),"none")),IF(ISERROR(SEARCH("rec",B442)),"split","merge"))</f>
        <v>merge</v>
      </c>
    </row>
    <row r="443" spans="1:25" x14ac:dyDescent="0.2">
      <c r="A443" t="s">
        <v>1238</v>
      </c>
      <c r="B443" t="s">
        <v>2122</v>
      </c>
      <c r="C443" t="str">
        <f>IFERROR(VLOOKUP(B443,'Sender-Receiver'!$B$3:$BP$1500,61,FALSE),"")</f>
        <v>Type:Vid_1080i50,Type:Vid_1080p25,Type:Vid_1080p50,Type:Vid_1080p60,#SNP</v>
      </c>
      <c r="D443" t="str">
        <f>IFERROR(VLOOKUP(B443,'Sender-Receiver'!$B$3:$BP$1500,41,FALSE),"")</f>
        <v>MEDEM Edit08 | In Edit08 | EditPC-08 IN</v>
      </c>
      <c r="E443" t="s">
        <v>1240</v>
      </c>
      <c r="F443">
        <v>22</v>
      </c>
      <c r="G443" t="s">
        <v>2123</v>
      </c>
      <c r="M443" t="str">
        <f>IF(OR(BOM!$AE$4=FALSE,BOM!$AE$4="-"),IF(ISERROR(SEARCH("send",B443)),"","pool:TPC"),IF(ISERROR(SEARCH("send",B443)),"","pool:TPC|pool:TPC"))</f>
        <v/>
      </c>
      <c r="S443" t="str">
        <f>IFERROR(IF(VLOOKUP(B443,'Sender-Receiver'!$B$3:$BP$1500,60,FALSE)="x","true","false"),"false")</f>
        <v>true</v>
      </c>
      <c r="T443" t="str">
        <f t="shared" si="6"/>
        <v>full</v>
      </c>
      <c r="Y443" t="str">
        <f>IF(BOM!$AE$4=FALSE,IF(ISERROR(SEARCH("Embrionix",BOM!$M$4)),"none",IF(ISERROR(SEARCH("Quadsplit",BOM!$N$4)),IF(ISERROR(SEARCH("rec",B443)),"none","merge"),"none")),IF(ISERROR(SEARCH("rec",B443)),"split","merge"))</f>
        <v>merge</v>
      </c>
    </row>
    <row r="444" spans="1:25" x14ac:dyDescent="0.2">
      <c r="A444" t="s">
        <v>1238</v>
      </c>
      <c r="B444" t="s">
        <v>2124</v>
      </c>
      <c r="C444" t="str">
        <f>IFERROR(VLOOKUP(B444,'Sender-Receiver'!$B$3:$BP$1500,61,FALSE),"")</f>
        <v>Type:Aud_1CH_M,Type:Aud_2CH_LR,Type:Aud_3CH_LRC,Type:Aud_6CH_5.1,#SNP</v>
      </c>
      <c r="D444" t="str">
        <f>IFERROR(VLOOKUP(B444,'Sender-Receiver'!$B$3:$BP$1500,41,FALSE),"")</f>
        <v>MEDEM Edit08 | In Edit08-01 | EditPC-08 IN</v>
      </c>
      <c r="E444" t="s">
        <v>1240</v>
      </c>
      <c r="F444">
        <v>22</v>
      </c>
      <c r="G444" t="s">
        <v>2125</v>
      </c>
      <c r="M444" t="str">
        <f>IF(OR(BOM!$AE$4=FALSE,BOM!$AE$4="-"),IF(ISERROR(SEARCH("send",B444)),"","pool:TPC"),IF(ISERROR(SEARCH("send",B444)),"","pool:TPC|pool:TPC"))</f>
        <v/>
      </c>
      <c r="S444" t="str">
        <f>IFERROR(IF(VLOOKUP(B444,'Sender-Receiver'!$B$3:$BP$1500,60,FALSE)="x","true","false"),"false")</f>
        <v>true</v>
      </c>
      <c r="T444" t="str">
        <f t="shared" si="6"/>
        <v>full</v>
      </c>
      <c r="Y444" t="str">
        <f>IF(BOM!$AE$4=FALSE,IF(ISERROR(SEARCH("Embrionix",BOM!$M$4)),"none",IF(ISERROR(SEARCH("Quadsplit",BOM!$N$4)),IF(ISERROR(SEARCH("rec",B444)),"none","merge"),"none")),IF(ISERROR(SEARCH("rec",B444)),"split","merge"))</f>
        <v>merge</v>
      </c>
    </row>
    <row r="445" spans="1:25" x14ac:dyDescent="0.2">
      <c r="A445" t="s">
        <v>1238</v>
      </c>
      <c r="B445" t="s">
        <v>2126</v>
      </c>
      <c r="C445" t="str">
        <f>IFERROR(VLOOKUP(B445,'Sender-Receiver'!$B$3:$BP$1500,61,FALSE),"")</f>
        <v>Type:Aud_1CH_M,Type:Aud_2CH_LR,Type:Aud_3CH_LRC,Type:Aud_6CH_5.1,#SNP</v>
      </c>
      <c r="D445" t="str">
        <f>IFERROR(VLOOKUP(B445,'Sender-Receiver'!$B$3:$BP$1500,41,FALSE),"")</f>
        <v>MEDEM Edit08 | In Edit08-02 | EditPC-08 IN</v>
      </c>
      <c r="E445" t="s">
        <v>1240</v>
      </c>
      <c r="F445">
        <v>22</v>
      </c>
      <c r="G445" t="s">
        <v>2127</v>
      </c>
      <c r="M445" t="str">
        <f>IF(OR(BOM!$AE$4=FALSE,BOM!$AE$4="-"),IF(ISERROR(SEARCH("send",B445)),"","pool:TPC"),IF(ISERROR(SEARCH("send",B445)),"","pool:TPC|pool:TPC"))</f>
        <v/>
      </c>
      <c r="S445" t="str">
        <f>IFERROR(IF(VLOOKUP(B445,'Sender-Receiver'!$B$3:$BP$1500,60,FALSE)="x","true","false"),"false")</f>
        <v>true</v>
      </c>
      <c r="T445" t="str">
        <f t="shared" si="6"/>
        <v>full</v>
      </c>
      <c r="Y445" t="str">
        <f>IF(BOM!$AE$4=FALSE,IF(ISERROR(SEARCH("Embrionix",BOM!$M$4)),"none",IF(ISERROR(SEARCH("Quadsplit",BOM!$N$4)),IF(ISERROR(SEARCH("rec",B445)),"none","merge"),"none")),IF(ISERROR(SEARCH("rec",B445)),"split","merge"))</f>
        <v>merge</v>
      </c>
    </row>
    <row r="446" spans="1:25" x14ac:dyDescent="0.2">
      <c r="A446" t="s">
        <v>1238</v>
      </c>
      <c r="B446" t="s">
        <v>2128</v>
      </c>
      <c r="C446" t="str">
        <f>IFERROR(VLOOKUP(B446,'Sender-Receiver'!$B$3:$BP$1500,61,FALSE),"")</f>
        <v>Type:Aud_1CH_M,Type:Aud_2CH_LR,Type:Aud_3CH_LRC,Type:Aud_6CH_5.1,#SNP</v>
      </c>
      <c r="D446" t="str">
        <f>IFERROR(VLOOKUP(B446,'Sender-Receiver'!$B$3:$BP$1500,41,FALSE),"")</f>
        <v>MEDEM Edit08 | In Edit08-03 | EditPC-08 IN</v>
      </c>
      <c r="E446" t="s">
        <v>1240</v>
      </c>
      <c r="F446">
        <v>22</v>
      </c>
      <c r="G446" t="s">
        <v>2129</v>
      </c>
      <c r="M446" t="str">
        <f>IF(OR(BOM!$AE$4=FALSE,BOM!$AE$4="-"),IF(ISERROR(SEARCH("send",B446)),"","pool:TPC"),IF(ISERROR(SEARCH("send",B446)),"","pool:TPC|pool:TPC"))</f>
        <v/>
      </c>
      <c r="S446" t="str">
        <f>IFERROR(IF(VLOOKUP(B446,'Sender-Receiver'!$B$3:$BP$1500,60,FALSE)="x","true","false"),"false")</f>
        <v>true</v>
      </c>
      <c r="T446" t="str">
        <f t="shared" si="6"/>
        <v>full</v>
      </c>
      <c r="Y446" t="str">
        <f>IF(BOM!$AE$4=FALSE,IF(ISERROR(SEARCH("Embrionix",BOM!$M$4)),"none",IF(ISERROR(SEARCH("Quadsplit",BOM!$N$4)),IF(ISERROR(SEARCH("rec",B446)),"none","merge"),"none")),IF(ISERROR(SEARCH("rec",B446)),"split","merge"))</f>
        <v>merge</v>
      </c>
    </row>
    <row r="447" spans="1:25" x14ac:dyDescent="0.2">
      <c r="A447" t="s">
        <v>1238</v>
      </c>
      <c r="B447" t="s">
        <v>2130</v>
      </c>
      <c r="C447" t="str">
        <f>IFERROR(VLOOKUP(B447,'Sender-Receiver'!$B$3:$BP$1500,61,FALSE),"")</f>
        <v>Type:Aud_1CH_M,Type:Aud_2CH_LR,Type:Aud_3CH_LRC,Type:Aud_6CH_5.1,#SNP</v>
      </c>
      <c r="D447" t="str">
        <f>IFERROR(VLOOKUP(B447,'Sender-Receiver'!$B$3:$BP$1500,41,FALSE),"")</f>
        <v>MEDEM Edit08 | In Edit08-04 | EditPC-08 IN</v>
      </c>
      <c r="E447" t="s">
        <v>1240</v>
      </c>
      <c r="F447">
        <v>22</v>
      </c>
      <c r="G447" t="s">
        <v>2131</v>
      </c>
      <c r="M447" t="str">
        <f>IF(OR(BOM!$AE$4=FALSE,BOM!$AE$4="-"),IF(ISERROR(SEARCH("send",B447)),"","pool:TPC"),IF(ISERROR(SEARCH("send",B447)),"","pool:TPC|pool:TPC"))</f>
        <v/>
      </c>
      <c r="S447" t="str">
        <f>IFERROR(IF(VLOOKUP(B447,'Sender-Receiver'!$B$3:$BP$1500,60,FALSE)="x","true","false"),"false")</f>
        <v>true</v>
      </c>
      <c r="T447" t="str">
        <f t="shared" si="6"/>
        <v>full</v>
      </c>
      <c r="Y447" t="str">
        <f>IF(BOM!$AE$4=FALSE,IF(ISERROR(SEARCH("Embrionix",BOM!$M$4)),"none",IF(ISERROR(SEARCH("Quadsplit",BOM!$N$4)),IF(ISERROR(SEARCH("rec",B447)),"none","merge"),"none")),IF(ISERROR(SEARCH("rec",B447)),"split","merge"))</f>
        <v>merge</v>
      </c>
    </row>
    <row r="448" spans="1:25" x14ac:dyDescent="0.2">
      <c r="A448" t="s">
        <v>1238</v>
      </c>
      <c r="B448" t="s">
        <v>2132</v>
      </c>
      <c r="C448" t="str">
        <f>IFERROR(VLOOKUP(B448,'Sender-Receiver'!$B$3:$BP$1500,61,FALSE),"")</f>
        <v>Type:Aud_1CH_M,Type:Aud_2CH_LR,Type:Aud_3CH_LRC,Type:Aud_6CH_5.1,#SNP</v>
      </c>
      <c r="D448" t="str">
        <f>IFERROR(VLOOKUP(B448,'Sender-Receiver'!$B$3:$BP$1500,41,FALSE),"")</f>
        <v>MEDEM Edit08 | In Edit08-05 | EditPC-08 IN</v>
      </c>
      <c r="E448" t="s">
        <v>1240</v>
      </c>
      <c r="F448">
        <v>22</v>
      </c>
      <c r="G448" t="s">
        <v>2133</v>
      </c>
      <c r="M448" t="str">
        <f>IF(OR(BOM!$AE$4=FALSE,BOM!$AE$4="-"),IF(ISERROR(SEARCH("send",B448)),"","pool:TPC"),IF(ISERROR(SEARCH("send",B448)),"","pool:TPC|pool:TPC"))</f>
        <v/>
      </c>
      <c r="S448" t="str">
        <f>IFERROR(IF(VLOOKUP(B448,'Sender-Receiver'!$B$3:$BP$1500,60,FALSE)="x","true","false"),"false")</f>
        <v>true</v>
      </c>
      <c r="T448" t="str">
        <f t="shared" si="6"/>
        <v>full</v>
      </c>
      <c r="Y448" t="str">
        <f>IF(BOM!$AE$4=FALSE,IF(ISERROR(SEARCH("Embrionix",BOM!$M$4)),"none",IF(ISERROR(SEARCH("Quadsplit",BOM!$N$4)),IF(ISERROR(SEARCH("rec",B448)),"none","merge"),"none")),IF(ISERROR(SEARCH("rec",B448)),"split","merge"))</f>
        <v>merge</v>
      </c>
    </row>
    <row r="449" spans="1:25" x14ac:dyDescent="0.2">
      <c r="A449" t="s">
        <v>1238</v>
      </c>
      <c r="B449" t="s">
        <v>2134</v>
      </c>
      <c r="C449" t="str">
        <f>IFERROR(VLOOKUP(B449,'Sender-Receiver'!$B$3:$BP$1500,61,FALSE),"")</f>
        <v>Type:Aud_1CH_M,Type:Aud_2CH_LR,Type:Aud_3CH_LRC,Type:Aud_6CH_5.1,#SNP</v>
      </c>
      <c r="D449" t="str">
        <f>IFERROR(VLOOKUP(B449,'Sender-Receiver'!$B$3:$BP$1500,41,FALSE),"")</f>
        <v>MEDEM Edit08 | In Edit08-06 | EditPC-08 IN</v>
      </c>
      <c r="E449" t="s">
        <v>1240</v>
      </c>
      <c r="F449">
        <v>22</v>
      </c>
      <c r="G449" t="s">
        <v>2135</v>
      </c>
      <c r="M449" t="str">
        <f>IF(OR(BOM!$AE$4=FALSE,BOM!$AE$4="-"),IF(ISERROR(SEARCH("send",B449)),"","pool:TPC"),IF(ISERROR(SEARCH("send",B449)),"","pool:TPC|pool:TPC"))</f>
        <v/>
      </c>
      <c r="S449" t="str">
        <f>IFERROR(IF(VLOOKUP(B449,'Sender-Receiver'!$B$3:$BP$1500,60,FALSE)="x","true","false"),"false")</f>
        <v>true</v>
      </c>
      <c r="T449" t="str">
        <f t="shared" si="6"/>
        <v>full</v>
      </c>
      <c r="Y449" t="str">
        <f>IF(BOM!$AE$4=FALSE,IF(ISERROR(SEARCH("Embrionix",BOM!$M$4)),"none",IF(ISERROR(SEARCH("Quadsplit",BOM!$N$4)),IF(ISERROR(SEARCH("rec",B449)),"none","merge"),"none")),IF(ISERROR(SEARCH("rec",B449)),"split","merge"))</f>
        <v>merge</v>
      </c>
    </row>
    <row r="450" spans="1:25" x14ac:dyDescent="0.2">
      <c r="A450" t="s">
        <v>1238</v>
      </c>
      <c r="B450" t="s">
        <v>2136</v>
      </c>
      <c r="C450" t="str">
        <f>IFERROR(VLOOKUP(B450,'Sender-Receiver'!$B$3:$BP$1500,61,FALSE),"")</f>
        <v>Type:Aud_1CH_M,Type:Aud_2CH_LR,Type:Aud_3CH_LRC,Type:Aud_6CH_5.1,#SNP</v>
      </c>
      <c r="D450" t="str">
        <f>IFERROR(VLOOKUP(B450,'Sender-Receiver'!$B$3:$BP$1500,41,FALSE),"")</f>
        <v>MEDEM Edit08 | In Edit08-07 | EditPC-08 IN</v>
      </c>
      <c r="E450" t="s">
        <v>1240</v>
      </c>
      <c r="F450">
        <v>22</v>
      </c>
      <c r="G450" t="s">
        <v>2137</v>
      </c>
      <c r="M450" t="str">
        <f>IF(OR(BOM!$AE$4=FALSE,BOM!$AE$4="-"),IF(ISERROR(SEARCH("send",B450)),"","pool:TPC"),IF(ISERROR(SEARCH("send",B450)),"","pool:TPC|pool:TPC"))</f>
        <v/>
      </c>
      <c r="S450" t="str">
        <f>IFERROR(IF(VLOOKUP(B450,'Sender-Receiver'!$B$3:$BP$1500,60,FALSE)="x","true","false"),"false")</f>
        <v>true</v>
      </c>
      <c r="T450" t="str">
        <f t="shared" si="6"/>
        <v>full</v>
      </c>
      <c r="Y450" t="str">
        <f>IF(BOM!$AE$4=FALSE,IF(ISERROR(SEARCH("Embrionix",BOM!$M$4)),"none",IF(ISERROR(SEARCH("Quadsplit",BOM!$N$4)),IF(ISERROR(SEARCH("rec",B450)),"none","merge"),"none")),IF(ISERROR(SEARCH("rec",B450)),"split","merge"))</f>
        <v>merge</v>
      </c>
    </row>
    <row r="451" spans="1:25" x14ac:dyDescent="0.2">
      <c r="A451" t="s">
        <v>1238</v>
      </c>
      <c r="B451" t="s">
        <v>2138</v>
      </c>
      <c r="C451" t="str">
        <f>IFERROR(VLOOKUP(B451,'Sender-Receiver'!$B$3:$BP$1500,61,FALSE),"")</f>
        <v>Type:Aud_1CH_M,Type:Aud_2CH_LR,Type:Aud_3CH_LRC,Type:Aud_6CH_5.1,#SNP</v>
      </c>
      <c r="D451" t="str">
        <f>IFERROR(VLOOKUP(B451,'Sender-Receiver'!$B$3:$BP$1500,41,FALSE),"")</f>
        <v>MEDEM Edit08 | In Edit08-08 | EditPC-08 IN</v>
      </c>
      <c r="E451" t="s">
        <v>1240</v>
      </c>
      <c r="F451">
        <v>22</v>
      </c>
      <c r="G451" t="s">
        <v>2139</v>
      </c>
      <c r="M451" t="str">
        <f>IF(OR(BOM!$AE$4=FALSE,BOM!$AE$4="-"),IF(ISERROR(SEARCH("send",B451)),"","pool:TPC"),IF(ISERROR(SEARCH("send",B451)),"","pool:TPC|pool:TPC"))</f>
        <v/>
      </c>
      <c r="S451" t="str">
        <f>IFERROR(IF(VLOOKUP(B451,'Sender-Receiver'!$B$3:$BP$1500,60,FALSE)="x","true","false"),"false")</f>
        <v>true</v>
      </c>
      <c r="T451" t="str">
        <f t="shared" ref="T451:T535" si="7">IF(S451="true","full","off")</f>
        <v>full</v>
      </c>
      <c r="Y451" t="str">
        <f>IF(BOM!$AE$4=FALSE,IF(ISERROR(SEARCH("Embrionix",BOM!$M$4)),"none",IF(ISERROR(SEARCH("Quadsplit",BOM!$N$4)),IF(ISERROR(SEARCH("rec",B451)),"none","merge"),"none")),IF(ISERROR(SEARCH("rec",B451)),"split","merge"))</f>
        <v>merge</v>
      </c>
    </row>
    <row r="452" spans="1:25" x14ac:dyDescent="0.2">
      <c r="A452" t="s">
        <v>1238</v>
      </c>
      <c r="B452" t="s">
        <v>2140</v>
      </c>
      <c r="C452" t="str">
        <f>IFERROR(VLOOKUP(B452,'Sender-Receiver'!$B$3:$BP$1500,61,FALSE),"")</f>
        <v>Type:Aud_1CH_M,Type:Aud_2CH_LR,Type:Aud_3CH_LRC,Type:Aud_6CH_5.1,#SNP</v>
      </c>
      <c r="D452" t="str">
        <f>IFERROR(VLOOKUP(B452,'Sender-Receiver'!$B$3:$BP$1500,41,FALSE),"")</f>
        <v>MEDEM Edit08 | In Edit08-09 | EditPC-08 IN</v>
      </c>
      <c r="E452" t="s">
        <v>1240</v>
      </c>
      <c r="F452">
        <v>22</v>
      </c>
      <c r="G452" t="s">
        <v>2141</v>
      </c>
      <c r="M452" t="str">
        <f>IF(OR(BOM!$AE$4=FALSE,BOM!$AE$4="-"),IF(ISERROR(SEARCH("send",B452)),"","pool:TPC"),IF(ISERROR(SEARCH("send",B452)),"","pool:TPC|pool:TPC"))</f>
        <v/>
      </c>
      <c r="S452" t="str">
        <f>IFERROR(IF(VLOOKUP(B452,'Sender-Receiver'!$B$3:$BP$1500,60,FALSE)="x","true","false"),"false")</f>
        <v>true</v>
      </c>
      <c r="T452" t="str">
        <f t="shared" si="7"/>
        <v>full</v>
      </c>
      <c r="Y452" t="str">
        <f>IF(BOM!$AE$4=FALSE,IF(ISERROR(SEARCH("Embrionix",BOM!$M$4)),"none",IF(ISERROR(SEARCH("Quadsplit",BOM!$N$4)),IF(ISERROR(SEARCH("rec",B452)),"none","merge"),"none")),IF(ISERROR(SEARCH("rec",B452)),"split","merge"))</f>
        <v>merge</v>
      </c>
    </row>
    <row r="453" spans="1:25" x14ac:dyDescent="0.2">
      <c r="A453" t="s">
        <v>1238</v>
      </c>
      <c r="B453" t="s">
        <v>2142</v>
      </c>
      <c r="C453" t="str">
        <f>IFERROR(VLOOKUP(B453,'Sender-Receiver'!$B$3:$BP$1500,61,FALSE),"")</f>
        <v>#SNP</v>
      </c>
      <c r="D453" t="str">
        <f>IFERROR(VLOOKUP(B453,'Sender-Receiver'!$B$3:$BP$1500,41,FALSE),"")</f>
        <v xml:space="preserve"> |  | EditPC-08 IN</v>
      </c>
      <c r="E453" t="s">
        <v>1240</v>
      </c>
      <c r="F453">
        <v>22</v>
      </c>
      <c r="G453" t="s">
        <v>2143</v>
      </c>
      <c r="M453" t="str">
        <f>IF(OR(BOM!$AE$4=FALSE,BOM!$AE$4="-"),IF(ISERROR(SEARCH("send",B453)),"","pool:TPC"),IF(ISERROR(SEARCH("send",B453)),"","pool:TPC|pool:TPC"))</f>
        <v/>
      </c>
      <c r="S453" t="str">
        <f>IFERROR(IF(VLOOKUP(B453,'Sender-Receiver'!$B$3:$BP$1500,60,FALSE)="x","true","false"),"false")</f>
        <v>false</v>
      </c>
      <c r="T453" t="str">
        <f t="shared" si="7"/>
        <v>off</v>
      </c>
      <c r="Y453" t="str">
        <f>IF(BOM!$AE$4=FALSE,IF(ISERROR(SEARCH("Embrionix",BOM!$M$4)),"none",IF(ISERROR(SEARCH("Quadsplit",BOM!$N$4)),IF(ISERROR(SEARCH("rec",B453)),"none","merge"),"none")),IF(ISERROR(SEARCH("rec",B453)),"split","merge"))</f>
        <v>merge</v>
      </c>
    </row>
    <row r="454" spans="1:25" x14ac:dyDescent="0.2">
      <c r="A454" t="s">
        <v>1238</v>
      </c>
      <c r="B454" t="s">
        <v>2144</v>
      </c>
      <c r="C454" t="str">
        <f>IFERROR(VLOOKUP(B454,'Sender-Receiver'!$B$3:$BP$1500,61,FALSE),"")</f>
        <v>#SNP</v>
      </c>
      <c r="D454" t="str">
        <f>IFERROR(VLOOKUP(B454,'Sender-Receiver'!$B$3:$BP$1500,41,FALSE),"")</f>
        <v xml:space="preserve"> |  | EditPC-08 IN</v>
      </c>
      <c r="E454" t="s">
        <v>1240</v>
      </c>
      <c r="F454">
        <v>22</v>
      </c>
      <c r="G454" t="s">
        <v>2145</v>
      </c>
      <c r="M454" t="str">
        <f>IF(OR(BOM!$AE$4=FALSE,BOM!$AE$4="-"),IF(ISERROR(SEARCH("send",B454)),"","pool:TPC"),IF(ISERROR(SEARCH("send",B454)),"","pool:TPC|pool:TPC"))</f>
        <v/>
      </c>
      <c r="S454" t="str">
        <f>IFERROR(IF(VLOOKUP(B454,'Sender-Receiver'!$B$3:$BP$1500,60,FALSE)="x","true","false"),"false")</f>
        <v>false</v>
      </c>
      <c r="T454" t="str">
        <f t="shared" si="7"/>
        <v>off</v>
      </c>
      <c r="Y454" t="str">
        <f>IF(BOM!$AE$4=FALSE,IF(ISERROR(SEARCH("Embrionix",BOM!$M$4)),"none",IF(ISERROR(SEARCH("Quadsplit",BOM!$N$4)),IF(ISERROR(SEARCH("rec",B454)),"none","merge"),"none")),IF(ISERROR(SEARCH("rec",B454)),"split","merge"))</f>
        <v>merge</v>
      </c>
    </row>
    <row r="455" spans="1:25" x14ac:dyDescent="0.2">
      <c r="A455" t="s">
        <v>1238</v>
      </c>
      <c r="B455" t="s">
        <v>2146</v>
      </c>
      <c r="C455" t="str">
        <f>IFERROR(VLOOKUP(B455,'Sender-Receiver'!$B$3:$BP$1500,61,FALSE),"")</f>
        <v>#SNP</v>
      </c>
      <c r="D455" t="str">
        <f>IFERROR(VLOOKUP(B455,'Sender-Receiver'!$B$3:$BP$1500,41,FALSE),"")</f>
        <v xml:space="preserve"> |  | EditPC-08 IN</v>
      </c>
      <c r="E455" t="s">
        <v>1240</v>
      </c>
      <c r="F455">
        <v>22</v>
      </c>
      <c r="G455" t="s">
        <v>2147</v>
      </c>
      <c r="M455" t="str">
        <f>IF(OR(BOM!$AE$4=FALSE,BOM!$AE$4="-"),IF(ISERROR(SEARCH("send",B455)),"","pool:TPC"),IF(ISERROR(SEARCH("send",B455)),"","pool:TPC|pool:TPC"))</f>
        <v/>
      </c>
      <c r="S455" t="str">
        <f>IFERROR(IF(VLOOKUP(B455,'Sender-Receiver'!$B$3:$BP$1500,60,FALSE)="x","true","false"),"false")</f>
        <v>false</v>
      </c>
      <c r="T455" t="str">
        <f t="shared" si="7"/>
        <v>off</v>
      </c>
      <c r="Y455" t="str">
        <f>IF(BOM!$AE$4=FALSE,IF(ISERROR(SEARCH("Embrionix",BOM!$M$4)),"none",IF(ISERROR(SEARCH("Quadsplit",BOM!$N$4)),IF(ISERROR(SEARCH("rec",B455)),"none","merge"),"none")),IF(ISERROR(SEARCH("rec",B455)),"split","merge"))</f>
        <v>merge</v>
      </c>
    </row>
    <row r="456" spans="1:25" x14ac:dyDescent="0.2">
      <c r="A456" t="s">
        <v>1238</v>
      </c>
      <c r="B456" t="s">
        <v>2148</v>
      </c>
      <c r="C456" t="str">
        <f>IFERROR(VLOOKUP(B456,'Sender-Receiver'!$B$3:$BP$1500,61,FALSE),"")</f>
        <v>#SNP</v>
      </c>
      <c r="D456" t="str">
        <f>IFERROR(VLOOKUP(B456,'Sender-Receiver'!$B$3:$BP$1500,41,FALSE),"")</f>
        <v xml:space="preserve"> |  | EditPC-08 IN</v>
      </c>
      <c r="E456" t="s">
        <v>1240</v>
      </c>
      <c r="F456">
        <v>22</v>
      </c>
      <c r="G456" t="s">
        <v>2149</v>
      </c>
      <c r="M456" t="str">
        <f>IF(OR(BOM!$AE$4=FALSE,BOM!$AE$4="-"),IF(ISERROR(SEARCH("send",B456)),"","pool:TPC"),IF(ISERROR(SEARCH("send",B456)),"","pool:TPC|pool:TPC"))</f>
        <v/>
      </c>
      <c r="S456" t="str">
        <f>IFERROR(IF(VLOOKUP(B456,'Sender-Receiver'!$B$3:$BP$1500,60,FALSE)="x","true","false"),"false")</f>
        <v>false</v>
      </c>
      <c r="T456" t="str">
        <f t="shared" si="7"/>
        <v>off</v>
      </c>
      <c r="Y456" t="str">
        <f>IF(BOM!$AE$4=FALSE,IF(ISERROR(SEARCH("Embrionix",BOM!$M$4)),"none",IF(ISERROR(SEARCH("Quadsplit",BOM!$N$4)),IF(ISERROR(SEARCH("rec",B456)),"none","merge"),"none")),IF(ISERROR(SEARCH("rec",B456)),"split","merge"))</f>
        <v>merge</v>
      </c>
    </row>
    <row r="457" spans="1:25" x14ac:dyDescent="0.2">
      <c r="A457" t="s">
        <v>1238</v>
      </c>
      <c r="B457" t="s">
        <v>2150</v>
      </c>
      <c r="C457" t="str">
        <f>IFERROR(VLOOKUP(B457,'Sender-Receiver'!$B$3:$BP$1500,61,FALSE),"")</f>
        <v>#SNP</v>
      </c>
      <c r="D457" t="str">
        <f>IFERROR(VLOOKUP(B457,'Sender-Receiver'!$B$3:$BP$1500,41,FALSE),"")</f>
        <v xml:space="preserve"> |  | EditPC-08 IN</v>
      </c>
      <c r="E457" t="s">
        <v>1240</v>
      </c>
      <c r="F457">
        <v>22</v>
      </c>
      <c r="G457" t="s">
        <v>2151</v>
      </c>
      <c r="M457" t="str">
        <f>IF(OR(BOM!$AE$4=FALSE,BOM!$AE$4="-"),IF(ISERROR(SEARCH("send",B457)),"","pool:TPC"),IF(ISERROR(SEARCH("send",B457)),"","pool:TPC|pool:TPC"))</f>
        <v/>
      </c>
      <c r="S457" t="str">
        <f>IFERROR(IF(VLOOKUP(B457,'Sender-Receiver'!$B$3:$BP$1500,60,FALSE)="x","true","false"),"false")</f>
        <v>false</v>
      </c>
      <c r="T457" t="str">
        <f t="shared" si="7"/>
        <v>off</v>
      </c>
      <c r="Y457" t="str">
        <f>IF(BOM!$AE$4=FALSE,IF(ISERROR(SEARCH("Embrionix",BOM!$M$4)),"none",IF(ISERROR(SEARCH("Quadsplit",BOM!$N$4)),IF(ISERROR(SEARCH("rec",B457)),"none","merge"),"none")),IF(ISERROR(SEARCH("rec",B457)),"split","merge"))</f>
        <v>merge</v>
      </c>
    </row>
    <row r="458" spans="1:25" x14ac:dyDescent="0.2">
      <c r="A458" t="s">
        <v>1238</v>
      </c>
      <c r="B458" t="s">
        <v>2152</v>
      </c>
      <c r="C458" t="str">
        <f>IFERROR(VLOOKUP(B458,'Sender-Receiver'!$B$3:$BP$1500,61,FALSE),"")</f>
        <v>#SNP</v>
      </c>
      <c r="D458" t="str">
        <f>IFERROR(VLOOKUP(B458,'Sender-Receiver'!$B$3:$BP$1500,41,FALSE),"")</f>
        <v xml:space="preserve"> |  | EditPC-08 IN</v>
      </c>
      <c r="E458" t="s">
        <v>1240</v>
      </c>
      <c r="F458">
        <v>22</v>
      </c>
      <c r="G458" t="s">
        <v>2153</v>
      </c>
      <c r="M458" t="str">
        <f>IF(OR(BOM!$AE$4=FALSE,BOM!$AE$4="-"),IF(ISERROR(SEARCH("send",B458)),"","pool:TPC"),IF(ISERROR(SEARCH("send",B458)),"","pool:TPC|pool:TPC"))</f>
        <v/>
      </c>
      <c r="S458" t="str">
        <f>IFERROR(IF(VLOOKUP(B458,'Sender-Receiver'!$B$3:$BP$1500,60,FALSE)="x","true","false"),"false")</f>
        <v>false</v>
      </c>
      <c r="T458" t="str">
        <f t="shared" si="7"/>
        <v>off</v>
      </c>
      <c r="Y458" t="str">
        <f>IF(BOM!$AE$4=FALSE,IF(ISERROR(SEARCH("Embrionix",BOM!$M$4)),"none",IF(ISERROR(SEARCH("Quadsplit",BOM!$N$4)),IF(ISERROR(SEARCH("rec",B458)),"none","merge"),"none")),IF(ISERROR(SEARCH("rec",B458)),"split","merge"))</f>
        <v>merge</v>
      </c>
    </row>
    <row r="459" spans="1:25" x14ac:dyDescent="0.2">
      <c r="A459" t="s">
        <v>1238</v>
      </c>
      <c r="B459" t="s">
        <v>2154</v>
      </c>
      <c r="C459" t="str">
        <f>IFERROR(VLOOKUP(B459,'Sender-Receiver'!$B$3:$BP$1500,61,FALSE),"")</f>
        <v>#SNP</v>
      </c>
      <c r="D459" t="str">
        <f>IFERROR(VLOOKUP(B459,'Sender-Receiver'!$B$3:$BP$1500,41,FALSE),"")</f>
        <v xml:space="preserve"> |  | EditPC-08 IN</v>
      </c>
      <c r="E459" t="s">
        <v>1240</v>
      </c>
      <c r="F459">
        <v>22</v>
      </c>
      <c r="G459" t="s">
        <v>2155</v>
      </c>
      <c r="M459" t="str">
        <f>IF(OR(BOM!$AE$4=FALSE,BOM!$AE$4="-"),IF(ISERROR(SEARCH("send",B459)),"","pool:TPC"),IF(ISERROR(SEARCH("send",B459)),"","pool:TPC|pool:TPC"))</f>
        <v/>
      </c>
      <c r="S459" t="str">
        <f>IFERROR(IF(VLOOKUP(B459,'Sender-Receiver'!$B$3:$BP$1500,60,FALSE)="x","true","false"),"false")</f>
        <v>false</v>
      </c>
      <c r="T459" t="str">
        <f t="shared" si="7"/>
        <v>off</v>
      </c>
      <c r="Y459" t="str">
        <f>IF(BOM!$AE$4=FALSE,IF(ISERROR(SEARCH("Embrionix",BOM!$M$4)),"none",IF(ISERROR(SEARCH("Quadsplit",BOM!$N$4)),IF(ISERROR(SEARCH("rec",B459)),"none","merge"),"none")),IF(ISERROR(SEARCH("rec",B459)),"split","merge"))</f>
        <v>merge</v>
      </c>
    </row>
    <row r="460" spans="1:25" x14ac:dyDescent="0.2">
      <c r="A460" t="s">
        <v>1238</v>
      </c>
      <c r="B460" t="s">
        <v>2156</v>
      </c>
      <c r="C460" t="str">
        <f>IFERROR(VLOOKUP(B460,'Sender-Receiver'!$B$3:$BP$1500,61,FALSE),"")</f>
        <v>Type:Anc_Prot,#SNP</v>
      </c>
      <c r="D460" t="str">
        <f>IFERROR(VLOOKUP(B460,'Sender-Receiver'!$B$3:$BP$1500,41,FALSE),"")</f>
        <v>MEDEM Edit08 | In Edit08-ANC1 | EditPC-08 IN</v>
      </c>
      <c r="E460" t="s">
        <v>1240</v>
      </c>
      <c r="F460">
        <v>22</v>
      </c>
      <c r="G460" t="s">
        <v>2157</v>
      </c>
      <c r="M460" t="str">
        <f>IF(OR(BOM!$AE$4=FALSE,BOM!$AE$4="-"),IF(ISERROR(SEARCH("send",B460)),"","pool:TPC"),IF(ISERROR(SEARCH("send",B460)),"","pool:TPC|pool:TPC"))</f>
        <v/>
      </c>
      <c r="S460" t="str">
        <f>IFERROR(IF(VLOOKUP(B460,'Sender-Receiver'!$B$3:$BP$1500,60,FALSE)="x","true","false"),"false")</f>
        <v>true</v>
      </c>
      <c r="T460" t="str">
        <f t="shared" si="7"/>
        <v>full</v>
      </c>
      <c r="Y460" t="str">
        <f>IF(BOM!$AE$4=FALSE,IF(ISERROR(SEARCH("Embrionix",BOM!$M$4)),"none",IF(ISERROR(SEARCH("Quadsplit",BOM!$N$4)),IF(ISERROR(SEARCH("rec",B460)),"none","merge"),"none")),IF(ISERROR(SEARCH("rec",B460)),"split","merge"))</f>
        <v>merge</v>
      </c>
    </row>
    <row r="461" spans="1:25" x14ac:dyDescent="0.2">
      <c r="A461" t="s">
        <v>1238</v>
      </c>
      <c r="B461" t="s">
        <v>2158</v>
      </c>
      <c r="C461" t="str">
        <f>IFERROR(VLOOKUP(B461,'Sender-Receiver'!$B$3:$BP$1500,61,FALSE),"")</f>
        <v>#SNP</v>
      </c>
      <c r="D461" t="str">
        <f>IFERROR(VLOOKUP(B461,'Sender-Receiver'!$B$3:$BP$1500,41,FALSE),"")</f>
        <v xml:space="preserve"> |  | EditPC-08 IN</v>
      </c>
      <c r="E461" t="s">
        <v>1240</v>
      </c>
      <c r="F461">
        <v>22</v>
      </c>
      <c r="G461" t="s">
        <v>2159</v>
      </c>
      <c r="M461" t="str">
        <f>IF(OR(BOM!$AE$4=FALSE,BOM!$AE$4="-"),IF(ISERROR(SEARCH("send",B461)),"","pool:TPC"),IF(ISERROR(SEARCH("send",B461)),"","pool:TPC|pool:TPC"))</f>
        <v/>
      </c>
      <c r="S461" t="str">
        <f>IFERROR(IF(VLOOKUP(B461,'Sender-Receiver'!$B$3:$BP$1500,60,FALSE)="x","true","false"),"false")</f>
        <v>false</v>
      </c>
      <c r="T461" t="str">
        <f t="shared" si="7"/>
        <v>off</v>
      </c>
      <c r="Y461" t="str">
        <f>IF(BOM!$AE$4=FALSE,IF(ISERROR(SEARCH("Embrionix",BOM!$M$4)),"none",IF(ISERROR(SEARCH("Quadsplit",BOM!$N$4)),IF(ISERROR(SEARCH("rec",B461)),"none","merge"),"none")),IF(ISERROR(SEARCH("rec",B461)),"split","merge"))</f>
        <v>merge</v>
      </c>
    </row>
    <row r="462" spans="1:25" x14ac:dyDescent="0.2">
      <c r="A462" t="s">
        <v>1238</v>
      </c>
      <c r="B462" t="s">
        <v>2160</v>
      </c>
      <c r="C462" t="str">
        <f>IFERROR(VLOOKUP(B462,'Sender-Receiver'!$B$3:$BP$1500,61,FALSE),"")</f>
        <v>#SNP</v>
      </c>
      <c r="D462" t="str">
        <f>IFERROR(VLOOKUP(B462,'Sender-Receiver'!$B$3:$BP$1500,41,FALSE),"")</f>
        <v xml:space="preserve"> |  | EditPC-08 IN</v>
      </c>
      <c r="E462" t="s">
        <v>1240</v>
      </c>
      <c r="F462">
        <v>22</v>
      </c>
      <c r="G462" t="s">
        <v>2161</v>
      </c>
      <c r="M462" t="str">
        <f>IF(OR(BOM!$AE$4=FALSE,BOM!$AE$4="-"),IF(ISERROR(SEARCH("send",B462)),"","pool:TPC"),IF(ISERROR(SEARCH("send",B462)),"","pool:TPC|pool:TPC"))</f>
        <v/>
      </c>
      <c r="S462" t="str">
        <f>IFERROR(IF(VLOOKUP(B462,'Sender-Receiver'!$B$3:$BP$1500,60,FALSE)="x","true","false"),"false")</f>
        <v>false</v>
      </c>
      <c r="T462" t="str">
        <f t="shared" si="7"/>
        <v>off</v>
      </c>
      <c r="Y462" t="str">
        <f>IF(BOM!$AE$4=FALSE,IF(ISERROR(SEARCH("Embrionix",BOM!$M$4)),"none",IF(ISERROR(SEARCH("Quadsplit",BOM!$N$4)),IF(ISERROR(SEARCH("rec",B462)),"none","merge"),"none")),IF(ISERROR(SEARCH("rec",B462)),"split","merge"))</f>
        <v>merge</v>
      </c>
    </row>
    <row r="463" spans="1:25" x14ac:dyDescent="0.2">
      <c r="A463" t="s">
        <v>1238</v>
      </c>
      <c r="B463" t="s">
        <v>2162</v>
      </c>
      <c r="C463" t="str">
        <f>IFERROR(VLOOKUP(B463,'Sender-Receiver'!$B$3:$BP$1500,61,FALSE),"")</f>
        <v>#SNP</v>
      </c>
      <c r="D463" t="str">
        <f>IFERROR(VLOOKUP(B463,'Sender-Receiver'!$B$3:$BP$1500,41,FALSE),"")</f>
        <v xml:space="preserve"> |  | EditPC-08 IN</v>
      </c>
      <c r="E463" t="s">
        <v>1240</v>
      </c>
      <c r="F463">
        <v>22</v>
      </c>
      <c r="G463" t="s">
        <v>2163</v>
      </c>
      <c r="M463" t="str">
        <f>IF(OR(BOM!$AE$4=FALSE,BOM!$AE$4="-"),IF(ISERROR(SEARCH("send",B463)),"","pool:TPC"),IF(ISERROR(SEARCH("send",B463)),"","pool:TPC|pool:TPC"))</f>
        <v/>
      </c>
      <c r="S463" t="str">
        <f>IFERROR(IF(VLOOKUP(B463,'Sender-Receiver'!$B$3:$BP$1500,60,FALSE)="x","true","false"),"false")</f>
        <v>false</v>
      </c>
      <c r="T463" t="str">
        <f t="shared" si="7"/>
        <v>off</v>
      </c>
      <c r="Y463" t="str">
        <f>IF(BOM!$AE$4=FALSE,IF(ISERROR(SEARCH("Embrionix",BOM!$M$4)),"none",IF(ISERROR(SEARCH("Quadsplit",BOM!$N$4)),IF(ISERROR(SEARCH("rec",B463)),"none","merge"),"none")),IF(ISERROR(SEARCH("rec",B463)),"split","merge"))</f>
        <v>merge</v>
      </c>
    </row>
    <row r="464" spans="1:25" x14ac:dyDescent="0.2">
      <c r="A464" t="s">
        <v>1238</v>
      </c>
      <c r="B464" t="s">
        <v>2164</v>
      </c>
      <c r="C464" t="str">
        <f>IFERROR(VLOOKUP(B464,'Sender-Receiver'!$B$3:$BP$1500,61,FALSE),"")</f>
        <v>Type:Vid_1080i50,Type:Vid_1080p25,Type:Vid_1080p50,Type:Vid_1080p60,#SNP</v>
      </c>
      <c r="D464" t="str">
        <f>IFERROR(VLOOKUP(B464,'Sender-Receiver'!$B$3:$BP$1500,41,FALSE),"")</f>
        <v>MEDEM Edit09 | In Edit09 | EditPC-09 IN</v>
      </c>
      <c r="E464" t="s">
        <v>1240</v>
      </c>
      <c r="F464">
        <v>23</v>
      </c>
      <c r="G464" t="s">
        <v>2165</v>
      </c>
      <c r="M464" t="str">
        <f>IF(OR(BOM!$AE$4=FALSE,BOM!$AE$4="-"),IF(ISERROR(SEARCH("send",B464)),"","pool:TPC"),IF(ISERROR(SEARCH("send",B464)),"","pool:TPC|pool:TPC"))</f>
        <v/>
      </c>
      <c r="S464" t="str">
        <f>IFERROR(IF(VLOOKUP(B464,'Sender-Receiver'!$B$3:$BP$1500,60,FALSE)="x","true","false"),"false")</f>
        <v>true</v>
      </c>
      <c r="T464" t="str">
        <f t="shared" si="7"/>
        <v>full</v>
      </c>
      <c r="Y464" t="str">
        <f>IF(BOM!$AE$4=FALSE,IF(ISERROR(SEARCH("Embrionix",BOM!$M$4)),"none",IF(ISERROR(SEARCH("Quadsplit",BOM!$N$4)),IF(ISERROR(SEARCH("rec",B464)),"none","merge"),"none")),IF(ISERROR(SEARCH("rec",B464)),"split","merge"))</f>
        <v>merge</v>
      </c>
    </row>
    <row r="465" spans="1:25" x14ac:dyDescent="0.2">
      <c r="A465" t="s">
        <v>1238</v>
      </c>
      <c r="B465" t="s">
        <v>2166</v>
      </c>
      <c r="C465" t="str">
        <f>IFERROR(VLOOKUP(B465,'Sender-Receiver'!$B$3:$BP$1500,61,FALSE),"")</f>
        <v>Type:Aud_1CH_M,Type:Aud_2CH_LR,Type:Aud_3CH_LRC,Type:Aud_6CH_5.1,#SNP</v>
      </c>
      <c r="D465" t="str">
        <f>IFERROR(VLOOKUP(B465,'Sender-Receiver'!$B$3:$BP$1500,41,FALSE),"")</f>
        <v>MEDEM Edit09 | In Edit09-01 | EditPC-09 IN</v>
      </c>
      <c r="E465" t="s">
        <v>1240</v>
      </c>
      <c r="F465">
        <v>23</v>
      </c>
      <c r="G465" t="s">
        <v>2167</v>
      </c>
      <c r="M465" t="str">
        <f>IF(OR(BOM!$AE$4=FALSE,BOM!$AE$4="-"),IF(ISERROR(SEARCH("send",B465)),"","pool:TPC"),IF(ISERROR(SEARCH("send",B465)),"","pool:TPC|pool:TPC"))</f>
        <v/>
      </c>
      <c r="S465" t="str">
        <f>IFERROR(IF(VLOOKUP(B465,'Sender-Receiver'!$B$3:$BP$1500,60,FALSE)="x","true","false"),"false")</f>
        <v>true</v>
      </c>
      <c r="T465" t="str">
        <f t="shared" si="7"/>
        <v>full</v>
      </c>
      <c r="Y465" t="str">
        <f>IF(BOM!$AE$4=FALSE,IF(ISERROR(SEARCH("Embrionix",BOM!$M$4)),"none",IF(ISERROR(SEARCH("Quadsplit",BOM!$N$4)),IF(ISERROR(SEARCH("rec",B465)),"none","merge"),"none")),IF(ISERROR(SEARCH("rec",B465)),"split","merge"))</f>
        <v>merge</v>
      </c>
    </row>
    <row r="466" spans="1:25" x14ac:dyDescent="0.2">
      <c r="A466" t="s">
        <v>1238</v>
      </c>
      <c r="B466" t="s">
        <v>2168</v>
      </c>
      <c r="C466" t="str">
        <f>IFERROR(VLOOKUP(B466,'Sender-Receiver'!$B$3:$BP$1500,61,FALSE),"")</f>
        <v>Type:Aud_1CH_M,Type:Aud_2CH_LR,Type:Aud_3CH_LRC,Type:Aud_6CH_5.1,#SNP</v>
      </c>
      <c r="D466" t="str">
        <f>IFERROR(VLOOKUP(B466,'Sender-Receiver'!$B$3:$BP$1500,41,FALSE),"")</f>
        <v>MEDEM Edit09 | In Edit09-02 | EditPC-09 IN</v>
      </c>
      <c r="E466" t="s">
        <v>1240</v>
      </c>
      <c r="F466">
        <v>23</v>
      </c>
      <c r="G466" t="s">
        <v>2169</v>
      </c>
      <c r="M466" t="str">
        <f>IF(OR(BOM!$AE$4=FALSE,BOM!$AE$4="-"),IF(ISERROR(SEARCH("send",B466)),"","pool:TPC"),IF(ISERROR(SEARCH("send",B466)),"","pool:TPC|pool:TPC"))</f>
        <v/>
      </c>
      <c r="S466" t="str">
        <f>IFERROR(IF(VLOOKUP(B466,'Sender-Receiver'!$B$3:$BP$1500,60,FALSE)="x","true","false"),"false")</f>
        <v>true</v>
      </c>
      <c r="T466" t="str">
        <f t="shared" si="7"/>
        <v>full</v>
      </c>
      <c r="Y466" t="str">
        <f>IF(BOM!$AE$4=FALSE,IF(ISERROR(SEARCH("Embrionix",BOM!$M$4)),"none",IF(ISERROR(SEARCH("Quadsplit",BOM!$N$4)),IF(ISERROR(SEARCH("rec",B466)),"none","merge"),"none")),IF(ISERROR(SEARCH("rec",B466)),"split","merge"))</f>
        <v>merge</v>
      </c>
    </row>
    <row r="467" spans="1:25" x14ac:dyDescent="0.2">
      <c r="A467" t="s">
        <v>1238</v>
      </c>
      <c r="B467" t="s">
        <v>2170</v>
      </c>
      <c r="C467" t="str">
        <f>IFERROR(VLOOKUP(B467,'Sender-Receiver'!$B$3:$BP$1500,61,FALSE),"")</f>
        <v>Type:Aud_1CH_M,Type:Aud_2CH_LR,Type:Aud_3CH_LRC,Type:Aud_6CH_5.1,#SNP</v>
      </c>
      <c r="D467" t="str">
        <f>IFERROR(VLOOKUP(B467,'Sender-Receiver'!$B$3:$BP$1500,41,FALSE),"")</f>
        <v>MEDEM Edit09 | In Edit09-03 | EditPC-09 IN</v>
      </c>
      <c r="E467" t="s">
        <v>1240</v>
      </c>
      <c r="F467">
        <v>23</v>
      </c>
      <c r="G467" t="s">
        <v>2171</v>
      </c>
      <c r="M467" t="str">
        <f>IF(OR(BOM!$AE$4=FALSE,BOM!$AE$4="-"),IF(ISERROR(SEARCH("send",B467)),"","pool:TPC"),IF(ISERROR(SEARCH("send",B467)),"","pool:TPC|pool:TPC"))</f>
        <v/>
      </c>
      <c r="S467" t="str">
        <f>IFERROR(IF(VLOOKUP(B467,'Sender-Receiver'!$B$3:$BP$1500,60,FALSE)="x","true","false"),"false")</f>
        <v>true</v>
      </c>
      <c r="T467" t="str">
        <f t="shared" si="7"/>
        <v>full</v>
      </c>
      <c r="Y467" t="str">
        <f>IF(BOM!$AE$4=FALSE,IF(ISERROR(SEARCH("Embrionix",BOM!$M$4)),"none",IF(ISERROR(SEARCH("Quadsplit",BOM!$N$4)),IF(ISERROR(SEARCH("rec",B467)),"none","merge"),"none")),IF(ISERROR(SEARCH("rec",B467)),"split","merge"))</f>
        <v>merge</v>
      </c>
    </row>
    <row r="468" spans="1:25" x14ac:dyDescent="0.2">
      <c r="A468" t="s">
        <v>1238</v>
      </c>
      <c r="B468" t="s">
        <v>2172</v>
      </c>
      <c r="C468" t="str">
        <f>IFERROR(VLOOKUP(B468,'Sender-Receiver'!$B$3:$BP$1500,61,FALSE),"")</f>
        <v>Type:Aud_1CH_M,Type:Aud_2CH_LR,Type:Aud_3CH_LRC,Type:Aud_6CH_5.1,#SNP</v>
      </c>
      <c r="D468" t="str">
        <f>IFERROR(VLOOKUP(B468,'Sender-Receiver'!$B$3:$BP$1500,41,FALSE),"")</f>
        <v>MEDEM Edit09 | In Edit09-04 | EditPC-09 IN</v>
      </c>
      <c r="E468" t="s">
        <v>1240</v>
      </c>
      <c r="F468">
        <v>23</v>
      </c>
      <c r="G468" t="s">
        <v>2173</v>
      </c>
      <c r="M468" t="str">
        <f>IF(OR(BOM!$AE$4=FALSE,BOM!$AE$4="-"),IF(ISERROR(SEARCH("send",B468)),"","pool:TPC"),IF(ISERROR(SEARCH("send",B468)),"","pool:TPC|pool:TPC"))</f>
        <v/>
      </c>
      <c r="S468" t="str">
        <f>IFERROR(IF(VLOOKUP(B468,'Sender-Receiver'!$B$3:$BP$1500,60,FALSE)="x","true","false"),"false")</f>
        <v>true</v>
      </c>
      <c r="T468" t="str">
        <f t="shared" si="7"/>
        <v>full</v>
      </c>
      <c r="Y468" t="str">
        <f>IF(BOM!$AE$4=FALSE,IF(ISERROR(SEARCH("Embrionix",BOM!$M$4)),"none",IF(ISERROR(SEARCH("Quadsplit",BOM!$N$4)),IF(ISERROR(SEARCH("rec",B468)),"none","merge"),"none")),IF(ISERROR(SEARCH("rec",B468)),"split","merge"))</f>
        <v>merge</v>
      </c>
    </row>
    <row r="469" spans="1:25" x14ac:dyDescent="0.2">
      <c r="A469" t="s">
        <v>1238</v>
      </c>
      <c r="B469" t="s">
        <v>2174</v>
      </c>
      <c r="C469" t="str">
        <f>IFERROR(VLOOKUP(B469,'Sender-Receiver'!$B$3:$BP$1500,61,FALSE),"")</f>
        <v>Type:Aud_1CH_M,Type:Aud_2CH_LR,Type:Aud_3CH_LRC,Type:Aud_6CH_5.1,#SNP</v>
      </c>
      <c r="D469" t="str">
        <f>IFERROR(VLOOKUP(B469,'Sender-Receiver'!$B$3:$BP$1500,41,FALSE),"")</f>
        <v>MEDEM Edit09 | In Edit09-05 | EditPC-09 IN</v>
      </c>
      <c r="E469" t="s">
        <v>1240</v>
      </c>
      <c r="F469">
        <v>23</v>
      </c>
      <c r="G469" t="s">
        <v>2175</v>
      </c>
      <c r="M469" t="str">
        <f>IF(OR(BOM!$AE$4=FALSE,BOM!$AE$4="-"),IF(ISERROR(SEARCH("send",B469)),"","pool:TPC"),IF(ISERROR(SEARCH("send",B469)),"","pool:TPC|pool:TPC"))</f>
        <v/>
      </c>
      <c r="S469" t="str">
        <f>IFERROR(IF(VLOOKUP(B469,'Sender-Receiver'!$B$3:$BP$1500,60,FALSE)="x","true","false"),"false")</f>
        <v>true</v>
      </c>
      <c r="T469" t="str">
        <f t="shared" si="7"/>
        <v>full</v>
      </c>
      <c r="Y469" t="str">
        <f>IF(BOM!$AE$4=FALSE,IF(ISERROR(SEARCH("Embrionix",BOM!$M$4)),"none",IF(ISERROR(SEARCH("Quadsplit",BOM!$N$4)),IF(ISERROR(SEARCH("rec",B469)),"none","merge"),"none")),IF(ISERROR(SEARCH("rec",B469)),"split","merge"))</f>
        <v>merge</v>
      </c>
    </row>
    <row r="470" spans="1:25" x14ac:dyDescent="0.2">
      <c r="A470" t="s">
        <v>1238</v>
      </c>
      <c r="B470" t="s">
        <v>2176</v>
      </c>
      <c r="C470" t="str">
        <f>IFERROR(VLOOKUP(B470,'Sender-Receiver'!$B$3:$BP$1500,61,FALSE),"")</f>
        <v>Type:Aud_1CH_M,Type:Aud_2CH_LR,Type:Aud_3CH_LRC,Type:Aud_6CH_5.1,#SNP</v>
      </c>
      <c r="D470" t="str">
        <f>IFERROR(VLOOKUP(B470,'Sender-Receiver'!$B$3:$BP$1500,41,FALSE),"")</f>
        <v>MEDEM Edit09 | In Edit09-06 | EditPC-09 IN</v>
      </c>
      <c r="E470" t="s">
        <v>1240</v>
      </c>
      <c r="F470">
        <v>23</v>
      </c>
      <c r="G470" t="s">
        <v>2177</v>
      </c>
      <c r="M470" t="str">
        <f>IF(OR(BOM!$AE$4=FALSE,BOM!$AE$4="-"),IF(ISERROR(SEARCH("send",B470)),"","pool:TPC"),IF(ISERROR(SEARCH("send",B470)),"","pool:TPC|pool:TPC"))</f>
        <v/>
      </c>
      <c r="S470" t="str">
        <f>IFERROR(IF(VLOOKUP(B470,'Sender-Receiver'!$B$3:$BP$1500,60,FALSE)="x","true","false"),"false")</f>
        <v>true</v>
      </c>
      <c r="T470" t="str">
        <f t="shared" si="7"/>
        <v>full</v>
      </c>
      <c r="Y470" t="str">
        <f>IF(BOM!$AE$4=FALSE,IF(ISERROR(SEARCH("Embrionix",BOM!$M$4)),"none",IF(ISERROR(SEARCH("Quadsplit",BOM!$N$4)),IF(ISERROR(SEARCH("rec",B470)),"none","merge"),"none")),IF(ISERROR(SEARCH("rec",B470)),"split","merge"))</f>
        <v>merge</v>
      </c>
    </row>
    <row r="471" spans="1:25" x14ac:dyDescent="0.2">
      <c r="A471" t="s">
        <v>1238</v>
      </c>
      <c r="B471" t="s">
        <v>2178</v>
      </c>
      <c r="C471" t="str">
        <f>IFERROR(VLOOKUP(B471,'Sender-Receiver'!$B$3:$BP$1500,61,FALSE),"")</f>
        <v>Type:Aud_1CH_M,Type:Aud_2CH_LR,Type:Aud_3CH_LRC,Type:Aud_6CH_5.1,#SNP</v>
      </c>
      <c r="D471" t="str">
        <f>IFERROR(VLOOKUP(B471,'Sender-Receiver'!$B$3:$BP$1500,41,FALSE),"")</f>
        <v>MEDEM Edit09 | In Edit09-07 | EditPC-09 IN</v>
      </c>
      <c r="E471" t="s">
        <v>1240</v>
      </c>
      <c r="F471">
        <v>23</v>
      </c>
      <c r="G471" t="s">
        <v>2179</v>
      </c>
      <c r="M471" t="str">
        <f>IF(OR(BOM!$AE$4=FALSE,BOM!$AE$4="-"),IF(ISERROR(SEARCH("send",B471)),"","pool:TPC"),IF(ISERROR(SEARCH("send",B471)),"","pool:TPC|pool:TPC"))</f>
        <v/>
      </c>
      <c r="S471" t="str">
        <f>IFERROR(IF(VLOOKUP(B471,'Sender-Receiver'!$B$3:$BP$1500,60,FALSE)="x","true","false"),"false")</f>
        <v>true</v>
      </c>
      <c r="T471" t="str">
        <f t="shared" si="7"/>
        <v>full</v>
      </c>
      <c r="Y471" t="str">
        <f>IF(BOM!$AE$4=FALSE,IF(ISERROR(SEARCH("Embrionix",BOM!$M$4)),"none",IF(ISERROR(SEARCH("Quadsplit",BOM!$N$4)),IF(ISERROR(SEARCH("rec",B471)),"none","merge"),"none")),IF(ISERROR(SEARCH("rec",B471)),"split","merge"))</f>
        <v>merge</v>
      </c>
    </row>
    <row r="472" spans="1:25" x14ac:dyDescent="0.2">
      <c r="A472" t="s">
        <v>1238</v>
      </c>
      <c r="B472" t="s">
        <v>2180</v>
      </c>
      <c r="C472" t="str">
        <f>IFERROR(VLOOKUP(B472,'Sender-Receiver'!$B$3:$BP$1500,61,FALSE),"")</f>
        <v>Type:Aud_1CH_M,Type:Aud_2CH_LR,Type:Aud_3CH_LRC,Type:Aud_6CH_5.1,#SNP</v>
      </c>
      <c r="D472" t="str">
        <f>IFERROR(VLOOKUP(B472,'Sender-Receiver'!$B$3:$BP$1500,41,FALSE),"")</f>
        <v>MEDEM Edit09 | In Edit09-08 | EditPC-09 IN</v>
      </c>
      <c r="E472" t="s">
        <v>1240</v>
      </c>
      <c r="F472">
        <v>23</v>
      </c>
      <c r="G472" t="s">
        <v>2181</v>
      </c>
      <c r="M472" t="str">
        <f>IF(OR(BOM!$AE$4=FALSE,BOM!$AE$4="-"),IF(ISERROR(SEARCH("send",B472)),"","pool:TPC"),IF(ISERROR(SEARCH("send",B472)),"","pool:TPC|pool:TPC"))</f>
        <v/>
      </c>
      <c r="S472" t="str">
        <f>IFERROR(IF(VLOOKUP(B472,'Sender-Receiver'!$B$3:$BP$1500,60,FALSE)="x","true","false"),"false")</f>
        <v>true</v>
      </c>
      <c r="T472" t="str">
        <f t="shared" si="7"/>
        <v>full</v>
      </c>
      <c r="Y472" t="str">
        <f>IF(BOM!$AE$4=FALSE,IF(ISERROR(SEARCH("Embrionix",BOM!$M$4)),"none",IF(ISERROR(SEARCH("Quadsplit",BOM!$N$4)),IF(ISERROR(SEARCH("rec",B472)),"none","merge"),"none")),IF(ISERROR(SEARCH("rec",B472)),"split","merge"))</f>
        <v>merge</v>
      </c>
    </row>
    <row r="473" spans="1:25" x14ac:dyDescent="0.2">
      <c r="A473" t="s">
        <v>1238</v>
      </c>
      <c r="B473" t="s">
        <v>2182</v>
      </c>
      <c r="C473" t="str">
        <f>IFERROR(VLOOKUP(B473,'Sender-Receiver'!$B$3:$BP$1500,61,FALSE),"")</f>
        <v>Type:Aud_1CH_M,Type:Aud_2CH_LR,Type:Aud_3CH_LRC,Type:Aud_6CH_5.1,#SNP</v>
      </c>
      <c r="D473" t="str">
        <f>IFERROR(VLOOKUP(B473,'Sender-Receiver'!$B$3:$BP$1500,41,FALSE),"")</f>
        <v>MEDEM Edit09 | In Edit09-09 | EditPC-09 IN</v>
      </c>
      <c r="E473" t="s">
        <v>1240</v>
      </c>
      <c r="F473">
        <v>23</v>
      </c>
      <c r="G473" t="s">
        <v>2183</v>
      </c>
      <c r="M473" t="str">
        <f>IF(OR(BOM!$AE$4=FALSE,BOM!$AE$4="-"),IF(ISERROR(SEARCH("send",B473)),"","pool:TPC"),IF(ISERROR(SEARCH("send",B473)),"","pool:TPC|pool:TPC"))</f>
        <v/>
      </c>
      <c r="S473" t="str">
        <f>IFERROR(IF(VLOOKUP(B473,'Sender-Receiver'!$B$3:$BP$1500,60,FALSE)="x","true","false"),"false")</f>
        <v>true</v>
      </c>
      <c r="T473" t="str">
        <f t="shared" si="7"/>
        <v>full</v>
      </c>
      <c r="Y473" t="str">
        <f>IF(BOM!$AE$4=FALSE,IF(ISERROR(SEARCH("Embrionix",BOM!$M$4)),"none",IF(ISERROR(SEARCH("Quadsplit",BOM!$N$4)),IF(ISERROR(SEARCH("rec",B473)),"none","merge"),"none")),IF(ISERROR(SEARCH("rec",B473)),"split","merge"))</f>
        <v>merge</v>
      </c>
    </row>
    <row r="474" spans="1:25" x14ac:dyDescent="0.2">
      <c r="A474" t="s">
        <v>1238</v>
      </c>
      <c r="B474" t="s">
        <v>2184</v>
      </c>
      <c r="C474" t="str">
        <f>IFERROR(VLOOKUP(B474,'Sender-Receiver'!$B$3:$BP$1500,61,FALSE),"")</f>
        <v>#SNP</v>
      </c>
      <c r="D474" t="str">
        <f>IFERROR(VLOOKUP(B474,'Sender-Receiver'!$B$3:$BP$1500,41,FALSE),"")</f>
        <v xml:space="preserve"> |  | EditPC-09 IN</v>
      </c>
      <c r="E474" t="s">
        <v>1240</v>
      </c>
      <c r="F474">
        <v>23</v>
      </c>
      <c r="G474" t="s">
        <v>2185</v>
      </c>
      <c r="M474" t="str">
        <f>IF(OR(BOM!$AE$4=FALSE,BOM!$AE$4="-"),IF(ISERROR(SEARCH("send",B474)),"","pool:TPC"),IF(ISERROR(SEARCH("send",B474)),"","pool:TPC|pool:TPC"))</f>
        <v/>
      </c>
      <c r="S474" t="str">
        <f>IFERROR(IF(VLOOKUP(B474,'Sender-Receiver'!$B$3:$BP$1500,60,FALSE)="x","true","false"),"false")</f>
        <v>false</v>
      </c>
      <c r="T474" t="str">
        <f t="shared" si="7"/>
        <v>off</v>
      </c>
      <c r="Y474" t="str">
        <f>IF(BOM!$AE$4=FALSE,IF(ISERROR(SEARCH("Embrionix",BOM!$M$4)),"none",IF(ISERROR(SEARCH("Quadsplit",BOM!$N$4)),IF(ISERROR(SEARCH("rec",B474)),"none","merge"),"none")),IF(ISERROR(SEARCH("rec",B474)),"split","merge"))</f>
        <v>merge</v>
      </c>
    </row>
    <row r="475" spans="1:25" x14ac:dyDescent="0.2">
      <c r="A475" t="s">
        <v>1238</v>
      </c>
      <c r="B475" t="s">
        <v>2186</v>
      </c>
      <c r="C475" t="str">
        <f>IFERROR(VLOOKUP(B475,'Sender-Receiver'!$B$3:$BP$1500,61,FALSE),"")</f>
        <v>#SNP</v>
      </c>
      <c r="D475" t="str">
        <f>IFERROR(VLOOKUP(B475,'Sender-Receiver'!$B$3:$BP$1500,41,FALSE),"")</f>
        <v xml:space="preserve"> |  | EditPC-09 IN</v>
      </c>
      <c r="E475" t="s">
        <v>1240</v>
      </c>
      <c r="F475">
        <v>23</v>
      </c>
      <c r="G475" t="s">
        <v>2187</v>
      </c>
      <c r="M475" t="str">
        <f>IF(OR(BOM!$AE$4=FALSE,BOM!$AE$4="-"),IF(ISERROR(SEARCH("send",B475)),"","pool:TPC"),IF(ISERROR(SEARCH("send",B475)),"","pool:TPC|pool:TPC"))</f>
        <v/>
      </c>
      <c r="S475" t="str">
        <f>IFERROR(IF(VLOOKUP(B475,'Sender-Receiver'!$B$3:$BP$1500,60,FALSE)="x","true","false"),"false")</f>
        <v>false</v>
      </c>
      <c r="T475" t="str">
        <f t="shared" si="7"/>
        <v>off</v>
      </c>
      <c r="Y475" t="str">
        <f>IF(BOM!$AE$4=FALSE,IF(ISERROR(SEARCH("Embrionix",BOM!$M$4)),"none",IF(ISERROR(SEARCH("Quadsplit",BOM!$N$4)),IF(ISERROR(SEARCH("rec",B475)),"none","merge"),"none")),IF(ISERROR(SEARCH("rec",B475)),"split","merge"))</f>
        <v>merge</v>
      </c>
    </row>
    <row r="476" spans="1:25" x14ac:dyDescent="0.2">
      <c r="A476" t="s">
        <v>1238</v>
      </c>
      <c r="B476" t="s">
        <v>2188</v>
      </c>
      <c r="C476" t="str">
        <f>IFERROR(VLOOKUP(B476,'Sender-Receiver'!$B$3:$BP$1500,61,FALSE),"")</f>
        <v>#SNP</v>
      </c>
      <c r="D476" t="str">
        <f>IFERROR(VLOOKUP(B476,'Sender-Receiver'!$B$3:$BP$1500,41,FALSE),"")</f>
        <v xml:space="preserve"> |  | EditPC-09 IN</v>
      </c>
      <c r="E476" t="s">
        <v>1240</v>
      </c>
      <c r="F476">
        <v>23</v>
      </c>
      <c r="G476" t="s">
        <v>2189</v>
      </c>
      <c r="M476" t="str">
        <f>IF(OR(BOM!$AE$4=FALSE,BOM!$AE$4="-"),IF(ISERROR(SEARCH("send",B476)),"","pool:TPC"),IF(ISERROR(SEARCH("send",B476)),"","pool:TPC|pool:TPC"))</f>
        <v/>
      </c>
      <c r="S476" t="str">
        <f>IFERROR(IF(VLOOKUP(B476,'Sender-Receiver'!$B$3:$BP$1500,60,FALSE)="x","true","false"),"false")</f>
        <v>false</v>
      </c>
      <c r="T476" t="str">
        <f t="shared" si="7"/>
        <v>off</v>
      </c>
      <c r="Y476" t="str">
        <f>IF(BOM!$AE$4=FALSE,IF(ISERROR(SEARCH("Embrionix",BOM!$M$4)),"none",IF(ISERROR(SEARCH("Quadsplit",BOM!$N$4)),IF(ISERROR(SEARCH("rec",B476)),"none","merge"),"none")),IF(ISERROR(SEARCH("rec",B476)),"split","merge"))</f>
        <v>merge</v>
      </c>
    </row>
    <row r="477" spans="1:25" x14ac:dyDescent="0.2">
      <c r="A477" t="s">
        <v>1238</v>
      </c>
      <c r="B477" t="s">
        <v>2190</v>
      </c>
      <c r="C477" t="str">
        <f>IFERROR(VLOOKUP(B477,'Sender-Receiver'!$B$3:$BP$1500,61,FALSE),"")</f>
        <v>#SNP</v>
      </c>
      <c r="D477" t="str">
        <f>IFERROR(VLOOKUP(B477,'Sender-Receiver'!$B$3:$BP$1500,41,FALSE),"")</f>
        <v xml:space="preserve"> |  | EditPC-09 IN</v>
      </c>
      <c r="E477" t="s">
        <v>1240</v>
      </c>
      <c r="F477">
        <v>23</v>
      </c>
      <c r="G477" t="s">
        <v>2191</v>
      </c>
      <c r="M477" t="str">
        <f>IF(OR(BOM!$AE$4=FALSE,BOM!$AE$4="-"),IF(ISERROR(SEARCH("send",B477)),"","pool:TPC"),IF(ISERROR(SEARCH("send",B477)),"","pool:TPC|pool:TPC"))</f>
        <v/>
      </c>
      <c r="S477" t="str">
        <f>IFERROR(IF(VLOOKUP(B477,'Sender-Receiver'!$B$3:$BP$1500,60,FALSE)="x","true","false"),"false")</f>
        <v>false</v>
      </c>
      <c r="T477" t="str">
        <f t="shared" si="7"/>
        <v>off</v>
      </c>
      <c r="Y477" t="str">
        <f>IF(BOM!$AE$4=FALSE,IF(ISERROR(SEARCH("Embrionix",BOM!$M$4)),"none",IF(ISERROR(SEARCH("Quadsplit",BOM!$N$4)),IF(ISERROR(SEARCH("rec",B477)),"none","merge"),"none")),IF(ISERROR(SEARCH("rec",B477)),"split","merge"))</f>
        <v>merge</v>
      </c>
    </row>
    <row r="478" spans="1:25" x14ac:dyDescent="0.2">
      <c r="A478" t="s">
        <v>1238</v>
      </c>
      <c r="B478" t="s">
        <v>2192</v>
      </c>
      <c r="C478" t="str">
        <f>IFERROR(VLOOKUP(B478,'Sender-Receiver'!$B$3:$BP$1500,61,FALSE),"")</f>
        <v>#SNP</v>
      </c>
      <c r="D478" t="str">
        <f>IFERROR(VLOOKUP(B478,'Sender-Receiver'!$B$3:$BP$1500,41,FALSE),"")</f>
        <v xml:space="preserve"> |  | EditPC-09 IN</v>
      </c>
      <c r="E478" t="s">
        <v>1240</v>
      </c>
      <c r="F478">
        <v>23</v>
      </c>
      <c r="G478" t="s">
        <v>2193</v>
      </c>
      <c r="M478" t="str">
        <f>IF(OR(BOM!$AE$4=FALSE,BOM!$AE$4="-"),IF(ISERROR(SEARCH("send",B478)),"","pool:TPC"),IF(ISERROR(SEARCH("send",B478)),"","pool:TPC|pool:TPC"))</f>
        <v/>
      </c>
      <c r="S478" t="str">
        <f>IFERROR(IF(VLOOKUP(B478,'Sender-Receiver'!$B$3:$BP$1500,60,FALSE)="x","true","false"),"false")</f>
        <v>false</v>
      </c>
      <c r="T478" t="str">
        <f t="shared" si="7"/>
        <v>off</v>
      </c>
      <c r="Y478" t="str">
        <f>IF(BOM!$AE$4=FALSE,IF(ISERROR(SEARCH("Embrionix",BOM!$M$4)),"none",IF(ISERROR(SEARCH("Quadsplit",BOM!$N$4)),IF(ISERROR(SEARCH("rec",B478)),"none","merge"),"none")),IF(ISERROR(SEARCH("rec",B478)),"split","merge"))</f>
        <v>merge</v>
      </c>
    </row>
    <row r="479" spans="1:25" x14ac:dyDescent="0.2">
      <c r="A479" t="s">
        <v>1238</v>
      </c>
      <c r="B479" t="s">
        <v>2194</v>
      </c>
      <c r="C479" t="str">
        <f>IFERROR(VLOOKUP(B479,'Sender-Receiver'!$B$3:$BP$1500,61,FALSE),"")</f>
        <v>#SNP</v>
      </c>
      <c r="D479" t="str">
        <f>IFERROR(VLOOKUP(B479,'Sender-Receiver'!$B$3:$BP$1500,41,FALSE),"")</f>
        <v xml:space="preserve"> |  | EditPC-09 IN</v>
      </c>
      <c r="E479" t="s">
        <v>1240</v>
      </c>
      <c r="F479">
        <v>23</v>
      </c>
      <c r="G479" t="s">
        <v>2195</v>
      </c>
      <c r="M479" t="str">
        <f>IF(OR(BOM!$AE$4=FALSE,BOM!$AE$4="-"),IF(ISERROR(SEARCH("send",B479)),"","pool:TPC"),IF(ISERROR(SEARCH("send",B479)),"","pool:TPC|pool:TPC"))</f>
        <v/>
      </c>
      <c r="S479" t="str">
        <f>IFERROR(IF(VLOOKUP(B479,'Sender-Receiver'!$B$3:$BP$1500,60,FALSE)="x","true","false"),"false")</f>
        <v>false</v>
      </c>
      <c r="T479" t="str">
        <f t="shared" si="7"/>
        <v>off</v>
      </c>
      <c r="Y479" t="str">
        <f>IF(BOM!$AE$4=FALSE,IF(ISERROR(SEARCH("Embrionix",BOM!$M$4)),"none",IF(ISERROR(SEARCH("Quadsplit",BOM!$N$4)),IF(ISERROR(SEARCH("rec",B479)),"none","merge"),"none")),IF(ISERROR(SEARCH("rec",B479)),"split","merge"))</f>
        <v>merge</v>
      </c>
    </row>
    <row r="480" spans="1:25" x14ac:dyDescent="0.2">
      <c r="A480" t="s">
        <v>1238</v>
      </c>
      <c r="B480" t="s">
        <v>2196</v>
      </c>
      <c r="C480" t="str">
        <f>IFERROR(VLOOKUP(B480,'Sender-Receiver'!$B$3:$BP$1500,61,FALSE),"")</f>
        <v>#SNP</v>
      </c>
      <c r="D480" t="str">
        <f>IFERROR(VLOOKUP(B480,'Sender-Receiver'!$B$3:$BP$1500,41,FALSE),"")</f>
        <v xml:space="preserve"> |  | EditPC-09 IN</v>
      </c>
      <c r="E480" t="s">
        <v>1240</v>
      </c>
      <c r="F480">
        <v>23</v>
      </c>
      <c r="G480" t="s">
        <v>2197</v>
      </c>
      <c r="M480" t="str">
        <f>IF(OR(BOM!$AE$4=FALSE,BOM!$AE$4="-"),IF(ISERROR(SEARCH("send",B480)),"","pool:TPC"),IF(ISERROR(SEARCH("send",B480)),"","pool:TPC|pool:TPC"))</f>
        <v/>
      </c>
      <c r="S480" t="str">
        <f>IFERROR(IF(VLOOKUP(B480,'Sender-Receiver'!$B$3:$BP$1500,60,FALSE)="x","true","false"),"false")</f>
        <v>false</v>
      </c>
      <c r="T480" t="str">
        <f t="shared" si="7"/>
        <v>off</v>
      </c>
      <c r="Y480" t="str">
        <f>IF(BOM!$AE$4=FALSE,IF(ISERROR(SEARCH("Embrionix",BOM!$M$4)),"none",IF(ISERROR(SEARCH("Quadsplit",BOM!$N$4)),IF(ISERROR(SEARCH("rec",B480)),"none","merge"),"none")),IF(ISERROR(SEARCH("rec",B480)),"split","merge"))</f>
        <v>merge</v>
      </c>
    </row>
    <row r="481" spans="1:25" x14ac:dyDescent="0.2">
      <c r="A481" t="s">
        <v>1238</v>
      </c>
      <c r="B481" t="s">
        <v>2198</v>
      </c>
      <c r="C481" t="str">
        <f>IFERROR(VLOOKUP(B481,'Sender-Receiver'!$B$3:$BP$1500,61,FALSE),"")</f>
        <v>Type:Anc_Prot,#SNP</v>
      </c>
      <c r="D481" t="str">
        <f>IFERROR(VLOOKUP(B481,'Sender-Receiver'!$B$3:$BP$1500,41,FALSE),"")</f>
        <v>MEDEM Edit09 | In Edit09-ANC1 | EditPC-09 IN</v>
      </c>
      <c r="E481" t="s">
        <v>1240</v>
      </c>
      <c r="F481">
        <v>23</v>
      </c>
      <c r="G481" t="s">
        <v>2199</v>
      </c>
      <c r="M481" t="str">
        <f>IF(OR(BOM!$AE$4=FALSE,BOM!$AE$4="-"),IF(ISERROR(SEARCH("send",B481)),"","pool:TPC"),IF(ISERROR(SEARCH("send",B481)),"","pool:TPC|pool:TPC"))</f>
        <v/>
      </c>
      <c r="S481" t="str">
        <f>IFERROR(IF(VLOOKUP(B481,'Sender-Receiver'!$B$3:$BP$1500,60,FALSE)="x","true","false"),"false")</f>
        <v>true</v>
      </c>
      <c r="T481" t="str">
        <f t="shared" si="7"/>
        <v>full</v>
      </c>
      <c r="Y481" t="str">
        <f>IF(BOM!$AE$4=FALSE,IF(ISERROR(SEARCH("Embrionix",BOM!$M$4)),"none",IF(ISERROR(SEARCH("Quadsplit",BOM!$N$4)),IF(ISERROR(SEARCH("rec",B481)),"none","merge"),"none")),IF(ISERROR(SEARCH("rec",B481)),"split","merge"))</f>
        <v>merge</v>
      </c>
    </row>
    <row r="482" spans="1:25" x14ac:dyDescent="0.2">
      <c r="A482" t="s">
        <v>1238</v>
      </c>
      <c r="B482" t="s">
        <v>2200</v>
      </c>
      <c r="C482" t="str">
        <f>IFERROR(VLOOKUP(B482,'Sender-Receiver'!$B$3:$BP$1500,61,FALSE),"")</f>
        <v>#SNP</v>
      </c>
      <c r="D482" t="str">
        <f>IFERROR(VLOOKUP(B482,'Sender-Receiver'!$B$3:$BP$1500,41,FALSE),"")</f>
        <v xml:space="preserve"> |  | EditPC-09 IN</v>
      </c>
      <c r="E482" t="s">
        <v>1240</v>
      </c>
      <c r="F482">
        <v>23</v>
      </c>
      <c r="G482" t="s">
        <v>2201</v>
      </c>
      <c r="M482" t="str">
        <f>IF(OR(BOM!$AE$4=FALSE,BOM!$AE$4="-"),IF(ISERROR(SEARCH("send",B482)),"","pool:TPC"),IF(ISERROR(SEARCH("send",B482)),"","pool:TPC|pool:TPC"))</f>
        <v/>
      </c>
      <c r="S482" t="str">
        <f>IFERROR(IF(VLOOKUP(B482,'Sender-Receiver'!$B$3:$BP$1500,60,FALSE)="x","true","false"),"false")</f>
        <v>false</v>
      </c>
      <c r="T482" t="str">
        <f t="shared" si="7"/>
        <v>off</v>
      </c>
      <c r="Y482" t="str">
        <f>IF(BOM!$AE$4=FALSE,IF(ISERROR(SEARCH("Embrionix",BOM!$M$4)),"none",IF(ISERROR(SEARCH("Quadsplit",BOM!$N$4)),IF(ISERROR(SEARCH("rec",B482)),"none","merge"),"none")),IF(ISERROR(SEARCH("rec",B482)),"split","merge"))</f>
        <v>merge</v>
      </c>
    </row>
    <row r="483" spans="1:25" x14ac:dyDescent="0.2">
      <c r="A483" t="s">
        <v>1238</v>
      </c>
      <c r="B483" t="s">
        <v>2202</v>
      </c>
      <c r="C483" t="str">
        <f>IFERROR(VLOOKUP(B483,'Sender-Receiver'!$B$3:$BP$1500,61,FALSE),"")</f>
        <v>#SNP</v>
      </c>
      <c r="D483" t="str">
        <f>IFERROR(VLOOKUP(B483,'Sender-Receiver'!$B$3:$BP$1500,41,FALSE),"")</f>
        <v xml:space="preserve"> |  | EditPC-09 IN</v>
      </c>
      <c r="E483" t="s">
        <v>1240</v>
      </c>
      <c r="F483">
        <v>23</v>
      </c>
      <c r="G483" t="s">
        <v>2203</v>
      </c>
      <c r="M483" t="str">
        <f>IF(OR(BOM!$AE$4=FALSE,BOM!$AE$4="-"),IF(ISERROR(SEARCH("send",B483)),"","pool:TPC"),IF(ISERROR(SEARCH("send",B483)),"","pool:TPC|pool:TPC"))</f>
        <v/>
      </c>
      <c r="S483" t="str">
        <f>IFERROR(IF(VLOOKUP(B483,'Sender-Receiver'!$B$3:$BP$1500,60,FALSE)="x","true","false"),"false")</f>
        <v>false</v>
      </c>
      <c r="T483" t="str">
        <f t="shared" si="7"/>
        <v>off</v>
      </c>
      <c r="Y483" t="str">
        <f>IF(BOM!$AE$4=FALSE,IF(ISERROR(SEARCH("Embrionix",BOM!$M$4)),"none",IF(ISERROR(SEARCH("Quadsplit",BOM!$N$4)),IF(ISERROR(SEARCH("rec",B483)),"none","merge"),"none")),IF(ISERROR(SEARCH("rec",B483)),"split","merge"))</f>
        <v>merge</v>
      </c>
    </row>
    <row r="484" spans="1:25" x14ac:dyDescent="0.2">
      <c r="A484" t="s">
        <v>1238</v>
      </c>
      <c r="B484" t="s">
        <v>2204</v>
      </c>
      <c r="C484" t="str">
        <f>IFERROR(VLOOKUP(B484,'Sender-Receiver'!$B$3:$BP$1500,61,FALSE),"")</f>
        <v>#SNP</v>
      </c>
      <c r="D484" t="str">
        <f>IFERROR(VLOOKUP(B484,'Sender-Receiver'!$B$3:$BP$1500,41,FALSE),"")</f>
        <v xml:space="preserve"> |  | EditPC-09 IN</v>
      </c>
      <c r="E484" t="s">
        <v>1240</v>
      </c>
      <c r="F484">
        <v>23</v>
      </c>
      <c r="G484" t="s">
        <v>2205</v>
      </c>
      <c r="M484" t="str">
        <f>IF(OR(BOM!$AE$4=FALSE,BOM!$AE$4="-"),IF(ISERROR(SEARCH("send",B484)),"","pool:TPC"),IF(ISERROR(SEARCH("send",B484)),"","pool:TPC|pool:TPC"))</f>
        <v/>
      </c>
      <c r="S484" t="str">
        <f>IFERROR(IF(VLOOKUP(B484,'Sender-Receiver'!$B$3:$BP$1500,60,FALSE)="x","true","false"),"false")</f>
        <v>false</v>
      </c>
      <c r="T484" t="str">
        <f t="shared" si="7"/>
        <v>off</v>
      </c>
      <c r="Y484" t="str">
        <f>IF(BOM!$AE$4=FALSE,IF(ISERROR(SEARCH("Embrionix",BOM!$M$4)),"none",IF(ISERROR(SEARCH("Quadsplit",BOM!$N$4)),IF(ISERROR(SEARCH("rec",B484)),"none","merge"),"none")),IF(ISERROR(SEARCH("rec",B484)),"split","merge"))</f>
        <v>merge</v>
      </c>
    </row>
    <row r="485" spans="1:25" x14ac:dyDescent="0.2">
      <c r="A485" t="s">
        <v>1238</v>
      </c>
      <c r="B485" t="s">
        <v>2206</v>
      </c>
      <c r="C485" t="str">
        <f>IFERROR(VLOOKUP(B485,'Sender-Receiver'!$B$3:$BP$1500,61,FALSE),"")</f>
        <v>Type:Vid_1080i50,Type:Vid_1080p25,Type:Vid_1080p50,Type:Vid_1080p60,#SNP</v>
      </c>
      <c r="D485" t="str">
        <f>IFERROR(VLOOKUP(B485,'Sender-Receiver'!$B$3:$BP$1500,41,FALSE),"")</f>
        <v>MEDEM Edit10 | In Edit10 | EditPC-10 IN</v>
      </c>
      <c r="E485" t="s">
        <v>1240</v>
      </c>
      <c r="F485">
        <v>24</v>
      </c>
      <c r="G485" t="s">
        <v>2207</v>
      </c>
      <c r="M485" t="str">
        <f>IF(OR(BOM!$AE$4=FALSE,BOM!$AE$4="-"),IF(ISERROR(SEARCH("send",B485)),"","pool:TPC"),IF(ISERROR(SEARCH("send",B485)),"","pool:TPC|pool:TPC"))</f>
        <v/>
      </c>
      <c r="S485" t="str">
        <f>IFERROR(IF(VLOOKUP(B485,'Sender-Receiver'!$B$3:$BP$1500,60,FALSE)="x","true","false"),"false")</f>
        <v>true</v>
      </c>
      <c r="T485" t="str">
        <f t="shared" si="7"/>
        <v>full</v>
      </c>
      <c r="Y485" t="str">
        <f>IF(BOM!$AE$4=FALSE,IF(ISERROR(SEARCH("Embrionix",BOM!$M$4)),"none",IF(ISERROR(SEARCH("Quadsplit",BOM!$N$4)),IF(ISERROR(SEARCH("rec",B485)),"none","merge"),"none")),IF(ISERROR(SEARCH("rec",B485)),"split","merge"))</f>
        <v>merge</v>
      </c>
    </row>
    <row r="486" spans="1:25" x14ac:dyDescent="0.2">
      <c r="A486" t="s">
        <v>1238</v>
      </c>
      <c r="B486" t="s">
        <v>2208</v>
      </c>
      <c r="C486" t="str">
        <f>IFERROR(VLOOKUP(B486,'Sender-Receiver'!$B$3:$BP$1500,61,FALSE),"")</f>
        <v>Type:Aud_1CH_M,Type:Aud_2CH_LR,Type:Aud_3CH_LRC,Type:Aud_6CH_5.1,#SNP</v>
      </c>
      <c r="D486" t="str">
        <f>IFERROR(VLOOKUP(B486,'Sender-Receiver'!$B$3:$BP$1500,41,FALSE),"")</f>
        <v>MEDEM Edit10 | In Edit10-01 | EditPC-10 IN</v>
      </c>
      <c r="E486" t="s">
        <v>1240</v>
      </c>
      <c r="F486">
        <v>24</v>
      </c>
      <c r="G486" t="s">
        <v>2209</v>
      </c>
      <c r="M486" t="str">
        <f>IF(OR(BOM!$AE$4=FALSE,BOM!$AE$4="-"),IF(ISERROR(SEARCH("send",B486)),"","pool:TPC"),IF(ISERROR(SEARCH("send",B486)),"","pool:TPC|pool:TPC"))</f>
        <v/>
      </c>
      <c r="S486" t="str">
        <f>IFERROR(IF(VLOOKUP(B486,'Sender-Receiver'!$B$3:$BP$1500,60,FALSE)="x","true","false"),"false")</f>
        <v>true</v>
      </c>
      <c r="T486" t="str">
        <f t="shared" si="7"/>
        <v>full</v>
      </c>
      <c r="Y486" t="str">
        <f>IF(BOM!$AE$4=FALSE,IF(ISERROR(SEARCH("Embrionix",BOM!$M$4)),"none",IF(ISERROR(SEARCH("Quadsplit",BOM!$N$4)),IF(ISERROR(SEARCH("rec",B486)),"none","merge"),"none")),IF(ISERROR(SEARCH("rec",B486)),"split","merge"))</f>
        <v>merge</v>
      </c>
    </row>
    <row r="487" spans="1:25" x14ac:dyDescent="0.2">
      <c r="A487" t="s">
        <v>1238</v>
      </c>
      <c r="B487" t="s">
        <v>2210</v>
      </c>
      <c r="C487" t="str">
        <f>IFERROR(VLOOKUP(B487,'Sender-Receiver'!$B$3:$BP$1500,61,FALSE),"")</f>
        <v>Type:Aud_1CH_M,Type:Aud_2CH_LR,Type:Aud_3CH_LRC,Type:Aud_6CH_5.1,#SNP</v>
      </c>
      <c r="D487" t="str">
        <f>IFERROR(VLOOKUP(B487,'Sender-Receiver'!$B$3:$BP$1500,41,FALSE),"")</f>
        <v>MEDEM Edit10 | In Edit10-02 | EditPC-10 IN</v>
      </c>
      <c r="E487" t="s">
        <v>1240</v>
      </c>
      <c r="F487">
        <v>24</v>
      </c>
      <c r="G487" t="s">
        <v>2211</v>
      </c>
      <c r="M487" t="str">
        <f>IF(OR(BOM!$AE$4=FALSE,BOM!$AE$4="-"),IF(ISERROR(SEARCH("send",B487)),"","pool:TPC"),IF(ISERROR(SEARCH("send",B487)),"","pool:TPC|pool:TPC"))</f>
        <v/>
      </c>
      <c r="S487" t="str">
        <f>IFERROR(IF(VLOOKUP(B487,'Sender-Receiver'!$B$3:$BP$1500,60,FALSE)="x","true","false"),"false")</f>
        <v>true</v>
      </c>
      <c r="T487" t="str">
        <f t="shared" si="7"/>
        <v>full</v>
      </c>
      <c r="Y487" t="str">
        <f>IF(BOM!$AE$4=FALSE,IF(ISERROR(SEARCH("Embrionix",BOM!$M$4)),"none",IF(ISERROR(SEARCH("Quadsplit",BOM!$N$4)),IF(ISERROR(SEARCH("rec",B487)),"none","merge"),"none")),IF(ISERROR(SEARCH("rec",B487)),"split","merge"))</f>
        <v>merge</v>
      </c>
    </row>
    <row r="488" spans="1:25" x14ac:dyDescent="0.2">
      <c r="A488" t="s">
        <v>1238</v>
      </c>
      <c r="B488" t="s">
        <v>2212</v>
      </c>
      <c r="C488" t="str">
        <f>IFERROR(VLOOKUP(B488,'Sender-Receiver'!$B$3:$BP$1500,61,FALSE),"")</f>
        <v>Type:Aud_1CH_M,Type:Aud_2CH_LR,Type:Aud_3CH_LRC,Type:Aud_6CH_5.1,#SNP</v>
      </c>
      <c r="D488" t="str">
        <f>IFERROR(VLOOKUP(B488,'Sender-Receiver'!$B$3:$BP$1500,41,FALSE),"")</f>
        <v>MEDEM Edit10 | In Edit10-03 | EditPC-10 IN</v>
      </c>
      <c r="E488" t="s">
        <v>1240</v>
      </c>
      <c r="F488">
        <v>24</v>
      </c>
      <c r="G488" t="s">
        <v>2213</v>
      </c>
      <c r="M488" t="str">
        <f>IF(OR(BOM!$AE$4=FALSE,BOM!$AE$4="-"),IF(ISERROR(SEARCH("send",B488)),"","pool:TPC"),IF(ISERROR(SEARCH("send",B488)),"","pool:TPC|pool:TPC"))</f>
        <v/>
      </c>
      <c r="S488" t="str">
        <f>IFERROR(IF(VLOOKUP(B488,'Sender-Receiver'!$B$3:$BP$1500,60,FALSE)="x","true","false"),"false")</f>
        <v>true</v>
      </c>
      <c r="T488" t="str">
        <f t="shared" si="7"/>
        <v>full</v>
      </c>
      <c r="Y488" t="str">
        <f>IF(BOM!$AE$4=FALSE,IF(ISERROR(SEARCH("Embrionix",BOM!$M$4)),"none",IF(ISERROR(SEARCH("Quadsplit",BOM!$N$4)),IF(ISERROR(SEARCH("rec",B488)),"none","merge"),"none")),IF(ISERROR(SEARCH("rec",B488)),"split","merge"))</f>
        <v>merge</v>
      </c>
    </row>
    <row r="489" spans="1:25" x14ac:dyDescent="0.2">
      <c r="A489" t="s">
        <v>1238</v>
      </c>
      <c r="B489" t="s">
        <v>2214</v>
      </c>
      <c r="C489" t="str">
        <f>IFERROR(VLOOKUP(B489,'Sender-Receiver'!$B$3:$BP$1500,61,FALSE),"")</f>
        <v>Type:Aud_1CH_M,Type:Aud_2CH_LR,Type:Aud_3CH_LRC,Type:Aud_6CH_5.1,#SNP</v>
      </c>
      <c r="D489" t="str">
        <f>IFERROR(VLOOKUP(B489,'Sender-Receiver'!$B$3:$BP$1500,41,FALSE),"")</f>
        <v>MEDEM Edit10 | In Edit10-04 | EditPC-10 IN</v>
      </c>
      <c r="E489" t="s">
        <v>1240</v>
      </c>
      <c r="F489">
        <v>24</v>
      </c>
      <c r="G489" t="s">
        <v>2215</v>
      </c>
      <c r="M489" t="str">
        <f>IF(OR(BOM!$AE$4=FALSE,BOM!$AE$4="-"),IF(ISERROR(SEARCH("send",B489)),"","pool:TPC"),IF(ISERROR(SEARCH("send",B489)),"","pool:TPC|pool:TPC"))</f>
        <v/>
      </c>
      <c r="S489" t="str">
        <f>IFERROR(IF(VLOOKUP(B489,'Sender-Receiver'!$B$3:$BP$1500,60,FALSE)="x","true","false"),"false")</f>
        <v>true</v>
      </c>
      <c r="T489" t="str">
        <f t="shared" si="7"/>
        <v>full</v>
      </c>
      <c r="Y489" t="str">
        <f>IF(BOM!$AE$4=FALSE,IF(ISERROR(SEARCH("Embrionix",BOM!$M$4)),"none",IF(ISERROR(SEARCH("Quadsplit",BOM!$N$4)),IF(ISERROR(SEARCH("rec",B489)),"none","merge"),"none")),IF(ISERROR(SEARCH("rec",B489)),"split","merge"))</f>
        <v>merge</v>
      </c>
    </row>
    <row r="490" spans="1:25" x14ac:dyDescent="0.2">
      <c r="A490" t="s">
        <v>1238</v>
      </c>
      <c r="B490" t="s">
        <v>2216</v>
      </c>
      <c r="C490" t="str">
        <f>IFERROR(VLOOKUP(B490,'Sender-Receiver'!$B$3:$BP$1500,61,FALSE),"")</f>
        <v>Type:Aud_1CH_M,Type:Aud_2CH_LR,Type:Aud_3CH_LRC,Type:Aud_6CH_5.1,#SNP</v>
      </c>
      <c r="D490" t="str">
        <f>IFERROR(VLOOKUP(B490,'Sender-Receiver'!$B$3:$BP$1500,41,FALSE),"")</f>
        <v>MEDEM Edit10 | In Edit10-05 | EditPC-10 IN</v>
      </c>
      <c r="E490" t="s">
        <v>1240</v>
      </c>
      <c r="F490">
        <v>24</v>
      </c>
      <c r="G490" t="s">
        <v>2217</v>
      </c>
      <c r="M490" t="str">
        <f>IF(OR(BOM!$AE$4=FALSE,BOM!$AE$4="-"),IF(ISERROR(SEARCH("send",B490)),"","pool:TPC"),IF(ISERROR(SEARCH("send",B490)),"","pool:TPC|pool:TPC"))</f>
        <v/>
      </c>
      <c r="S490" t="str">
        <f>IFERROR(IF(VLOOKUP(B490,'Sender-Receiver'!$B$3:$BP$1500,60,FALSE)="x","true","false"),"false")</f>
        <v>true</v>
      </c>
      <c r="T490" t="str">
        <f t="shared" si="7"/>
        <v>full</v>
      </c>
      <c r="Y490" t="str">
        <f>IF(BOM!$AE$4=FALSE,IF(ISERROR(SEARCH("Embrionix",BOM!$M$4)),"none",IF(ISERROR(SEARCH("Quadsplit",BOM!$N$4)),IF(ISERROR(SEARCH("rec",B490)),"none","merge"),"none")),IF(ISERROR(SEARCH("rec",B490)),"split","merge"))</f>
        <v>merge</v>
      </c>
    </row>
    <row r="491" spans="1:25" x14ac:dyDescent="0.2">
      <c r="A491" t="s">
        <v>1238</v>
      </c>
      <c r="B491" t="s">
        <v>2218</v>
      </c>
      <c r="C491" t="str">
        <f>IFERROR(VLOOKUP(B491,'Sender-Receiver'!$B$3:$BP$1500,61,FALSE),"")</f>
        <v>Type:Aud_1CH_M,Type:Aud_2CH_LR,Type:Aud_3CH_LRC,Type:Aud_6CH_5.1,#SNP</v>
      </c>
      <c r="D491" t="str">
        <f>IFERROR(VLOOKUP(B491,'Sender-Receiver'!$B$3:$BP$1500,41,FALSE),"")</f>
        <v>MEDEM Edit10 | In Edit10-06 | EditPC-10 IN</v>
      </c>
      <c r="E491" t="s">
        <v>1240</v>
      </c>
      <c r="F491">
        <v>24</v>
      </c>
      <c r="G491" t="s">
        <v>2219</v>
      </c>
      <c r="M491" t="str">
        <f>IF(OR(BOM!$AE$4=FALSE,BOM!$AE$4="-"),IF(ISERROR(SEARCH("send",B491)),"","pool:TPC"),IF(ISERROR(SEARCH("send",B491)),"","pool:TPC|pool:TPC"))</f>
        <v/>
      </c>
      <c r="S491" t="str">
        <f>IFERROR(IF(VLOOKUP(B491,'Sender-Receiver'!$B$3:$BP$1500,60,FALSE)="x","true","false"),"false")</f>
        <v>true</v>
      </c>
      <c r="T491" t="str">
        <f t="shared" si="7"/>
        <v>full</v>
      </c>
      <c r="Y491" t="str">
        <f>IF(BOM!$AE$4=FALSE,IF(ISERROR(SEARCH("Embrionix",BOM!$M$4)),"none",IF(ISERROR(SEARCH("Quadsplit",BOM!$N$4)),IF(ISERROR(SEARCH("rec",B491)),"none","merge"),"none")),IF(ISERROR(SEARCH("rec",B491)),"split","merge"))</f>
        <v>merge</v>
      </c>
    </row>
    <row r="492" spans="1:25" x14ac:dyDescent="0.2">
      <c r="A492" t="s">
        <v>1238</v>
      </c>
      <c r="B492" t="s">
        <v>2220</v>
      </c>
      <c r="C492" t="str">
        <f>IFERROR(VLOOKUP(B492,'Sender-Receiver'!$B$3:$BP$1500,61,FALSE),"")</f>
        <v>Type:Aud_1CH_M,Type:Aud_2CH_LR,Type:Aud_3CH_LRC,Type:Aud_6CH_5.1,#SNP</v>
      </c>
      <c r="D492" t="str">
        <f>IFERROR(VLOOKUP(B492,'Sender-Receiver'!$B$3:$BP$1500,41,FALSE),"")</f>
        <v>MEDEM Edit10 | In Edit10-07 | EditPC-10 IN</v>
      </c>
      <c r="E492" t="s">
        <v>1240</v>
      </c>
      <c r="F492">
        <v>24</v>
      </c>
      <c r="G492" t="s">
        <v>2221</v>
      </c>
      <c r="M492" t="str">
        <f>IF(OR(BOM!$AE$4=FALSE,BOM!$AE$4="-"),IF(ISERROR(SEARCH("send",B492)),"","pool:TPC"),IF(ISERROR(SEARCH("send",B492)),"","pool:TPC|pool:TPC"))</f>
        <v/>
      </c>
      <c r="S492" t="str">
        <f>IFERROR(IF(VLOOKUP(B492,'Sender-Receiver'!$B$3:$BP$1500,60,FALSE)="x","true","false"),"false")</f>
        <v>true</v>
      </c>
      <c r="T492" t="str">
        <f t="shared" si="7"/>
        <v>full</v>
      </c>
      <c r="Y492" t="str">
        <f>IF(BOM!$AE$4=FALSE,IF(ISERROR(SEARCH("Embrionix",BOM!$M$4)),"none",IF(ISERROR(SEARCH("Quadsplit",BOM!$N$4)),IF(ISERROR(SEARCH("rec",B492)),"none","merge"),"none")),IF(ISERROR(SEARCH("rec",B492)),"split","merge"))</f>
        <v>merge</v>
      </c>
    </row>
    <row r="493" spans="1:25" x14ac:dyDescent="0.2">
      <c r="A493" t="s">
        <v>1238</v>
      </c>
      <c r="B493" t="s">
        <v>2222</v>
      </c>
      <c r="C493" t="str">
        <f>IFERROR(VLOOKUP(B493,'Sender-Receiver'!$B$3:$BP$1500,61,FALSE),"")</f>
        <v>Type:Aud_1CH_M,Type:Aud_2CH_LR,Type:Aud_3CH_LRC,Type:Aud_6CH_5.1,#SNP</v>
      </c>
      <c r="D493" t="str">
        <f>IFERROR(VLOOKUP(B493,'Sender-Receiver'!$B$3:$BP$1500,41,FALSE),"")</f>
        <v>MEDEM Edit10 | In Edit10-08 | EditPC-10 IN</v>
      </c>
      <c r="E493" t="s">
        <v>1240</v>
      </c>
      <c r="F493">
        <v>24</v>
      </c>
      <c r="G493" t="s">
        <v>2223</v>
      </c>
      <c r="M493" t="str">
        <f>IF(OR(BOM!$AE$4=FALSE,BOM!$AE$4="-"),IF(ISERROR(SEARCH("send",B493)),"","pool:TPC"),IF(ISERROR(SEARCH("send",B493)),"","pool:TPC|pool:TPC"))</f>
        <v/>
      </c>
      <c r="S493" t="str">
        <f>IFERROR(IF(VLOOKUP(B493,'Sender-Receiver'!$B$3:$BP$1500,60,FALSE)="x","true","false"),"false")</f>
        <v>true</v>
      </c>
      <c r="T493" t="str">
        <f t="shared" si="7"/>
        <v>full</v>
      </c>
      <c r="Y493" t="str">
        <f>IF(BOM!$AE$4=FALSE,IF(ISERROR(SEARCH("Embrionix",BOM!$M$4)),"none",IF(ISERROR(SEARCH("Quadsplit",BOM!$N$4)),IF(ISERROR(SEARCH("rec",B493)),"none","merge"),"none")),IF(ISERROR(SEARCH("rec",B493)),"split","merge"))</f>
        <v>merge</v>
      </c>
    </row>
    <row r="494" spans="1:25" x14ac:dyDescent="0.2">
      <c r="A494" t="s">
        <v>1238</v>
      </c>
      <c r="B494" t="s">
        <v>2224</v>
      </c>
      <c r="C494" t="str">
        <f>IFERROR(VLOOKUP(B494,'Sender-Receiver'!$B$3:$BP$1500,61,FALSE),"")</f>
        <v>Type:Aud_1CH_M,Type:Aud_2CH_LR,Type:Aud_3CH_LRC,Type:Aud_6CH_5.1,#SNP</v>
      </c>
      <c r="D494" t="str">
        <f>IFERROR(VLOOKUP(B494,'Sender-Receiver'!$B$3:$BP$1500,41,FALSE),"")</f>
        <v>MEDEM Edit10 | In Edit10-09 | EditPC-10 IN</v>
      </c>
      <c r="E494" t="s">
        <v>1240</v>
      </c>
      <c r="F494">
        <v>24</v>
      </c>
      <c r="G494" t="s">
        <v>2225</v>
      </c>
      <c r="M494" t="str">
        <f>IF(OR(BOM!$AE$4=FALSE,BOM!$AE$4="-"),IF(ISERROR(SEARCH("send",B494)),"","pool:TPC"),IF(ISERROR(SEARCH("send",B494)),"","pool:TPC|pool:TPC"))</f>
        <v/>
      </c>
      <c r="S494" t="str">
        <f>IFERROR(IF(VLOOKUP(B494,'Sender-Receiver'!$B$3:$BP$1500,60,FALSE)="x","true","false"),"false")</f>
        <v>true</v>
      </c>
      <c r="T494" t="str">
        <f t="shared" si="7"/>
        <v>full</v>
      </c>
      <c r="Y494" t="str">
        <f>IF(BOM!$AE$4=FALSE,IF(ISERROR(SEARCH("Embrionix",BOM!$M$4)),"none",IF(ISERROR(SEARCH("Quadsplit",BOM!$N$4)),IF(ISERROR(SEARCH("rec",B494)),"none","merge"),"none")),IF(ISERROR(SEARCH("rec",B494)),"split","merge"))</f>
        <v>merge</v>
      </c>
    </row>
    <row r="495" spans="1:25" x14ac:dyDescent="0.2">
      <c r="A495" t="s">
        <v>1238</v>
      </c>
      <c r="B495" t="s">
        <v>2226</v>
      </c>
      <c r="C495" t="str">
        <f>IFERROR(VLOOKUP(B495,'Sender-Receiver'!$B$3:$BP$1500,61,FALSE),"")</f>
        <v>#SNP</v>
      </c>
      <c r="D495" t="str">
        <f>IFERROR(VLOOKUP(B495,'Sender-Receiver'!$B$3:$BP$1500,41,FALSE),"")</f>
        <v xml:space="preserve"> |  | EditPC-10 IN</v>
      </c>
      <c r="E495" t="s">
        <v>1240</v>
      </c>
      <c r="F495">
        <v>24</v>
      </c>
      <c r="G495" t="s">
        <v>2227</v>
      </c>
      <c r="M495" t="str">
        <f>IF(OR(BOM!$AE$4=FALSE,BOM!$AE$4="-"),IF(ISERROR(SEARCH("send",B495)),"","pool:TPC"),IF(ISERROR(SEARCH("send",B495)),"","pool:TPC|pool:TPC"))</f>
        <v/>
      </c>
      <c r="S495" t="str">
        <f>IFERROR(IF(VLOOKUP(B495,'Sender-Receiver'!$B$3:$BP$1500,60,FALSE)="x","true","false"),"false")</f>
        <v>false</v>
      </c>
      <c r="T495" t="str">
        <f t="shared" si="7"/>
        <v>off</v>
      </c>
      <c r="Y495" t="str">
        <f>IF(BOM!$AE$4=FALSE,IF(ISERROR(SEARCH("Embrionix",BOM!$M$4)),"none",IF(ISERROR(SEARCH("Quadsplit",BOM!$N$4)),IF(ISERROR(SEARCH("rec",B495)),"none","merge"),"none")),IF(ISERROR(SEARCH("rec",B495)),"split","merge"))</f>
        <v>merge</v>
      </c>
    </row>
    <row r="496" spans="1:25" x14ac:dyDescent="0.2">
      <c r="A496" t="s">
        <v>1238</v>
      </c>
      <c r="B496" t="s">
        <v>2228</v>
      </c>
      <c r="C496" t="str">
        <f>IFERROR(VLOOKUP(B496,'Sender-Receiver'!$B$3:$BP$1500,61,FALSE),"")</f>
        <v>#SNP</v>
      </c>
      <c r="D496" t="str">
        <f>IFERROR(VLOOKUP(B496,'Sender-Receiver'!$B$3:$BP$1500,41,FALSE),"")</f>
        <v xml:space="preserve"> |  | EditPC-10 IN</v>
      </c>
      <c r="E496" t="s">
        <v>1240</v>
      </c>
      <c r="F496">
        <v>24</v>
      </c>
      <c r="G496" t="s">
        <v>2229</v>
      </c>
      <c r="M496" t="str">
        <f>IF(OR(BOM!$AE$4=FALSE,BOM!$AE$4="-"),IF(ISERROR(SEARCH("send",B496)),"","pool:TPC"),IF(ISERROR(SEARCH("send",B496)),"","pool:TPC|pool:TPC"))</f>
        <v/>
      </c>
      <c r="S496" t="str">
        <f>IFERROR(IF(VLOOKUP(B496,'Sender-Receiver'!$B$3:$BP$1500,60,FALSE)="x","true","false"),"false")</f>
        <v>false</v>
      </c>
      <c r="T496" t="str">
        <f t="shared" si="7"/>
        <v>off</v>
      </c>
      <c r="Y496" t="str">
        <f>IF(BOM!$AE$4=FALSE,IF(ISERROR(SEARCH("Embrionix",BOM!$M$4)),"none",IF(ISERROR(SEARCH("Quadsplit",BOM!$N$4)),IF(ISERROR(SEARCH("rec",B496)),"none","merge"),"none")),IF(ISERROR(SEARCH("rec",B496)),"split","merge"))</f>
        <v>merge</v>
      </c>
    </row>
    <row r="497" spans="1:25" x14ac:dyDescent="0.2">
      <c r="A497" t="s">
        <v>1238</v>
      </c>
      <c r="B497" t="s">
        <v>2230</v>
      </c>
      <c r="C497" t="str">
        <f>IFERROR(VLOOKUP(B497,'Sender-Receiver'!$B$3:$BP$1500,61,FALSE),"")</f>
        <v>#SNP</v>
      </c>
      <c r="D497" t="str">
        <f>IFERROR(VLOOKUP(B497,'Sender-Receiver'!$B$3:$BP$1500,41,FALSE),"")</f>
        <v xml:space="preserve"> |  | EditPC-10 IN</v>
      </c>
      <c r="E497" t="s">
        <v>1240</v>
      </c>
      <c r="F497">
        <v>24</v>
      </c>
      <c r="G497" t="s">
        <v>2231</v>
      </c>
      <c r="M497" t="str">
        <f>IF(OR(BOM!$AE$4=FALSE,BOM!$AE$4="-"),IF(ISERROR(SEARCH("send",B497)),"","pool:TPC"),IF(ISERROR(SEARCH("send",B497)),"","pool:TPC|pool:TPC"))</f>
        <v/>
      </c>
      <c r="S497" t="str">
        <f>IFERROR(IF(VLOOKUP(B497,'Sender-Receiver'!$B$3:$BP$1500,60,FALSE)="x","true","false"),"false")</f>
        <v>false</v>
      </c>
      <c r="T497" t="str">
        <f t="shared" si="7"/>
        <v>off</v>
      </c>
      <c r="Y497" t="str">
        <f>IF(BOM!$AE$4=FALSE,IF(ISERROR(SEARCH("Embrionix",BOM!$M$4)),"none",IF(ISERROR(SEARCH("Quadsplit",BOM!$N$4)),IF(ISERROR(SEARCH("rec",B497)),"none","merge"),"none")),IF(ISERROR(SEARCH("rec",B497)),"split","merge"))</f>
        <v>merge</v>
      </c>
    </row>
    <row r="498" spans="1:25" x14ac:dyDescent="0.2">
      <c r="A498" t="s">
        <v>1238</v>
      </c>
      <c r="B498" t="s">
        <v>2232</v>
      </c>
      <c r="C498" t="str">
        <f>IFERROR(VLOOKUP(B498,'Sender-Receiver'!$B$3:$BP$1500,61,FALSE),"")</f>
        <v>#SNP</v>
      </c>
      <c r="D498" t="str">
        <f>IFERROR(VLOOKUP(B498,'Sender-Receiver'!$B$3:$BP$1500,41,FALSE),"")</f>
        <v xml:space="preserve"> |  | EditPC-10 IN</v>
      </c>
      <c r="E498" t="s">
        <v>1240</v>
      </c>
      <c r="F498">
        <v>24</v>
      </c>
      <c r="G498" t="s">
        <v>2233</v>
      </c>
      <c r="M498" t="str">
        <f>IF(OR(BOM!$AE$4=FALSE,BOM!$AE$4="-"),IF(ISERROR(SEARCH("send",B498)),"","pool:TPC"),IF(ISERROR(SEARCH("send",B498)),"","pool:TPC|pool:TPC"))</f>
        <v/>
      </c>
      <c r="S498" t="str">
        <f>IFERROR(IF(VLOOKUP(B498,'Sender-Receiver'!$B$3:$BP$1500,60,FALSE)="x","true","false"),"false")</f>
        <v>false</v>
      </c>
      <c r="T498" t="str">
        <f t="shared" si="7"/>
        <v>off</v>
      </c>
      <c r="Y498" t="str">
        <f>IF(BOM!$AE$4=FALSE,IF(ISERROR(SEARCH("Embrionix",BOM!$M$4)),"none",IF(ISERROR(SEARCH("Quadsplit",BOM!$N$4)),IF(ISERROR(SEARCH("rec",B498)),"none","merge"),"none")),IF(ISERROR(SEARCH("rec",B498)),"split","merge"))</f>
        <v>merge</v>
      </c>
    </row>
    <row r="499" spans="1:25" x14ac:dyDescent="0.2">
      <c r="A499" t="s">
        <v>1238</v>
      </c>
      <c r="B499" t="s">
        <v>2234</v>
      </c>
      <c r="C499" t="str">
        <f>IFERROR(VLOOKUP(B499,'Sender-Receiver'!$B$3:$BP$1500,61,FALSE),"")</f>
        <v>#SNP</v>
      </c>
      <c r="D499" t="str">
        <f>IFERROR(VLOOKUP(B499,'Sender-Receiver'!$B$3:$BP$1500,41,FALSE),"")</f>
        <v xml:space="preserve"> |  | EditPC-10 IN</v>
      </c>
      <c r="E499" t="s">
        <v>1240</v>
      </c>
      <c r="F499">
        <v>24</v>
      </c>
      <c r="G499" t="s">
        <v>2235</v>
      </c>
      <c r="M499" t="str">
        <f>IF(OR(BOM!$AE$4=FALSE,BOM!$AE$4="-"),IF(ISERROR(SEARCH("send",B499)),"","pool:TPC"),IF(ISERROR(SEARCH("send",B499)),"","pool:TPC|pool:TPC"))</f>
        <v/>
      </c>
      <c r="S499" t="str">
        <f>IFERROR(IF(VLOOKUP(B499,'Sender-Receiver'!$B$3:$BP$1500,60,FALSE)="x","true","false"),"false")</f>
        <v>false</v>
      </c>
      <c r="T499" t="str">
        <f t="shared" si="7"/>
        <v>off</v>
      </c>
      <c r="Y499" t="str">
        <f>IF(BOM!$AE$4=FALSE,IF(ISERROR(SEARCH("Embrionix",BOM!$M$4)),"none",IF(ISERROR(SEARCH("Quadsplit",BOM!$N$4)),IF(ISERROR(SEARCH("rec",B499)),"none","merge"),"none")),IF(ISERROR(SEARCH("rec",B499)),"split","merge"))</f>
        <v>merge</v>
      </c>
    </row>
    <row r="500" spans="1:25" x14ac:dyDescent="0.2">
      <c r="A500" t="s">
        <v>1238</v>
      </c>
      <c r="B500" t="s">
        <v>2236</v>
      </c>
      <c r="C500" t="str">
        <f>IFERROR(VLOOKUP(B500,'Sender-Receiver'!$B$3:$BP$1500,61,FALSE),"")</f>
        <v>#SNP</v>
      </c>
      <c r="D500" t="str">
        <f>IFERROR(VLOOKUP(B500,'Sender-Receiver'!$B$3:$BP$1500,41,FALSE),"")</f>
        <v xml:space="preserve"> |  | EditPC-10 IN</v>
      </c>
      <c r="E500" t="s">
        <v>1240</v>
      </c>
      <c r="F500">
        <v>24</v>
      </c>
      <c r="G500" t="s">
        <v>2237</v>
      </c>
      <c r="M500" t="str">
        <f>IF(OR(BOM!$AE$4=FALSE,BOM!$AE$4="-"),IF(ISERROR(SEARCH("send",B500)),"","pool:TPC"),IF(ISERROR(SEARCH("send",B500)),"","pool:TPC|pool:TPC"))</f>
        <v/>
      </c>
      <c r="S500" t="str">
        <f>IFERROR(IF(VLOOKUP(B500,'Sender-Receiver'!$B$3:$BP$1500,60,FALSE)="x","true","false"),"false")</f>
        <v>false</v>
      </c>
      <c r="T500" t="str">
        <f t="shared" si="7"/>
        <v>off</v>
      </c>
      <c r="Y500" t="str">
        <f>IF(BOM!$AE$4=FALSE,IF(ISERROR(SEARCH("Embrionix",BOM!$M$4)),"none",IF(ISERROR(SEARCH("Quadsplit",BOM!$N$4)),IF(ISERROR(SEARCH("rec",B500)),"none","merge"),"none")),IF(ISERROR(SEARCH("rec",B500)),"split","merge"))</f>
        <v>merge</v>
      </c>
    </row>
    <row r="501" spans="1:25" x14ac:dyDescent="0.2">
      <c r="A501" t="s">
        <v>1238</v>
      </c>
      <c r="B501" t="s">
        <v>2238</v>
      </c>
      <c r="C501" t="str">
        <f>IFERROR(VLOOKUP(B501,'Sender-Receiver'!$B$3:$BP$1500,61,FALSE),"")</f>
        <v>#SNP</v>
      </c>
      <c r="D501" t="str">
        <f>IFERROR(VLOOKUP(B501,'Sender-Receiver'!$B$3:$BP$1500,41,FALSE),"")</f>
        <v xml:space="preserve"> |  | EditPC-10 IN</v>
      </c>
      <c r="E501" t="s">
        <v>1240</v>
      </c>
      <c r="F501">
        <v>24</v>
      </c>
      <c r="G501" t="s">
        <v>2239</v>
      </c>
      <c r="M501" t="str">
        <f>IF(OR(BOM!$AE$4=FALSE,BOM!$AE$4="-"),IF(ISERROR(SEARCH("send",B501)),"","pool:TPC"),IF(ISERROR(SEARCH("send",B501)),"","pool:TPC|pool:TPC"))</f>
        <v/>
      </c>
      <c r="S501" t="str">
        <f>IFERROR(IF(VLOOKUP(B501,'Sender-Receiver'!$B$3:$BP$1500,60,FALSE)="x","true","false"),"false")</f>
        <v>false</v>
      </c>
      <c r="T501" t="str">
        <f t="shared" si="7"/>
        <v>off</v>
      </c>
      <c r="Y501" t="str">
        <f>IF(BOM!$AE$4=FALSE,IF(ISERROR(SEARCH("Embrionix",BOM!$M$4)),"none",IF(ISERROR(SEARCH("Quadsplit",BOM!$N$4)),IF(ISERROR(SEARCH("rec",B501)),"none","merge"),"none")),IF(ISERROR(SEARCH("rec",B501)),"split","merge"))</f>
        <v>merge</v>
      </c>
    </row>
    <row r="502" spans="1:25" x14ac:dyDescent="0.2">
      <c r="A502" t="s">
        <v>1238</v>
      </c>
      <c r="B502" t="s">
        <v>2240</v>
      </c>
      <c r="C502" t="str">
        <f>IFERROR(VLOOKUP(B502,'Sender-Receiver'!$B$3:$BP$1500,61,FALSE),"")</f>
        <v>Type:Anc_Prot,#SNP</v>
      </c>
      <c r="D502" t="str">
        <f>IFERROR(VLOOKUP(B502,'Sender-Receiver'!$B$3:$BP$1500,41,FALSE),"")</f>
        <v>MEDEM Edit10 | In Edit10-ANC1 | EditPC-10 IN</v>
      </c>
      <c r="E502" t="s">
        <v>1240</v>
      </c>
      <c r="F502">
        <v>24</v>
      </c>
      <c r="G502" t="s">
        <v>2241</v>
      </c>
      <c r="M502" t="str">
        <f>IF(OR(BOM!$AE$4=FALSE,BOM!$AE$4="-"),IF(ISERROR(SEARCH("send",B502)),"","pool:TPC"),IF(ISERROR(SEARCH("send",B502)),"","pool:TPC|pool:TPC"))</f>
        <v/>
      </c>
      <c r="S502" t="str">
        <f>IFERROR(IF(VLOOKUP(B502,'Sender-Receiver'!$B$3:$BP$1500,60,FALSE)="x","true","false"),"false")</f>
        <v>true</v>
      </c>
      <c r="T502" t="str">
        <f t="shared" si="7"/>
        <v>full</v>
      </c>
      <c r="Y502" t="str">
        <f>IF(BOM!$AE$4=FALSE,IF(ISERROR(SEARCH("Embrionix",BOM!$M$4)),"none",IF(ISERROR(SEARCH("Quadsplit",BOM!$N$4)),IF(ISERROR(SEARCH("rec",B502)),"none","merge"),"none")),IF(ISERROR(SEARCH("rec",B502)),"split","merge"))</f>
        <v>merge</v>
      </c>
    </row>
    <row r="503" spans="1:25" x14ac:dyDescent="0.2">
      <c r="A503" t="s">
        <v>1238</v>
      </c>
      <c r="B503" t="s">
        <v>2242</v>
      </c>
      <c r="C503" t="str">
        <f>IFERROR(VLOOKUP(B503,'Sender-Receiver'!$B$3:$BP$1500,61,FALSE),"")</f>
        <v>#SNP</v>
      </c>
      <c r="D503" t="str">
        <f>IFERROR(VLOOKUP(B503,'Sender-Receiver'!$B$3:$BP$1500,41,FALSE),"")</f>
        <v xml:space="preserve"> |  | EditPC-10 IN</v>
      </c>
      <c r="E503" t="s">
        <v>1240</v>
      </c>
      <c r="F503">
        <v>24</v>
      </c>
      <c r="G503" t="s">
        <v>2243</v>
      </c>
      <c r="M503" t="str">
        <f>IF(OR(BOM!$AE$4=FALSE,BOM!$AE$4="-"),IF(ISERROR(SEARCH("send",B503)),"","pool:TPC"),IF(ISERROR(SEARCH("send",B503)),"","pool:TPC|pool:TPC"))</f>
        <v/>
      </c>
      <c r="S503" t="str">
        <f>IFERROR(IF(VLOOKUP(B503,'Sender-Receiver'!$B$3:$BP$1500,60,FALSE)="x","true","false"),"false")</f>
        <v>false</v>
      </c>
      <c r="T503" t="str">
        <f t="shared" si="7"/>
        <v>off</v>
      </c>
      <c r="Y503" t="str">
        <f>IF(BOM!$AE$4=FALSE,IF(ISERROR(SEARCH("Embrionix",BOM!$M$4)),"none",IF(ISERROR(SEARCH("Quadsplit",BOM!$N$4)),IF(ISERROR(SEARCH("rec",B503)),"none","merge"),"none")),IF(ISERROR(SEARCH("rec",B503)),"split","merge"))</f>
        <v>merge</v>
      </c>
    </row>
    <row r="504" spans="1:25" x14ac:dyDescent="0.2">
      <c r="A504" t="s">
        <v>1238</v>
      </c>
      <c r="B504" t="s">
        <v>2244</v>
      </c>
      <c r="C504" t="str">
        <f>IFERROR(VLOOKUP(B504,'Sender-Receiver'!$B$3:$BP$1500,61,FALSE),"")</f>
        <v>#SNP</v>
      </c>
      <c r="D504" t="str">
        <f>IFERROR(VLOOKUP(B504,'Sender-Receiver'!$B$3:$BP$1500,41,FALSE),"")</f>
        <v xml:space="preserve"> |  | EditPC-10 IN</v>
      </c>
      <c r="E504" t="s">
        <v>1240</v>
      </c>
      <c r="F504">
        <v>24</v>
      </c>
      <c r="G504" t="s">
        <v>2245</v>
      </c>
      <c r="M504" t="str">
        <f>IF(OR(BOM!$AE$4=FALSE,BOM!$AE$4="-"),IF(ISERROR(SEARCH("send",B504)),"","pool:TPC"),IF(ISERROR(SEARCH("send",B504)),"","pool:TPC|pool:TPC"))</f>
        <v/>
      </c>
      <c r="S504" t="str">
        <f>IFERROR(IF(VLOOKUP(B504,'Sender-Receiver'!$B$3:$BP$1500,60,FALSE)="x","true","false"),"false")</f>
        <v>false</v>
      </c>
      <c r="T504" t="str">
        <f t="shared" si="7"/>
        <v>off</v>
      </c>
      <c r="Y504" t="str">
        <f>IF(BOM!$AE$4=FALSE,IF(ISERROR(SEARCH("Embrionix",BOM!$M$4)),"none",IF(ISERROR(SEARCH("Quadsplit",BOM!$N$4)),IF(ISERROR(SEARCH("rec",B504)),"none","merge"),"none")),IF(ISERROR(SEARCH("rec",B504)),"split","merge"))</f>
        <v>merge</v>
      </c>
    </row>
    <row r="505" spans="1:25" x14ac:dyDescent="0.2">
      <c r="A505" t="s">
        <v>1238</v>
      </c>
      <c r="B505" t="s">
        <v>2246</v>
      </c>
      <c r="C505" t="str">
        <f>IFERROR(VLOOKUP(B505,'Sender-Receiver'!$B$3:$BP$1500,61,FALSE),"")</f>
        <v>#SNP</v>
      </c>
      <c r="D505" t="str">
        <f>IFERROR(VLOOKUP(B505,'Sender-Receiver'!$B$3:$BP$1500,41,FALSE),"")</f>
        <v xml:space="preserve"> |  | EditPC-10 IN</v>
      </c>
      <c r="E505" t="s">
        <v>1240</v>
      </c>
      <c r="F505">
        <v>24</v>
      </c>
      <c r="G505" t="s">
        <v>2247</v>
      </c>
      <c r="M505" t="str">
        <f>IF(OR(BOM!$AE$4=FALSE,BOM!$AE$4="-"),IF(ISERROR(SEARCH("send",B505)),"","pool:TPC"),IF(ISERROR(SEARCH("send",B505)),"","pool:TPC|pool:TPC"))</f>
        <v/>
      </c>
      <c r="S505" t="str">
        <f>IFERROR(IF(VLOOKUP(B505,'Sender-Receiver'!$B$3:$BP$1500,60,FALSE)="x","true","false"),"false")</f>
        <v>false</v>
      </c>
      <c r="T505" t="str">
        <f t="shared" si="7"/>
        <v>off</v>
      </c>
      <c r="Y505" t="str">
        <f>IF(BOM!$AE$4=FALSE,IF(ISERROR(SEARCH("Embrionix",BOM!$M$4)),"none",IF(ISERROR(SEARCH("Quadsplit",BOM!$N$4)),IF(ISERROR(SEARCH("rec",B505)),"none","merge"),"none")),IF(ISERROR(SEARCH("rec",B505)),"split","merge"))</f>
        <v>merge</v>
      </c>
    </row>
    <row r="506" spans="1:25" x14ac:dyDescent="0.2">
      <c r="A506" t="s">
        <v>1238</v>
      </c>
      <c r="B506" t="s">
        <v>2758</v>
      </c>
      <c r="C506" t="str">
        <f>IFERROR(VLOOKUP(B506,'Sender-Receiver'!$B$3:$BP$1500,61,FALSE),"")</f>
        <v>Type:Vid_1080i50,Type:Vid_1080p25,Type:Vid_1080p50,Type:Vid_1080p60,#SNP</v>
      </c>
      <c r="D506" t="str">
        <f>IFERROR(VLOOKUP(B506,'Sender-Receiver'!$B$3:$BP$1500,41,FALSE),"")</f>
        <v>M3H InCh PGM | Ingest Ch37 | IngSRV-10</v>
      </c>
      <c r="E506" t="s">
        <v>1240</v>
      </c>
      <c r="F506">
        <v>25</v>
      </c>
      <c r="G506" t="s">
        <v>2737</v>
      </c>
      <c r="M506" t="str">
        <f>IF(OR(BOM!$AE$4=FALSE,BOM!$AE$4="-"),IF(ISERROR(SEARCH("send",B506)),"","pool:TPC"),IF(ISERROR(SEARCH("send",B506)),"","pool:TPC|pool:TPC"))</f>
        <v/>
      </c>
      <c r="S506" t="str">
        <f>IFERROR(IF(VLOOKUP(B506,'Sender-Receiver'!$B$3:$BP$1500,60,FALSE)="x","true","false"),"false")</f>
        <v>true</v>
      </c>
      <c r="T506" t="str">
        <f t="shared" si="7"/>
        <v>full</v>
      </c>
      <c r="Y506" t="str">
        <f>IF(BOM!$AE$4=FALSE,IF(ISERROR(SEARCH("Embrionix",BOM!$M$4)),"none",IF(ISERROR(SEARCH("Quadsplit",BOM!$N$4)),IF(ISERROR(SEARCH("rec",B506)),"none","merge"),"none")),IF(ISERROR(SEARCH("rec",B506)),"split","merge"))</f>
        <v>merge</v>
      </c>
    </row>
    <row r="507" spans="1:25" x14ac:dyDescent="0.2">
      <c r="A507" t="s">
        <v>1238</v>
      </c>
      <c r="B507" t="s">
        <v>2759</v>
      </c>
      <c r="C507" t="str">
        <f>IFERROR(VLOOKUP(B507,'Sender-Receiver'!$B$3:$BP$1500,61,FALSE),"")</f>
        <v>Type:Aud_1CH_M,Type:Aud_2CH_LR,Type:Aud_3CH_LRC,Type:Aud_6CH_5.1,#SNP</v>
      </c>
      <c r="D507" t="str">
        <f>IFERROR(VLOOKUP(B507,'Sender-Receiver'!$B$3:$BP$1500,41,FALSE),"")</f>
        <v>M3H InCh PGM | Ingest Ch37-01 | IngSRV-10</v>
      </c>
      <c r="E507" t="s">
        <v>1240</v>
      </c>
      <c r="F507">
        <v>25</v>
      </c>
      <c r="G507" t="s">
        <v>2738</v>
      </c>
      <c r="M507" t="str">
        <f>IF(OR(BOM!$AE$4=FALSE,BOM!$AE$4="-"),IF(ISERROR(SEARCH("send",B507)),"","pool:TPC"),IF(ISERROR(SEARCH("send",B507)),"","pool:TPC|pool:TPC"))</f>
        <v/>
      </c>
      <c r="S507" t="str">
        <f>IFERROR(IF(VLOOKUP(B507,'Sender-Receiver'!$B$3:$BP$1500,60,FALSE)="x","true","false"),"false")</f>
        <v>true</v>
      </c>
      <c r="T507" t="str">
        <f t="shared" si="7"/>
        <v>full</v>
      </c>
      <c r="Y507" t="str">
        <f>IF(BOM!$AE$4=FALSE,IF(ISERROR(SEARCH("Embrionix",BOM!$M$4)),"none",IF(ISERROR(SEARCH("Quadsplit",BOM!$N$4)),IF(ISERROR(SEARCH("rec",B507)),"none","merge"),"none")),IF(ISERROR(SEARCH("rec",B507)),"split","merge"))</f>
        <v>merge</v>
      </c>
    </row>
    <row r="508" spans="1:25" x14ac:dyDescent="0.2">
      <c r="A508" t="s">
        <v>1238</v>
      </c>
      <c r="B508" t="s">
        <v>2760</v>
      </c>
      <c r="C508" t="str">
        <f>IFERROR(VLOOKUP(B508,'Sender-Receiver'!$B$3:$BP$1500,61,FALSE),"")</f>
        <v>Type:Aud_1CH_M,Type:Aud_2CH_LR,Type:Aud_3CH_LRC,Type:Aud_6CH_5.1,#SNP</v>
      </c>
      <c r="D508" t="str">
        <f>IFERROR(VLOOKUP(B508,'Sender-Receiver'!$B$3:$BP$1500,41,FALSE),"")</f>
        <v>M3H InCh PGM | Ingest Ch37-02 | IngSRV-10</v>
      </c>
      <c r="E508" t="s">
        <v>1240</v>
      </c>
      <c r="F508">
        <v>25</v>
      </c>
      <c r="G508" t="s">
        <v>2739</v>
      </c>
      <c r="M508" t="str">
        <f>IF(OR(BOM!$AE$4=FALSE,BOM!$AE$4="-"),IF(ISERROR(SEARCH("send",B508)),"","pool:TPC"),IF(ISERROR(SEARCH("send",B508)),"","pool:TPC|pool:TPC"))</f>
        <v/>
      </c>
      <c r="S508" t="str">
        <f>IFERROR(IF(VLOOKUP(B508,'Sender-Receiver'!$B$3:$BP$1500,60,FALSE)="x","true","false"),"false")</f>
        <v>true</v>
      </c>
      <c r="T508" t="str">
        <f t="shared" si="7"/>
        <v>full</v>
      </c>
      <c r="Y508" t="str">
        <f>IF(BOM!$AE$4=FALSE,IF(ISERROR(SEARCH("Embrionix",BOM!$M$4)),"none",IF(ISERROR(SEARCH("Quadsplit",BOM!$N$4)),IF(ISERROR(SEARCH("rec",B508)),"none","merge"),"none")),IF(ISERROR(SEARCH("rec",B508)),"split","merge"))</f>
        <v>merge</v>
      </c>
    </row>
    <row r="509" spans="1:25" x14ac:dyDescent="0.2">
      <c r="A509" t="s">
        <v>1238</v>
      </c>
      <c r="B509" t="s">
        <v>2761</v>
      </c>
      <c r="C509" t="str">
        <f>IFERROR(VLOOKUP(B509,'Sender-Receiver'!$B$3:$BP$1500,61,FALSE),"")</f>
        <v>Type:Aud_1CH_M,Type:Aud_2CH_LR,Type:Aud_3CH_LRC,Type:Aud_6CH_5.1,#SNP</v>
      </c>
      <c r="D509" t="str">
        <f>IFERROR(VLOOKUP(B509,'Sender-Receiver'!$B$3:$BP$1500,41,FALSE),"")</f>
        <v>M3H InCh PGM | Ingest Ch37-03 | IngSRV-10</v>
      </c>
      <c r="E509" t="s">
        <v>1240</v>
      </c>
      <c r="F509">
        <v>25</v>
      </c>
      <c r="G509" t="s">
        <v>2740</v>
      </c>
      <c r="M509" t="str">
        <f>IF(OR(BOM!$AE$4=FALSE,BOM!$AE$4="-"),IF(ISERROR(SEARCH("send",B509)),"","pool:TPC"),IF(ISERROR(SEARCH("send",B509)),"","pool:TPC|pool:TPC"))</f>
        <v/>
      </c>
      <c r="S509" t="str">
        <f>IFERROR(IF(VLOOKUP(B509,'Sender-Receiver'!$B$3:$BP$1500,60,FALSE)="x","true","false"),"false")</f>
        <v>true</v>
      </c>
      <c r="T509" t="str">
        <f t="shared" si="7"/>
        <v>full</v>
      </c>
      <c r="Y509" t="str">
        <f>IF(BOM!$AE$4=FALSE,IF(ISERROR(SEARCH("Embrionix",BOM!$M$4)),"none",IF(ISERROR(SEARCH("Quadsplit",BOM!$N$4)),IF(ISERROR(SEARCH("rec",B509)),"none","merge"),"none")),IF(ISERROR(SEARCH("rec",B509)),"split","merge"))</f>
        <v>merge</v>
      </c>
    </row>
    <row r="510" spans="1:25" x14ac:dyDescent="0.2">
      <c r="A510" t="s">
        <v>1238</v>
      </c>
      <c r="B510" t="s">
        <v>2762</v>
      </c>
      <c r="C510" t="str">
        <f>IFERROR(VLOOKUP(B510,'Sender-Receiver'!$B$3:$BP$1500,61,FALSE),"")</f>
        <v>Type:Aud_1CH_M,Type:Aud_2CH_LR,Type:Aud_3CH_LRC,Type:Aud_6CH_5.1,#SNP</v>
      </c>
      <c r="D510" t="str">
        <f>IFERROR(VLOOKUP(B510,'Sender-Receiver'!$B$3:$BP$1500,41,FALSE),"")</f>
        <v>M3H InCh PGM | Ingest Ch37-04 | IngSRV-10</v>
      </c>
      <c r="E510" t="s">
        <v>1240</v>
      </c>
      <c r="F510">
        <v>25</v>
      </c>
      <c r="G510" t="s">
        <v>2741</v>
      </c>
      <c r="M510" t="str">
        <f>IF(OR(BOM!$AE$4=FALSE,BOM!$AE$4="-"),IF(ISERROR(SEARCH("send",B510)),"","pool:TPC"),IF(ISERROR(SEARCH("send",B510)),"","pool:TPC|pool:TPC"))</f>
        <v/>
      </c>
      <c r="S510" t="str">
        <f>IFERROR(IF(VLOOKUP(B510,'Sender-Receiver'!$B$3:$BP$1500,60,FALSE)="x","true","false"),"false")</f>
        <v>true</v>
      </c>
      <c r="T510" t="str">
        <f t="shared" si="7"/>
        <v>full</v>
      </c>
      <c r="Y510" t="str">
        <f>IF(BOM!$AE$4=FALSE,IF(ISERROR(SEARCH("Embrionix",BOM!$M$4)),"none",IF(ISERROR(SEARCH("Quadsplit",BOM!$N$4)),IF(ISERROR(SEARCH("rec",B510)),"none","merge"),"none")),IF(ISERROR(SEARCH("rec",B510)),"split","merge"))</f>
        <v>merge</v>
      </c>
    </row>
    <row r="511" spans="1:25" x14ac:dyDescent="0.2">
      <c r="A511" t="s">
        <v>1238</v>
      </c>
      <c r="B511" t="s">
        <v>2763</v>
      </c>
      <c r="C511" t="str">
        <f>IFERROR(VLOOKUP(B511,'Sender-Receiver'!$B$3:$BP$1500,61,FALSE),"")</f>
        <v>Type:Aud_1CH_M,Type:Aud_2CH_LR,Type:Aud_3CH_LRC,Type:Aud_6CH_5.1,#SNP</v>
      </c>
      <c r="D511" t="str">
        <f>IFERROR(VLOOKUP(B511,'Sender-Receiver'!$B$3:$BP$1500,41,FALSE),"")</f>
        <v>M3H InCh PGM | Ingest Ch37-05 | IngSRV-10</v>
      </c>
      <c r="E511" t="s">
        <v>1240</v>
      </c>
      <c r="F511">
        <v>25</v>
      </c>
      <c r="G511" t="s">
        <v>2742</v>
      </c>
      <c r="M511" t="str">
        <f>IF(OR(BOM!$AE$4=FALSE,BOM!$AE$4="-"),IF(ISERROR(SEARCH("send",B511)),"","pool:TPC"),IF(ISERROR(SEARCH("send",B511)),"","pool:TPC|pool:TPC"))</f>
        <v/>
      </c>
      <c r="S511" t="str">
        <f>IFERROR(IF(VLOOKUP(B511,'Sender-Receiver'!$B$3:$BP$1500,60,FALSE)="x","true","false"),"false")</f>
        <v>true</v>
      </c>
      <c r="T511" t="str">
        <f t="shared" si="7"/>
        <v>full</v>
      </c>
      <c r="Y511" t="str">
        <f>IF(BOM!$AE$4=FALSE,IF(ISERROR(SEARCH("Embrionix",BOM!$M$4)),"none",IF(ISERROR(SEARCH("Quadsplit",BOM!$N$4)),IF(ISERROR(SEARCH("rec",B511)),"none","merge"),"none")),IF(ISERROR(SEARCH("rec",B511)),"split","merge"))</f>
        <v>merge</v>
      </c>
    </row>
    <row r="512" spans="1:25" x14ac:dyDescent="0.2">
      <c r="A512" t="s">
        <v>1238</v>
      </c>
      <c r="B512" t="s">
        <v>2764</v>
      </c>
      <c r="C512" t="str">
        <f>IFERROR(VLOOKUP(B512,'Sender-Receiver'!$B$3:$BP$1500,61,FALSE),"")</f>
        <v>Type:Aud_1CH_M,Type:Aud_2CH_LR,Type:Aud_3CH_LRC,Type:Aud_6CH_5.1,#SNP</v>
      </c>
      <c r="D512" t="str">
        <f>IFERROR(VLOOKUP(B512,'Sender-Receiver'!$B$3:$BP$1500,41,FALSE),"")</f>
        <v>M3H InCh PGM | Ingest Ch37-06 | IngSRV-10</v>
      </c>
      <c r="E512" t="s">
        <v>1240</v>
      </c>
      <c r="F512">
        <v>25</v>
      </c>
      <c r="G512" t="s">
        <v>2743</v>
      </c>
      <c r="M512" t="str">
        <f>IF(OR(BOM!$AE$4=FALSE,BOM!$AE$4="-"),IF(ISERROR(SEARCH("send",B512)),"","pool:TPC"),IF(ISERROR(SEARCH("send",B512)),"","pool:TPC|pool:TPC"))</f>
        <v/>
      </c>
      <c r="S512" t="str">
        <f>IFERROR(IF(VLOOKUP(B512,'Sender-Receiver'!$B$3:$BP$1500,60,FALSE)="x","true","false"),"false")</f>
        <v>true</v>
      </c>
      <c r="T512" t="str">
        <f t="shared" si="7"/>
        <v>full</v>
      </c>
      <c r="Y512" t="str">
        <f>IF(BOM!$AE$4=FALSE,IF(ISERROR(SEARCH("Embrionix",BOM!$M$4)),"none",IF(ISERROR(SEARCH("Quadsplit",BOM!$N$4)),IF(ISERROR(SEARCH("rec",B512)),"none","merge"),"none")),IF(ISERROR(SEARCH("rec",B512)),"split","merge"))</f>
        <v>merge</v>
      </c>
    </row>
    <row r="513" spans="1:25" x14ac:dyDescent="0.2">
      <c r="A513" t="s">
        <v>1238</v>
      </c>
      <c r="B513" t="s">
        <v>2765</v>
      </c>
      <c r="C513" t="str">
        <f>IFERROR(VLOOKUP(B513,'Sender-Receiver'!$B$3:$BP$1500,61,FALSE),"")</f>
        <v>Type:Aud_1CH_M,Type:Aud_2CH_LR,Type:Aud_3CH_LRC,Type:Aud_6CH_5.1,#SNP</v>
      </c>
      <c r="D513" t="str">
        <f>IFERROR(VLOOKUP(B513,'Sender-Receiver'!$B$3:$BP$1500,41,FALSE),"")</f>
        <v>M3H InCh PGM | Ingest Ch37-07 | IngSRV-10</v>
      </c>
      <c r="E513" t="s">
        <v>1240</v>
      </c>
      <c r="F513">
        <v>25</v>
      </c>
      <c r="G513" t="s">
        <v>2744</v>
      </c>
      <c r="M513" t="str">
        <f>IF(OR(BOM!$AE$4=FALSE,BOM!$AE$4="-"),IF(ISERROR(SEARCH("send",B513)),"","pool:TPC"),IF(ISERROR(SEARCH("send",B513)),"","pool:TPC|pool:TPC"))</f>
        <v/>
      </c>
      <c r="S513" t="str">
        <f>IFERROR(IF(VLOOKUP(B513,'Sender-Receiver'!$B$3:$BP$1500,60,FALSE)="x","true","false"),"false")</f>
        <v>true</v>
      </c>
      <c r="T513" t="str">
        <f t="shared" si="7"/>
        <v>full</v>
      </c>
      <c r="Y513" t="str">
        <f>IF(BOM!$AE$4=FALSE,IF(ISERROR(SEARCH("Embrionix",BOM!$M$4)),"none",IF(ISERROR(SEARCH("Quadsplit",BOM!$N$4)),IF(ISERROR(SEARCH("rec",B513)),"none","merge"),"none")),IF(ISERROR(SEARCH("rec",B513)),"split","merge"))</f>
        <v>merge</v>
      </c>
    </row>
    <row r="514" spans="1:25" x14ac:dyDescent="0.2">
      <c r="A514" t="s">
        <v>1238</v>
      </c>
      <c r="B514" t="s">
        <v>2766</v>
      </c>
      <c r="C514" t="str">
        <f>IFERROR(VLOOKUP(B514,'Sender-Receiver'!$B$3:$BP$1500,61,FALSE),"")</f>
        <v>Type:Aud_1CH_M,Type:Aud_2CH_LR,Type:Aud_3CH_LRC,Type:Aud_6CH_5.1,#SNP</v>
      </c>
      <c r="D514" t="str">
        <f>IFERROR(VLOOKUP(B514,'Sender-Receiver'!$B$3:$BP$1500,41,FALSE),"")</f>
        <v>M3H InCh PGM | Ingest Ch37-08 | IngSRV-10</v>
      </c>
      <c r="E514" t="s">
        <v>1240</v>
      </c>
      <c r="F514">
        <v>25</v>
      </c>
      <c r="G514" t="s">
        <v>2745</v>
      </c>
      <c r="M514" t="str">
        <f>IF(OR(BOM!$AE$4=FALSE,BOM!$AE$4="-"),IF(ISERROR(SEARCH("send",B514)),"","pool:TPC"),IF(ISERROR(SEARCH("send",B514)),"","pool:TPC|pool:TPC"))</f>
        <v/>
      </c>
      <c r="S514" t="str">
        <f>IFERROR(IF(VLOOKUP(B514,'Sender-Receiver'!$B$3:$BP$1500,60,FALSE)="x","true","false"),"false")</f>
        <v>true</v>
      </c>
      <c r="T514" t="str">
        <f t="shared" si="7"/>
        <v>full</v>
      </c>
      <c r="Y514" t="str">
        <f>IF(BOM!$AE$4=FALSE,IF(ISERROR(SEARCH("Embrionix",BOM!$M$4)),"none",IF(ISERROR(SEARCH("Quadsplit",BOM!$N$4)),IF(ISERROR(SEARCH("rec",B514)),"none","merge"),"none")),IF(ISERROR(SEARCH("rec",B514)),"split","merge"))</f>
        <v>merge</v>
      </c>
    </row>
    <row r="515" spans="1:25" x14ac:dyDescent="0.2">
      <c r="A515" t="s">
        <v>1238</v>
      </c>
      <c r="B515" t="s">
        <v>2767</v>
      </c>
      <c r="C515" t="str">
        <f>IFERROR(VLOOKUP(B515,'Sender-Receiver'!$B$3:$BP$1500,61,FALSE),"")</f>
        <v>Type:Aud_1CH_M,Type:Aud_2CH_LR,Type:Aud_3CH_LRC,Type:Aud_6CH_5.1,#SNP</v>
      </c>
      <c r="D515" t="str">
        <f>IFERROR(VLOOKUP(B515,'Sender-Receiver'!$B$3:$BP$1500,41,FALSE),"")</f>
        <v>M3H InCh PGM | Ingest Ch37-09 | IngSRV-10</v>
      </c>
      <c r="E515" t="s">
        <v>1240</v>
      </c>
      <c r="F515">
        <v>25</v>
      </c>
      <c r="G515" t="s">
        <v>2746</v>
      </c>
      <c r="M515" t="str">
        <f>IF(OR(BOM!$AE$4=FALSE,BOM!$AE$4="-"),IF(ISERROR(SEARCH("send",B515)),"","pool:TPC"),IF(ISERROR(SEARCH("send",B515)),"","pool:TPC|pool:TPC"))</f>
        <v/>
      </c>
      <c r="S515" t="str">
        <f>IFERROR(IF(VLOOKUP(B515,'Sender-Receiver'!$B$3:$BP$1500,60,FALSE)="x","true","false"),"false")</f>
        <v>true</v>
      </c>
      <c r="T515" t="str">
        <f t="shared" si="7"/>
        <v>full</v>
      </c>
      <c r="Y515" t="str">
        <f>IF(BOM!$AE$4=FALSE,IF(ISERROR(SEARCH("Embrionix",BOM!$M$4)),"none",IF(ISERROR(SEARCH("Quadsplit",BOM!$N$4)),IF(ISERROR(SEARCH("rec",B515)),"none","merge"),"none")),IF(ISERROR(SEARCH("rec",B515)),"split","merge"))</f>
        <v>merge</v>
      </c>
    </row>
    <row r="516" spans="1:25" x14ac:dyDescent="0.2">
      <c r="A516" t="s">
        <v>1238</v>
      </c>
      <c r="B516" t="s">
        <v>2768</v>
      </c>
      <c r="C516" t="str">
        <f>IFERROR(VLOOKUP(B516,'Sender-Receiver'!$B$3:$BP$1500,61,FALSE),"")</f>
        <v>#SNP</v>
      </c>
      <c r="D516" t="str">
        <f>IFERROR(VLOOKUP(B516,'Sender-Receiver'!$B$3:$BP$1500,41,FALSE),"")</f>
        <v xml:space="preserve"> |  | IngSRV-10</v>
      </c>
      <c r="E516" t="s">
        <v>1240</v>
      </c>
      <c r="F516">
        <v>25</v>
      </c>
      <c r="G516" t="s">
        <v>2747</v>
      </c>
      <c r="M516" t="str">
        <f>IF(OR(BOM!$AE$4=FALSE,BOM!$AE$4="-"),IF(ISERROR(SEARCH("send",B516)),"","pool:TPC"),IF(ISERROR(SEARCH("send",B516)),"","pool:TPC|pool:TPC"))</f>
        <v/>
      </c>
      <c r="S516" t="str">
        <f>IFERROR(IF(VLOOKUP(B516,'Sender-Receiver'!$B$3:$BP$1500,60,FALSE)="x","true","false"),"false")</f>
        <v>false</v>
      </c>
      <c r="T516" t="str">
        <f t="shared" si="7"/>
        <v>off</v>
      </c>
      <c r="Y516" t="str">
        <f>IF(BOM!$AE$4=FALSE,IF(ISERROR(SEARCH("Embrionix",BOM!$M$4)),"none",IF(ISERROR(SEARCH("Quadsplit",BOM!$N$4)),IF(ISERROR(SEARCH("rec",B516)),"none","merge"),"none")),IF(ISERROR(SEARCH("rec",B516)),"split","merge"))</f>
        <v>merge</v>
      </c>
    </row>
    <row r="517" spans="1:25" x14ac:dyDescent="0.2">
      <c r="A517" t="s">
        <v>1238</v>
      </c>
      <c r="B517" t="s">
        <v>2769</v>
      </c>
      <c r="C517" t="str">
        <f>IFERROR(VLOOKUP(B517,'Sender-Receiver'!$B$3:$BP$1500,61,FALSE),"")</f>
        <v>#SNP</v>
      </c>
      <c r="D517" t="str">
        <f>IFERROR(VLOOKUP(B517,'Sender-Receiver'!$B$3:$BP$1500,41,FALSE),"")</f>
        <v xml:space="preserve"> |  | IngSRV-10</v>
      </c>
      <c r="E517" t="s">
        <v>1240</v>
      </c>
      <c r="F517">
        <v>25</v>
      </c>
      <c r="G517" t="s">
        <v>2748</v>
      </c>
      <c r="M517" t="str">
        <f>IF(OR(BOM!$AE$4=FALSE,BOM!$AE$4="-"),IF(ISERROR(SEARCH("send",B517)),"","pool:TPC"),IF(ISERROR(SEARCH("send",B517)),"","pool:TPC|pool:TPC"))</f>
        <v/>
      </c>
      <c r="S517" t="str">
        <f>IFERROR(IF(VLOOKUP(B517,'Sender-Receiver'!$B$3:$BP$1500,60,FALSE)="x","true","false"),"false")</f>
        <v>false</v>
      </c>
      <c r="T517" t="str">
        <f t="shared" si="7"/>
        <v>off</v>
      </c>
      <c r="Y517" t="str">
        <f>IF(BOM!$AE$4=FALSE,IF(ISERROR(SEARCH("Embrionix",BOM!$M$4)),"none",IF(ISERROR(SEARCH("Quadsplit",BOM!$N$4)),IF(ISERROR(SEARCH("rec",B517)),"none","merge"),"none")),IF(ISERROR(SEARCH("rec",B517)),"split","merge"))</f>
        <v>merge</v>
      </c>
    </row>
    <row r="518" spans="1:25" x14ac:dyDescent="0.2">
      <c r="A518" t="s">
        <v>1238</v>
      </c>
      <c r="B518" t="s">
        <v>2770</v>
      </c>
      <c r="C518" t="str">
        <f>IFERROR(VLOOKUP(B518,'Sender-Receiver'!$B$3:$BP$1500,61,FALSE),"")</f>
        <v>#SNP</v>
      </c>
      <c r="D518" t="str">
        <f>IFERROR(VLOOKUP(B518,'Sender-Receiver'!$B$3:$BP$1500,41,FALSE),"")</f>
        <v xml:space="preserve"> |  | IngSRV-10</v>
      </c>
      <c r="E518" t="s">
        <v>1240</v>
      </c>
      <c r="F518">
        <v>25</v>
      </c>
      <c r="G518" t="s">
        <v>2749</v>
      </c>
      <c r="M518" t="str">
        <f>IF(OR(BOM!$AE$4=FALSE,BOM!$AE$4="-"),IF(ISERROR(SEARCH("send",B518)),"","pool:TPC"),IF(ISERROR(SEARCH("send",B518)),"","pool:TPC|pool:TPC"))</f>
        <v/>
      </c>
      <c r="S518" t="str">
        <f>IFERROR(IF(VLOOKUP(B518,'Sender-Receiver'!$B$3:$BP$1500,60,FALSE)="x","true","false"),"false")</f>
        <v>false</v>
      </c>
      <c r="T518" t="str">
        <f t="shared" si="7"/>
        <v>off</v>
      </c>
      <c r="Y518" t="str">
        <f>IF(BOM!$AE$4=FALSE,IF(ISERROR(SEARCH("Embrionix",BOM!$M$4)),"none",IF(ISERROR(SEARCH("Quadsplit",BOM!$N$4)),IF(ISERROR(SEARCH("rec",B518)),"none","merge"),"none")),IF(ISERROR(SEARCH("rec",B518)),"split","merge"))</f>
        <v>merge</v>
      </c>
    </row>
    <row r="519" spans="1:25" x14ac:dyDescent="0.2">
      <c r="A519" t="s">
        <v>1238</v>
      </c>
      <c r="B519" t="s">
        <v>2771</v>
      </c>
      <c r="C519" t="str">
        <f>IFERROR(VLOOKUP(B519,'Sender-Receiver'!$B$3:$BP$1500,61,FALSE),"")</f>
        <v>#SNP</v>
      </c>
      <c r="D519" t="str">
        <f>IFERROR(VLOOKUP(B519,'Sender-Receiver'!$B$3:$BP$1500,41,FALSE),"")</f>
        <v xml:space="preserve"> |  | IngSRV-10</v>
      </c>
      <c r="E519" t="s">
        <v>1240</v>
      </c>
      <c r="F519">
        <v>25</v>
      </c>
      <c r="G519" t="s">
        <v>2750</v>
      </c>
      <c r="M519" t="str">
        <f>IF(OR(BOM!$AE$4=FALSE,BOM!$AE$4="-"),IF(ISERROR(SEARCH("send",B519)),"","pool:TPC"),IF(ISERROR(SEARCH("send",B519)),"","pool:TPC|pool:TPC"))</f>
        <v/>
      </c>
      <c r="S519" t="str">
        <f>IFERROR(IF(VLOOKUP(B519,'Sender-Receiver'!$B$3:$BP$1500,60,FALSE)="x","true","false"),"false")</f>
        <v>false</v>
      </c>
      <c r="T519" t="str">
        <f t="shared" si="7"/>
        <v>off</v>
      </c>
      <c r="Y519" t="str">
        <f>IF(BOM!$AE$4=FALSE,IF(ISERROR(SEARCH("Embrionix",BOM!$M$4)),"none",IF(ISERROR(SEARCH("Quadsplit",BOM!$N$4)),IF(ISERROR(SEARCH("rec",B519)),"none","merge"),"none")),IF(ISERROR(SEARCH("rec",B519)),"split","merge"))</f>
        <v>merge</v>
      </c>
    </row>
    <row r="520" spans="1:25" x14ac:dyDescent="0.2">
      <c r="A520" t="s">
        <v>1238</v>
      </c>
      <c r="B520" t="s">
        <v>2772</v>
      </c>
      <c r="C520" t="str">
        <f>IFERROR(VLOOKUP(B520,'Sender-Receiver'!$B$3:$BP$1500,61,FALSE),"")</f>
        <v>#SNP</v>
      </c>
      <c r="D520" t="str">
        <f>IFERROR(VLOOKUP(B520,'Sender-Receiver'!$B$3:$BP$1500,41,FALSE),"")</f>
        <v xml:space="preserve"> |  | IngSRV-10</v>
      </c>
      <c r="E520" t="s">
        <v>1240</v>
      </c>
      <c r="F520">
        <v>25</v>
      </c>
      <c r="G520" t="s">
        <v>2751</v>
      </c>
      <c r="M520" t="str">
        <f>IF(OR(BOM!$AE$4=FALSE,BOM!$AE$4="-"),IF(ISERROR(SEARCH("send",B520)),"","pool:TPC"),IF(ISERROR(SEARCH("send",B520)),"","pool:TPC|pool:TPC"))</f>
        <v/>
      </c>
      <c r="S520" t="str">
        <f>IFERROR(IF(VLOOKUP(B520,'Sender-Receiver'!$B$3:$BP$1500,60,FALSE)="x","true","false"),"false")</f>
        <v>false</v>
      </c>
      <c r="T520" t="str">
        <f t="shared" si="7"/>
        <v>off</v>
      </c>
      <c r="Y520" t="str">
        <f>IF(BOM!$AE$4=FALSE,IF(ISERROR(SEARCH("Embrionix",BOM!$M$4)),"none",IF(ISERROR(SEARCH("Quadsplit",BOM!$N$4)),IF(ISERROR(SEARCH("rec",B520)),"none","merge"),"none")),IF(ISERROR(SEARCH("rec",B520)),"split","merge"))</f>
        <v>merge</v>
      </c>
    </row>
    <row r="521" spans="1:25" x14ac:dyDescent="0.2">
      <c r="A521" t="s">
        <v>1238</v>
      </c>
      <c r="B521" t="s">
        <v>2773</v>
      </c>
      <c r="C521" t="str">
        <f>IFERROR(VLOOKUP(B521,'Sender-Receiver'!$B$3:$BP$1500,61,FALSE),"")</f>
        <v>Type:Aud_1CH_M,Type:Aud_2CH_LR,Type:Aud_3CH_LRC,Type:Aud_6CH_5.1,Type:Aud_8CH_RAW,#SNP</v>
      </c>
      <c r="D521" t="str">
        <f>IFERROR(VLOOKUP(B521,'Sender-Receiver'!$B$3:$BP$1500,41,FALSE),"")</f>
        <v>M3H InCh PGM | Ingest Ch37-15 | IngSRV-10</v>
      </c>
      <c r="E521" t="s">
        <v>1240</v>
      </c>
      <c r="F521">
        <v>25</v>
      </c>
      <c r="G521" t="s">
        <v>2752</v>
      </c>
      <c r="M521" t="str">
        <f>IF(OR(BOM!$AE$4=FALSE,BOM!$AE$4="-"),IF(ISERROR(SEARCH("send",B521)),"","pool:TPC"),IF(ISERROR(SEARCH("send",B521)),"","pool:TPC|pool:TPC"))</f>
        <v/>
      </c>
      <c r="S521" t="str">
        <f>IFERROR(IF(VLOOKUP(B521,'Sender-Receiver'!$B$3:$BP$1500,60,FALSE)="x","true","false"),"false")</f>
        <v>true</v>
      </c>
      <c r="T521" t="str">
        <f t="shared" si="7"/>
        <v>full</v>
      </c>
      <c r="Y521" t="str">
        <f>IF(BOM!$AE$4=FALSE,IF(ISERROR(SEARCH("Embrionix",BOM!$M$4)),"none",IF(ISERROR(SEARCH("Quadsplit",BOM!$N$4)),IF(ISERROR(SEARCH("rec",B521)),"none","merge"),"none")),IF(ISERROR(SEARCH("rec",B521)),"split","merge"))</f>
        <v>merge</v>
      </c>
    </row>
    <row r="522" spans="1:25" x14ac:dyDescent="0.2">
      <c r="A522" t="s">
        <v>1238</v>
      </c>
      <c r="B522" t="s">
        <v>2774</v>
      </c>
      <c r="C522" t="str">
        <f>IFERROR(VLOOKUP(B522,'Sender-Receiver'!$B$3:$BP$1500,61,FALSE),"")</f>
        <v>Type:Aud_1CH_M,Type:Aud_2CH_LR,Type:Aud_3CH_LRC,Type:Aud_6CH_5.1,Type:Aud_8CH_RAW,#SNP</v>
      </c>
      <c r="D522" t="str">
        <f>IFERROR(VLOOKUP(B522,'Sender-Receiver'!$B$3:$BP$1500,41,FALSE),"")</f>
        <v>M3H InCh PGM | Ingest Ch37-16 | IngSRV-10</v>
      </c>
      <c r="E522" t="s">
        <v>1240</v>
      </c>
      <c r="F522">
        <v>25</v>
      </c>
      <c r="G522" t="s">
        <v>2753</v>
      </c>
      <c r="M522" t="str">
        <f>IF(OR(BOM!$AE$4=FALSE,BOM!$AE$4="-"),IF(ISERROR(SEARCH("send",B522)),"","pool:TPC"),IF(ISERROR(SEARCH("send",B522)),"","pool:TPC|pool:TPC"))</f>
        <v/>
      </c>
      <c r="S522" t="str">
        <f>IFERROR(IF(VLOOKUP(B522,'Sender-Receiver'!$B$3:$BP$1500,60,FALSE)="x","true","false"),"false")</f>
        <v>true</v>
      </c>
      <c r="T522" t="str">
        <f t="shared" si="7"/>
        <v>full</v>
      </c>
      <c r="Y522" t="str">
        <f>IF(BOM!$AE$4=FALSE,IF(ISERROR(SEARCH("Embrionix",BOM!$M$4)),"none",IF(ISERROR(SEARCH("Quadsplit",BOM!$N$4)),IF(ISERROR(SEARCH("rec",B522)),"none","merge"),"none")),IF(ISERROR(SEARCH("rec",B522)),"split","merge"))</f>
        <v>merge</v>
      </c>
    </row>
    <row r="523" spans="1:25" x14ac:dyDescent="0.2">
      <c r="A523" t="s">
        <v>1238</v>
      </c>
      <c r="B523" t="s">
        <v>2775</v>
      </c>
      <c r="C523" t="str">
        <f>IFERROR(VLOOKUP(B523,'Sender-Receiver'!$B$3:$BP$1500,61,FALSE),"")</f>
        <v>Type:Anc_Prot,#SNP</v>
      </c>
      <c r="D523" t="str">
        <f>IFERROR(VLOOKUP(B523,'Sender-Receiver'!$B$3:$BP$1500,41,FALSE),"")</f>
        <v>M3H InCh PGM | Ingest Ch37-ANC1 | IngSRV-10</v>
      </c>
      <c r="E523" t="s">
        <v>1240</v>
      </c>
      <c r="F523">
        <v>25</v>
      </c>
      <c r="G523" t="s">
        <v>2754</v>
      </c>
      <c r="M523" t="str">
        <f>IF(OR(BOM!$AE$4=FALSE,BOM!$AE$4="-"),IF(ISERROR(SEARCH("send",B523)),"","pool:TPC"),IF(ISERROR(SEARCH("send",B523)),"","pool:TPC|pool:TPC"))</f>
        <v/>
      </c>
      <c r="S523" t="str">
        <f>IFERROR(IF(VLOOKUP(B523,'Sender-Receiver'!$B$3:$BP$1500,60,FALSE)="x","true","false"),"false")</f>
        <v>true</v>
      </c>
      <c r="T523" t="str">
        <f t="shared" si="7"/>
        <v>full</v>
      </c>
      <c r="Y523" t="str">
        <f>IF(BOM!$AE$4=FALSE,IF(ISERROR(SEARCH("Embrionix",BOM!$M$4)),"none",IF(ISERROR(SEARCH("Quadsplit",BOM!$N$4)),IF(ISERROR(SEARCH("rec",B523)),"none","merge"),"none")),IF(ISERROR(SEARCH("rec",B523)),"split","merge"))</f>
        <v>merge</v>
      </c>
    </row>
    <row r="524" spans="1:25" x14ac:dyDescent="0.2">
      <c r="A524" t="s">
        <v>1238</v>
      </c>
      <c r="B524" t="s">
        <v>2776</v>
      </c>
      <c r="C524" t="str">
        <f>IFERROR(VLOOKUP(B524,'Sender-Receiver'!$B$3:$BP$1500,61,FALSE),"")</f>
        <v>#SNP</v>
      </c>
      <c r="D524" t="str">
        <f>IFERROR(VLOOKUP(B524,'Sender-Receiver'!$B$3:$BP$1500,41,FALSE),"")</f>
        <v xml:space="preserve"> |  | IngSRV-10</v>
      </c>
      <c r="E524" t="s">
        <v>1240</v>
      </c>
      <c r="F524">
        <v>25</v>
      </c>
      <c r="G524" t="s">
        <v>2755</v>
      </c>
      <c r="M524" t="str">
        <f>IF(OR(BOM!$AE$4=FALSE,BOM!$AE$4="-"),IF(ISERROR(SEARCH("send",B524)),"","pool:TPC"),IF(ISERROR(SEARCH("send",B524)),"","pool:TPC|pool:TPC"))</f>
        <v/>
      </c>
      <c r="S524" t="str">
        <f>IFERROR(IF(VLOOKUP(B524,'Sender-Receiver'!$B$3:$BP$1500,60,FALSE)="x","true","false"),"false")</f>
        <v>false</v>
      </c>
      <c r="T524" t="str">
        <f t="shared" si="7"/>
        <v>off</v>
      </c>
      <c r="Y524" t="str">
        <f>IF(BOM!$AE$4=FALSE,IF(ISERROR(SEARCH("Embrionix",BOM!$M$4)),"none",IF(ISERROR(SEARCH("Quadsplit",BOM!$N$4)),IF(ISERROR(SEARCH("rec",B524)),"none","merge"),"none")),IF(ISERROR(SEARCH("rec",B524)),"split","merge"))</f>
        <v>merge</v>
      </c>
    </row>
    <row r="525" spans="1:25" x14ac:dyDescent="0.2">
      <c r="A525" t="s">
        <v>1238</v>
      </c>
      <c r="B525" t="s">
        <v>2777</v>
      </c>
      <c r="C525" t="str">
        <f>IFERROR(VLOOKUP(B525,'Sender-Receiver'!$B$3:$BP$1500,61,FALSE),"")</f>
        <v>#SNP</v>
      </c>
      <c r="D525" t="str">
        <f>IFERROR(VLOOKUP(B525,'Sender-Receiver'!$B$3:$BP$1500,41,FALSE),"")</f>
        <v xml:space="preserve"> |  | IngSRV-10</v>
      </c>
      <c r="E525" t="s">
        <v>1240</v>
      </c>
      <c r="F525">
        <v>25</v>
      </c>
      <c r="G525" t="s">
        <v>2756</v>
      </c>
      <c r="M525" t="str">
        <f>IF(OR(BOM!$AE$4=FALSE,BOM!$AE$4="-"),IF(ISERROR(SEARCH("send",B525)),"","pool:TPC"),IF(ISERROR(SEARCH("send",B525)),"","pool:TPC|pool:TPC"))</f>
        <v/>
      </c>
      <c r="S525" t="str">
        <f>IFERROR(IF(VLOOKUP(B525,'Sender-Receiver'!$B$3:$BP$1500,60,FALSE)="x","true","false"),"false")</f>
        <v>false</v>
      </c>
      <c r="T525" t="str">
        <f t="shared" si="7"/>
        <v>off</v>
      </c>
      <c r="Y525" t="str">
        <f>IF(BOM!$AE$4=FALSE,IF(ISERROR(SEARCH("Embrionix",BOM!$M$4)),"none",IF(ISERROR(SEARCH("Quadsplit",BOM!$N$4)),IF(ISERROR(SEARCH("rec",B525)),"none","merge"),"none")),IF(ISERROR(SEARCH("rec",B525)),"split","merge"))</f>
        <v>merge</v>
      </c>
    </row>
    <row r="526" spans="1:25" x14ac:dyDescent="0.2">
      <c r="A526" t="s">
        <v>1238</v>
      </c>
      <c r="B526" t="s">
        <v>2778</v>
      </c>
      <c r="C526" t="str">
        <f>IFERROR(VLOOKUP(B526,'Sender-Receiver'!$B$3:$BP$1500,61,FALSE),"")</f>
        <v>#SNP</v>
      </c>
      <c r="D526" t="str">
        <f>IFERROR(VLOOKUP(B526,'Sender-Receiver'!$B$3:$BP$1500,41,FALSE),"")</f>
        <v xml:space="preserve"> |  | IngSRV-10</v>
      </c>
      <c r="E526" t="s">
        <v>1240</v>
      </c>
      <c r="F526">
        <v>25</v>
      </c>
      <c r="G526" t="s">
        <v>2757</v>
      </c>
      <c r="M526" t="str">
        <f>IF(OR(BOM!$AE$4=FALSE,BOM!$AE$4="-"),IF(ISERROR(SEARCH("send",B526)),"","pool:TPC"),IF(ISERROR(SEARCH("send",B526)),"","pool:TPC|pool:TPC"))</f>
        <v/>
      </c>
      <c r="S526" t="str">
        <f>IFERROR(IF(VLOOKUP(B526,'Sender-Receiver'!$B$3:$BP$1500,60,FALSE)="x","true","false"),"false")</f>
        <v>false</v>
      </c>
      <c r="T526" t="str">
        <f t="shared" si="7"/>
        <v>off</v>
      </c>
      <c r="Y526" t="str">
        <f>IF(BOM!$AE$4=FALSE,IF(ISERROR(SEARCH("Embrionix",BOM!$M$4)),"none",IF(ISERROR(SEARCH("Quadsplit",BOM!$N$4)),IF(ISERROR(SEARCH("rec",B526)),"none","merge"),"none")),IF(ISERROR(SEARCH("rec",B526)),"split","merge"))</f>
        <v>merge</v>
      </c>
    </row>
    <row r="527" spans="1:25" x14ac:dyDescent="0.2">
      <c r="A527" t="s">
        <v>1238</v>
      </c>
      <c r="B527" t="s">
        <v>2248</v>
      </c>
      <c r="C527" t="str">
        <f>IFERROR(VLOOKUP(B527,'Sender-Receiver'!$B$3:$BP$1500,61,FALSE),"")</f>
        <v/>
      </c>
      <c r="D527" t="str">
        <f>IFERROR(VLOOKUP(B527,'Sender-Receiver'!$B$3:$BP$1500,41,FALSE),"")</f>
        <v/>
      </c>
      <c r="E527" t="s">
        <v>1240</v>
      </c>
      <c r="F527">
        <v>25</v>
      </c>
      <c r="G527" t="s">
        <v>2249</v>
      </c>
      <c r="M527" t="str">
        <f>IF(OR(BOM!$AE$4=FALSE,BOM!$AE$4="-"),IF(ISERROR(SEARCH("send",B527)),"","pool:TPC"),IF(ISERROR(SEARCH("send",B527)),"","pool:TPC|pool:TPC"))</f>
        <v>pool:TPC|pool:TPC</v>
      </c>
      <c r="S527" t="str">
        <f>IFERROR(IF(VLOOKUP(B527,'Sender-Receiver'!$B$3:$BP$1500,60,FALSE)="x","true","false"),"false")</f>
        <v>false</v>
      </c>
      <c r="T527" t="str">
        <f t="shared" si="7"/>
        <v>off</v>
      </c>
      <c r="Y527" t="str">
        <f>IF(BOM!$AE$4=FALSE,IF(ISERROR(SEARCH("Embrionix",BOM!$M$4)),"none",IF(ISERROR(SEARCH("Quadsplit",BOM!$N$4)),IF(ISERROR(SEARCH("rec",B527)),"none","merge"),"none")),IF(ISERROR(SEARCH("rec",B527)),"split","merge"))</f>
        <v>split</v>
      </c>
    </row>
    <row r="528" spans="1:25" x14ac:dyDescent="0.2">
      <c r="A528" t="s">
        <v>1238</v>
      </c>
      <c r="B528" t="s">
        <v>2250</v>
      </c>
      <c r="C528" t="str">
        <f>IFERROR(VLOOKUP(B528,'Sender-Receiver'!$B$3:$BP$1500,61,FALSE),"")</f>
        <v/>
      </c>
      <c r="D528" t="str">
        <f>IFERROR(VLOOKUP(B528,'Sender-Receiver'!$B$3:$BP$1500,41,FALSE),"")</f>
        <v/>
      </c>
      <c r="E528" t="s">
        <v>1240</v>
      </c>
      <c r="F528">
        <v>25</v>
      </c>
      <c r="G528" t="s">
        <v>2251</v>
      </c>
      <c r="M528" t="str">
        <f>IF(OR(BOM!$AE$4=FALSE,BOM!$AE$4="-"),IF(ISERROR(SEARCH("send",B528)),"","pool:TPC"),IF(ISERROR(SEARCH("send",B528)),"","pool:TPC|pool:TPC"))</f>
        <v>pool:TPC|pool:TPC</v>
      </c>
      <c r="S528" t="str">
        <f>IFERROR(IF(VLOOKUP(B528,'Sender-Receiver'!$B$3:$BP$1500,60,FALSE)="x","true","false"),"false")</f>
        <v>false</v>
      </c>
      <c r="T528" t="str">
        <f t="shared" si="7"/>
        <v>off</v>
      </c>
      <c r="Y528" t="str">
        <f>IF(BOM!$AE$4=FALSE,IF(ISERROR(SEARCH("Embrionix",BOM!$M$4)),"none",IF(ISERROR(SEARCH("Quadsplit",BOM!$N$4)),IF(ISERROR(SEARCH("rec",B528)),"none","merge"),"none")),IF(ISERROR(SEARCH("rec",B528)),"split","merge"))</f>
        <v>split</v>
      </c>
    </row>
    <row r="529" spans="1:25" x14ac:dyDescent="0.2">
      <c r="A529" t="s">
        <v>1238</v>
      </c>
      <c r="B529" t="s">
        <v>2252</v>
      </c>
      <c r="C529" t="str">
        <f>IFERROR(VLOOKUP(B529,'Sender-Receiver'!$B$3:$BP$1500,61,FALSE),"")</f>
        <v/>
      </c>
      <c r="D529" t="str">
        <f>IFERROR(VLOOKUP(B529,'Sender-Receiver'!$B$3:$BP$1500,41,FALSE),"")</f>
        <v/>
      </c>
      <c r="E529" t="s">
        <v>1240</v>
      </c>
      <c r="F529">
        <v>25</v>
      </c>
      <c r="G529" t="s">
        <v>2253</v>
      </c>
      <c r="M529" t="str">
        <f>IF(OR(BOM!$AE$4=FALSE,BOM!$AE$4="-"),IF(ISERROR(SEARCH("send",B529)),"","pool:TPC"),IF(ISERROR(SEARCH("send",B529)),"","pool:TPC|pool:TPC"))</f>
        <v>pool:TPC|pool:TPC</v>
      </c>
      <c r="S529" t="str">
        <f>IFERROR(IF(VLOOKUP(B529,'Sender-Receiver'!$B$3:$BP$1500,60,FALSE)="x","true","false"),"false")</f>
        <v>false</v>
      </c>
      <c r="T529" t="str">
        <f t="shared" si="7"/>
        <v>off</v>
      </c>
      <c r="Y529" t="str">
        <f>IF(BOM!$AE$4=FALSE,IF(ISERROR(SEARCH("Embrionix",BOM!$M$4)),"none",IF(ISERROR(SEARCH("Quadsplit",BOM!$N$4)),IF(ISERROR(SEARCH("rec",B529)),"none","merge"),"none")),IF(ISERROR(SEARCH("rec",B529)),"split","merge"))</f>
        <v>split</v>
      </c>
    </row>
    <row r="530" spans="1:25" x14ac:dyDescent="0.2">
      <c r="A530" t="s">
        <v>1238</v>
      </c>
      <c r="B530" t="s">
        <v>2254</v>
      </c>
      <c r="C530" t="str">
        <f>IFERROR(VLOOKUP(B530,'Sender-Receiver'!$B$3:$BP$1500,61,FALSE),"")</f>
        <v/>
      </c>
      <c r="D530" t="str">
        <f>IFERROR(VLOOKUP(B530,'Sender-Receiver'!$B$3:$BP$1500,41,FALSE),"")</f>
        <v/>
      </c>
      <c r="E530" t="s">
        <v>1240</v>
      </c>
      <c r="F530">
        <v>25</v>
      </c>
      <c r="G530" t="s">
        <v>2255</v>
      </c>
      <c r="M530" t="str">
        <f>IF(OR(BOM!$AE$4=FALSE,BOM!$AE$4="-"),IF(ISERROR(SEARCH("send",B530)),"","pool:TPC"),IF(ISERROR(SEARCH("send",B530)),"","pool:TPC|pool:TPC"))</f>
        <v>pool:TPC|pool:TPC</v>
      </c>
      <c r="S530" t="str">
        <f>IFERROR(IF(VLOOKUP(B530,'Sender-Receiver'!$B$3:$BP$1500,60,FALSE)="x","true","false"),"false")</f>
        <v>false</v>
      </c>
      <c r="T530" t="str">
        <f t="shared" si="7"/>
        <v>off</v>
      </c>
      <c r="Y530" t="str">
        <f>IF(BOM!$AE$4=FALSE,IF(ISERROR(SEARCH("Embrionix",BOM!$M$4)),"none",IF(ISERROR(SEARCH("Quadsplit",BOM!$N$4)),IF(ISERROR(SEARCH("rec",B530)),"none","merge"),"none")),IF(ISERROR(SEARCH("rec",B530)),"split","merge"))</f>
        <v>split</v>
      </c>
    </row>
    <row r="531" spans="1:25" x14ac:dyDescent="0.2">
      <c r="A531" t="s">
        <v>1238</v>
      </c>
      <c r="B531" t="s">
        <v>2256</v>
      </c>
      <c r="C531" t="str">
        <f>IFERROR(VLOOKUP(B531,'Sender-Receiver'!$B$3:$BP$1500,61,FALSE),"")</f>
        <v/>
      </c>
      <c r="D531" t="str">
        <f>IFERROR(VLOOKUP(B531,'Sender-Receiver'!$B$3:$BP$1500,41,FALSE),"")</f>
        <v/>
      </c>
      <c r="E531" t="s">
        <v>1240</v>
      </c>
      <c r="F531">
        <v>25</v>
      </c>
      <c r="G531" t="s">
        <v>2257</v>
      </c>
      <c r="M531" t="str">
        <f>IF(OR(BOM!$AE$4=FALSE,BOM!$AE$4="-"),IF(ISERROR(SEARCH("send",B531)),"","pool:TPC"),IF(ISERROR(SEARCH("send",B531)),"","pool:TPC|pool:TPC"))</f>
        <v>pool:TPC|pool:TPC</v>
      </c>
      <c r="S531" t="str">
        <f>IFERROR(IF(VLOOKUP(B531,'Sender-Receiver'!$B$3:$BP$1500,60,FALSE)="x","true","false"),"false")</f>
        <v>false</v>
      </c>
      <c r="T531" t="str">
        <f t="shared" si="7"/>
        <v>off</v>
      </c>
      <c r="Y531" t="str">
        <f>IF(BOM!$AE$4=FALSE,IF(ISERROR(SEARCH("Embrionix",BOM!$M$4)),"none",IF(ISERROR(SEARCH("Quadsplit",BOM!$N$4)),IF(ISERROR(SEARCH("rec",B531)),"none","merge"),"none")),IF(ISERROR(SEARCH("rec",B531)),"split","merge"))</f>
        <v>split</v>
      </c>
    </row>
    <row r="532" spans="1:25" x14ac:dyDescent="0.2">
      <c r="A532" t="s">
        <v>1238</v>
      </c>
      <c r="B532" t="s">
        <v>2258</v>
      </c>
      <c r="C532" t="str">
        <f>IFERROR(VLOOKUP(B532,'Sender-Receiver'!$B$3:$BP$1500,61,FALSE),"")</f>
        <v/>
      </c>
      <c r="D532" t="str">
        <f>IFERROR(VLOOKUP(B532,'Sender-Receiver'!$B$3:$BP$1500,41,FALSE),"")</f>
        <v/>
      </c>
      <c r="E532" t="s">
        <v>1240</v>
      </c>
      <c r="F532">
        <v>25</v>
      </c>
      <c r="G532" t="s">
        <v>2259</v>
      </c>
      <c r="M532" t="str">
        <f>IF(OR(BOM!$AE$4=FALSE,BOM!$AE$4="-"),IF(ISERROR(SEARCH("send",B532)),"","pool:TPC"),IF(ISERROR(SEARCH("send",B532)),"","pool:TPC|pool:TPC"))</f>
        <v>pool:TPC|pool:TPC</v>
      </c>
      <c r="S532" t="str">
        <f>IFERROR(IF(VLOOKUP(B532,'Sender-Receiver'!$B$3:$BP$1500,60,FALSE)="x","true","false"),"false")</f>
        <v>false</v>
      </c>
      <c r="T532" t="str">
        <f t="shared" si="7"/>
        <v>off</v>
      </c>
      <c r="Y532" t="str">
        <f>IF(BOM!$AE$4=FALSE,IF(ISERROR(SEARCH("Embrionix",BOM!$M$4)),"none",IF(ISERROR(SEARCH("Quadsplit",BOM!$N$4)),IF(ISERROR(SEARCH("rec",B532)),"none","merge"),"none")),IF(ISERROR(SEARCH("rec",B532)),"split","merge"))</f>
        <v>split</v>
      </c>
    </row>
    <row r="533" spans="1:25" x14ac:dyDescent="0.2">
      <c r="A533" t="s">
        <v>1238</v>
      </c>
      <c r="B533" t="s">
        <v>2260</v>
      </c>
      <c r="C533" t="str">
        <f>IFERROR(VLOOKUP(B533,'Sender-Receiver'!$B$3:$BP$1500,61,FALSE),"")</f>
        <v/>
      </c>
      <c r="D533" t="str">
        <f>IFERROR(VLOOKUP(B533,'Sender-Receiver'!$B$3:$BP$1500,41,FALSE),"")</f>
        <v/>
      </c>
      <c r="E533" t="s">
        <v>1240</v>
      </c>
      <c r="F533">
        <v>25</v>
      </c>
      <c r="G533" t="s">
        <v>2261</v>
      </c>
      <c r="M533" t="str">
        <f>IF(OR(BOM!$AE$4=FALSE,BOM!$AE$4="-"),IF(ISERROR(SEARCH("send",B533)),"","pool:TPC"),IF(ISERROR(SEARCH("send",B533)),"","pool:TPC|pool:TPC"))</f>
        <v>pool:TPC|pool:TPC</v>
      </c>
      <c r="S533" t="str">
        <f>IFERROR(IF(VLOOKUP(B533,'Sender-Receiver'!$B$3:$BP$1500,60,FALSE)="x","true","false"),"false")</f>
        <v>false</v>
      </c>
      <c r="T533" t="str">
        <f t="shared" si="7"/>
        <v>off</v>
      </c>
      <c r="Y533" t="str">
        <f>IF(BOM!$AE$4=FALSE,IF(ISERROR(SEARCH("Embrionix",BOM!$M$4)),"none",IF(ISERROR(SEARCH("Quadsplit",BOM!$N$4)),IF(ISERROR(SEARCH("rec",B533)),"none","merge"),"none")),IF(ISERROR(SEARCH("rec",B533)),"split","merge"))</f>
        <v>split</v>
      </c>
    </row>
    <row r="534" spans="1:25" x14ac:dyDescent="0.2">
      <c r="A534" t="s">
        <v>1238</v>
      </c>
      <c r="B534" t="s">
        <v>2262</v>
      </c>
      <c r="C534" t="str">
        <f>IFERROR(VLOOKUP(B534,'Sender-Receiver'!$B$3:$BP$1500,61,FALSE),"")</f>
        <v/>
      </c>
      <c r="D534" t="str">
        <f>IFERROR(VLOOKUP(B534,'Sender-Receiver'!$B$3:$BP$1500,41,FALSE),"")</f>
        <v/>
      </c>
      <c r="E534" t="s">
        <v>1240</v>
      </c>
      <c r="F534">
        <v>25</v>
      </c>
      <c r="G534" t="s">
        <v>2263</v>
      </c>
      <c r="M534" t="str">
        <f>IF(OR(BOM!$AE$4=FALSE,BOM!$AE$4="-"),IF(ISERROR(SEARCH("send",B534)),"","pool:TPC"),IF(ISERROR(SEARCH("send",B534)),"","pool:TPC|pool:TPC"))</f>
        <v>pool:TPC|pool:TPC</v>
      </c>
      <c r="S534" t="str">
        <f>IFERROR(IF(VLOOKUP(B534,'Sender-Receiver'!$B$3:$BP$1500,60,FALSE)="x","true","false"),"false")</f>
        <v>false</v>
      </c>
      <c r="T534" t="str">
        <f t="shared" si="7"/>
        <v>off</v>
      </c>
      <c r="Y534" t="str">
        <f>IF(BOM!$AE$4=FALSE,IF(ISERROR(SEARCH("Embrionix",BOM!$M$4)),"none",IF(ISERROR(SEARCH("Quadsplit",BOM!$N$4)),IF(ISERROR(SEARCH("rec",B534)),"none","merge"),"none")),IF(ISERROR(SEARCH("rec",B534)),"split","merge"))</f>
        <v>split</v>
      </c>
    </row>
    <row r="535" spans="1:25" x14ac:dyDescent="0.2">
      <c r="A535" t="s">
        <v>1238</v>
      </c>
      <c r="B535" t="s">
        <v>2264</v>
      </c>
      <c r="C535" t="str">
        <f>IFERROR(VLOOKUP(B535,'Sender-Receiver'!$B$3:$BP$1500,61,FALSE),"")</f>
        <v/>
      </c>
      <c r="D535" t="str">
        <f>IFERROR(VLOOKUP(B535,'Sender-Receiver'!$B$3:$BP$1500,41,FALSE),"")</f>
        <v/>
      </c>
      <c r="E535" t="s">
        <v>1240</v>
      </c>
      <c r="F535">
        <v>25</v>
      </c>
      <c r="G535" t="s">
        <v>2265</v>
      </c>
      <c r="M535" t="str">
        <f>IF(OR(BOM!$AE$4=FALSE,BOM!$AE$4="-"),IF(ISERROR(SEARCH("send",B535)),"","pool:TPC"),IF(ISERROR(SEARCH("send",B535)),"","pool:TPC|pool:TPC"))</f>
        <v>pool:TPC|pool:TPC</v>
      </c>
      <c r="S535" t="str">
        <f>IFERROR(IF(VLOOKUP(B535,'Sender-Receiver'!$B$3:$BP$1500,60,FALSE)="x","true","false"),"false")</f>
        <v>false</v>
      </c>
      <c r="T535" t="str">
        <f t="shared" si="7"/>
        <v>off</v>
      </c>
      <c r="Y535" t="str">
        <f>IF(BOM!$AE$4=FALSE,IF(ISERROR(SEARCH("Embrionix",BOM!$M$4)),"none",IF(ISERROR(SEARCH("Quadsplit",BOM!$N$4)),IF(ISERROR(SEARCH("rec",B535)),"none","merge"),"none")),IF(ISERROR(SEARCH("rec",B535)),"split","merge"))</f>
        <v>split</v>
      </c>
    </row>
    <row r="536" spans="1:25" x14ac:dyDescent="0.2">
      <c r="A536" t="s">
        <v>1238</v>
      </c>
      <c r="B536" t="s">
        <v>2266</v>
      </c>
      <c r="C536" t="str">
        <f>IFERROR(VLOOKUP(B536,'Sender-Receiver'!$B$3:$BP$1500,61,FALSE),"")</f>
        <v/>
      </c>
      <c r="D536" t="str">
        <f>IFERROR(VLOOKUP(B536,'Sender-Receiver'!$B$3:$BP$1500,41,FALSE),"")</f>
        <v/>
      </c>
      <c r="E536" t="s">
        <v>1240</v>
      </c>
      <c r="F536">
        <v>25</v>
      </c>
      <c r="G536" t="s">
        <v>2267</v>
      </c>
      <c r="M536" t="str">
        <f>IF(OR(BOM!$AE$4=FALSE,BOM!$AE$4="-"),IF(ISERROR(SEARCH("send",B536)),"","pool:TPC"),IF(ISERROR(SEARCH("send",B536)),"","pool:TPC|pool:TPC"))</f>
        <v>pool:TPC|pool:TPC</v>
      </c>
      <c r="S536" t="str">
        <f>IFERROR(IF(VLOOKUP(B536,'Sender-Receiver'!$B$3:$BP$1500,60,FALSE)="x","true","false"),"false")</f>
        <v>false</v>
      </c>
      <c r="T536" t="str">
        <f t="shared" ref="T536:T662" si="8">IF(S536="true","full","off")</f>
        <v>off</v>
      </c>
      <c r="Y536" t="str">
        <f>IF(BOM!$AE$4=FALSE,IF(ISERROR(SEARCH("Embrionix",BOM!$M$4)),"none",IF(ISERROR(SEARCH("Quadsplit",BOM!$N$4)),IF(ISERROR(SEARCH("rec",B536)),"none","merge"),"none")),IF(ISERROR(SEARCH("rec",B536)),"split","merge"))</f>
        <v>split</v>
      </c>
    </row>
    <row r="537" spans="1:25" x14ac:dyDescent="0.2">
      <c r="A537" t="s">
        <v>1238</v>
      </c>
      <c r="B537" t="s">
        <v>2268</v>
      </c>
      <c r="C537" t="str">
        <f>IFERROR(VLOOKUP(B537,'Sender-Receiver'!$B$3:$BP$1500,61,FALSE),"")</f>
        <v/>
      </c>
      <c r="D537" t="str">
        <f>IFERROR(VLOOKUP(B537,'Sender-Receiver'!$B$3:$BP$1500,41,FALSE),"")</f>
        <v/>
      </c>
      <c r="E537" t="s">
        <v>1240</v>
      </c>
      <c r="F537">
        <v>25</v>
      </c>
      <c r="G537" t="s">
        <v>2269</v>
      </c>
      <c r="M537" t="str">
        <f>IF(OR(BOM!$AE$4=FALSE,BOM!$AE$4="-"),IF(ISERROR(SEARCH("send",B537)),"","pool:TPC"),IF(ISERROR(SEARCH("send",B537)),"","pool:TPC|pool:TPC"))</f>
        <v>pool:TPC|pool:TPC</v>
      </c>
      <c r="S537" t="str">
        <f>IFERROR(IF(VLOOKUP(B537,'Sender-Receiver'!$B$3:$BP$1500,60,FALSE)="x","true","false"),"false")</f>
        <v>false</v>
      </c>
      <c r="T537" t="str">
        <f t="shared" si="8"/>
        <v>off</v>
      </c>
      <c r="Y537" t="str">
        <f>IF(BOM!$AE$4=FALSE,IF(ISERROR(SEARCH("Embrionix",BOM!$M$4)),"none",IF(ISERROR(SEARCH("Quadsplit",BOM!$N$4)),IF(ISERROR(SEARCH("rec",B537)),"none","merge"),"none")),IF(ISERROR(SEARCH("rec",B537)),"split","merge"))</f>
        <v>split</v>
      </c>
    </row>
    <row r="538" spans="1:25" x14ac:dyDescent="0.2">
      <c r="A538" t="s">
        <v>1238</v>
      </c>
      <c r="B538" t="s">
        <v>2270</v>
      </c>
      <c r="C538" t="str">
        <f>IFERROR(VLOOKUP(B538,'Sender-Receiver'!$B$3:$BP$1500,61,FALSE),"")</f>
        <v/>
      </c>
      <c r="D538" t="str">
        <f>IFERROR(VLOOKUP(B538,'Sender-Receiver'!$B$3:$BP$1500,41,FALSE),"")</f>
        <v/>
      </c>
      <c r="E538" t="s">
        <v>1240</v>
      </c>
      <c r="F538">
        <v>25</v>
      </c>
      <c r="G538" t="s">
        <v>2271</v>
      </c>
      <c r="M538" t="str">
        <f>IF(OR(BOM!$AE$4=FALSE,BOM!$AE$4="-"),IF(ISERROR(SEARCH("send",B538)),"","pool:TPC"),IF(ISERROR(SEARCH("send",B538)),"","pool:TPC|pool:TPC"))</f>
        <v>pool:TPC|pool:TPC</v>
      </c>
      <c r="S538" t="str">
        <f>IFERROR(IF(VLOOKUP(B538,'Sender-Receiver'!$B$3:$BP$1500,60,FALSE)="x","true","false"),"false")</f>
        <v>false</v>
      </c>
      <c r="T538" t="str">
        <f t="shared" si="8"/>
        <v>off</v>
      </c>
      <c r="Y538" t="str">
        <f>IF(BOM!$AE$4=FALSE,IF(ISERROR(SEARCH("Embrionix",BOM!$M$4)),"none",IF(ISERROR(SEARCH("Quadsplit",BOM!$N$4)),IF(ISERROR(SEARCH("rec",B538)),"none","merge"),"none")),IF(ISERROR(SEARCH("rec",B538)),"split","merge"))</f>
        <v>split</v>
      </c>
    </row>
    <row r="539" spans="1:25" x14ac:dyDescent="0.2">
      <c r="A539" t="s">
        <v>1238</v>
      </c>
      <c r="B539" t="s">
        <v>2272</v>
      </c>
      <c r="C539" t="str">
        <f>IFERROR(VLOOKUP(B539,'Sender-Receiver'!$B$3:$BP$1500,61,FALSE),"")</f>
        <v/>
      </c>
      <c r="D539" t="str">
        <f>IFERROR(VLOOKUP(B539,'Sender-Receiver'!$B$3:$BP$1500,41,FALSE),"")</f>
        <v/>
      </c>
      <c r="E539" t="s">
        <v>1240</v>
      </c>
      <c r="F539">
        <v>25</v>
      </c>
      <c r="G539" t="s">
        <v>2273</v>
      </c>
      <c r="M539" t="str">
        <f>IF(OR(BOM!$AE$4=FALSE,BOM!$AE$4="-"),IF(ISERROR(SEARCH("send",B539)),"","pool:TPC"),IF(ISERROR(SEARCH("send",B539)),"","pool:TPC|pool:TPC"))</f>
        <v>pool:TPC|pool:TPC</v>
      </c>
      <c r="S539" t="str">
        <f>IFERROR(IF(VLOOKUP(B539,'Sender-Receiver'!$B$3:$BP$1500,60,FALSE)="x","true","false"),"false")</f>
        <v>false</v>
      </c>
      <c r="T539" t="str">
        <f t="shared" si="8"/>
        <v>off</v>
      </c>
      <c r="Y539" t="str">
        <f>IF(BOM!$AE$4=FALSE,IF(ISERROR(SEARCH("Embrionix",BOM!$M$4)),"none",IF(ISERROR(SEARCH("Quadsplit",BOM!$N$4)),IF(ISERROR(SEARCH("rec",B539)),"none","merge"),"none")),IF(ISERROR(SEARCH("rec",B539)),"split","merge"))</f>
        <v>split</v>
      </c>
    </row>
    <row r="540" spans="1:25" x14ac:dyDescent="0.2">
      <c r="A540" t="s">
        <v>1238</v>
      </c>
      <c r="B540" t="s">
        <v>2274</v>
      </c>
      <c r="C540" t="str">
        <f>IFERROR(VLOOKUP(B540,'Sender-Receiver'!$B$3:$BP$1500,61,FALSE),"")</f>
        <v/>
      </c>
      <c r="D540" t="str">
        <f>IFERROR(VLOOKUP(B540,'Sender-Receiver'!$B$3:$BP$1500,41,FALSE),"")</f>
        <v/>
      </c>
      <c r="E540" t="s">
        <v>1240</v>
      </c>
      <c r="F540">
        <v>25</v>
      </c>
      <c r="G540" t="s">
        <v>2275</v>
      </c>
      <c r="M540" t="str">
        <f>IF(OR(BOM!$AE$4=FALSE,BOM!$AE$4="-"),IF(ISERROR(SEARCH("send",B540)),"","pool:TPC"),IF(ISERROR(SEARCH("send",B540)),"","pool:TPC|pool:TPC"))</f>
        <v>pool:TPC|pool:TPC</v>
      </c>
      <c r="S540" t="str">
        <f>IFERROR(IF(VLOOKUP(B540,'Sender-Receiver'!$B$3:$BP$1500,60,FALSE)="x","true","false"),"false")</f>
        <v>false</v>
      </c>
      <c r="T540" t="str">
        <f t="shared" si="8"/>
        <v>off</v>
      </c>
      <c r="Y540" t="str">
        <f>IF(BOM!$AE$4=FALSE,IF(ISERROR(SEARCH("Embrionix",BOM!$M$4)),"none",IF(ISERROR(SEARCH("Quadsplit",BOM!$N$4)),IF(ISERROR(SEARCH("rec",B540)),"none","merge"),"none")),IF(ISERROR(SEARCH("rec",B540)),"split","merge"))</f>
        <v>split</v>
      </c>
    </row>
    <row r="541" spans="1:25" x14ac:dyDescent="0.2">
      <c r="A541" t="s">
        <v>1238</v>
      </c>
      <c r="B541" t="s">
        <v>2276</v>
      </c>
      <c r="C541" t="str">
        <f>IFERROR(VLOOKUP(B541,'Sender-Receiver'!$B$3:$BP$1500,61,FALSE),"")</f>
        <v/>
      </c>
      <c r="D541" t="str">
        <f>IFERROR(VLOOKUP(B541,'Sender-Receiver'!$B$3:$BP$1500,41,FALSE),"")</f>
        <v/>
      </c>
      <c r="E541" t="s">
        <v>1240</v>
      </c>
      <c r="F541">
        <v>25</v>
      </c>
      <c r="G541" t="s">
        <v>2277</v>
      </c>
      <c r="M541" t="str">
        <f>IF(OR(BOM!$AE$4=FALSE,BOM!$AE$4="-"),IF(ISERROR(SEARCH("send",B541)),"","pool:TPC"),IF(ISERROR(SEARCH("send",B541)),"","pool:TPC|pool:TPC"))</f>
        <v>pool:TPC|pool:TPC</v>
      </c>
      <c r="S541" t="str">
        <f>IFERROR(IF(VLOOKUP(B541,'Sender-Receiver'!$B$3:$BP$1500,60,FALSE)="x","true","false"),"false")</f>
        <v>false</v>
      </c>
      <c r="T541" t="str">
        <f t="shared" si="8"/>
        <v>off</v>
      </c>
      <c r="Y541" t="str">
        <f>IF(BOM!$AE$4=FALSE,IF(ISERROR(SEARCH("Embrionix",BOM!$M$4)),"none",IF(ISERROR(SEARCH("Quadsplit",BOM!$N$4)),IF(ISERROR(SEARCH("rec",B541)),"none","merge"),"none")),IF(ISERROR(SEARCH("rec",B541)),"split","merge"))</f>
        <v>split</v>
      </c>
    </row>
    <row r="542" spans="1:25" x14ac:dyDescent="0.2">
      <c r="A542" t="s">
        <v>1238</v>
      </c>
      <c r="B542" t="s">
        <v>2278</v>
      </c>
      <c r="C542" t="str">
        <f>IFERROR(VLOOKUP(B542,'Sender-Receiver'!$B$3:$BP$1500,61,FALSE),"")</f>
        <v/>
      </c>
      <c r="D542" t="str">
        <f>IFERROR(VLOOKUP(B542,'Sender-Receiver'!$B$3:$BP$1500,41,FALSE),"")</f>
        <v/>
      </c>
      <c r="E542" t="s">
        <v>1240</v>
      </c>
      <c r="F542">
        <v>25</v>
      </c>
      <c r="G542" t="s">
        <v>2279</v>
      </c>
      <c r="M542" t="str">
        <f>IF(OR(BOM!$AE$4=FALSE,BOM!$AE$4="-"),IF(ISERROR(SEARCH("send",B542)),"","pool:TPC"),IF(ISERROR(SEARCH("send",B542)),"","pool:TPC|pool:TPC"))</f>
        <v>pool:TPC|pool:TPC</v>
      </c>
      <c r="S542" t="str">
        <f>IFERROR(IF(VLOOKUP(B542,'Sender-Receiver'!$B$3:$BP$1500,60,FALSE)="x","true","false"),"false")</f>
        <v>false</v>
      </c>
      <c r="T542" t="str">
        <f t="shared" si="8"/>
        <v>off</v>
      </c>
      <c r="Y542" t="str">
        <f>IF(BOM!$AE$4=FALSE,IF(ISERROR(SEARCH("Embrionix",BOM!$M$4)),"none",IF(ISERROR(SEARCH("Quadsplit",BOM!$N$4)),IF(ISERROR(SEARCH("rec",B542)),"none","merge"),"none")),IF(ISERROR(SEARCH("rec",B542)),"split","merge"))</f>
        <v>split</v>
      </c>
    </row>
    <row r="543" spans="1:25" x14ac:dyDescent="0.2">
      <c r="A543" t="s">
        <v>1238</v>
      </c>
      <c r="B543" t="s">
        <v>2280</v>
      </c>
      <c r="C543" t="str">
        <f>IFERROR(VLOOKUP(B543,'Sender-Receiver'!$B$3:$BP$1500,61,FALSE),"")</f>
        <v/>
      </c>
      <c r="D543" t="str">
        <f>IFERROR(VLOOKUP(B543,'Sender-Receiver'!$B$3:$BP$1500,41,FALSE),"")</f>
        <v/>
      </c>
      <c r="E543" t="s">
        <v>1240</v>
      </c>
      <c r="F543">
        <v>25</v>
      </c>
      <c r="G543" t="s">
        <v>2281</v>
      </c>
      <c r="M543" t="str">
        <f>IF(OR(BOM!$AE$4=FALSE,BOM!$AE$4="-"),IF(ISERROR(SEARCH("send",B543)),"","pool:TPC"),IF(ISERROR(SEARCH("send",B543)),"","pool:TPC|pool:TPC"))</f>
        <v>pool:TPC|pool:TPC</v>
      </c>
      <c r="S543" t="str">
        <f>IFERROR(IF(VLOOKUP(B543,'Sender-Receiver'!$B$3:$BP$1500,60,FALSE)="x","true","false"),"false")</f>
        <v>false</v>
      </c>
      <c r="T543" t="str">
        <f t="shared" si="8"/>
        <v>off</v>
      </c>
      <c r="Y543" t="str">
        <f>IF(BOM!$AE$4=FALSE,IF(ISERROR(SEARCH("Embrionix",BOM!$M$4)),"none",IF(ISERROR(SEARCH("Quadsplit",BOM!$N$4)),IF(ISERROR(SEARCH("rec",B543)),"none","merge"),"none")),IF(ISERROR(SEARCH("rec",B543)),"split","merge"))</f>
        <v>split</v>
      </c>
    </row>
    <row r="544" spans="1:25" x14ac:dyDescent="0.2">
      <c r="A544" t="s">
        <v>1238</v>
      </c>
      <c r="B544" t="s">
        <v>2282</v>
      </c>
      <c r="C544" t="str">
        <f>IFERROR(VLOOKUP(B544,'Sender-Receiver'!$B$3:$BP$1500,61,FALSE),"")</f>
        <v/>
      </c>
      <c r="D544" t="str">
        <f>IFERROR(VLOOKUP(B544,'Sender-Receiver'!$B$3:$BP$1500,41,FALSE),"")</f>
        <v/>
      </c>
      <c r="E544" t="s">
        <v>1240</v>
      </c>
      <c r="F544">
        <v>25</v>
      </c>
      <c r="G544" t="s">
        <v>2283</v>
      </c>
      <c r="M544" t="str">
        <f>IF(OR(BOM!$AE$4=FALSE,BOM!$AE$4="-"),IF(ISERROR(SEARCH("send",B544)),"","pool:TPC"),IF(ISERROR(SEARCH("send",B544)),"","pool:TPC|pool:TPC"))</f>
        <v>pool:TPC|pool:TPC</v>
      </c>
      <c r="S544" t="str">
        <f>IFERROR(IF(VLOOKUP(B544,'Sender-Receiver'!$B$3:$BP$1500,60,FALSE)="x","true","false"),"false")</f>
        <v>false</v>
      </c>
      <c r="T544" t="str">
        <f t="shared" si="8"/>
        <v>off</v>
      </c>
      <c r="Y544" t="str">
        <f>IF(BOM!$AE$4=FALSE,IF(ISERROR(SEARCH("Embrionix",BOM!$M$4)),"none",IF(ISERROR(SEARCH("Quadsplit",BOM!$N$4)),IF(ISERROR(SEARCH("rec",B544)),"none","merge"),"none")),IF(ISERROR(SEARCH("rec",B544)),"split","merge"))</f>
        <v>split</v>
      </c>
    </row>
    <row r="545" spans="1:25" x14ac:dyDescent="0.2">
      <c r="A545" t="s">
        <v>1238</v>
      </c>
      <c r="B545" t="s">
        <v>2284</v>
      </c>
      <c r="C545" t="str">
        <f>IFERROR(VLOOKUP(B545,'Sender-Receiver'!$B$3:$BP$1500,61,FALSE),"")</f>
        <v/>
      </c>
      <c r="D545" t="str">
        <f>IFERROR(VLOOKUP(B545,'Sender-Receiver'!$B$3:$BP$1500,41,FALSE),"")</f>
        <v/>
      </c>
      <c r="E545" t="s">
        <v>1240</v>
      </c>
      <c r="F545">
        <v>25</v>
      </c>
      <c r="G545" t="s">
        <v>2285</v>
      </c>
      <c r="M545" t="str">
        <f>IF(OR(BOM!$AE$4=FALSE,BOM!$AE$4="-"),IF(ISERROR(SEARCH("send",B545)),"","pool:TPC"),IF(ISERROR(SEARCH("send",B545)),"","pool:TPC|pool:TPC"))</f>
        <v>pool:TPC|pool:TPC</v>
      </c>
      <c r="S545" t="str">
        <f>IFERROR(IF(VLOOKUP(B545,'Sender-Receiver'!$B$3:$BP$1500,60,FALSE)="x","true","false"),"false")</f>
        <v>false</v>
      </c>
      <c r="T545" t="str">
        <f t="shared" si="8"/>
        <v>off</v>
      </c>
      <c r="Y545" t="str">
        <f>IF(BOM!$AE$4=FALSE,IF(ISERROR(SEARCH("Embrionix",BOM!$M$4)),"none",IF(ISERROR(SEARCH("Quadsplit",BOM!$N$4)),IF(ISERROR(SEARCH("rec",B545)),"none","merge"),"none")),IF(ISERROR(SEARCH("rec",B545)),"split","merge"))</f>
        <v>split</v>
      </c>
    </row>
    <row r="546" spans="1:25" x14ac:dyDescent="0.2">
      <c r="A546" t="s">
        <v>1238</v>
      </c>
      <c r="B546" t="s">
        <v>2286</v>
      </c>
      <c r="C546" t="str">
        <f>IFERROR(VLOOKUP(B546,'Sender-Receiver'!$B$3:$BP$1500,61,FALSE),"")</f>
        <v/>
      </c>
      <c r="D546" t="str">
        <f>IFERROR(VLOOKUP(B546,'Sender-Receiver'!$B$3:$BP$1500,41,FALSE),"")</f>
        <v/>
      </c>
      <c r="E546" t="s">
        <v>1240</v>
      </c>
      <c r="F546">
        <v>25</v>
      </c>
      <c r="G546" t="s">
        <v>2287</v>
      </c>
      <c r="M546" t="str">
        <f>IF(OR(BOM!$AE$4=FALSE,BOM!$AE$4="-"),IF(ISERROR(SEARCH("send",B546)),"","pool:TPC"),IF(ISERROR(SEARCH("send",B546)),"","pool:TPC|pool:TPC"))</f>
        <v>pool:TPC|pool:TPC</v>
      </c>
      <c r="S546" t="str">
        <f>IFERROR(IF(VLOOKUP(B546,'Sender-Receiver'!$B$3:$BP$1500,60,FALSE)="x","true","false"),"false")</f>
        <v>false</v>
      </c>
      <c r="T546" t="str">
        <f t="shared" si="8"/>
        <v>off</v>
      </c>
      <c r="Y546" t="str">
        <f>IF(BOM!$AE$4=FALSE,IF(ISERROR(SEARCH("Embrionix",BOM!$M$4)),"none",IF(ISERROR(SEARCH("Quadsplit",BOM!$N$4)),IF(ISERROR(SEARCH("rec",B546)),"none","merge"),"none")),IF(ISERROR(SEARCH("rec",B546)),"split","merge"))</f>
        <v>split</v>
      </c>
    </row>
    <row r="547" spans="1:25" x14ac:dyDescent="0.2">
      <c r="A547" t="s">
        <v>1238</v>
      </c>
      <c r="B547" t="s">
        <v>2288</v>
      </c>
      <c r="C547" t="str">
        <f>IFERROR(VLOOKUP(B547,'Sender-Receiver'!$B$3:$BP$1500,61,FALSE),"")</f>
        <v/>
      </c>
      <c r="D547" t="str">
        <f>IFERROR(VLOOKUP(B547,'Sender-Receiver'!$B$3:$BP$1500,41,FALSE),"")</f>
        <v/>
      </c>
      <c r="E547" t="s">
        <v>1240</v>
      </c>
      <c r="F547">
        <v>25</v>
      </c>
      <c r="G547" t="s">
        <v>2289</v>
      </c>
      <c r="M547" t="str">
        <f>IF(OR(BOM!$AE$4=FALSE,BOM!$AE$4="-"),IF(ISERROR(SEARCH("send",B547)),"","pool:TPC"),IF(ISERROR(SEARCH("send",B547)),"","pool:TPC|pool:TPC"))</f>
        <v>pool:TPC|pool:TPC</v>
      </c>
      <c r="S547" t="str">
        <f>IFERROR(IF(VLOOKUP(B547,'Sender-Receiver'!$B$3:$BP$1500,60,FALSE)="x","true","false"),"false")</f>
        <v>false</v>
      </c>
      <c r="T547" t="str">
        <f t="shared" si="8"/>
        <v>off</v>
      </c>
      <c r="Y547" t="str">
        <f>IF(BOM!$AE$4=FALSE,IF(ISERROR(SEARCH("Embrionix",BOM!$M$4)),"none",IF(ISERROR(SEARCH("Quadsplit",BOM!$N$4)),IF(ISERROR(SEARCH("rec",B547)),"none","merge"),"none")),IF(ISERROR(SEARCH("rec",B547)),"split","merge"))</f>
        <v>split</v>
      </c>
    </row>
    <row r="548" spans="1:25" x14ac:dyDescent="0.2">
      <c r="A548" t="s">
        <v>1238</v>
      </c>
      <c r="B548" t="s">
        <v>2842</v>
      </c>
      <c r="C548" t="str">
        <f>IFERROR(VLOOKUP(B548,'Sender-Receiver'!$B$3:$BP$1500,61,FALSE),"")</f>
        <v>Type:Vid_1080i50,Type:Vid_1080p25,Type:Vid_1080p50,Type:Vid_1080p60,#SNP</v>
      </c>
      <c r="D548" t="str">
        <f>IFERROR(VLOOKUP(B548,'Sender-Receiver'!$B$3:$BP$1500,41,FALSE),"")</f>
        <v>M3H InCh PGM | Ingest Ch38 | IngSRV-10</v>
      </c>
      <c r="E548" t="s">
        <v>1240</v>
      </c>
      <c r="F548">
        <v>26</v>
      </c>
      <c r="G548" t="s">
        <v>2779</v>
      </c>
      <c r="M548" t="str">
        <f>IF(OR(BOM!$AE$4=FALSE,BOM!$AE$4="-"),IF(ISERROR(SEARCH("send",B548)),"","pool:TPC"),IF(ISERROR(SEARCH("send",B548)),"","pool:TPC|pool:TPC"))</f>
        <v/>
      </c>
      <c r="S548" t="str">
        <f>IFERROR(IF(VLOOKUP(B548,'Sender-Receiver'!$B$3:$BP$1500,60,FALSE)="x","true","false"),"false")</f>
        <v>true</v>
      </c>
      <c r="T548" t="str">
        <f t="shared" si="8"/>
        <v>full</v>
      </c>
      <c r="Y548" t="str">
        <f>IF(BOM!$AE$4=FALSE,IF(ISERROR(SEARCH("Embrionix",BOM!$M$4)),"none",IF(ISERROR(SEARCH("Quadsplit",BOM!$N$4)),IF(ISERROR(SEARCH("rec",B548)),"none","merge"),"none")),IF(ISERROR(SEARCH("rec",B548)),"split","merge"))</f>
        <v>merge</v>
      </c>
    </row>
    <row r="549" spans="1:25" x14ac:dyDescent="0.2">
      <c r="A549" t="s">
        <v>1238</v>
      </c>
      <c r="B549" t="s">
        <v>2843</v>
      </c>
      <c r="C549" t="str">
        <f>IFERROR(VLOOKUP(B549,'Sender-Receiver'!$B$3:$BP$1500,61,FALSE),"")</f>
        <v>Type:Aud_1CH_M,Type:Aud_2CH_LR,Type:Aud_3CH_LRC,Type:Aud_6CH_5.1,#SNP</v>
      </c>
      <c r="D549" t="str">
        <f>IFERROR(VLOOKUP(B549,'Sender-Receiver'!$B$3:$BP$1500,41,FALSE),"")</f>
        <v>M3H InCh PGM | Ingest Ch38-01 | IngSRV-10</v>
      </c>
      <c r="E549" t="s">
        <v>1240</v>
      </c>
      <c r="F549">
        <v>26</v>
      </c>
      <c r="G549" t="s">
        <v>2780</v>
      </c>
      <c r="M549" t="str">
        <f>IF(OR(BOM!$AE$4=FALSE,BOM!$AE$4="-"),IF(ISERROR(SEARCH("send",B549)),"","pool:TPC"),IF(ISERROR(SEARCH("send",B549)),"","pool:TPC|pool:TPC"))</f>
        <v/>
      </c>
      <c r="S549" t="str">
        <f>IFERROR(IF(VLOOKUP(B549,'Sender-Receiver'!$B$3:$BP$1500,60,FALSE)="x","true","false"),"false")</f>
        <v>true</v>
      </c>
      <c r="T549" t="str">
        <f t="shared" si="8"/>
        <v>full</v>
      </c>
      <c r="Y549" t="str">
        <f>IF(BOM!$AE$4=FALSE,IF(ISERROR(SEARCH("Embrionix",BOM!$M$4)),"none",IF(ISERROR(SEARCH("Quadsplit",BOM!$N$4)),IF(ISERROR(SEARCH("rec",B549)),"none","merge"),"none")),IF(ISERROR(SEARCH("rec",B549)),"split","merge"))</f>
        <v>merge</v>
      </c>
    </row>
    <row r="550" spans="1:25" x14ac:dyDescent="0.2">
      <c r="A550" t="s">
        <v>1238</v>
      </c>
      <c r="B550" t="s">
        <v>2844</v>
      </c>
      <c r="C550" t="str">
        <f>IFERROR(VLOOKUP(B550,'Sender-Receiver'!$B$3:$BP$1500,61,FALSE),"")</f>
        <v>Type:Aud_1CH_M,Type:Aud_2CH_LR,Type:Aud_3CH_LRC,Type:Aud_6CH_5.1,#SNP</v>
      </c>
      <c r="D550" t="str">
        <f>IFERROR(VLOOKUP(B550,'Sender-Receiver'!$B$3:$BP$1500,41,FALSE),"")</f>
        <v>M3H InCh PGM | Ingest Ch38-02 | IngSRV-10</v>
      </c>
      <c r="E550" t="s">
        <v>1240</v>
      </c>
      <c r="F550">
        <v>26</v>
      </c>
      <c r="G550" t="s">
        <v>2781</v>
      </c>
      <c r="M550" t="str">
        <f>IF(OR(BOM!$AE$4=FALSE,BOM!$AE$4="-"),IF(ISERROR(SEARCH("send",B550)),"","pool:TPC"),IF(ISERROR(SEARCH("send",B550)),"","pool:TPC|pool:TPC"))</f>
        <v/>
      </c>
      <c r="S550" t="str">
        <f>IFERROR(IF(VLOOKUP(B550,'Sender-Receiver'!$B$3:$BP$1500,60,FALSE)="x","true","false"),"false")</f>
        <v>true</v>
      </c>
      <c r="T550" t="str">
        <f t="shared" si="8"/>
        <v>full</v>
      </c>
      <c r="Y550" t="str">
        <f>IF(BOM!$AE$4=FALSE,IF(ISERROR(SEARCH("Embrionix",BOM!$M$4)),"none",IF(ISERROR(SEARCH("Quadsplit",BOM!$N$4)),IF(ISERROR(SEARCH("rec",B550)),"none","merge"),"none")),IF(ISERROR(SEARCH("rec",B550)),"split","merge"))</f>
        <v>merge</v>
      </c>
    </row>
    <row r="551" spans="1:25" x14ac:dyDescent="0.2">
      <c r="A551" t="s">
        <v>1238</v>
      </c>
      <c r="B551" t="s">
        <v>2845</v>
      </c>
      <c r="C551" t="str">
        <f>IFERROR(VLOOKUP(B551,'Sender-Receiver'!$B$3:$BP$1500,61,FALSE),"")</f>
        <v>Type:Aud_1CH_M,Type:Aud_2CH_LR,Type:Aud_3CH_LRC,Type:Aud_6CH_5.1,#SNP</v>
      </c>
      <c r="D551" t="str">
        <f>IFERROR(VLOOKUP(B551,'Sender-Receiver'!$B$3:$BP$1500,41,FALSE),"")</f>
        <v>M3H InCh PGM | Ingest Ch38-03 | IngSRV-10</v>
      </c>
      <c r="E551" t="s">
        <v>1240</v>
      </c>
      <c r="F551">
        <v>26</v>
      </c>
      <c r="G551" t="s">
        <v>2782</v>
      </c>
      <c r="M551" t="str">
        <f>IF(OR(BOM!$AE$4=FALSE,BOM!$AE$4="-"),IF(ISERROR(SEARCH("send",B551)),"","pool:TPC"),IF(ISERROR(SEARCH("send",B551)),"","pool:TPC|pool:TPC"))</f>
        <v/>
      </c>
      <c r="S551" t="str">
        <f>IFERROR(IF(VLOOKUP(B551,'Sender-Receiver'!$B$3:$BP$1500,60,FALSE)="x","true","false"),"false")</f>
        <v>true</v>
      </c>
      <c r="T551" t="str">
        <f t="shared" si="8"/>
        <v>full</v>
      </c>
      <c r="Y551" t="str">
        <f>IF(BOM!$AE$4=FALSE,IF(ISERROR(SEARCH("Embrionix",BOM!$M$4)),"none",IF(ISERROR(SEARCH("Quadsplit",BOM!$N$4)),IF(ISERROR(SEARCH("rec",B551)),"none","merge"),"none")),IF(ISERROR(SEARCH("rec",B551)),"split","merge"))</f>
        <v>merge</v>
      </c>
    </row>
    <row r="552" spans="1:25" x14ac:dyDescent="0.2">
      <c r="A552" t="s">
        <v>1238</v>
      </c>
      <c r="B552" t="s">
        <v>2846</v>
      </c>
      <c r="C552" t="str">
        <f>IFERROR(VLOOKUP(B552,'Sender-Receiver'!$B$3:$BP$1500,61,FALSE),"")</f>
        <v>Type:Aud_1CH_M,Type:Aud_2CH_LR,Type:Aud_3CH_LRC,Type:Aud_6CH_5.1,#SNP</v>
      </c>
      <c r="D552" t="str">
        <f>IFERROR(VLOOKUP(B552,'Sender-Receiver'!$B$3:$BP$1500,41,FALSE),"")</f>
        <v>M3H InCh PGM | Ingest Ch38-04 | IngSRV-10</v>
      </c>
      <c r="E552" t="s">
        <v>1240</v>
      </c>
      <c r="F552">
        <v>26</v>
      </c>
      <c r="G552" t="s">
        <v>2783</v>
      </c>
      <c r="M552" t="str">
        <f>IF(OR(BOM!$AE$4=FALSE,BOM!$AE$4="-"),IF(ISERROR(SEARCH("send",B552)),"","pool:TPC"),IF(ISERROR(SEARCH("send",B552)),"","pool:TPC|pool:TPC"))</f>
        <v/>
      </c>
      <c r="S552" t="str">
        <f>IFERROR(IF(VLOOKUP(B552,'Sender-Receiver'!$B$3:$BP$1500,60,FALSE)="x","true","false"),"false")</f>
        <v>true</v>
      </c>
      <c r="T552" t="str">
        <f t="shared" si="8"/>
        <v>full</v>
      </c>
      <c r="Y552" t="str">
        <f>IF(BOM!$AE$4=FALSE,IF(ISERROR(SEARCH("Embrionix",BOM!$M$4)),"none",IF(ISERROR(SEARCH("Quadsplit",BOM!$N$4)),IF(ISERROR(SEARCH("rec",B552)),"none","merge"),"none")),IF(ISERROR(SEARCH("rec",B552)),"split","merge"))</f>
        <v>merge</v>
      </c>
    </row>
    <row r="553" spans="1:25" ht="11.45" customHeight="1" x14ac:dyDescent="0.2">
      <c r="A553" t="s">
        <v>1238</v>
      </c>
      <c r="B553" t="s">
        <v>2847</v>
      </c>
      <c r="C553" t="str">
        <f>IFERROR(VLOOKUP(B553,'Sender-Receiver'!$B$3:$BP$1500,61,FALSE),"")</f>
        <v>Type:Aud_1CH_M,Type:Aud_2CH_LR,Type:Aud_3CH_LRC,Type:Aud_6CH_5.1,#SNP</v>
      </c>
      <c r="D553" t="str">
        <f>IFERROR(VLOOKUP(B553,'Sender-Receiver'!$B$3:$BP$1500,41,FALSE),"")</f>
        <v>M3H InCh PGM | Ingest Ch38-05 | IngSRV-10</v>
      </c>
      <c r="E553" t="s">
        <v>1240</v>
      </c>
      <c r="F553">
        <v>26</v>
      </c>
      <c r="G553" t="s">
        <v>2784</v>
      </c>
      <c r="M553" t="str">
        <f>IF(OR(BOM!$AE$4=FALSE,BOM!$AE$4="-"),IF(ISERROR(SEARCH("send",B553)),"","pool:TPC"),IF(ISERROR(SEARCH("send",B553)),"","pool:TPC|pool:TPC"))</f>
        <v/>
      </c>
      <c r="S553" t="str">
        <f>IFERROR(IF(VLOOKUP(B553,'Sender-Receiver'!$B$3:$BP$1500,60,FALSE)="x","true","false"),"false")</f>
        <v>true</v>
      </c>
      <c r="T553" t="str">
        <f t="shared" si="8"/>
        <v>full</v>
      </c>
      <c r="Y553" t="str">
        <f>IF(BOM!$AE$4=FALSE,IF(ISERROR(SEARCH("Embrionix",BOM!$M$4)),"none",IF(ISERROR(SEARCH("Quadsplit",BOM!$N$4)),IF(ISERROR(SEARCH("rec",B553)),"none","merge"),"none")),IF(ISERROR(SEARCH("rec",B553)),"split","merge"))</f>
        <v>merge</v>
      </c>
    </row>
    <row r="554" spans="1:25" ht="11.45" customHeight="1" x14ac:dyDescent="0.2">
      <c r="A554" t="s">
        <v>1238</v>
      </c>
      <c r="B554" t="s">
        <v>2848</v>
      </c>
      <c r="C554" t="str">
        <f>IFERROR(VLOOKUP(B554,'Sender-Receiver'!$B$3:$BP$1500,61,FALSE),"")</f>
        <v>Type:Aud_1CH_M,Type:Aud_2CH_LR,Type:Aud_3CH_LRC,Type:Aud_6CH_5.1,#SNP</v>
      </c>
      <c r="D554" t="str">
        <f>IFERROR(VLOOKUP(B554,'Sender-Receiver'!$B$3:$BP$1500,41,FALSE),"")</f>
        <v>M3H InCh PGM | Ingest Ch38-06 | IngSRV-10</v>
      </c>
      <c r="E554" t="s">
        <v>1240</v>
      </c>
      <c r="F554">
        <v>26</v>
      </c>
      <c r="G554" t="s">
        <v>2785</v>
      </c>
      <c r="M554" t="str">
        <f>IF(OR(BOM!$AE$4=FALSE,BOM!$AE$4="-"),IF(ISERROR(SEARCH("send",B554)),"","pool:TPC"),IF(ISERROR(SEARCH("send",B554)),"","pool:TPC|pool:TPC"))</f>
        <v/>
      </c>
      <c r="S554" t="str">
        <f>IFERROR(IF(VLOOKUP(B554,'Sender-Receiver'!$B$3:$BP$1500,60,FALSE)="x","true","false"),"false")</f>
        <v>true</v>
      </c>
      <c r="T554" t="str">
        <f t="shared" si="8"/>
        <v>full</v>
      </c>
      <c r="Y554" t="str">
        <f>IF(BOM!$AE$4=FALSE,IF(ISERROR(SEARCH("Embrionix",BOM!$M$4)),"none",IF(ISERROR(SEARCH("Quadsplit",BOM!$N$4)),IF(ISERROR(SEARCH("rec",B554)),"none","merge"),"none")),IF(ISERROR(SEARCH("rec",B554)),"split","merge"))</f>
        <v>merge</v>
      </c>
    </row>
    <row r="555" spans="1:25" ht="11.45" customHeight="1" x14ac:dyDescent="0.2">
      <c r="A555" t="s">
        <v>1238</v>
      </c>
      <c r="B555" t="s">
        <v>2849</v>
      </c>
      <c r="C555" t="str">
        <f>IFERROR(VLOOKUP(B555,'Sender-Receiver'!$B$3:$BP$1500,61,FALSE),"")</f>
        <v>Type:Aud_1CH_M,Type:Aud_2CH_LR,Type:Aud_3CH_LRC,Type:Aud_6CH_5.1,#SNP</v>
      </c>
      <c r="D555" t="str">
        <f>IFERROR(VLOOKUP(B555,'Sender-Receiver'!$B$3:$BP$1500,41,FALSE),"")</f>
        <v>M3H InCh PGM | Ingest Ch38-07 | IngSRV-10</v>
      </c>
      <c r="E555" t="s">
        <v>1240</v>
      </c>
      <c r="F555">
        <v>26</v>
      </c>
      <c r="G555" t="s">
        <v>2786</v>
      </c>
      <c r="M555" t="str">
        <f>IF(OR(BOM!$AE$4=FALSE,BOM!$AE$4="-"),IF(ISERROR(SEARCH("send",B555)),"","pool:TPC"),IF(ISERROR(SEARCH("send",B555)),"","pool:TPC|pool:TPC"))</f>
        <v/>
      </c>
      <c r="S555" t="str">
        <f>IFERROR(IF(VLOOKUP(B555,'Sender-Receiver'!$B$3:$BP$1500,60,FALSE)="x","true","false"),"false")</f>
        <v>true</v>
      </c>
      <c r="T555" t="str">
        <f t="shared" si="8"/>
        <v>full</v>
      </c>
      <c r="Y555" t="str">
        <f>IF(BOM!$AE$4=FALSE,IF(ISERROR(SEARCH("Embrionix",BOM!$M$4)),"none",IF(ISERROR(SEARCH("Quadsplit",BOM!$N$4)),IF(ISERROR(SEARCH("rec",B555)),"none","merge"),"none")),IF(ISERROR(SEARCH("rec",B555)),"split","merge"))</f>
        <v>merge</v>
      </c>
    </row>
    <row r="556" spans="1:25" ht="11.45" customHeight="1" x14ac:dyDescent="0.2">
      <c r="A556" t="s">
        <v>1238</v>
      </c>
      <c r="B556" t="s">
        <v>2850</v>
      </c>
      <c r="C556" t="str">
        <f>IFERROR(VLOOKUP(B556,'Sender-Receiver'!$B$3:$BP$1500,61,FALSE),"")</f>
        <v>Type:Aud_1CH_M,Type:Aud_2CH_LR,Type:Aud_3CH_LRC,Type:Aud_6CH_5.1,#SNP</v>
      </c>
      <c r="D556" t="str">
        <f>IFERROR(VLOOKUP(B556,'Sender-Receiver'!$B$3:$BP$1500,41,FALSE),"")</f>
        <v>M3H InCh PGM | Ingest Ch38-08 | IngSRV-10</v>
      </c>
      <c r="E556" t="s">
        <v>1240</v>
      </c>
      <c r="F556">
        <v>26</v>
      </c>
      <c r="G556" t="s">
        <v>2787</v>
      </c>
      <c r="M556" t="str">
        <f>IF(OR(BOM!$AE$4=FALSE,BOM!$AE$4="-"),IF(ISERROR(SEARCH("send",B556)),"","pool:TPC"),IF(ISERROR(SEARCH("send",B556)),"","pool:TPC|pool:TPC"))</f>
        <v/>
      </c>
      <c r="S556" t="str">
        <f>IFERROR(IF(VLOOKUP(B556,'Sender-Receiver'!$B$3:$BP$1500,60,FALSE)="x","true","false"),"false")</f>
        <v>true</v>
      </c>
      <c r="T556" t="str">
        <f t="shared" si="8"/>
        <v>full</v>
      </c>
      <c r="Y556" t="str">
        <f>IF(BOM!$AE$4=FALSE,IF(ISERROR(SEARCH("Embrionix",BOM!$M$4)),"none",IF(ISERROR(SEARCH("Quadsplit",BOM!$N$4)),IF(ISERROR(SEARCH("rec",B556)),"none","merge"),"none")),IF(ISERROR(SEARCH("rec",B556)),"split","merge"))</f>
        <v>merge</v>
      </c>
    </row>
    <row r="557" spans="1:25" ht="11.45" customHeight="1" x14ac:dyDescent="0.2">
      <c r="A557" t="s">
        <v>1238</v>
      </c>
      <c r="B557" t="s">
        <v>2851</v>
      </c>
      <c r="C557" t="str">
        <f>IFERROR(VLOOKUP(B557,'Sender-Receiver'!$B$3:$BP$1500,61,FALSE),"")</f>
        <v>Type:Aud_1CH_M,Type:Aud_2CH_LR,Type:Aud_3CH_LRC,Type:Aud_6CH_5.1,#SNP</v>
      </c>
      <c r="D557" t="str">
        <f>IFERROR(VLOOKUP(B557,'Sender-Receiver'!$B$3:$BP$1500,41,FALSE),"")</f>
        <v>M3H InCh PGM | Ingest Ch38-09 | IngSRV-10</v>
      </c>
      <c r="E557" t="s">
        <v>1240</v>
      </c>
      <c r="F557">
        <v>26</v>
      </c>
      <c r="G557" t="s">
        <v>2788</v>
      </c>
      <c r="M557" t="str">
        <f>IF(OR(BOM!$AE$4=FALSE,BOM!$AE$4="-"),IF(ISERROR(SEARCH("send",B557)),"","pool:TPC"),IF(ISERROR(SEARCH("send",B557)),"","pool:TPC|pool:TPC"))</f>
        <v/>
      </c>
      <c r="S557" t="str">
        <f>IFERROR(IF(VLOOKUP(B557,'Sender-Receiver'!$B$3:$BP$1500,60,FALSE)="x","true","false"),"false")</f>
        <v>true</v>
      </c>
      <c r="T557" t="str">
        <f t="shared" si="8"/>
        <v>full</v>
      </c>
      <c r="Y557" t="str">
        <f>IF(BOM!$AE$4=FALSE,IF(ISERROR(SEARCH("Embrionix",BOM!$M$4)),"none",IF(ISERROR(SEARCH("Quadsplit",BOM!$N$4)),IF(ISERROR(SEARCH("rec",B557)),"none","merge"),"none")),IF(ISERROR(SEARCH("rec",B557)),"split","merge"))</f>
        <v>merge</v>
      </c>
    </row>
    <row r="558" spans="1:25" ht="11.45" customHeight="1" x14ac:dyDescent="0.2">
      <c r="A558" t="s">
        <v>1238</v>
      </c>
      <c r="B558" t="s">
        <v>2852</v>
      </c>
      <c r="C558" t="str">
        <f>IFERROR(VLOOKUP(B558,'Sender-Receiver'!$B$3:$BP$1500,61,FALSE),"")</f>
        <v>#SNP</v>
      </c>
      <c r="D558" t="str">
        <f>IFERROR(VLOOKUP(B558,'Sender-Receiver'!$B$3:$BP$1500,41,FALSE),"")</f>
        <v xml:space="preserve"> |  | IngSRV-10</v>
      </c>
      <c r="E558" t="s">
        <v>1240</v>
      </c>
      <c r="F558">
        <v>26</v>
      </c>
      <c r="G558" t="s">
        <v>2789</v>
      </c>
      <c r="M558" t="str">
        <f>IF(OR(BOM!$AE$4=FALSE,BOM!$AE$4="-"),IF(ISERROR(SEARCH("send",B558)),"","pool:TPC"),IF(ISERROR(SEARCH("send",B558)),"","pool:TPC|pool:TPC"))</f>
        <v/>
      </c>
      <c r="S558" t="str">
        <f>IFERROR(IF(VLOOKUP(B558,'Sender-Receiver'!$B$3:$BP$1500,60,FALSE)="x","true","false"),"false")</f>
        <v>false</v>
      </c>
      <c r="T558" t="str">
        <f t="shared" si="8"/>
        <v>off</v>
      </c>
      <c r="Y558" t="str">
        <f>IF(BOM!$AE$4=FALSE,IF(ISERROR(SEARCH("Embrionix",BOM!$M$4)),"none",IF(ISERROR(SEARCH("Quadsplit",BOM!$N$4)),IF(ISERROR(SEARCH("rec",B558)),"none","merge"),"none")),IF(ISERROR(SEARCH("rec",B558)),"split","merge"))</f>
        <v>merge</v>
      </c>
    </row>
    <row r="559" spans="1:25" ht="11.45" customHeight="1" x14ac:dyDescent="0.2">
      <c r="A559" t="s">
        <v>1238</v>
      </c>
      <c r="B559" t="s">
        <v>2853</v>
      </c>
      <c r="C559" t="str">
        <f>IFERROR(VLOOKUP(B559,'Sender-Receiver'!$B$3:$BP$1500,61,FALSE),"")</f>
        <v>#SNP</v>
      </c>
      <c r="D559" t="str">
        <f>IFERROR(VLOOKUP(B559,'Sender-Receiver'!$B$3:$BP$1500,41,FALSE),"")</f>
        <v xml:space="preserve"> |  | IngSRV-10</v>
      </c>
      <c r="E559" t="s">
        <v>1240</v>
      </c>
      <c r="F559">
        <v>26</v>
      </c>
      <c r="G559" t="s">
        <v>2790</v>
      </c>
      <c r="M559" t="str">
        <f>IF(OR(BOM!$AE$4=FALSE,BOM!$AE$4="-"),IF(ISERROR(SEARCH("send",B559)),"","pool:TPC"),IF(ISERROR(SEARCH("send",B559)),"","pool:TPC|pool:TPC"))</f>
        <v/>
      </c>
      <c r="S559" t="str">
        <f>IFERROR(IF(VLOOKUP(B559,'Sender-Receiver'!$B$3:$BP$1500,60,FALSE)="x","true","false"),"false")</f>
        <v>false</v>
      </c>
      <c r="T559" t="str">
        <f t="shared" si="8"/>
        <v>off</v>
      </c>
      <c r="Y559" t="str">
        <f>IF(BOM!$AE$4=FALSE,IF(ISERROR(SEARCH("Embrionix",BOM!$M$4)),"none",IF(ISERROR(SEARCH("Quadsplit",BOM!$N$4)),IF(ISERROR(SEARCH("rec",B559)),"none","merge"),"none")),IF(ISERROR(SEARCH("rec",B559)),"split","merge"))</f>
        <v>merge</v>
      </c>
    </row>
    <row r="560" spans="1:25" ht="11.45" customHeight="1" x14ac:dyDescent="0.2">
      <c r="A560" t="s">
        <v>1238</v>
      </c>
      <c r="B560" t="s">
        <v>2854</v>
      </c>
      <c r="C560" t="str">
        <f>IFERROR(VLOOKUP(B560,'Sender-Receiver'!$B$3:$BP$1500,61,FALSE),"")</f>
        <v>#SNP</v>
      </c>
      <c r="D560" t="str">
        <f>IFERROR(VLOOKUP(B560,'Sender-Receiver'!$B$3:$BP$1500,41,FALSE),"")</f>
        <v xml:space="preserve"> |  | IngSRV-10</v>
      </c>
      <c r="E560" t="s">
        <v>1240</v>
      </c>
      <c r="F560">
        <v>26</v>
      </c>
      <c r="G560" t="s">
        <v>2791</v>
      </c>
      <c r="M560" t="str">
        <f>IF(OR(BOM!$AE$4=FALSE,BOM!$AE$4="-"),IF(ISERROR(SEARCH("send",B560)),"","pool:TPC"),IF(ISERROR(SEARCH("send",B560)),"","pool:TPC|pool:TPC"))</f>
        <v/>
      </c>
      <c r="S560" t="str">
        <f>IFERROR(IF(VLOOKUP(B560,'Sender-Receiver'!$B$3:$BP$1500,60,FALSE)="x","true","false"),"false")</f>
        <v>false</v>
      </c>
      <c r="T560" t="str">
        <f t="shared" si="8"/>
        <v>off</v>
      </c>
      <c r="Y560" t="str">
        <f>IF(BOM!$AE$4=FALSE,IF(ISERROR(SEARCH("Embrionix",BOM!$M$4)),"none",IF(ISERROR(SEARCH("Quadsplit",BOM!$N$4)),IF(ISERROR(SEARCH("rec",B560)),"none","merge"),"none")),IF(ISERROR(SEARCH("rec",B560)),"split","merge"))</f>
        <v>merge</v>
      </c>
    </row>
    <row r="561" spans="1:25" x14ac:dyDescent="0.2">
      <c r="A561" t="s">
        <v>1238</v>
      </c>
      <c r="B561" t="s">
        <v>2855</v>
      </c>
      <c r="C561" t="str">
        <f>IFERROR(VLOOKUP(B561,'Sender-Receiver'!$B$3:$BP$1500,61,FALSE),"")</f>
        <v>#SNP</v>
      </c>
      <c r="D561" t="str">
        <f>IFERROR(VLOOKUP(B561,'Sender-Receiver'!$B$3:$BP$1500,41,FALSE),"")</f>
        <v xml:space="preserve"> |  | IngSRV-10</v>
      </c>
      <c r="E561" t="s">
        <v>1240</v>
      </c>
      <c r="F561">
        <v>26</v>
      </c>
      <c r="G561" t="s">
        <v>2792</v>
      </c>
      <c r="M561" t="str">
        <f>IF(OR(BOM!$AE$4=FALSE,BOM!$AE$4="-"),IF(ISERROR(SEARCH("send",B561)),"","pool:TPC"),IF(ISERROR(SEARCH("send",B561)),"","pool:TPC|pool:TPC"))</f>
        <v/>
      </c>
      <c r="S561" t="str">
        <f>IFERROR(IF(VLOOKUP(B561,'Sender-Receiver'!$B$3:$BP$1500,60,FALSE)="x","true","false"),"false")</f>
        <v>false</v>
      </c>
      <c r="T561" t="str">
        <f t="shared" si="8"/>
        <v>off</v>
      </c>
      <c r="Y561" t="str">
        <f>IF(BOM!$AE$4=FALSE,IF(ISERROR(SEARCH("Embrionix",BOM!$M$4)),"none",IF(ISERROR(SEARCH("Quadsplit",BOM!$N$4)),IF(ISERROR(SEARCH("rec",B561)),"none","merge"),"none")),IF(ISERROR(SEARCH("rec",B561)),"split","merge"))</f>
        <v>merge</v>
      </c>
    </row>
    <row r="562" spans="1:25" x14ac:dyDescent="0.2">
      <c r="A562" t="s">
        <v>1238</v>
      </c>
      <c r="B562" t="s">
        <v>2856</v>
      </c>
      <c r="C562" t="str">
        <f>IFERROR(VLOOKUP(B562,'Sender-Receiver'!$B$3:$BP$1500,61,FALSE),"")</f>
        <v>#SNP</v>
      </c>
      <c r="D562" t="str">
        <f>IFERROR(VLOOKUP(B562,'Sender-Receiver'!$B$3:$BP$1500,41,FALSE),"")</f>
        <v xml:space="preserve"> |  | IngSRV-10</v>
      </c>
      <c r="E562" t="s">
        <v>1240</v>
      </c>
      <c r="F562">
        <v>26</v>
      </c>
      <c r="G562" t="s">
        <v>2793</v>
      </c>
      <c r="M562" t="str">
        <f>IF(OR(BOM!$AE$4=FALSE,BOM!$AE$4="-"),IF(ISERROR(SEARCH("send",B562)),"","pool:TPC"),IF(ISERROR(SEARCH("send",B562)),"","pool:TPC|pool:TPC"))</f>
        <v/>
      </c>
      <c r="S562" t="str">
        <f>IFERROR(IF(VLOOKUP(B562,'Sender-Receiver'!$B$3:$BP$1500,60,FALSE)="x","true","false"),"false")</f>
        <v>false</v>
      </c>
      <c r="T562" t="str">
        <f t="shared" si="8"/>
        <v>off</v>
      </c>
      <c r="Y562" t="str">
        <f>IF(BOM!$AE$4=FALSE,IF(ISERROR(SEARCH("Embrionix",BOM!$M$4)),"none",IF(ISERROR(SEARCH("Quadsplit",BOM!$N$4)),IF(ISERROR(SEARCH("rec",B562)),"none","merge"),"none")),IF(ISERROR(SEARCH("rec",B562)),"split","merge"))</f>
        <v>merge</v>
      </c>
    </row>
    <row r="563" spans="1:25" x14ac:dyDescent="0.2">
      <c r="A563" t="s">
        <v>1238</v>
      </c>
      <c r="B563" t="s">
        <v>2857</v>
      </c>
      <c r="C563" t="str">
        <f>IFERROR(VLOOKUP(B563,'Sender-Receiver'!$B$3:$BP$1500,61,FALSE),"")</f>
        <v>Type:Aud_1CH_M,Type:Aud_2CH_LR,Type:Aud_3CH_LRC,Type:Aud_6CH_5.1,Type:Aud_8CH_RAW,#SNP</v>
      </c>
      <c r="D563" t="str">
        <f>IFERROR(VLOOKUP(B563,'Sender-Receiver'!$B$3:$BP$1500,41,FALSE),"")</f>
        <v>M3H InCh PGM | Ingest Ch38-15 | IngSRV-10</v>
      </c>
      <c r="E563" t="s">
        <v>1240</v>
      </c>
      <c r="F563">
        <v>26</v>
      </c>
      <c r="G563" t="s">
        <v>2794</v>
      </c>
      <c r="M563" t="str">
        <f>IF(OR(BOM!$AE$4=FALSE,BOM!$AE$4="-"),IF(ISERROR(SEARCH("send",B563)),"","pool:TPC"),IF(ISERROR(SEARCH("send",B563)),"","pool:TPC|pool:TPC"))</f>
        <v/>
      </c>
      <c r="S563" t="str">
        <f>IFERROR(IF(VLOOKUP(B563,'Sender-Receiver'!$B$3:$BP$1500,60,FALSE)="x","true","false"),"false")</f>
        <v>true</v>
      </c>
      <c r="T563" t="str">
        <f t="shared" si="8"/>
        <v>full</v>
      </c>
      <c r="Y563" t="str">
        <f>IF(BOM!$AE$4=FALSE,IF(ISERROR(SEARCH("Embrionix",BOM!$M$4)),"none",IF(ISERROR(SEARCH("Quadsplit",BOM!$N$4)),IF(ISERROR(SEARCH("rec",B563)),"none","merge"),"none")),IF(ISERROR(SEARCH("rec",B563)),"split","merge"))</f>
        <v>merge</v>
      </c>
    </row>
    <row r="564" spans="1:25" x14ac:dyDescent="0.2">
      <c r="A564" t="s">
        <v>1238</v>
      </c>
      <c r="B564" t="s">
        <v>2858</v>
      </c>
      <c r="C564" t="str">
        <f>IFERROR(VLOOKUP(B564,'Sender-Receiver'!$B$3:$BP$1500,61,FALSE),"")</f>
        <v>Type:Aud_1CH_M,Type:Aud_2CH_LR,Type:Aud_3CH_LRC,Type:Aud_6CH_5.1,Type:Aud_8CH_RAW,#SNP</v>
      </c>
      <c r="D564" t="str">
        <f>IFERROR(VLOOKUP(B564,'Sender-Receiver'!$B$3:$BP$1500,41,FALSE),"")</f>
        <v>M3H InCh PGM | Ingest Ch38-16 | IngSRV-10</v>
      </c>
      <c r="E564" t="s">
        <v>1240</v>
      </c>
      <c r="F564">
        <v>26</v>
      </c>
      <c r="G564" t="s">
        <v>2795</v>
      </c>
      <c r="M564" t="str">
        <f>IF(OR(BOM!$AE$4=FALSE,BOM!$AE$4="-"),IF(ISERROR(SEARCH("send",B564)),"","pool:TPC"),IF(ISERROR(SEARCH("send",B564)),"","pool:TPC|pool:TPC"))</f>
        <v/>
      </c>
      <c r="S564" t="str">
        <f>IFERROR(IF(VLOOKUP(B564,'Sender-Receiver'!$B$3:$BP$1500,60,FALSE)="x","true","false"),"false")</f>
        <v>true</v>
      </c>
      <c r="T564" t="str">
        <f t="shared" si="8"/>
        <v>full</v>
      </c>
      <c r="Y564" t="str">
        <f>IF(BOM!$AE$4=FALSE,IF(ISERROR(SEARCH("Embrionix",BOM!$M$4)),"none",IF(ISERROR(SEARCH("Quadsplit",BOM!$N$4)),IF(ISERROR(SEARCH("rec",B564)),"none","merge"),"none")),IF(ISERROR(SEARCH("rec",B564)),"split","merge"))</f>
        <v>merge</v>
      </c>
    </row>
    <row r="565" spans="1:25" x14ac:dyDescent="0.2">
      <c r="A565" t="s">
        <v>1238</v>
      </c>
      <c r="B565" t="s">
        <v>2859</v>
      </c>
      <c r="C565" t="str">
        <f>IFERROR(VLOOKUP(B565,'Sender-Receiver'!$B$3:$BP$1500,61,FALSE),"")</f>
        <v>Type:Anc_Prot,#SNP</v>
      </c>
      <c r="D565" t="str">
        <f>IFERROR(VLOOKUP(B565,'Sender-Receiver'!$B$3:$BP$1500,41,FALSE),"")</f>
        <v>M3H InCh PGM | Ingest Ch38-ANC1 | IngSRV-10</v>
      </c>
      <c r="E565" t="s">
        <v>1240</v>
      </c>
      <c r="F565">
        <v>26</v>
      </c>
      <c r="G565" t="s">
        <v>2796</v>
      </c>
      <c r="M565" t="str">
        <f>IF(OR(BOM!$AE$4=FALSE,BOM!$AE$4="-"),IF(ISERROR(SEARCH("send",B565)),"","pool:TPC"),IF(ISERROR(SEARCH("send",B565)),"","pool:TPC|pool:TPC"))</f>
        <v/>
      </c>
      <c r="S565" t="str">
        <f>IFERROR(IF(VLOOKUP(B565,'Sender-Receiver'!$B$3:$BP$1500,60,FALSE)="x","true","false"),"false")</f>
        <v>true</v>
      </c>
      <c r="T565" t="str">
        <f t="shared" si="8"/>
        <v>full</v>
      </c>
      <c r="Y565" t="str">
        <f>IF(BOM!$AE$4=FALSE,IF(ISERROR(SEARCH("Embrionix",BOM!$M$4)),"none",IF(ISERROR(SEARCH("Quadsplit",BOM!$N$4)),IF(ISERROR(SEARCH("rec",B565)),"none","merge"),"none")),IF(ISERROR(SEARCH("rec",B565)),"split","merge"))</f>
        <v>merge</v>
      </c>
    </row>
    <row r="566" spans="1:25" x14ac:dyDescent="0.2">
      <c r="A566" t="s">
        <v>1238</v>
      </c>
      <c r="B566" t="s">
        <v>2860</v>
      </c>
      <c r="C566" t="str">
        <f>IFERROR(VLOOKUP(B566,'Sender-Receiver'!$B$3:$BP$1500,61,FALSE),"")</f>
        <v>#SNP</v>
      </c>
      <c r="D566" t="str">
        <f>IFERROR(VLOOKUP(B566,'Sender-Receiver'!$B$3:$BP$1500,41,FALSE),"")</f>
        <v xml:space="preserve"> |  | IngSRV-10</v>
      </c>
      <c r="E566" t="s">
        <v>1240</v>
      </c>
      <c r="F566">
        <v>26</v>
      </c>
      <c r="G566" t="s">
        <v>2797</v>
      </c>
      <c r="M566" t="str">
        <f>IF(OR(BOM!$AE$4=FALSE,BOM!$AE$4="-"),IF(ISERROR(SEARCH("send",B566)),"","pool:TPC"),IF(ISERROR(SEARCH("send",B566)),"","pool:TPC|pool:TPC"))</f>
        <v/>
      </c>
      <c r="S566" t="str">
        <f>IFERROR(IF(VLOOKUP(B566,'Sender-Receiver'!$B$3:$BP$1500,60,FALSE)="x","true","false"),"false")</f>
        <v>false</v>
      </c>
      <c r="T566" t="str">
        <f t="shared" si="8"/>
        <v>off</v>
      </c>
      <c r="Y566" t="str">
        <f>IF(BOM!$AE$4=FALSE,IF(ISERROR(SEARCH("Embrionix",BOM!$M$4)),"none",IF(ISERROR(SEARCH("Quadsplit",BOM!$N$4)),IF(ISERROR(SEARCH("rec",B566)),"none","merge"),"none")),IF(ISERROR(SEARCH("rec",B566)),"split","merge"))</f>
        <v>merge</v>
      </c>
    </row>
    <row r="567" spans="1:25" x14ac:dyDescent="0.2">
      <c r="A567" t="s">
        <v>1238</v>
      </c>
      <c r="B567" t="s">
        <v>2861</v>
      </c>
      <c r="C567" t="str">
        <f>IFERROR(VLOOKUP(B567,'Sender-Receiver'!$B$3:$BP$1500,61,FALSE),"")</f>
        <v>#SNP</v>
      </c>
      <c r="D567" t="str">
        <f>IFERROR(VLOOKUP(B567,'Sender-Receiver'!$B$3:$BP$1500,41,FALSE),"")</f>
        <v xml:space="preserve"> |  | IngSRV-10</v>
      </c>
      <c r="E567" t="s">
        <v>1240</v>
      </c>
      <c r="F567">
        <v>26</v>
      </c>
      <c r="G567" t="s">
        <v>2798</v>
      </c>
      <c r="M567" t="str">
        <f>IF(OR(BOM!$AE$4=FALSE,BOM!$AE$4="-"),IF(ISERROR(SEARCH("send",B567)),"","pool:TPC"),IF(ISERROR(SEARCH("send",B567)),"","pool:TPC|pool:TPC"))</f>
        <v/>
      </c>
      <c r="S567" t="str">
        <f>IFERROR(IF(VLOOKUP(B567,'Sender-Receiver'!$B$3:$BP$1500,60,FALSE)="x","true","false"),"false")</f>
        <v>false</v>
      </c>
      <c r="T567" t="str">
        <f t="shared" si="8"/>
        <v>off</v>
      </c>
      <c r="Y567" t="str">
        <f>IF(BOM!$AE$4=FALSE,IF(ISERROR(SEARCH("Embrionix",BOM!$M$4)),"none",IF(ISERROR(SEARCH("Quadsplit",BOM!$N$4)),IF(ISERROR(SEARCH("rec",B567)),"none","merge"),"none")),IF(ISERROR(SEARCH("rec",B567)),"split","merge"))</f>
        <v>merge</v>
      </c>
    </row>
    <row r="568" spans="1:25" x14ac:dyDescent="0.2">
      <c r="A568" t="s">
        <v>1238</v>
      </c>
      <c r="B568" t="s">
        <v>2862</v>
      </c>
      <c r="C568" t="str">
        <f>IFERROR(VLOOKUP(B568,'Sender-Receiver'!$B$3:$BP$1500,61,FALSE),"")</f>
        <v>#SNP</v>
      </c>
      <c r="D568" t="str">
        <f>IFERROR(VLOOKUP(B568,'Sender-Receiver'!$B$3:$BP$1500,41,FALSE),"")</f>
        <v xml:space="preserve"> |  | IngSRV-10</v>
      </c>
      <c r="E568" t="s">
        <v>1240</v>
      </c>
      <c r="F568">
        <v>26</v>
      </c>
      <c r="G568" t="s">
        <v>2799</v>
      </c>
      <c r="M568" t="str">
        <f>IF(OR(BOM!$AE$4=FALSE,BOM!$AE$4="-"),IF(ISERROR(SEARCH("send",B568)),"","pool:TPC"),IF(ISERROR(SEARCH("send",B568)),"","pool:TPC|pool:TPC"))</f>
        <v/>
      </c>
      <c r="S568" t="str">
        <f>IFERROR(IF(VLOOKUP(B568,'Sender-Receiver'!$B$3:$BP$1500,60,FALSE)="x","true","false"),"false")</f>
        <v>false</v>
      </c>
      <c r="T568" t="str">
        <f t="shared" si="8"/>
        <v>off</v>
      </c>
      <c r="Y568" t="str">
        <f>IF(BOM!$AE$4=FALSE,IF(ISERROR(SEARCH("Embrionix",BOM!$M$4)),"none",IF(ISERROR(SEARCH("Quadsplit",BOM!$N$4)),IF(ISERROR(SEARCH("rec",B568)),"none","merge"),"none")),IF(ISERROR(SEARCH("rec",B568)),"split","merge"))</f>
        <v>merge</v>
      </c>
    </row>
    <row r="569" spans="1:25" x14ac:dyDescent="0.2">
      <c r="A569" t="s">
        <v>1238</v>
      </c>
      <c r="B569" t="s">
        <v>2290</v>
      </c>
      <c r="C569" t="str">
        <f>IFERROR(VLOOKUP(B569,'Sender-Receiver'!$B$3:$BP$1500,61,FALSE),"")</f>
        <v/>
      </c>
      <c r="D569" t="str">
        <f>IFERROR(VLOOKUP(B569,'Sender-Receiver'!$B$3:$BP$1500,41,FALSE),"")</f>
        <v/>
      </c>
      <c r="E569" t="s">
        <v>1240</v>
      </c>
      <c r="F569">
        <v>26</v>
      </c>
      <c r="G569" t="s">
        <v>2291</v>
      </c>
      <c r="M569" t="str">
        <f>IF(OR(BOM!$AE$4=FALSE,BOM!$AE$4="-"),IF(ISERROR(SEARCH("send",B569)),"","pool:TPC"),IF(ISERROR(SEARCH("send",B569)),"","pool:TPC|pool:TPC"))</f>
        <v>pool:TPC|pool:TPC</v>
      </c>
      <c r="S569" t="str">
        <f>IFERROR(IF(VLOOKUP(B569,'Sender-Receiver'!$B$3:$BP$1500,60,FALSE)="x","true","false"),"false")</f>
        <v>false</v>
      </c>
      <c r="T569" t="str">
        <f t="shared" si="8"/>
        <v>off</v>
      </c>
      <c r="Y569" t="str">
        <f>IF(BOM!$AE$4=FALSE,IF(ISERROR(SEARCH("Embrionix",BOM!$M$4)),"none",IF(ISERROR(SEARCH("Quadsplit",BOM!$N$4)),IF(ISERROR(SEARCH("rec",B569)),"none","merge"),"none")),IF(ISERROR(SEARCH("rec",B569)),"split","merge"))</f>
        <v>split</v>
      </c>
    </row>
    <row r="570" spans="1:25" x14ac:dyDescent="0.2">
      <c r="A570" t="s">
        <v>1238</v>
      </c>
      <c r="B570" t="s">
        <v>2292</v>
      </c>
      <c r="C570" t="str">
        <f>IFERROR(VLOOKUP(B570,'Sender-Receiver'!$B$3:$BP$1500,61,FALSE),"")</f>
        <v/>
      </c>
      <c r="D570" t="str">
        <f>IFERROR(VLOOKUP(B570,'Sender-Receiver'!$B$3:$BP$1500,41,FALSE),"")</f>
        <v/>
      </c>
      <c r="E570" t="s">
        <v>1240</v>
      </c>
      <c r="F570">
        <v>26</v>
      </c>
      <c r="G570" t="s">
        <v>2293</v>
      </c>
      <c r="M570" t="str">
        <f>IF(OR(BOM!$AE$4=FALSE,BOM!$AE$4="-"),IF(ISERROR(SEARCH("send",B570)),"","pool:TPC"),IF(ISERROR(SEARCH("send",B570)),"","pool:TPC|pool:TPC"))</f>
        <v>pool:TPC|pool:TPC</v>
      </c>
      <c r="S570" t="str">
        <f>IFERROR(IF(VLOOKUP(B570,'Sender-Receiver'!$B$3:$BP$1500,60,FALSE)="x","true","false"),"false")</f>
        <v>false</v>
      </c>
      <c r="T570" t="str">
        <f t="shared" si="8"/>
        <v>off</v>
      </c>
      <c r="Y570" t="str">
        <f>IF(BOM!$AE$4=FALSE,IF(ISERROR(SEARCH("Embrionix",BOM!$M$4)),"none",IF(ISERROR(SEARCH("Quadsplit",BOM!$N$4)),IF(ISERROR(SEARCH("rec",B570)),"none","merge"),"none")),IF(ISERROR(SEARCH("rec",B570)),"split","merge"))</f>
        <v>split</v>
      </c>
    </row>
    <row r="571" spans="1:25" x14ac:dyDescent="0.2">
      <c r="A571" t="s">
        <v>1238</v>
      </c>
      <c r="B571" t="s">
        <v>2294</v>
      </c>
      <c r="C571" t="str">
        <f>IFERROR(VLOOKUP(B571,'Sender-Receiver'!$B$3:$BP$1500,61,FALSE),"")</f>
        <v/>
      </c>
      <c r="D571" t="str">
        <f>IFERROR(VLOOKUP(B571,'Sender-Receiver'!$B$3:$BP$1500,41,FALSE),"")</f>
        <v/>
      </c>
      <c r="E571" t="s">
        <v>1240</v>
      </c>
      <c r="F571">
        <v>26</v>
      </c>
      <c r="G571" t="s">
        <v>2295</v>
      </c>
      <c r="M571" t="str">
        <f>IF(OR(BOM!$AE$4=FALSE,BOM!$AE$4="-"),IF(ISERROR(SEARCH("send",B571)),"","pool:TPC"),IF(ISERROR(SEARCH("send",B571)),"","pool:TPC|pool:TPC"))</f>
        <v>pool:TPC|pool:TPC</v>
      </c>
      <c r="S571" t="str">
        <f>IFERROR(IF(VLOOKUP(B571,'Sender-Receiver'!$B$3:$BP$1500,60,FALSE)="x","true","false"),"false")</f>
        <v>false</v>
      </c>
      <c r="T571" t="str">
        <f t="shared" si="8"/>
        <v>off</v>
      </c>
      <c r="Y571" t="str">
        <f>IF(BOM!$AE$4=FALSE,IF(ISERROR(SEARCH("Embrionix",BOM!$M$4)),"none",IF(ISERROR(SEARCH("Quadsplit",BOM!$N$4)),IF(ISERROR(SEARCH("rec",B571)),"none","merge"),"none")),IF(ISERROR(SEARCH("rec",B571)),"split","merge"))</f>
        <v>split</v>
      </c>
    </row>
    <row r="572" spans="1:25" x14ac:dyDescent="0.2">
      <c r="A572" t="s">
        <v>1238</v>
      </c>
      <c r="B572" t="s">
        <v>2296</v>
      </c>
      <c r="C572" t="str">
        <f>IFERROR(VLOOKUP(B572,'Sender-Receiver'!$B$3:$BP$1500,61,FALSE),"")</f>
        <v/>
      </c>
      <c r="D572" t="str">
        <f>IFERROR(VLOOKUP(B572,'Sender-Receiver'!$B$3:$BP$1500,41,FALSE),"")</f>
        <v/>
      </c>
      <c r="E572" t="s">
        <v>1240</v>
      </c>
      <c r="F572">
        <v>26</v>
      </c>
      <c r="G572" t="s">
        <v>2297</v>
      </c>
      <c r="M572" t="str">
        <f>IF(OR(BOM!$AE$4=FALSE,BOM!$AE$4="-"),IF(ISERROR(SEARCH("send",B572)),"","pool:TPC"),IF(ISERROR(SEARCH("send",B572)),"","pool:TPC|pool:TPC"))</f>
        <v>pool:TPC|pool:TPC</v>
      </c>
      <c r="S572" t="str">
        <f>IFERROR(IF(VLOOKUP(B572,'Sender-Receiver'!$B$3:$BP$1500,60,FALSE)="x","true","false"),"false")</f>
        <v>false</v>
      </c>
      <c r="T572" t="str">
        <f t="shared" si="8"/>
        <v>off</v>
      </c>
      <c r="Y572" t="str">
        <f>IF(BOM!$AE$4=FALSE,IF(ISERROR(SEARCH("Embrionix",BOM!$M$4)),"none",IF(ISERROR(SEARCH("Quadsplit",BOM!$N$4)),IF(ISERROR(SEARCH("rec",B572)),"none","merge"),"none")),IF(ISERROR(SEARCH("rec",B572)),"split","merge"))</f>
        <v>split</v>
      </c>
    </row>
    <row r="573" spans="1:25" x14ac:dyDescent="0.2">
      <c r="A573" t="s">
        <v>1238</v>
      </c>
      <c r="B573" t="s">
        <v>2298</v>
      </c>
      <c r="C573" t="str">
        <f>IFERROR(VLOOKUP(B573,'Sender-Receiver'!$B$3:$BP$1500,61,FALSE),"")</f>
        <v/>
      </c>
      <c r="D573" t="str">
        <f>IFERROR(VLOOKUP(B573,'Sender-Receiver'!$B$3:$BP$1500,41,FALSE),"")</f>
        <v/>
      </c>
      <c r="E573" t="s">
        <v>1240</v>
      </c>
      <c r="F573">
        <v>26</v>
      </c>
      <c r="G573" t="s">
        <v>2299</v>
      </c>
      <c r="M573" t="str">
        <f>IF(OR(BOM!$AE$4=FALSE,BOM!$AE$4="-"),IF(ISERROR(SEARCH("send",B573)),"","pool:TPC"),IF(ISERROR(SEARCH("send",B573)),"","pool:TPC|pool:TPC"))</f>
        <v>pool:TPC|pool:TPC</v>
      </c>
      <c r="S573" t="str">
        <f>IFERROR(IF(VLOOKUP(B573,'Sender-Receiver'!$B$3:$BP$1500,60,FALSE)="x","true","false"),"false")</f>
        <v>false</v>
      </c>
      <c r="T573" t="str">
        <f t="shared" si="8"/>
        <v>off</v>
      </c>
      <c r="Y573" t="str">
        <f>IF(BOM!$AE$4=FALSE,IF(ISERROR(SEARCH("Embrionix",BOM!$M$4)),"none",IF(ISERROR(SEARCH("Quadsplit",BOM!$N$4)),IF(ISERROR(SEARCH("rec",B573)),"none","merge"),"none")),IF(ISERROR(SEARCH("rec",B573)),"split","merge"))</f>
        <v>split</v>
      </c>
    </row>
    <row r="574" spans="1:25" x14ac:dyDescent="0.2">
      <c r="A574" t="s">
        <v>1238</v>
      </c>
      <c r="B574" t="s">
        <v>2300</v>
      </c>
      <c r="C574" t="str">
        <f>IFERROR(VLOOKUP(B574,'Sender-Receiver'!$B$3:$BP$1500,61,FALSE),"")</f>
        <v/>
      </c>
      <c r="D574" t="str">
        <f>IFERROR(VLOOKUP(B574,'Sender-Receiver'!$B$3:$BP$1500,41,FALSE),"")</f>
        <v/>
      </c>
      <c r="E574" t="s">
        <v>1240</v>
      </c>
      <c r="F574">
        <v>26</v>
      </c>
      <c r="G574" t="s">
        <v>2301</v>
      </c>
      <c r="M574" t="str">
        <f>IF(OR(BOM!$AE$4=FALSE,BOM!$AE$4="-"),IF(ISERROR(SEARCH("send",B574)),"","pool:TPC"),IF(ISERROR(SEARCH("send",B574)),"","pool:TPC|pool:TPC"))</f>
        <v>pool:TPC|pool:TPC</v>
      </c>
      <c r="S574" t="str">
        <f>IFERROR(IF(VLOOKUP(B574,'Sender-Receiver'!$B$3:$BP$1500,60,FALSE)="x","true","false"),"false")</f>
        <v>false</v>
      </c>
      <c r="T574" t="str">
        <f t="shared" si="8"/>
        <v>off</v>
      </c>
      <c r="Y574" t="str">
        <f>IF(BOM!$AE$4=FALSE,IF(ISERROR(SEARCH("Embrionix",BOM!$M$4)),"none",IF(ISERROR(SEARCH("Quadsplit",BOM!$N$4)),IF(ISERROR(SEARCH("rec",B574)),"none","merge"),"none")),IF(ISERROR(SEARCH("rec",B574)),"split","merge"))</f>
        <v>split</v>
      </c>
    </row>
    <row r="575" spans="1:25" x14ac:dyDescent="0.2">
      <c r="A575" t="s">
        <v>1238</v>
      </c>
      <c r="B575" t="s">
        <v>2302</v>
      </c>
      <c r="C575" t="str">
        <f>IFERROR(VLOOKUP(B575,'Sender-Receiver'!$B$3:$BP$1500,61,FALSE),"")</f>
        <v/>
      </c>
      <c r="D575" t="str">
        <f>IFERROR(VLOOKUP(B575,'Sender-Receiver'!$B$3:$BP$1500,41,FALSE),"")</f>
        <v/>
      </c>
      <c r="E575" t="s">
        <v>1240</v>
      </c>
      <c r="F575">
        <v>26</v>
      </c>
      <c r="G575" t="s">
        <v>2303</v>
      </c>
      <c r="M575" t="str">
        <f>IF(OR(BOM!$AE$4=FALSE,BOM!$AE$4="-"),IF(ISERROR(SEARCH("send",B575)),"","pool:TPC"),IF(ISERROR(SEARCH("send",B575)),"","pool:TPC|pool:TPC"))</f>
        <v>pool:TPC|pool:TPC</v>
      </c>
      <c r="S575" t="str">
        <f>IFERROR(IF(VLOOKUP(B575,'Sender-Receiver'!$B$3:$BP$1500,60,FALSE)="x","true","false"),"false")</f>
        <v>false</v>
      </c>
      <c r="T575" t="str">
        <f t="shared" si="8"/>
        <v>off</v>
      </c>
      <c r="Y575" t="str">
        <f>IF(BOM!$AE$4=FALSE,IF(ISERROR(SEARCH("Embrionix",BOM!$M$4)),"none",IF(ISERROR(SEARCH("Quadsplit",BOM!$N$4)),IF(ISERROR(SEARCH("rec",B575)),"none","merge"),"none")),IF(ISERROR(SEARCH("rec",B575)),"split","merge"))</f>
        <v>split</v>
      </c>
    </row>
    <row r="576" spans="1:25" x14ac:dyDescent="0.2">
      <c r="A576" t="s">
        <v>1238</v>
      </c>
      <c r="B576" t="s">
        <v>2304</v>
      </c>
      <c r="C576" t="str">
        <f>IFERROR(VLOOKUP(B576,'Sender-Receiver'!$B$3:$BP$1500,61,FALSE),"")</f>
        <v/>
      </c>
      <c r="D576" t="str">
        <f>IFERROR(VLOOKUP(B576,'Sender-Receiver'!$B$3:$BP$1500,41,FALSE),"")</f>
        <v/>
      </c>
      <c r="E576" t="s">
        <v>1240</v>
      </c>
      <c r="F576">
        <v>26</v>
      </c>
      <c r="G576" t="s">
        <v>2305</v>
      </c>
      <c r="M576" t="str">
        <f>IF(OR(BOM!$AE$4=FALSE,BOM!$AE$4="-"),IF(ISERROR(SEARCH("send",B576)),"","pool:TPC"),IF(ISERROR(SEARCH("send",B576)),"","pool:TPC|pool:TPC"))</f>
        <v>pool:TPC|pool:TPC</v>
      </c>
      <c r="S576" t="str">
        <f>IFERROR(IF(VLOOKUP(B576,'Sender-Receiver'!$B$3:$BP$1500,60,FALSE)="x","true","false"),"false")</f>
        <v>false</v>
      </c>
      <c r="T576" t="str">
        <f t="shared" si="8"/>
        <v>off</v>
      </c>
      <c r="Y576" t="str">
        <f>IF(BOM!$AE$4=FALSE,IF(ISERROR(SEARCH("Embrionix",BOM!$M$4)),"none",IF(ISERROR(SEARCH("Quadsplit",BOM!$N$4)),IF(ISERROR(SEARCH("rec",B576)),"none","merge"),"none")),IF(ISERROR(SEARCH("rec",B576)),"split","merge"))</f>
        <v>split</v>
      </c>
    </row>
    <row r="577" spans="1:25" x14ac:dyDescent="0.2">
      <c r="A577" t="s">
        <v>1238</v>
      </c>
      <c r="B577" t="s">
        <v>2306</v>
      </c>
      <c r="C577" t="str">
        <f>IFERROR(VLOOKUP(B577,'Sender-Receiver'!$B$3:$BP$1500,61,FALSE),"")</f>
        <v/>
      </c>
      <c r="D577" t="str">
        <f>IFERROR(VLOOKUP(B577,'Sender-Receiver'!$B$3:$BP$1500,41,FALSE),"")</f>
        <v/>
      </c>
      <c r="E577" t="s">
        <v>1240</v>
      </c>
      <c r="F577">
        <v>26</v>
      </c>
      <c r="G577" t="s">
        <v>2307</v>
      </c>
      <c r="M577" t="str">
        <f>IF(OR(BOM!$AE$4=FALSE,BOM!$AE$4="-"),IF(ISERROR(SEARCH("send",B577)),"","pool:TPC"),IF(ISERROR(SEARCH("send",B577)),"","pool:TPC|pool:TPC"))</f>
        <v>pool:TPC|pool:TPC</v>
      </c>
      <c r="S577" t="str">
        <f>IFERROR(IF(VLOOKUP(B577,'Sender-Receiver'!$B$3:$BP$1500,60,FALSE)="x","true","false"),"false")</f>
        <v>false</v>
      </c>
      <c r="T577" t="str">
        <f t="shared" si="8"/>
        <v>off</v>
      </c>
      <c r="Y577" t="str">
        <f>IF(BOM!$AE$4=FALSE,IF(ISERROR(SEARCH("Embrionix",BOM!$M$4)),"none",IF(ISERROR(SEARCH("Quadsplit",BOM!$N$4)),IF(ISERROR(SEARCH("rec",B577)),"none","merge"),"none")),IF(ISERROR(SEARCH("rec",B577)),"split","merge"))</f>
        <v>split</v>
      </c>
    </row>
    <row r="578" spans="1:25" x14ac:dyDescent="0.2">
      <c r="A578" t="s">
        <v>1238</v>
      </c>
      <c r="B578" t="s">
        <v>2308</v>
      </c>
      <c r="C578" t="str">
        <f>IFERROR(VLOOKUP(B578,'Sender-Receiver'!$B$3:$BP$1500,61,FALSE),"")</f>
        <v/>
      </c>
      <c r="D578" t="str">
        <f>IFERROR(VLOOKUP(B578,'Sender-Receiver'!$B$3:$BP$1500,41,FALSE),"")</f>
        <v/>
      </c>
      <c r="E578" t="s">
        <v>1240</v>
      </c>
      <c r="F578">
        <v>26</v>
      </c>
      <c r="G578" t="s">
        <v>2309</v>
      </c>
      <c r="M578" t="str">
        <f>IF(OR(BOM!$AE$4=FALSE,BOM!$AE$4="-"),IF(ISERROR(SEARCH("send",B578)),"","pool:TPC"),IF(ISERROR(SEARCH("send",B578)),"","pool:TPC|pool:TPC"))</f>
        <v>pool:TPC|pool:TPC</v>
      </c>
      <c r="S578" t="str">
        <f>IFERROR(IF(VLOOKUP(B578,'Sender-Receiver'!$B$3:$BP$1500,60,FALSE)="x","true","false"),"false")</f>
        <v>false</v>
      </c>
      <c r="T578" t="str">
        <f t="shared" si="8"/>
        <v>off</v>
      </c>
      <c r="Y578" t="str">
        <f>IF(BOM!$AE$4=FALSE,IF(ISERROR(SEARCH("Embrionix",BOM!$M$4)),"none",IF(ISERROR(SEARCH("Quadsplit",BOM!$N$4)),IF(ISERROR(SEARCH("rec",B578)),"none","merge"),"none")),IF(ISERROR(SEARCH("rec",B578)),"split","merge"))</f>
        <v>split</v>
      </c>
    </row>
    <row r="579" spans="1:25" x14ac:dyDescent="0.2">
      <c r="A579" t="s">
        <v>1238</v>
      </c>
      <c r="B579" t="s">
        <v>2310</v>
      </c>
      <c r="C579" t="str">
        <f>IFERROR(VLOOKUP(B579,'Sender-Receiver'!$B$3:$BP$1500,61,FALSE),"")</f>
        <v/>
      </c>
      <c r="D579" t="str">
        <f>IFERROR(VLOOKUP(B579,'Sender-Receiver'!$B$3:$BP$1500,41,FALSE),"")</f>
        <v/>
      </c>
      <c r="E579" t="s">
        <v>1240</v>
      </c>
      <c r="F579">
        <v>26</v>
      </c>
      <c r="G579" t="s">
        <v>2311</v>
      </c>
      <c r="M579" t="str">
        <f>IF(OR(BOM!$AE$4=FALSE,BOM!$AE$4="-"),IF(ISERROR(SEARCH("send",B579)),"","pool:TPC"),IF(ISERROR(SEARCH("send",B579)),"","pool:TPC|pool:TPC"))</f>
        <v>pool:TPC|pool:TPC</v>
      </c>
      <c r="S579" t="str">
        <f>IFERROR(IF(VLOOKUP(B579,'Sender-Receiver'!$B$3:$BP$1500,60,FALSE)="x","true","false"),"false")</f>
        <v>false</v>
      </c>
      <c r="T579" t="str">
        <f t="shared" si="8"/>
        <v>off</v>
      </c>
      <c r="Y579" t="str">
        <f>IF(BOM!$AE$4=FALSE,IF(ISERROR(SEARCH("Embrionix",BOM!$M$4)),"none",IF(ISERROR(SEARCH("Quadsplit",BOM!$N$4)),IF(ISERROR(SEARCH("rec",B579)),"none","merge"),"none")),IF(ISERROR(SEARCH("rec",B579)),"split","merge"))</f>
        <v>split</v>
      </c>
    </row>
    <row r="580" spans="1:25" x14ac:dyDescent="0.2">
      <c r="A580" t="s">
        <v>1238</v>
      </c>
      <c r="B580" t="s">
        <v>2312</v>
      </c>
      <c r="C580" t="str">
        <f>IFERROR(VLOOKUP(B580,'Sender-Receiver'!$B$3:$BP$1500,61,FALSE),"")</f>
        <v/>
      </c>
      <c r="D580" t="str">
        <f>IFERROR(VLOOKUP(B580,'Sender-Receiver'!$B$3:$BP$1500,41,FALSE),"")</f>
        <v/>
      </c>
      <c r="E580" t="s">
        <v>1240</v>
      </c>
      <c r="F580">
        <v>26</v>
      </c>
      <c r="G580" t="s">
        <v>2313</v>
      </c>
      <c r="M580" t="str">
        <f>IF(OR(BOM!$AE$4=FALSE,BOM!$AE$4="-"),IF(ISERROR(SEARCH("send",B580)),"","pool:TPC"),IF(ISERROR(SEARCH("send",B580)),"","pool:TPC|pool:TPC"))</f>
        <v>pool:TPC|pool:TPC</v>
      </c>
      <c r="S580" t="str">
        <f>IFERROR(IF(VLOOKUP(B580,'Sender-Receiver'!$B$3:$BP$1500,60,FALSE)="x","true","false"),"false")</f>
        <v>false</v>
      </c>
      <c r="T580" t="str">
        <f t="shared" si="8"/>
        <v>off</v>
      </c>
      <c r="Y580" t="str">
        <f>IF(BOM!$AE$4=FALSE,IF(ISERROR(SEARCH("Embrionix",BOM!$M$4)),"none",IF(ISERROR(SEARCH("Quadsplit",BOM!$N$4)),IF(ISERROR(SEARCH("rec",B580)),"none","merge"),"none")),IF(ISERROR(SEARCH("rec",B580)),"split","merge"))</f>
        <v>split</v>
      </c>
    </row>
    <row r="581" spans="1:25" x14ac:dyDescent="0.2">
      <c r="A581" t="s">
        <v>1238</v>
      </c>
      <c r="B581" t="s">
        <v>2314</v>
      </c>
      <c r="C581" t="str">
        <f>IFERROR(VLOOKUP(B581,'Sender-Receiver'!$B$3:$BP$1500,61,FALSE),"")</f>
        <v/>
      </c>
      <c r="D581" t="str">
        <f>IFERROR(VLOOKUP(B581,'Sender-Receiver'!$B$3:$BP$1500,41,FALSE),"")</f>
        <v/>
      </c>
      <c r="E581" t="s">
        <v>1240</v>
      </c>
      <c r="F581">
        <v>26</v>
      </c>
      <c r="G581" t="s">
        <v>2315</v>
      </c>
      <c r="M581" t="str">
        <f>IF(OR(BOM!$AE$4=FALSE,BOM!$AE$4="-"),IF(ISERROR(SEARCH("send",B581)),"","pool:TPC"),IF(ISERROR(SEARCH("send",B581)),"","pool:TPC|pool:TPC"))</f>
        <v>pool:TPC|pool:TPC</v>
      </c>
      <c r="S581" t="str">
        <f>IFERROR(IF(VLOOKUP(B581,'Sender-Receiver'!$B$3:$BP$1500,60,FALSE)="x","true","false"),"false")</f>
        <v>false</v>
      </c>
      <c r="T581" t="str">
        <f t="shared" si="8"/>
        <v>off</v>
      </c>
      <c r="Y581" t="str">
        <f>IF(BOM!$AE$4=FALSE,IF(ISERROR(SEARCH("Embrionix",BOM!$M$4)),"none",IF(ISERROR(SEARCH("Quadsplit",BOM!$N$4)),IF(ISERROR(SEARCH("rec",B581)),"none","merge"),"none")),IF(ISERROR(SEARCH("rec",B581)),"split","merge"))</f>
        <v>split</v>
      </c>
    </row>
    <row r="582" spans="1:25" x14ac:dyDescent="0.2">
      <c r="A582" t="s">
        <v>1238</v>
      </c>
      <c r="B582" t="s">
        <v>2316</v>
      </c>
      <c r="C582" t="str">
        <f>IFERROR(VLOOKUP(B582,'Sender-Receiver'!$B$3:$BP$1500,61,FALSE),"")</f>
        <v/>
      </c>
      <c r="D582" t="str">
        <f>IFERROR(VLOOKUP(B582,'Sender-Receiver'!$B$3:$BP$1500,41,FALSE),"")</f>
        <v/>
      </c>
      <c r="E582" t="s">
        <v>1240</v>
      </c>
      <c r="F582">
        <v>26</v>
      </c>
      <c r="G582" t="s">
        <v>2317</v>
      </c>
      <c r="M582" t="str">
        <f>IF(OR(BOM!$AE$4=FALSE,BOM!$AE$4="-"),IF(ISERROR(SEARCH("send",B582)),"","pool:TPC"),IF(ISERROR(SEARCH("send",B582)),"","pool:TPC|pool:TPC"))</f>
        <v>pool:TPC|pool:TPC</v>
      </c>
      <c r="S582" t="str">
        <f>IFERROR(IF(VLOOKUP(B582,'Sender-Receiver'!$B$3:$BP$1500,60,FALSE)="x","true","false"),"false")</f>
        <v>false</v>
      </c>
      <c r="T582" t="str">
        <f t="shared" si="8"/>
        <v>off</v>
      </c>
      <c r="Y582" t="str">
        <f>IF(BOM!$AE$4=FALSE,IF(ISERROR(SEARCH("Embrionix",BOM!$M$4)),"none",IF(ISERROR(SEARCH("Quadsplit",BOM!$N$4)),IF(ISERROR(SEARCH("rec",B582)),"none","merge"),"none")),IF(ISERROR(SEARCH("rec",B582)),"split","merge"))</f>
        <v>split</v>
      </c>
    </row>
    <row r="583" spans="1:25" x14ac:dyDescent="0.2">
      <c r="A583" t="s">
        <v>1238</v>
      </c>
      <c r="B583" t="s">
        <v>2318</v>
      </c>
      <c r="C583" t="str">
        <f>IFERROR(VLOOKUP(B583,'Sender-Receiver'!$B$3:$BP$1500,61,FALSE),"")</f>
        <v/>
      </c>
      <c r="D583" t="str">
        <f>IFERROR(VLOOKUP(B583,'Sender-Receiver'!$B$3:$BP$1500,41,FALSE),"")</f>
        <v/>
      </c>
      <c r="E583" t="s">
        <v>1240</v>
      </c>
      <c r="F583">
        <v>26</v>
      </c>
      <c r="G583" t="s">
        <v>2319</v>
      </c>
      <c r="M583" t="str">
        <f>IF(OR(BOM!$AE$4=FALSE,BOM!$AE$4="-"),IF(ISERROR(SEARCH("send",B583)),"","pool:TPC"),IF(ISERROR(SEARCH("send",B583)),"","pool:TPC|pool:TPC"))</f>
        <v>pool:TPC|pool:TPC</v>
      </c>
      <c r="S583" t="str">
        <f>IFERROR(IF(VLOOKUP(B583,'Sender-Receiver'!$B$3:$BP$1500,60,FALSE)="x","true","false"),"false")</f>
        <v>false</v>
      </c>
      <c r="T583" t="str">
        <f t="shared" si="8"/>
        <v>off</v>
      </c>
      <c r="Y583" t="str">
        <f>IF(BOM!$AE$4=FALSE,IF(ISERROR(SEARCH("Embrionix",BOM!$M$4)),"none",IF(ISERROR(SEARCH("Quadsplit",BOM!$N$4)),IF(ISERROR(SEARCH("rec",B583)),"none","merge"),"none")),IF(ISERROR(SEARCH("rec",B583)),"split","merge"))</f>
        <v>split</v>
      </c>
    </row>
    <row r="584" spans="1:25" x14ac:dyDescent="0.2">
      <c r="A584" t="s">
        <v>1238</v>
      </c>
      <c r="B584" t="s">
        <v>2320</v>
      </c>
      <c r="C584" t="str">
        <f>IFERROR(VLOOKUP(B584,'Sender-Receiver'!$B$3:$BP$1500,61,FALSE),"")</f>
        <v/>
      </c>
      <c r="D584" t="str">
        <f>IFERROR(VLOOKUP(B584,'Sender-Receiver'!$B$3:$BP$1500,41,FALSE),"")</f>
        <v/>
      </c>
      <c r="E584" t="s">
        <v>1240</v>
      </c>
      <c r="F584">
        <v>26</v>
      </c>
      <c r="G584" t="s">
        <v>2321</v>
      </c>
      <c r="M584" t="str">
        <f>IF(OR(BOM!$AE$4=FALSE,BOM!$AE$4="-"),IF(ISERROR(SEARCH("send",B584)),"","pool:TPC"),IF(ISERROR(SEARCH("send",B584)),"","pool:TPC|pool:TPC"))</f>
        <v>pool:TPC|pool:TPC</v>
      </c>
      <c r="S584" t="str">
        <f>IFERROR(IF(VLOOKUP(B584,'Sender-Receiver'!$B$3:$BP$1500,60,FALSE)="x","true","false"),"false")</f>
        <v>false</v>
      </c>
      <c r="T584" t="str">
        <f t="shared" si="8"/>
        <v>off</v>
      </c>
      <c r="Y584" t="str">
        <f>IF(BOM!$AE$4=FALSE,IF(ISERROR(SEARCH("Embrionix",BOM!$M$4)),"none",IF(ISERROR(SEARCH("Quadsplit",BOM!$N$4)),IF(ISERROR(SEARCH("rec",B584)),"none","merge"),"none")),IF(ISERROR(SEARCH("rec",B584)),"split","merge"))</f>
        <v>split</v>
      </c>
    </row>
    <row r="585" spans="1:25" x14ac:dyDescent="0.2">
      <c r="A585" t="s">
        <v>1238</v>
      </c>
      <c r="B585" t="s">
        <v>2322</v>
      </c>
      <c r="C585" t="str">
        <f>IFERROR(VLOOKUP(B585,'Sender-Receiver'!$B$3:$BP$1500,61,FALSE),"")</f>
        <v/>
      </c>
      <c r="D585" t="str">
        <f>IFERROR(VLOOKUP(B585,'Sender-Receiver'!$B$3:$BP$1500,41,FALSE),"")</f>
        <v/>
      </c>
      <c r="E585" t="s">
        <v>1240</v>
      </c>
      <c r="F585">
        <v>26</v>
      </c>
      <c r="G585" t="s">
        <v>2323</v>
      </c>
      <c r="M585" t="str">
        <f>IF(OR(BOM!$AE$4=FALSE,BOM!$AE$4="-"),IF(ISERROR(SEARCH("send",B585)),"","pool:TPC"),IF(ISERROR(SEARCH("send",B585)),"","pool:TPC|pool:TPC"))</f>
        <v>pool:TPC|pool:TPC</v>
      </c>
      <c r="S585" t="str">
        <f>IFERROR(IF(VLOOKUP(B585,'Sender-Receiver'!$B$3:$BP$1500,60,FALSE)="x","true","false"),"false")</f>
        <v>false</v>
      </c>
      <c r="T585" t="str">
        <f t="shared" si="8"/>
        <v>off</v>
      </c>
      <c r="Y585" t="str">
        <f>IF(BOM!$AE$4=FALSE,IF(ISERROR(SEARCH("Embrionix",BOM!$M$4)),"none",IF(ISERROR(SEARCH("Quadsplit",BOM!$N$4)),IF(ISERROR(SEARCH("rec",B585)),"none","merge"),"none")),IF(ISERROR(SEARCH("rec",B585)),"split","merge"))</f>
        <v>split</v>
      </c>
    </row>
    <row r="586" spans="1:25" x14ac:dyDescent="0.2">
      <c r="A586" t="s">
        <v>1238</v>
      </c>
      <c r="B586" t="s">
        <v>2324</v>
      </c>
      <c r="C586" t="str">
        <f>IFERROR(VLOOKUP(B586,'Sender-Receiver'!$B$3:$BP$1500,61,FALSE),"")</f>
        <v/>
      </c>
      <c r="D586" t="str">
        <f>IFERROR(VLOOKUP(B586,'Sender-Receiver'!$B$3:$BP$1500,41,FALSE),"")</f>
        <v/>
      </c>
      <c r="E586" t="s">
        <v>1240</v>
      </c>
      <c r="F586">
        <v>26</v>
      </c>
      <c r="G586" t="s">
        <v>2325</v>
      </c>
      <c r="M586" t="str">
        <f>IF(OR(BOM!$AE$4=FALSE,BOM!$AE$4="-"),IF(ISERROR(SEARCH("send",B586)),"","pool:TPC"),IF(ISERROR(SEARCH("send",B586)),"","pool:TPC|pool:TPC"))</f>
        <v>pool:TPC|pool:TPC</v>
      </c>
      <c r="S586" t="str">
        <f>IFERROR(IF(VLOOKUP(B586,'Sender-Receiver'!$B$3:$BP$1500,60,FALSE)="x","true","false"),"false")</f>
        <v>false</v>
      </c>
      <c r="T586" t="str">
        <f t="shared" si="8"/>
        <v>off</v>
      </c>
      <c r="Y586" t="str">
        <f>IF(BOM!$AE$4=FALSE,IF(ISERROR(SEARCH("Embrionix",BOM!$M$4)),"none",IF(ISERROR(SEARCH("Quadsplit",BOM!$N$4)),IF(ISERROR(SEARCH("rec",B586)),"none","merge"),"none")),IF(ISERROR(SEARCH("rec",B586)),"split","merge"))</f>
        <v>split</v>
      </c>
    </row>
    <row r="587" spans="1:25" x14ac:dyDescent="0.2">
      <c r="A587" t="s">
        <v>1238</v>
      </c>
      <c r="B587" t="s">
        <v>2326</v>
      </c>
      <c r="C587" t="str">
        <f>IFERROR(VLOOKUP(B587,'Sender-Receiver'!$B$3:$BP$1500,61,FALSE),"")</f>
        <v/>
      </c>
      <c r="D587" t="str">
        <f>IFERROR(VLOOKUP(B587,'Sender-Receiver'!$B$3:$BP$1500,41,FALSE),"")</f>
        <v/>
      </c>
      <c r="E587" t="s">
        <v>1240</v>
      </c>
      <c r="F587">
        <v>26</v>
      </c>
      <c r="G587" t="s">
        <v>2327</v>
      </c>
      <c r="M587" t="str">
        <f>IF(OR(BOM!$AE$4=FALSE,BOM!$AE$4="-"),IF(ISERROR(SEARCH("send",B587)),"","pool:TPC"),IF(ISERROR(SEARCH("send",B587)),"","pool:TPC|pool:TPC"))</f>
        <v>pool:TPC|pool:TPC</v>
      </c>
      <c r="S587" t="str">
        <f>IFERROR(IF(VLOOKUP(B587,'Sender-Receiver'!$B$3:$BP$1500,60,FALSE)="x","true","false"),"false")</f>
        <v>false</v>
      </c>
      <c r="T587" t="str">
        <f t="shared" si="8"/>
        <v>off</v>
      </c>
      <c r="Y587" t="str">
        <f>IF(BOM!$AE$4=FALSE,IF(ISERROR(SEARCH("Embrionix",BOM!$M$4)),"none",IF(ISERROR(SEARCH("Quadsplit",BOM!$N$4)),IF(ISERROR(SEARCH("rec",B587)),"none","merge"),"none")),IF(ISERROR(SEARCH("rec",B587)),"split","merge"))</f>
        <v>split</v>
      </c>
    </row>
    <row r="588" spans="1:25" x14ac:dyDescent="0.2">
      <c r="A588" t="s">
        <v>1238</v>
      </c>
      <c r="B588" t="s">
        <v>2328</v>
      </c>
      <c r="C588" t="str">
        <f>IFERROR(VLOOKUP(B588,'Sender-Receiver'!$B$3:$BP$1500,61,FALSE),"")</f>
        <v/>
      </c>
      <c r="D588" t="str">
        <f>IFERROR(VLOOKUP(B588,'Sender-Receiver'!$B$3:$BP$1500,41,FALSE),"")</f>
        <v/>
      </c>
      <c r="E588" t="s">
        <v>1240</v>
      </c>
      <c r="F588">
        <v>26</v>
      </c>
      <c r="G588" t="s">
        <v>2329</v>
      </c>
      <c r="M588" t="str">
        <f>IF(OR(BOM!$AE$4=FALSE,BOM!$AE$4="-"),IF(ISERROR(SEARCH("send",B588)),"","pool:TPC"),IF(ISERROR(SEARCH("send",B588)),"","pool:TPC|pool:TPC"))</f>
        <v>pool:TPC|pool:TPC</v>
      </c>
      <c r="S588" t="str">
        <f>IFERROR(IF(VLOOKUP(B588,'Sender-Receiver'!$B$3:$BP$1500,60,FALSE)="x","true","false"),"false")</f>
        <v>false</v>
      </c>
      <c r="T588" t="str">
        <f t="shared" si="8"/>
        <v>off</v>
      </c>
      <c r="Y588" t="str">
        <f>IF(BOM!$AE$4=FALSE,IF(ISERROR(SEARCH("Embrionix",BOM!$M$4)),"none",IF(ISERROR(SEARCH("Quadsplit",BOM!$N$4)),IF(ISERROR(SEARCH("rec",B588)),"none","merge"),"none")),IF(ISERROR(SEARCH("rec",B588)),"split","merge"))</f>
        <v>split</v>
      </c>
    </row>
    <row r="589" spans="1:25" x14ac:dyDescent="0.2">
      <c r="A589" t="s">
        <v>1238</v>
      </c>
      <c r="B589" t="s">
        <v>2330</v>
      </c>
      <c r="C589" t="str">
        <f>IFERROR(VLOOKUP(B589,'Sender-Receiver'!$B$3:$BP$1500,61,FALSE),"")</f>
        <v/>
      </c>
      <c r="D589" t="str">
        <f>IFERROR(VLOOKUP(B589,'Sender-Receiver'!$B$3:$BP$1500,41,FALSE),"")</f>
        <v/>
      </c>
      <c r="E589" t="s">
        <v>1240</v>
      </c>
      <c r="F589">
        <v>26</v>
      </c>
      <c r="G589" t="s">
        <v>2331</v>
      </c>
      <c r="M589" t="str">
        <f>IF(OR(BOM!$AE$4=FALSE,BOM!$AE$4="-"),IF(ISERROR(SEARCH("send",B589)),"","pool:TPC"),IF(ISERROR(SEARCH("send",B589)),"","pool:TPC|pool:TPC"))</f>
        <v>pool:TPC|pool:TPC</v>
      </c>
      <c r="S589" t="str">
        <f>IFERROR(IF(VLOOKUP(B589,'Sender-Receiver'!$B$3:$BP$1500,60,FALSE)="x","true","false"),"false")</f>
        <v>false</v>
      </c>
      <c r="T589" t="str">
        <f t="shared" si="8"/>
        <v>off</v>
      </c>
      <c r="Y589" t="str">
        <f>IF(BOM!$AE$4=FALSE,IF(ISERROR(SEARCH("Embrionix",BOM!$M$4)),"none",IF(ISERROR(SEARCH("Quadsplit",BOM!$N$4)),IF(ISERROR(SEARCH("rec",B589)),"none","merge"),"none")),IF(ISERROR(SEARCH("rec",B589)),"split","merge"))</f>
        <v>split</v>
      </c>
    </row>
    <row r="590" spans="1:25" x14ac:dyDescent="0.2">
      <c r="A590" t="s">
        <v>1238</v>
      </c>
      <c r="B590" t="s">
        <v>2863</v>
      </c>
      <c r="C590" t="str">
        <f>IFERROR(VLOOKUP(B590,'Sender-Receiver'!$B$3:$BP$1500,61,FALSE),"")</f>
        <v>Type:Vid_1080i50,Type:Vid_1080p25,Type:Vid_1080p50,Type:Vid_1080p60,#SNP</v>
      </c>
      <c r="D590" t="str">
        <f>IFERROR(VLOOKUP(B590,'Sender-Receiver'!$B$3:$BP$1500,41,FALSE),"")</f>
        <v>M3H InCh PGM | Ingest Ch39 | IngSRV-10</v>
      </c>
      <c r="E590" t="s">
        <v>1240</v>
      </c>
      <c r="F590">
        <v>27</v>
      </c>
      <c r="G590" t="s">
        <v>2800</v>
      </c>
      <c r="M590" t="str">
        <f>IF(OR(BOM!$AE$4=FALSE,BOM!$AE$4="-"),IF(ISERROR(SEARCH("send",B590)),"","pool:TPC"),IF(ISERROR(SEARCH("send",B590)),"","pool:TPC|pool:TPC"))</f>
        <v/>
      </c>
      <c r="S590" t="str">
        <f>IFERROR(IF(VLOOKUP(B590,'Sender-Receiver'!$B$3:$BP$1500,60,FALSE)="x","true","false"),"false")</f>
        <v>true</v>
      </c>
      <c r="T590" t="str">
        <f t="shared" si="8"/>
        <v>full</v>
      </c>
      <c r="Y590" t="str">
        <f>IF(BOM!$AE$4=FALSE,IF(ISERROR(SEARCH("Embrionix",BOM!$M$4)),"none",IF(ISERROR(SEARCH("Quadsplit",BOM!$N$4)),IF(ISERROR(SEARCH("rec",B590)),"none","merge"),"none")),IF(ISERROR(SEARCH("rec",B590)),"split","merge"))</f>
        <v>merge</v>
      </c>
    </row>
    <row r="591" spans="1:25" x14ac:dyDescent="0.2">
      <c r="A591" t="s">
        <v>1238</v>
      </c>
      <c r="B591" t="s">
        <v>2864</v>
      </c>
      <c r="C591" t="str">
        <f>IFERROR(VLOOKUP(B591,'Sender-Receiver'!$B$3:$BP$1500,61,FALSE),"")</f>
        <v>Type:Aud_1CH_M,Type:Aud_2CH_LR,Type:Aud_3CH_LRC,Type:Aud_6CH_5.1,#SNP</v>
      </c>
      <c r="D591" t="str">
        <f>IFERROR(VLOOKUP(B591,'Sender-Receiver'!$B$3:$BP$1500,41,FALSE),"")</f>
        <v>M3H InCh PGM | Ingest Ch39-01 | IngSRV-10</v>
      </c>
      <c r="E591" t="s">
        <v>1240</v>
      </c>
      <c r="F591">
        <v>27</v>
      </c>
      <c r="G591" t="s">
        <v>2801</v>
      </c>
      <c r="M591" t="str">
        <f>IF(OR(BOM!$AE$4=FALSE,BOM!$AE$4="-"),IF(ISERROR(SEARCH("send",B591)),"","pool:TPC"),IF(ISERROR(SEARCH("send",B591)),"","pool:TPC|pool:TPC"))</f>
        <v/>
      </c>
      <c r="S591" t="str">
        <f>IFERROR(IF(VLOOKUP(B591,'Sender-Receiver'!$B$3:$BP$1500,60,FALSE)="x","true","false"),"false")</f>
        <v>true</v>
      </c>
      <c r="T591" t="str">
        <f t="shared" si="8"/>
        <v>full</v>
      </c>
      <c r="Y591" t="str">
        <f>IF(BOM!$AE$4=FALSE,IF(ISERROR(SEARCH("Embrionix",BOM!$M$4)),"none",IF(ISERROR(SEARCH("Quadsplit",BOM!$N$4)),IF(ISERROR(SEARCH("rec",B591)),"none","merge"),"none")),IF(ISERROR(SEARCH("rec",B591)),"split","merge"))</f>
        <v>merge</v>
      </c>
    </row>
    <row r="592" spans="1:25" x14ac:dyDescent="0.2">
      <c r="A592" t="s">
        <v>1238</v>
      </c>
      <c r="B592" t="s">
        <v>2865</v>
      </c>
      <c r="C592" t="str">
        <f>IFERROR(VLOOKUP(B592,'Sender-Receiver'!$B$3:$BP$1500,61,FALSE),"")</f>
        <v>Type:Aud_1CH_M,Type:Aud_2CH_LR,Type:Aud_3CH_LRC,Type:Aud_6CH_5.1,#SNP</v>
      </c>
      <c r="D592" t="str">
        <f>IFERROR(VLOOKUP(B592,'Sender-Receiver'!$B$3:$BP$1500,41,FALSE),"")</f>
        <v>M3H InCh PGM | Ingest Ch39-02 | IngSRV-10</v>
      </c>
      <c r="E592" t="s">
        <v>1240</v>
      </c>
      <c r="F592">
        <v>27</v>
      </c>
      <c r="G592" t="s">
        <v>2802</v>
      </c>
      <c r="M592" t="str">
        <f>IF(OR(BOM!$AE$4=FALSE,BOM!$AE$4="-"),IF(ISERROR(SEARCH("send",B592)),"","pool:TPC"),IF(ISERROR(SEARCH("send",B592)),"","pool:TPC|pool:TPC"))</f>
        <v/>
      </c>
      <c r="S592" t="str">
        <f>IFERROR(IF(VLOOKUP(B592,'Sender-Receiver'!$B$3:$BP$1500,60,FALSE)="x","true","false"),"false")</f>
        <v>true</v>
      </c>
      <c r="T592" t="str">
        <f t="shared" si="8"/>
        <v>full</v>
      </c>
      <c r="Y592" t="str">
        <f>IF(BOM!$AE$4=FALSE,IF(ISERROR(SEARCH("Embrionix",BOM!$M$4)),"none",IF(ISERROR(SEARCH("Quadsplit",BOM!$N$4)),IF(ISERROR(SEARCH("rec",B592)),"none","merge"),"none")),IF(ISERROR(SEARCH("rec",B592)),"split","merge"))</f>
        <v>merge</v>
      </c>
    </row>
    <row r="593" spans="1:25" x14ac:dyDescent="0.2">
      <c r="A593" t="s">
        <v>1238</v>
      </c>
      <c r="B593" t="s">
        <v>2866</v>
      </c>
      <c r="C593" t="str">
        <f>IFERROR(VLOOKUP(B593,'Sender-Receiver'!$B$3:$BP$1500,61,FALSE),"")</f>
        <v>Type:Aud_1CH_M,Type:Aud_2CH_LR,Type:Aud_3CH_LRC,Type:Aud_6CH_5.1,#SNP</v>
      </c>
      <c r="D593" t="str">
        <f>IFERROR(VLOOKUP(B593,'Sender-Receiver'!$B$3:$BP$1500,41,FALSE),"")</f>
        <v>M3H InCh PGM | Ingest Ch39-03 | IngSRV-10</v>
      </c>
      <c r="E593" t="s">
        <v>1240</v>
      </c>
      <c r="F593">
        <v>27</v>
      </c>
      <c r="G593" t="s">
        <v>2803</v>
      </c>
      <c r="M593" t="str">
        <f>IF(OR(BOM!$AE$4=FALSE,BOM!$AE$4="-"),IF(ISERROR(SEARCH("send",B593)),"","pool:TPC"),IF(ISERROR(SEARCH("send",B593)),"","pool:TPC|pool:TPC"))</f>
        <v/>
      </c>
      <c r="S593" t="str">
        <f>IFERROR(IF(VLOOKUP(B593,'Sender-Receiver'!$B$3:$BP$1500,60,FALSE)="x","true","false"),"false")</f>
        <v>true</v>
      </c>
      <c r="T593" t="str">
        <f t="shared" si="8"/>
        <v>full</v>
      </c>
      <c r="Y593" t="str">
        <f>IF(BOM!$AE$4=FALSE,IF(ISERROR(SEARCH("Embrionix",BOM!$M$4)),"none",IF(ISERROR(SEARCH("Quadsplit",BOM!$N$4)),IF(ISERROR(SEARCH("rec",B593)),"none","merge"),"none")),IF(ISERROR(SEARCH("rec",B593)),"split","merge"))</f>
        <v>merge</v>
      </c>
    </row>
    <row r="594" spans="1:25" x14ac:dyDescent="0.2">
      <c r="A594" t="s">
        <v>1238</v>
      </c>
      <c r="B594" t="s">
        <v>2867</v>
      </c>
      <c r="C594" t="str">
        <f>IFERROR(VLOOKUP(B594,'Sender-Receiver'!$B$3:$BP$1500,61,FALSE),"")</f>
        <v>Type:Aud_1CH_M,Type:Aud_2CH_LR,Type:Aud_3CH_LRC,Type:Aud_6CH_5.1,#SNP</v>
      </c>
      <c r="D594" t="str">
        <f>IFERROR(VLOOKUP(B594,'Sender-Receiver'!$B$3:$BP$1500,41,FALSE),"")</f>
        <v>M3H InCh PGM | Ingest Ch39-04 | IngSRV-10</v>
      </c>
      <c r="E594" t="s">
        <v>1240</v>
      </c>
      <c r="F594">
        <v>27</v>
      </c>
      <c r="G594" t="s">
        <v>2804</v>
      </c>
      <c r="M594" t="str">
        <f>IF(OR(BOM!$AE$4=FALSE,BOM!$AE$4="-"),IF(ISERROR(SEARCH("send",B594)),"","pool:TPC"),IF(ISERROR(SEARCH("send",B594)),"","pool:TPC|pool:TPC"))</f>
        <v/>
      </c>
      <c r="S594" t="str">
        <f>IFERROR(IF(VLOOKUP(B594,'Sender-Receiver'!$B$3:$BP$1500,60,FALSE)="x","true","false"),"false")</f>
        <v>true</v>
      </c>
      <c r="T594" t="str">
        <f t="shared" si="8"/>
        <v>full</v>
      </c>
      <c r="Y594" t="str">
        <f>IF(BOM!$AE$4=FALSE,IF(ISERROR(SEARCH("Embrionix",BOM!$M$4)),"none",IF(ISERROR(SEARCH("Quadsplit",BOM!$N$4)),IF(ISERROR(SEARCH("rec",B594)),"none","merge"),"none")),IF(ISERROR(SEARCH("rec",B594)),"split","merge"))</f>
        <v>merge</v>
      </c>
    </row>
    <row r="595" spans="1:25" x14ac:dyDescent="0.2">
      <c r="A595" t="s">
        <v>1238</v>
      </c>
      <c r="B595" t="s">
        <v>2868</v>
      </c>
      <c r="C595" t="str">
        <f>IFERROR(VLOOKUP(B595,'Sender-Receiver'!$B$3:$BP$1500,61,FALSE),"")</f>
        <v>Type:Aud_1CH_M,Type:Aud_2CH_LR,Type:Aud_3CH_LRC,Type:Aud_6CH_5.1,#SNP</v>
      </c>
      <c r="D595" t="str">
        <f>IFERROR(VLOOKUP(B595,'Sender-Receiver'!$B$3:$BP$1500,41,FALSE),"")</f>
        <v>M3H InCh PGM | Ingest Ch39-05 | IngSRV-10</v>
      </c>
      <c r="E595" t="s">
        <v>1240</v>
      </c>
      <c r="F595">
        <v>27</v>
      </c>
      <c r="G595" t="s">
        <v>2805</v>
      </c>
      <c r="M595" t="str">
        <f>IF(OR(BOM!$AE$4=FALSE,BOM!$AE$4="-"),IF(ISERROR(SEARCH("send",B595)),"","pool:TPC"),IF(ISERROR(SEARCH("send",B595)),"","pool:TPC|pool:TPC"))</f>
        <v/>
      </c>
      <c r="S595" t="str">
        <f>IFERROR(IF(VLOOKUP(B595,'Sender-Receiver'!$B$3:$BP$1500,60,FALSE)="x","true","false"),"false")</f>
        <v>true</v>
      </c>
      <c r="T595" t="str">
        <f t="shared" si="8"/>
        <v>full</v>
      </c>
      <c r="Y595" t="str">
        <f>IF(BOM!$AE$4=FALSE,IF(ISERROR(SEARCH("Embrionix",BOM!$M$4)),"none",IF(ISERROR(SEARCH("Quadsplit",BOM!$N$4)),IF(ISERROR(SEARCH("rec",B595)),"none","merge"),"none")),IF(ISERROR(SEARCH("rec",B595)),"split","merge"))</f>
        <v>merge</v>
      </c>
    </row>
    <row r="596" spans="1:25" x14ac:dyDescent="0.2">
      <c r="A596" t="s">
        <v>1238</v>
      </c>
      <c r="B596" t="s">
        <v>2869</v>
      </c>
      <c r="C596" t="str">
        <f>IFERROR(VLOOKUP(B596,'Sender-Receiver'!$B$3:$BP$1500,61,FALSE),"")</f>
        <v>Type:Aud_1CH_M,Type:Aud_2CH_LR,Type:Aud_3CH_LRC,Type:Aud_6CH_5.1,#SNP</v>
      </c>
      <c r="D596" t="str">
        <f>IFERROR(VLOOKUP(B596,'Sender-Receiver'!$B$3:$BP$1500,41,FALSE),"")</f>
        <v>M3H InCh PGM | Ingest Ch39-06 | IngSRV-10</v>
      </c>
      <c r="E596" t="s">
        <v>1240</v>
      </c>
      <c r="F596">
        <v>27</v>
      </c>
      <c r="G596" t="s">
        <v>2806</v>
      </c>
      <c r="M596" t="str">
        <f>IF(OR(BOM!$AE$4=FALSE,BOM!$AE$4="-"),IF(ISERROR(SEARCH("send",B596)),"","pool:TPC"),IF(ISERROR(SEARCH("send",B596)),"","pool:TPC|pool:TPC"))</f>
        <v/>
      </c>
      <c r="S596" t="str">
        <f>IFERROR(IF(VLOOKUP(B596,'Sender-Receiver'!$B$3:$BP$1500,60,FALSE)="x","true","false"),"false")</f>
        <v>true</v>
      </c>
      <c r="T596" t="str">
        <f t="shared" si="8"/>
        <v>full</v>
      </c>
      <c r="Y596" t="str">
        <f>IF(BOM!$AE$4=FALSE,IF(ISERROR(SEARCH("Embrionix",BOM!$M$4)),"none",IF(ISERROR(SEARCH("Quadsplit",BOM!$N$4)),IF(ISERROR(SEARCH("rec",B596)),"none","merge"),"none")),IF(ISERROR(SEARCH("rec",B596)),"split","merge"))</f>
        <v>merge</v>
      </c>
    </row>
    <row r="597" spans="1:25" x14ac:dyDescent="0.2">
      <c r="A597" t="s">
        <v>1238</v>
      </c>
      <c r="B597" t="s">
        <v>2870</v>
      </c>
      <c r="C597" t="str">
        <f>IFERROR(VLOOKUP(B597,'Sender-Receiver'!$B$3:$BP$1500,61,FALSE),"")</f>
        <v>Type:Aud_1CH_M,Type:Aud_2CH_LR,Type:Aud_3CH_LRC,Type:Aud_6CH_5.1,#SNP</v>
      </c>
      <c r="D597" t="str">
        <f>IFERROR(VLOOKUP(B597,'Sender-Receiver'!$B$3:$BP$1500,41,FALSE),"")</f>
        <v>M3H InCh PGM | Ingest Ch39-07 | IngSRV-10</v>
      </c>
      <c r="E597" t="s">
        <v>1240</v>
      </c>
      <c r="F597">
        <v>27</v>
      </c>
      <c r="G597" t="s">
        <v>2807</v>
      </c>
      <c r="M597" t="str">
        <f>IF(OR(BOM!$AE$4=FALSE,BOM!$AE$4="-"),IF(ISERROR(SEARCH("send",B597)),"","pool:TPC"),IF(ISERROR(SEARCH("send",B597)),"","pool:TPC|pool:TPC"))</f>
        <v/>
      </c>
      <c r="S597" t="str">
        <f>IFERROR(IF(VLOOKUP(B597,'Sender-Receiver'!$B$3:$BP$1500,60,FALSE)="x","true","false"),"false")</f>
        <v>true</v>
      </c>
      <c r="T597" t="str">
        <f t="shared" si="8"/>
        <v>full</v>
      </c>
      <c r="Y597" t="str">
        <f>IF(BOM!$AE$4=FALSE,IF(ISERROR(SEARCH("Embrionix",BOM!$M$4)),"none",IF(ISERROR(SEARCH("Quadsplit",BOM!$N$4)),IF(ISERROR(SEARCH("rec",B597)),"none","merge"),"none")),IF(ISERROR(SEARCH("rec",B597)),"split","merge"))</f>
        <v>merge</v>
      </c>
    </row>
    <row r="598" spans="1:25" x14ac:dyDescent="0.2">
      <c r="A598" t="s">
        <v>1238</v>
      </c>
      <c r="B598" t="s">
        <v>2871</v>
      </c>
      <c r="C598" t="str">
        <f>IFERROR(VLOOKUP(B598,'Sender-Receiver'!$B$3:$BP$1500,61,FALSE),"")</f>
        <v>Type:Aud_1CH_M,Type:Aud_2CH_LR,Type:Aud_3CH_LRC,Type:Aud_6CH_5.1,#SNP</v>
      </c>
      <c r="D598" t="str">
        <f>IFERROR(VLOOKUP(B598,'Sender-Receiver'!$B$3:$BP$1500,41,FALSE),"")</f>
        <v>M3H InCh PGM | Ingest Ch39-08 | IngSRV-10</v>
      </c>
      <c r="E598" t="s">
        <v>1240</v>
      </c>
      <c r="F598">
        <v>27</v>
      </c>
      <c r="G598" t="s">
        <v>2808</v>
      </c>
      <c r="M598" t="str">
        <f>IF(OR(BOM!$AE$4=FALSE,BOM!$AE$4="-"),IF(ISERROR(SEARCH("send",B598)),"","pool:TPC"),IF(ISERROR(SEARCH("send",B598)),"","pool:TPC|pool:TPC"))</f>
        <v/>
      </c>
      <c r="S598" t="str">
        <f>IFERROR(IF(VLOOKUP(B598,'Sender-Receiver'!$B$3:$BP$1500,60,FALSE)="x","true","false"),"false")</f>
        <v>true</v>
      </c>
      <c r="T598" t="str">
        <f t="shared" si="8"/>
        <v>full</v>
      </c>
      <c r="Y598" t="str">
        <f>IF(BOM!$AE$4=FALSE,IF(ISERROR(SEARCH("Embrionix",BOM!$M$4)),"none",IF(ISERROR(SEARCH("Quadsplit",BOM!$N$4)),IF(ISERROR(SEARCH("rec",B598)),"none","merge"),"none")),IF(ISERROR(SEARCH("rec",B598)),"split","merge"))</f>
        <v>merge</v>
      </c>
    </row>
    <row r="599" spans="1:25" x14ac:dyDescent="0.2">
      <c r="A599" t="s">
        <v>1238</v>
      </c>
      <c r="B599" t="s">
        <v>2872</v>
      </c>
      <c r="C599" t="str">
        <f>IFERROR(VLOOKUP(B599,'Sender-Receiver'!$B$3:$BP$1500,61,FALSE),"")</f>
        <v>Type:Aud_1CH_M,Type:Aud_2CH_LR,Type:Aud_3CH_LRC,Type:Aud_6CH_5.1,#SNP</v>
      </c>
      <c r="D599" t="str">
        <f>IFERROR(VLOOKUP(B599,'Sender-Receiver'!$B$3:$BP$1500,41,FALSE),"")</f>
        <v>M3H InCh PGM | Ingest Ch39-09 | IngSRV-10</v>
      </c>
      <c r="E599" t="s">
        <v>1240</v>
      </c>
      <c r="F599">
        <v>27</v>
      </c>
      <c r="G599" t="s">
        <v>2809</v>
      </c>
      <c r="M599" t="str">
        <f>IF(OR(BOM!$AE$4=FALSE,BOM!$AE$4="-"),IF(ISERROR(SEARCH("send",B599)),"","pool:TPC"),IF(ISERROR(SEARCH("send",B599)),"","pool:TPC|pool:TPC"))</f>
        <v/>
      </c>
      <c r="S599" t="str">
        <f>IFERROR(IF(VLOOKUP(B599,'Sender-Receiver'!$B$3:$BP$1500,60,FALSE)="x","true","false"),"false")</f>
        <v>true</v>
      </c>
      <c r="T599" t="str">
        <f t="shared" si="8"/>
        <v>full</v>
      </c>
      <c r="Y599" t="str">
        <f>IF(BOM!$AE$4=FALSE,IF(ISERROR(SEARCH("Embrionix",BOM!$M$4)),"none",IF(ISERROR(SEARCH("Quadsplit",BOM!$N$4)),IF(ISERROR(SEARCH("rec",B599)),"none","merge"),"none")),IF(ISERROR(SEARCH("rec",B599)),"split","merge"))</f>
        <v>merge</v>
      </c>
    </row>
    <row r="600" spans="1:25" x14ac:dyDescent="0.2">
      <c r="A600" t="s">
        <v>1238</v>
      </c>
      <c r="B600" t="s">
        <v>2873</v>
      </c>
      <c r="C600" t="str">
        <f>IFERROR(VLOOKUP(B600,'Sender-Receiver'!$B$3:$BP$1500,61,FALSE),"")</f>
        <v>#SNP</v>
      </c>
      <c r="D600" t="str">
        <f>IFERROR(VLOOKUP(B600,'Sender-Receiver'!$B$3:$BP$1500,41,FALSE),"")</f>
        <v xml:space="preserve"> |  | IngSRV-10</v>
      </c>
      <c r="E600" t="s">
        <v>1240</v>
      </c>
      <c r="F600">
        <v>27</v>
      </c>
      <c r="G600" t="s">
        <v>2810</v>
      </c>
      <c r="M600" t="str">
        <f>IF(OR(BOM!$AE$4=FALSE,BOM!$AE$4="-"),IF(ISERROR(SEARCH("send",B600)),"","pool:TPC"),IF(ISERROR(SEARCH("send",B600)),"","pool:TPC|pool:TPC"))</f>
        <v/>
      </c>
      <c r="S600" t="str">
        <f>IFERROR(IF(VLOOKUP(B600,'Sender-Receiver'!$B$3:$BP$1500,60,FALSE)="x","true","false"),"false")</f>
        <v>false</v>
      </c>
      <c r="T600" t="str">
        <f t="shared" si="8"/>
        <v>off</v>
      </c>
      <c r="Y600" t="str">
        <f>IF(BOM!$AE$4=FALSE,IF(ISERROR(SEARCH("Embrionix",BOM!$M$4)),"none",IF(ISERROR(SEARCH("Quadsplit",BOM!$N$4)),IF(ISERROR(SEARCH("rec",B600)),"none","merge"),"none")),IF(ISERROR(SEARCH("rec",B600)),"split","merge"))</f>
        <v>merge</v>
      </c>
    </row>
    <row r="601" spans="1:25" x14ac:dyDescent="0.2">
      <c r="A601" t="s">
        <v>1238</v>
      </c>
      <c r="B601" t="s">
        <v>2874</v>
      </c>
      <c r="C601" t="str">
        <f>IFERROR(VLOOKUP(B601,'Sender-Receiver'!$B$3:$BP$1500,61,FALSE),"")</f>
        <v>#SNP</v>
      </c>
      <c r="D601" t="str">
        <f>IFERROR(VLOOKUP(B601,'Sender-Receiver'!$B$3:$BP$1500,41,FALSE),"")</f>
        <v xml:space="preserve"> |  | IngSRV-10</v>
      </c>
      <c r="E601" t="s">
        <v>1240</v>
      </c>
      <c r="F601">
        <v>27</v>
      </c>
      <c r="G601" t="s">
        <v>2811</v>
      </c>
      <c r="M601" t="str">
        <f>IF(OR(BOM!$AE$4=FALSE,BOM!$AE$4="-"),IF(ISERROR(SEARCH("send",B601)),"","pool:TPC"),IF(ISERROR(SEARCH("send",B601)),"","pool:TPC|pool:TPC"))</f>
        <v/>
      </c>
      <c r="S601" t="str">
        <f>IFERROR(IF(VLOOKUP(B601,'Sender-Receiver'!$B$3:$BP$1500,60,FALSE)="x","true","false"),"false")</f>
        <v>false</v>
      </c>
      <c r="T601" t="str">
        <f t="shared" si="8"/>
        <v>off</v>
      </c>
      <c r="Y601" t="str">
        <f>IF(BOM!$AE$4=FALSE,IF(ISERROR(SEARCH("Embrionix",BOM!$M$4)),"none",IF(ISERROR(SEARCH("Quadsplit",BOM!$N$4)),IF(ISERROR(SEARCH("rec",B601)),"none","merge"),"none")),IF(ISERROR(SEARCH("rec",B601)),"split","merge"))</f>
        <v>merge</v>
      </c>
    </row>
    <row r="602" spans="1:25" x14ac:dyDescent="0.2">
      <c r="A602" t="s">
        <v>1238</v>
      </c>
      <c r="B602" t="s">
        <v>2875</v>
      </c>
      <c r="C602" t="str">
        <f>IFERROR(VLOOKUP(B602,'Sender-Receiver'!$B$3:$BP$1500,61,FALSE),"")</f>
        <v>#SNP</v>
      </c>
      <c r="D602" t="str">
        <f>IFERROR(VLOOKUP(B602,'Sender-Receiver'!$B$3:$BP$1500,41,FALSE),"")</f>
        <v xml:space="preserve"> |  | IngSRV-10</v>
      </c>
      <c r="E602" t="s">
        <v>1240</v>
      </c>
      <c r="F602">
        <v>27</v>
      </c>
      <c r="G602" t="s">
        <v>2812</v>
      </c>
      <c r="M602" t="str">
        <f>IF(OR(BOM!$AE$4=FALSE,BOM!$AE$4="-"),IF(ISERROR(SEARCH("send",B602)),"","pool:TPC"),IF(ISERROR(SEARCH("send",B602)),"","pool:TPC|pool:TPC"))</f>
        <v/>
      </c>
      <c r="S602" t="str">
        <f>IFERROR(IF(VLOOKUP(B602,'Sender-Receiver'!$B$3:$BP$1500,60,FALSE)="x","true","false"),"false")</f>
        <v>false</v>
      </c>
      <c r="T602" t="str">
        <f t="shared" si="8"/>
        <v>off</v>
      </c>
      <c r="Y602" t="str">
        <f>IF(BOM!$AE$4=FALSE,IF(ISERROR(SEARCH("Embrionix",BOM!$M$4)),"none",IF(ISERROR(SEARCH("Quadsplit",BOM!$N$4)),IF(ISERROR(SEARCH("rec",B602)),"none","merge"),"none")),IF(ISERROR(SEARCH("rec",B602)),"split","merge"))</f>
        <v>merge</v>
      </c>
    </row>
    <row r="603" spans="1:25" x14ac:dyDescent="0.2">
      <c r="A603" t="s">
        <v>1238</v>
      </c>
      <c r="B603" t="s">
        <v>2876</v>
      </c>
      <c r="C603" t="str">
        <f>IFERROR(VLOOKUP(B603,'Sender-Receiver'!$B$3:$BP$1500,61,FALSE),"")</f>
        <v>#SNP</v>
      </c>
      <c r="D603" t="str">
        <f>IFERROR(VLOOKUP(B603,'Sender-Receiver'!$B$3:$BP$1500,41,FALSE),"")</f>
        <v xml:space="preserve"> |  | IngSRV-10</v>
      </c>
      <c r="E603" t="s">
        <v>1240</v>
      </c>
      <c r="F603">
        <v>27</v>
      </c>
      <c r="G603" t="s">
        <v>2813</v>
      </c>
      <c r="M603" t="str">
        <f>IF(OR(BOM!$AE$4=FALSE,BOM!$AE$4="-"),IF(ISERROR(SEARCH("send",B603)),"","pool:TPC"),IF(ISERROR(SEARCH("send",B603)),"","pool:TPC|pool:TPC"))</f>
        <v/>
      </c>
      <c r="S603" t="str">
        <f>IFERROR(IF(VLOOKUP(B603,'Sender-Receiver'!$B$3:$BP$1500,60,FALSE)="x","true","false"),"false")</f>
        <v>false</v>
      </c>
      <c r="T603" t="str">
        <f t="shared" si="8"/>
        <v>off</v>
      </c>
      <c r="Y603" t="str">
        <f>IF(BOM!$AE$4=FALSE,IF(ISERROR(SEARCH("Embrionix",BOM!$M$4)),"none",IF(ISERROR(SEARCH("Quadsplit",BOM!$N$4)),IF(ISERROR(SEARCH("rec",B603)),"none","merge"),"none")),IF(ISERROR(SEARCH("rec",B603)),"split","merge"))</f>
        <v>merge</v>
      </c>
    </row>
    <row r="604" spans="1:25" x14ac:dyDescent="0.2">
      <c r="A604" t="s">
        <v>1238</v>
      </c>
      <c r="B604" t="s">
        <v>2877</v>
      </c>
      <c r="C604" t="str">
        <f>IFERROR(VLOOKUP(B604,'Sender-Receiver'!$B$3:$BP$1500,61,FALSE),"")</f>
        <v>#SNP</v>
      </c>
      <c r="D604" t="str">
        <f>IFERROR(VLOOKUP(B604,'Sender-Receiver'!$B$3:$BP$1500,41,FALSE),"")</f>
        <v xml:space="preserve"> |  | IngSRV-10</v>
      </c>
      <c r="E604" t="s">
        <v>1240</v>
      </c>
      <c r="F604">
        <v>27</v>
      </c>
      <c r="G604" t="s">
        <v>2814</v>
      </c>
      <c r="M604" t="str">
        <f>IF(OR(BOM!$AE$4=FALSE,BOM!$AE$4="-"),IF(ISERROR(SEARCH("send",B604)),"","pool:TPC"),IF(ISERROR(SEARCH("send",B604)),"","pool:TPC|pool:TPC"))</f>
        <v/>
      </c>
      <c r="S604" t="str">
        <f>IFERROR(IF(VLOOKUP(B604,'Sender-Receiver'!$B$3:$BP$1500,60,FALSE)="x","true","false"),"false")</f>
        <v>false</v>
      </c>
      <c r="T604" t="str">
        <f t="shared" si="8"/>
        <v>off</v>
      </c>
      <c r="Y604" t="str">
        <f>IF(BOM!$AE$4=FALSE,IF(ISERROR(SEARCH("Embrionix",BOM!$M$4)),"none",IF(ISERROR(SEARCH("Quadsplit",BOM!$N$4)),IF(ISERROR(SEARCH("rec",B604)),"none","merge"),"none")),IF(ISERROR(SEARCH("rec",B604)),"split","merge"))</f>
        <v>merge</v>
      </c>
    </row>
    <row r="605" spans="1:25" x14ac:dyDescent="0.2">
      <c r="A605" t="s">
        <v>1238</v>
      </c>
      <c r="B605" t="s">
        <v>2878</v>
      </c>
      <c r="C605" t="str">
        <f>IFERROR(VLOOKUP(B605,'Sender-Receiver'!$B$3:$BP$1500,61,FALSE),"")</f>
        <v>Type:Aud_1CH_M,Type:Aud_2CH_LR,Type:Aud_3CH_LRC,Type:Aud_6CH_5.1,Type:Aud_8CH_RAW,#SNP</v>
      </c>
      <c r="D605" t="str">
        <f>IFERROR(VLOOKUP(B605,'Sender-Receiver'!$B$3:$BP$1500,41,FALSE),"")</f>
        <v>M3H InCh PGM | Ingest Ch39-15 | IngSRV-10</v>
      </c>
      <c r="E605" t="s">
        <v>1240</v>
      </c>
      <c r="F605">
        <v>27</v>
      </c>
      <c r="G605" t="s">
        <v>2815</v>
      </c>
      <c r="M605" t="str">
        <f>IF(OR(BOM!$AE$4=FALSE,BOM!$AE$4="-"),IF(ISERROR(SEARCH("send",B605)),"","pool:TPC"),IF(ISERROR(SEARCH("send",B605)),"","pool:TPC|pool:TPC"))</f>
        <v/>
      </c>
      <c r="S605" t="str">
        <f>IFERROR(IF(VLOOKUP(B605,'Sender-Receiver'!$B$3:$BP$1500,60,FALSE)="x","true","false"),"false")</f>
        <v>true</v>
      </c>
      <c r="T605" t="str">
        <f t="shared" si="8"/>
        <v>full</v>
      </c>
      <c r="Y605" t="str">
        <f>IF(BOM!$AE$4=FALSE,IF(ISERROR(SEARCH("Embrionix",BOM!$M$4)),"none",IF(ISERROR(SEARCH("Quadsplit",BOM!$N$4)),IF(ISERROR(SEARCH("rec",B605)),"none","merge"),"none")),IF(ISERROR(SEARCH("rec",B605)),"split","merge"))</f>
        <v>merge</v>
      </c>
    </row>
    <row r="606" spans="1:25" x14ac:dyDescent="0.2">
      <c r="A606" t="s">
        <v>1238</v>
      </c>
      <c r="B606" t="s">
        <v>2879</v>
      </c>
      <c r="C606" t="str">
        <f>IFERROR(VLOOKUP(B606,'Sender-Receiver'!$B$3:$BP$1500,61,FALSE),"")</f>
        <v>Type:Aud_1CH_M,Type:Aud_2CH_LR,Type:Aud_3CH_LRC,Type:Aud_6CH_5.1,Type:Aud_8CH_RAW,#SNP</v>
      </c>
      <c r="D606" t="str">
        <f>IFERROR(VLOOKUP(B606,'Sender-Receiver'!$B$3:$BP$1500,41,FALSE),"")</f>
        <v>M3H InCh PGM | Ingest Ch39-16 | IngSRV-10</v>
      </c>
      <c r="E606" t="s">
        <v>1240</v>
      </c>
      <c r="F606">
        <v>27</v>
      </c>
      <c r="G606" t="s">
        <v>2816</v>
      </c>
      <c r="M606" t="str">
        <f>IF(OR(BOM!$AE$4=FALSE,BOM!$AE$4="-"),IF(ISERROR(SEARCH("send",B606)),"","pool:TPC"),IF(ISERROR(SEARCH("send",B606)),"","pool:TPC|pool:TPC"))</f>
        <v/>
      </c>
      <c r="S606" t="str">
        <f>IFERROR(IF(VLOOKUP(B606,'Sender-Receiver'!$B$3:$BP$1500,60,FALSE)="x","true","false"),"false")</f>
        <v>true</v>
      </c>
      <c r="T606" t="str">
        <f t="shared" si="8"/>
        <v>full</v>
      </c>
      <c r="Y606" t="str">
        <f>IF(BOM!$AE$4=FALSE,IF(ISERROR(SEARCH("Embrionix",BOM!$M$4)),"none",IF(ISERROR(SEARCH("Quadsplit",BOM!$N$4)),IF(ISERROR(SEARCH("rec",B606)),"none","merge"),"none")),IF(ISERROR(SEARCH("rec",B606)),"split","merge"))</f>
        <v>merge</v>
      </c>
    </row>
    <row r="607" spans="1:25" x14ac:dyDescent="0.2">
      <c r="A607" t="s">
        <v>1238</v>
      </c>
      <c r="B607" t="s">
        <v>2880</v>
      </c>
      <c r="C607" t="str">
        <f>IFERROR(VLOOKUP(B607,'Sender-Receiver'!$B$3:$BP$1500,61,FALSE),"")</f>
        <v>Type:Anc_Prot,#SNP</v>
      </c>
      <c r="D607" t="str">
        <f>IFERROR(VLOOKUP(B607,'Sender-Receiver'!$B$3:$BP$1500,41,FALSE),"")</f>
        <v>M3H InCh PGM | Ingest Ch39-ANC1 | IngSRV-10</v>
      </c>
      <c r="E607" t="s">
        <v>1240</v>
      </c>
      <c r="F607">
        <v>27</v>
      </c>
      <c r="G607" t="s">
        <v>2817</v>
      </c>
      <c r="M607" t="str">
        <f>IF(OR(BOM!$AE$4=FALSE,BOM!$AE$4="-"),IF(ISERROR(SEARCH("send",B607)),"","pool:TPC"),IF(ISERROR(SEARCH("send",B607)),"","pool:TPC|pool:TPC"))</f>
        <v/>
      </c>
      <c r="S607" t="str">
        <f>IFERROR(IF(VLOOKUP(B607,'Sender-Receiver'!$B$3:$BP$1500,60,FALSE)="x","true","false"),"false")</f>
        <v>true</v>
      </c>
      <c r="T607" t="str">
        <f t="shared" si="8"/>
        <v>full</v>
      </c>
      <c r="Y607" t="str">
        <f>IF(BOM!$AE$4=FALSE,IF(ISERROR(SEARCH("Embrionix",BOM!$M$4)),"none",IF(ISERROR(SEARCH("Quadsplit",BOM!$N$4)),IF(ISERROR(SEARCH("rec",B607)),"none","merge"),"none")),IF(ISERROR(SEARCH("rec",B607)),"split","merge"))</f>
        <v>merge</v>
      </c>
    </row>
    <row r="608" spans="1:25" x14ac:dyDescent="0.2">
      <c r="A608" t="s">
        <v>1238</v>
      </c>
      <c r="B608" t="s">
        <v>2881</v>
      </c>
      <c r="C608" t="str">
        <f>IFERROR(VLOOKUP(B608,'Sender-Receiver'!$B$3:$BP$1500,61,FALSE),"")</f>
        <v>#SNP</v>
      </c>
      <c r="D608" t="str">
        <f>IFERROR(VLOOKUP(B608,'Sender-Receiver'!$B$3:$BP$1500,41,FALSE),"")</f>
        <v xml:space="preserve"> |  | IngSRV-10</v>
      </c>
      <c r="E608" t="s">
        <v>1240</v>
      </c>
      <c r="F608">
        <v>27</v>
      </c>
      <c r="G608" t="s">
        <v>2818</v>
      </c>
      <c r="M608" t="str">
        <f>IF(OR(BOM!$AE$4=FALSE,BOM!$AE$4="-"),IF(ISERROR(SEARCH("send",B608)),"","pool:TPC"),IF(ISERROR(SEARCH("send",B608)),"","pool:TPC|pool:TPC"))</f>
        <v/>
      </c>
      <c r="S608" t="str">
        <f>IFERROR(IF(VLOOKUP(B608,'Sender-Receiver'!$B$3:$BP$1500,60,FALSE)="x","true","false"),"false")</f>
        <v>false</v>
      </c>
      <c r="T608" t="str">
        <f t="shared" si="8"/>
        <v>off</v>
      </c>
      <c r="Y608" t="str">
        <f>IF(BOM!$AE$4=FALSE,IF(ISERROR(SEARCH("Embrionix",BOM!$M$4)),"none",IF(ISERROR(SEARCH("Quadsplit",BOM!$N$4)),IF(ISERROR(SEARCH("rec",B608)),"none","merge"),"none")),IF(ISERROR(SEARCH("rec",B608)),"split","merge"))</f>
        <v>merge</v>
      </c>
    </row>
    <row r="609" spans="1:25" x14ac:dyDescent="0.2">
      <c r="A609" t="s">
        <v>1238</v>
      </c>
      <c r="B609" t="s">
        <v>2882</v>
      </c>
      <c r="C609" t="str">
        <f>IFERROR(VLOOKUP(B609,'Sender-Receiver'!$B$3:$BP$1500,61,FALSE),"")</f>
        <v>#SNP</v>
      </c>
      <c r="D609" t="str">
        <f>IFERROR(VLOOKUP(B609,'Sender-Receiver'!$B$3:$BP$1500,41,FALSE),"")</f>
        <v xml:space="preserve"> |  | IngSRV-10</v>
      </c>
      <c r="E609" t="s">
        <v>1240</v>
      </c>
      <c r="F609">
        <v>27</v>
      </c>
      <c r="G609" t="s">
        <v>2819</v>
      </c>
      <c r="M609" t="str">
        <f>IF(OR(BOM!$AE$4=FALSE,BOM!$AE$4="-"),IF(ISERROR(SEARCH("send",B609)),"","pool:TPC"),IF(ISERROR(SEARCH("send",B609)),"","pool:TPC|pool:TPC"))</f>
        <v/>
      </c>
      <c r="S609" t="str">
        <f>IFERROR(IF(VLOOKUP(B609,'Sender-Receiver'!$B$3:$BP$1500,60,FALSE)="x","true","false"),"false")</f>
        <v>false</v>
      </c>
      <c r="T609" t="str">
        <f t="shared" si="8"/>
        <v>off</v>
      </c>
      <c r="Y609" t="str">
        <f>IF(BOM!$AE$4=FALSE,IF(ISERROR(SEARCH("Embrionix",BOM!$M$4)),"none",IF(ISERROR(SEARCH("Quadsplit",BOM!$N$4)),IF(ISERROR(SEARCH("rec",B609)),"none","merge"),"none")),IF(ISERROR(SEARCH("rec",B609)),"split","merge"))</f>
        <v>merge</v>
      </c>
    </row>
    <row r="610" spans="1:25" x14ac:dyDescent="0.2">
      <c r="A610" t="s">
        <v>1238</v>
      </c>
      <c r="B610" t="s">
        <v>2883</v>
      </c>
      <c r="C610" t="str">
        <f>IFERROR(VLOOKUP(B610,'Sender-Receiver'!$B$3:$BP$1500,61,FALSE),"")</f>
        <v>#SNP</v>
      </c>
      <c r="D610" t="str">
        <f>IFERROR(VLOOKUP(B610,'Sender-Receiver'!$B$3:$BP$1500,41,FALSE),"")</f>
        <v xml:space="preserve"> |  | IngSRV-10</v>
      </c>
      <c r="E610" t="s">
        <v>1240</v>
      </c>
      <c r="F610">
        <v>27</v>
      </c>
      <c r="G610" t="s">
        <v>2820</v>
      </c>
      <c r="M610" t="str">
        <f>IF(OR(BOM!$AE$4=FALSE,BOM!$AE$4="-"),IF(ISERROR(SEARCH("send",B610)),"","pool:TPC"),IF(ISERROR(SEARCH("send",B610)),"","pool:TPC|pool:TPC"))</f>
        <v/>
      </c>
      <c r="S610" t="str">
        <f>IFERROR(IF(VLOOKUP(B610,'Sender-Receiver'!$B$3:$BP$1500,60,FALSE)="x","true","false"),"false")</f>
        <v>false</v>
      </c>
      <c r="T610" t="str">
        <f t="shared" si="8"/>
        <v>off</v>
      </c>
      <c r="Y610" t="str">
        <f>IF(BOM!$AE$4=FALSE,IF(ISERROR(SEARCH("Embrionix",BOM!$M$4)),"none",IF(ISERROR(SEARCH("Quadsplit",BOM!$N$4)),IF(ISERROR(SEARCH("rec",B610)),"none","merge"),"none")),IF(ISERROR(SEARCH("rec",B610)),"split","merge"))</f>
        <v>merge</v>
      </c>
    </row>
    <row r="611" spans="1:25" x14ac:dyDescent="0.2">
      <c r="A611" t="s">
        <v>1238</v>
      </c>
      <c r="B611" t="s">
        <v>2332</v>
      </c>
      <c r="C611" t="str">
        <f>IFERROR(VLOOKUP(B611,'Sender-Receiver'!$B$3:$BP$1500,61,FALSE),"")</f>
        <v/>
      </c>
      <c r="D611" t="str">
        <f>IFERROR(VLOOKUP(B611,'Sender-Receiver'!$B$3:$BP$1500,41,FALSE),"")</f>
        <v/>
      </c>
      <c r="E611" t="s">
        <v>1240</v>
      </c>
      <c r="F611">
        <v>27</v>
      </c>
      <c r="G611" t="s">
        <v>2333</v>
      </c>
      <c r="M611" t="str">
        <f>IF(OR(BOM!$AE$4=FALSE,BOM!$AE$4="-"),IF(ISERROR(SEARCH("send",B611)),"","pool:TPC"),IF(ISERROR(SEARCH("send",B611)),"","pool:TPC|pool:TPC"))</f>
        <v>pool:TPC|pool:TPC</v>
      </c>
      <c r="S611" t="str">
        <f>IFERROR(IF(VLOOKUP(B611,'Sender-Receiver'!$B$3:$BP$1500,60,FALSE)="x","true","false"),"false")</f>
        <v>false</v>
      </c>
      <c r="T611" t="str">
        <f t="shared" si="8"/>
        <v>off</v>
      </c>
      <c r="Y611" t="str">
        <f>IF(BOM!$AE$4=FALSE,IF(ISERROR(SEARCH("Embrionix",BOM!$M$4)),"none",IF(ISERROR(SEARCH("Quadsplit",BOM!$N$4)),IF(ISERROR(SEARCH("rec",B611)),"none","merge"),"none")),IF(ISERROR(SEARCH("rec",B611)),"split","merge"))</f>
        <v>split</v>
      </c>
    </row>
    <row r="612" spans="1:25" x14ac:dyDescent="0.2">
      <c r="A612" t="s">
        <v>1238</v>
      </c>
      <c r="B612" t="s">
        <v>2334</v>
      </c>
      <c r="C612" t="str">
        <f>IFERROR(VLOOKUP(B612,'Sender-Receiver'!$B$3:$BP$1500,61,FALSE),"")</f>
        <v/>
      </c>
      <c r="D612" t="str">
        <f>IFERROR(VLOOKUP(B612,'Sender-Receiver'!$B$3:$BP$1500,41,FALSE),"")</f>
        <v/>
      </c>
      <c r="E612" t="s">
        <v>1240</v>
      </c>
      <c r="F612">
        <v>27</v>
      </c>
      <c r="G612" t="s">
        <v>2335</v>
      </c>
      <c r="M612" t="str">
        <f>IF(OR(BOM!$AE$4=FALSE,BOM!$AE$4="-"),IF(ISERROR(SEARCH("send",B612)),"","pool:TPC"),IF(ISERROR(SEARCH("send",B612)),"","pool:TPC|pool:TPC"))</f>
        <v>pool:TPC|pool:TPC</v>
      </c>
      <c r="S612" t="str">
        <f>IFERROR(IF(VLOOKUP(B612,'Sender-Receiver'!$B$3:$BP$1500,60,FALSE)="x","true","false"),"false")</f>
        <v>false</v>
      </c>
      <c r="T612" t="str">
        <f t="shared" si="8"/>
        <v>off</v>
      </c>
      <c r="Y612" t="str">
        <f>IF(BOM!$AE$4=FALSE,IF(ISERROR(SEARCH("Embrionix",BOM!$M$4)),"none",IF(ISERROR(SEARCH("Quadsplit",BOM!$N$4)),IF(ISERROR(SEARCH("rec",B612)),"none","merge"),"none")),IF(ISERROR(SEARCH("rec",B612)),"split","merge"))</f>
        <v>split</v>
      </c>
    </row>
    <row r="613" spans="1:25" x14ac:dyDescent="0.2">
      <c r="A613" t="s">
        <v>1238</v>
      </c>
      <c r="B613" t="s">
        <v>2336</v>
      </c>
      <c r="C613" t="str">
        <f>IFERROR(VLOOKUP(B613,'Sender-Receiver'!$B$3:$BP$1500,61,FALSE),"")</f>
        <v/>
      </c>
      <c r="D613" t="str">
        <f>IFERROR(VLOOKUP(B613,'Sender-Receiver'!$B$3:$BP$1500,41,FALSE),"")</f>
        <v/>
      </c>
      <c r="E613" t="s">
        <v>1240</v>
      </c>
      <c r="F613">
        <v>27</v>
      </c>
      <c r="G613" t="s">
        <v>2337</v>
      </c>
      <c r="M613" t="str">
        <f>IF(OR(BOM!$AE$4=FALSE,BOM!$AE$4="-"),IF(ISERROR(SEARCH("send",B613)),"","pool:TPC"),IF(ISERROR(SEARCH("send",B613)),"","pool:TPC|pool:TPC"))</f>
        <v>pool:TPC|pool:TPC</v>
      </c>
      <c r="S613" t="str">
        <f>IFERROR(IF(VLOOKUP(B613,'Sender-Receiver'!$B$3:$BP$1500,60,FALSE)="x","true","false"),"false")</f>
        <v>false</v>
      </c>
      <c r="T613" t="str">
        <f t="shared" si="8"/>
        <v>off</v>
      </c>
      <c r="Y613" t="str">
        <f>IF(BOM!$AE$4=FALSE,IF(ISERROR(SEARCH("Embrionix",BOM!$M$4)),"none",IF(ISERROR(SEARCH("Quadsplit",BOM!$N$4)),IF(ISERROR(SEARCH("rec",B613)),"none","merge"),"none")),IF(ISERROR(SEARCH("rec",B613)),"split","merge"))</f>
        <v>split</v>
      </c>
    </row>
    <row r="614" spans="1:25" x14ac:dyDescent="0.2">
      <c r="A614" t="s">
        <v>1238</v>
      </c>
      <c r="B614" t="s">
        <v>2338</v>
      </c>
      <c r="C614" t="str">
        <f>IFERROR(VLOOKUP(B614,'Sender-Receiver'!$B$3:$BP$1500,61,FALSE),"")</f>
        <v/>
      </c>
      <c r="D614" t="str">
        <f>IFERROR(VLOOKUP(B614,'Sender-Receiver'!$B$3:$BP$1500,41,FALSE),"")</f>
        <v/>
      </c>
      <c r="E614" t="s">
        <v>1240</v>
      </c>
      <c r="F614">
        <v>27</v>
      </c>
      <c r="G614" t="s">
        <v>2339</v>
      </c>
      <c r="M614" t="str">
        <f>IF(OR(BOM!$AE$4=FALSE,BOM!$AE$4="-"),IF(ISERROR(SEARCH("send",B614)),"","pool:TPC"),IF(ISERROR(SEARCH("send",B614)),"","pool:TPC|pool:TPC"))</f>
        <v>pool:TPC|pool:TPC</v>
      </c>
      <c r="S614" t="str">
        <f>IFERROR(IF(VLOOKUP(B614,'Sender-Receiver'!$B$3:$BP$1500,60,FALSE)="x","true","false"),"false")</f>
        <v>false</v>
      </c>
      <c r="T614" t="str">
        <f t="shared" si="8"/>
        <v>off</v>
      </c>
      <c r="Y614" t="str">
        <f>IF(BOM!$AE$4=FALSE,IF(ISERROR(SEARCH("Embrionix",BOM!$M$4)),"none",IF(ISERROR(SEARCH("Quadsplit",BOM!$N$4)),IF(ISERROR(SEARCH("rec",B614)),"none","merge"),"none")),IF(ISERROR(SEARCH("rec",B614)),"split","merge"))</f>
        <v>split</v>
      </c>
    </row>
    <row r="615" spans="1:25" x14ac:dyDescent="0.2">
      <c r="A615" t="s">
        <v>1238</v>
      </c>
      <c r="B615" t="s">
        <v>2340</v>
      </c>
      <c r="C615" t="str">
        <f>IFERROR(VLOOKUP(B615,'Sender-Receiver'!$B$3:$BP$1500,61,FALSE),"")</f>
        <v/>
      </c>
      <c r="D615" t="str">
        <f>IFERROR(VLOOKUP(B615,'Sender-Receiver'!$B$3:$BP$1500,41,FALSE),"")</f>
        <v/>
      </c>
      <c r="E615" t="s">
        <v>1240</v>
      </c>
      <c r="F615">
        <v>27</v>
      </c>
      <c r="G615" t="s">
        <v>2341</v>
      </c>
      <c r="M615" t="str">
        <f>IF(OR(BOM!$AE$4=FALSE,BOM!$AE$4="-"),IF(ISERROR(SEARCH("send",B615)),"","pool:TPC"),IF(ISERROR(SEARCH("send",B615)),"","pool:TPC|pool:TPC"))</f>
        <v>pool:TPC|pool:TPC</v>
      </c>
      <c r="S615" t="str">
        <f>IFERROR(IF(VLOOKUP(B615,'Sender-Receiver'!$B$3:$BP$1500,60,FALSE)="x","true","false"),"false")</f>
        <v>false</v>
      </c>
      <c r="T615" t="str">
        <f t="shared" si="8"/>
        <v>off</v>
      </c>
      <c r="Y615" t="str">
        <f>IF(BOM!$AE$4=FALSE,IF(ISERROR(SEARCH("Embrionix",BOM!$M$4)),"none",IF(ISERROR(SEARCH("Quadsplit",BOM!$N$4)),IF(ISERROR(SEARCH("rec",B615)),"none","merge"),"none")),IF(ISERROR(SEARCH("rec",B615)),"split","merge"))</f>
        <v>split</v>
      </c>
    </row>
    <row r="616" spans="1:25" x14ac:dyDescent="0.2">
      <c r="A616" t="s">
        <v>1238</v>
      </c>
      <c r="B616" t="s">
        <v>2342</v>
      </c>
      <c r="C616" t="str">
        <f>IFERROR(VLOOKUP(B616,'Sender-Receiver'!$B$3:$BP$1500,61,FALSE),"")</f>
        <v/>
      </c>
      <c r="D616" t="str">
        <f>IFERROR(VLOOKUP(B616,'Sender-Receiver'!$B$3:$BP$1500,41,FALSE),"")</f>
        <v/>
      </c>
      <c r="E616" t="s">
        <v>1240</v>
      </c>
      <c r="F616">
        <v>27</v>
      </c>
      <c r="G616" t="s">
        <v>2343</v>
      </c>
      <c r="M616" t="str">
        <f>IF(OR(BOM!$AE$4=FALSE,BOM!$AE$4="-"),IF(ISERROR(SEARCH("send",B616)),"","pool:TPC"),IF(ISERROR(SEARCH("send",B616)),"","pool:TPC|pool:TPC"))</f>
        <v>pool:TPC|pool:TPC</v>
      </c>
      <c r="S616" t="str">
        <f>IFERROR(IF(VLOOKUP(B616,'Sender-Receiver'!$B$3:$BP$1500,60,FALSE)="x","true","false"),"false")</f>
        <v>false</v>
      </c>
      <c r="T616" t="str">
        <f t="shared" si="8"/>
        <v>off</v>
      </c>
      <c r="Y616" t="str">
        <f>IF(BOM!$AE$4=FALSE,IF(ISERROR(SEARCH("Embrionix",BOM!$M$4)),"none",IF(ISERROR(SEARCH("Quadsplit",BOM!$N$4)),IF(ISERROR(SEARCH("rec",B616)),"none","merge"),"none")),IF(ISERROR(SEARCH("rec",B616)),"split","merge"))</f>
        <v>split</v>
      </c>
    </row>
    <row r="617" spans="1:25" x14ac:dyDescent="0.2">
      <c r="A617" t="s">
        <v>1238</v>
      </c>
      <c r="B617" t="s">
        <v>2344</v>
      </c>
      <c r="C617" t="str">
        <f>IFERROR(VLOOKUP(B617,'Sender-Receiver'!$B$3:$BP$1500,61,FALSE),"")</f>
        <v/>
      </c>
      <c r="D617" t="str">
        <f>IFERROR(VLOOKUP(B617,'Sender-Receiver'!$B$3:$BP$1500,41,FALSE),"")</f>
        <v/>
      </c>
      <c r="E617" t="s">
        <v>1240</v>
      </c>
      <c r="F617">
        <v>27</v>
      </c>
      <c r="G617" t="s">
        <v>2345</v>
      </c>
      <c r="M617" t="str">
        <f>IF(OR(BOM!$AE$4=FALSE,BOM!$AE$4="-"),IF(ISERROR(SEARCH("send",B617)),"","pool:TPC"),IF(ISERROR(SEARCH("send",B617)),"","pool:TPC|pool:TPC"))</f>
        <v>pool:TPC|pool:TPC</v>
      </c>
      <c r="S617" t="str">
        <f>IFERROR(IF(VLOOKUP(B617,'Sender-Receiver'!$B$3:$BP$1500,60,FALSE)="x","true","false"),"false")</f>
        <v>false</v>
      </c>
      <c r="T617" t="str">
        <f t="shared" si="8"/>
        <v>off</v>
      </c>
      <c r="Y617" t="str">
        <f>IF(BOM!$AE$4=FALSE,IF(ISERROR(SEARCH("Embrionix",BOM!$M$4)),"none",IF(ISERROR(SEARCH("Quadsplit",BOM!$N$4)),IF(ISERROR(SEARCH("rec",B617)),"none","merge"),"none")),IF(ISERROR(SEARCH("rec",B617)),"split","merge"))</f>
        <v>split</v>
      </c>
    </row>
    <row r="618" spans="1:25" x14ac:dyDescent="0.2">
      <c r="A618" t="s">
        <v>1238</v>
      </c>
      <c r="B618" t="s">
        <v>2346</v>
      </c>
      <c r="C618" t="str">
        <f>IFERROR(VLOOKUP(B618,'Sender-Receiver'!$B$3:$BP$1500,61,FALSE),"")</f>
        <v/>
      </c>
      <c r="D618" t="str">
        <f>IFERROR(VLOOKUP(B618,'Sender-Receiver'!$B$3:$BP$1500,41,FALSE),"")</f>
        <v/>
      </c>
      <c r="E618" t="s">
        <v>1240</v>
      </c>
      <c r="F618">
        <v>27</v>
      </c>
      <c r="G618" t="s">
        <v>2347</v>
      </c>
      <c r="M618" t="str">
        <f>IF(OR(BOM!$AE$4=FALSE,BOM!$AE$4="-"),IF(ISERROR(SEARCH("send",B618)),"","pool:TPC"),IF(ISERROR(SEARCH("send",B618)),"","pool:TPC|pool:TPC"))</f>
        <v>pool:TPC|pool:TPC</v>
      </c>
      <c r="S618" t="str">
        <f>IFERROR(IF(VLOOKUP(B618,'Sender-Receiver'!$B$3:$BP$1500,60,FALSE)="x","true","false"),"false")</f>
        <v>false</v>
      </c>
      <c r="T618" t="str">
        <f t="shared" si="8"/>
        <v>off</v>
      </c>
      <c r="Y618" t="str">
        <f>IF(BOM!$AE$4=FALSE,IF(ISERROR(SEARCH("Embrionix",BOM!$M$4)),"none",IF(ISERROR(SEARCH("Quadsplit",BOM!$N$4)),IF(ISERROR(SEARCH("rec",B618)),"none","merge"),"none")),IF(ISERROR(SEARCH("rec",B618)),"split","merge"))</f>
        <v>split</v>
      </c>
    </row>
    <row r="619" spans="1:25" x14ac:dyDescent="0.2">
      <c r="A619" t="s">
        <v>1238</v>
      </c>
      <c r="B619" t="s">
        <v>2348</v>
      </c>
      <c r="C619" t="str">
        <f>IFERROR(VLOOKUP(B619,'Sender-Receiver'!$B$3:$BP$1500,61,FALSE),"")</f>
        <v/>
      </c>
      <c r="D619" t="str">
        <f>IFERROR(VLOOKUP(B619,'Sender-Receiver'!$B$3:$BP$1500,41,FALSE),"")</f>
        <v/>
      </c>
      <c r="E619" t="s">
        <v>1240</v>
      </c>
      <c r="F619">
        <v>27</v>
      </c>
      <c r="G619" t="s">
        <v>2349</v>
      </c>
      <c r="M619" t="str">
        <f>IF(OR(BOM!$AE$4=FALSE,BOM!$AE$4="-"),IF(ISERROR(SEARCH("send",B619)),"","pool:TPC"),IF(ISERROR(SEARCH("send",B619)),"","pool:TPC|pool:TPC"))</f>
        <v>pool:TPC|pool:TPC</v>
      </c>
      <c r="S619" t="str">
        <f>IFERROR(IF(VLOOKUP(B619,'Sender-Receiver'!$B$3:$BP$1500,60,FALSE)="x","true","false"),"false")</f>
        <v>false</v>
      </c>
      <c r="T619" t="str">
        <f t="shared" si="8"/>
        <v>off</v>
      </c>
      <c r="Y619" t="str">
        <f>IF(BOM!$AE$4=FALSE,IF(ISERROR(SEARCH("Embrionix",BOM!$M$4)),"none",IF(ISERROR(SEARCH("Quadsplit",BOM!$N$4)),IF(ISERROR(SEARCH("rec",B619)),"none","merge"),"none")),IF(ISERROR(SEARCH("rec",B619)),"split","merge"))</f>
        <v>split</v>
      </c>
    </row>
    <row r="620" spans="1:25" x14ac:dyDescent="0.2">
      <c r="A620" t="s">
        <v>1238</v>
      </c>
      <c r="B620" t="s">
        <v>2350</v>
      </c>
      <c r="C620" t="str">
        <f>IFERROR(VLOOKUP(B620,'Sender-Receiver'!$B$3:$BP$1500,61,FALSE),"")</f>
        <v/>
      </c>
      <c r="D620" t="str">
        <f>IFERROR(VLOOKUP(B620,'Sender-Receiver'!$B$3:$BP$1500,41,FALSE),"")</f>
        <v/>
      </c>
      <c r="E620" t="s">
        <v>1240</v>
      </c>
      <c r="F620">
        <v>27</v>
      </c>
      <c r="G620" t="s">
        <v>2351</v>
      </c>
      <c r="M620" t="str">
        <f>IF(OR(BOM!$AE$4=FALSE,BOM!$AE$4="-"),IF(ISERROR(SEARCH("send",B620)),"","pool:TPC"),IF(ISERROR(SEARCH("send",B620)),"","pool:TPC|pool:TPC"))</f>
        <v>pool:TPC|pool:TPC</v>
      </c>
      <c r="S620" t="str">
        <f>IFERROR(IF(VLOOKUP(B620,'Sender-Receiver'!$B$3:$BP$1500,60,FALSE)="x","true","false"),"false")</f>
        <v>false</v>
      </c>
      <c r="T620" t="str">
        <f t="shared" si="8"/>
        <v>off</v>
      </c>
      <c r="Y620" t="str">
        <f>IF(BOM!$AE$4=FALSE,IF(ISERROR(SEARCH("Embrionix",BOM!$M$4)),"none",IF(ISERROR(SEARCH("Quadsplit",BOM!$N$4)),IF(ISERROR(SEARCH("rec",B620)),"none","merge"),"none")),IF(ISERROR(SEARCH("rec",B620)),"split","merge"))</f>
        <v>split</v>
      </c>
    </row>
    <row r="621" spans="1:25" x14ac:dyDescent="0.2">
      <c r="A621" t="s">
        <v>1238</v>
      </c>
      <c r="B621" t="s">
        <v>2352</v>
      </c>
      <c r="C621" t="str">
        <f>IFERROR(VLOOKUP(B621,'Sender-Receiver'!$B$3:$BP$1500,61,FALSE),"")</f>
        <v/>
      </c>
      <c r="D621" t="str">
        <f>IFERROR(VLOOKUP(B621,'Sender-Receiver'!$B$3:$BP$1500,41,FALSE),"")</f>
        <v/>
      </c>
      <c r="E621" t="s">
        <v>1240</v>
      </c>
      <c r="F621">
        <v>27</v>
      </c>
      <c r="G621" t="s">
        <v>2353</v>
      </c>
      <c r="M621" t="str">
        <f>IF(OR(BOM!$AE$4=FALSE,BOM!$AE$4="-"),IF(ISERROR(SEARCH("send",B621)),"","pool:TPC"),IF(ISERROR(SEARCH("send",B621)),"","pool:TPC|pool:TPC"))</f>
        <v>pool:TPC|pool:TPC</v>
      </c>
      <c r="S621" t="str">
        <f>IFERROR(IF(VLOOKUP(B621,'Sender-Receiver'!$B$3:$BP$1500,60,FALSE)="x","true","false"),"false")</f>
        <v>false</v>
      </c>
      <c r="T621" t="str">
        <f t="shared" si="8"/>
        <v>off</v>
      </c>
      <c r="Y621" t="str">
        <f>IF(BOM!$AE$4=FALSE,IF(ISERROR(SEARCH("Embrionix",BOM!$M$4)),"none",IF(ISERROR(SEARCH("Quadsplit",BOM!$N$4)),IF(ISERROR(SEARCH("rec",B621)),"none","merge"),"none")),IF(ISERROR(SEARCH("rec",B621)),"split","merge"))</f>
        <v>split</v>
      </c>
    </row>
    <row r="622" spans="1:25" x14ac:dyDescent="0.2">
      <c r="A622" t="s">
        <v>1238</v>
      </c>
      <c r="B622" t="s">
        <v>2354</v>
      </c>
      <c r="C622" t="str">
        <f>IFERROR(VLOOKUP(B622,'Sender-Receiver'!$B$3:$BP$1500,61,FALSE),"")</f>
        <v/>
      </c>
      <c r="D622" t="str">
        <f>IFERROR(VLOOKUP(B622,'Sender-Receiver'!$B$3:$BP$1500,41,FALSE),"")</f>
        <v/>
      </c>
      <c r="E622" t="s">
        <v>1240</v>
      </c>
      <c r="F622">
        <v>27</v>
      </c>
      <c r="G622" t="s">
        <v>2355</v>
      </c>
      <c r="M622" t="str">
        <f>IF(OR(BOM!$AE$4=FALSE,BOM!$AE$4="-"),IF(ISERROR(SEARCH("send",B622)),"","pool:TPC"),IF(ISERROR(SEARCH("send",B622)),"","pool:TPC|pool:TPC"))</f>
        <v>pool:TPC|pool:TPC</v>
      </c>
      <c r="S622" t="str">
        <f>IFERROR(IF(VLOOKUP(B622,'Sender-Receiver'!$B$3:$BP$1500,60,FALSE)="x","true","false"),"false")</f>
        <v>false</v>
      </c>
      <c r="T622" t="str">
        <f t="shared" si="8"/>
        <v>off</v>
      </c>
      <c r="Y622" t="str">
        <f>IF(BOM!$AE$4=FALSE,IF(ISERROR(SEARCH("Embrionix",BOM!$M$4)),"none",IF(ISERROR(SEARCH("Quadsplit",BOM!$N$4)),IF(ISERROR(SEARCH("rec",B622)),"none","merge"),"none")),IF(ISERROR(SEARCH("rec",B622)),"split","merge"))</f>
        <v>split</v>
      </c>
    </row>
    <row r="623" spans="1:25" x14ac:dyDescent="0.2">
      <c r="A623" t="s">
        <v>1238</v>
      </c>
      <c r="B623" t="s">
        <v>2356</v>
      </c>
      <c r="C623" t="str">
        <f>IFERROR(VLOOKUP(B623,'Sender-Receiver'!$B$3:$BP$1500,61,FALSE),"")</f>
        <v/>
      </c>
      <c r="D623" t="str">
        <f>IFERROR(VLOOKUP(B623,'Sender-Receiver'!$B$3:$BP$1500,41,FALSE),"")</f>
        <v/>
      </c>
      <c r="E623" t="s">
        <v>1240</v>
      </c>
      <c r="F623">
        <v>27</v>
      </c>
      <c r="G623" t="s">
        <v>2357</v>
      </c>
      <c r="M623" t="str">
        <f>IF(OR(BOM!$AE$4=FALSE,BOM!$AE$4="-"),IF(ISERROR(SEARCH("send",B623)),"","pool:TPC"),IF(ISERROR(SEARCH("send",B623)),"","pool:TPC|pool:TPC"))</f>
        <v>pool:TPC|pool:TPC</v>
      </c>
      <c r="S623" t="str">
        <f>IFERROR(IF(VLOOKUP(B623,'Sender-Receiver'!$B$3:$BP$1500,60,FALSE)="x","true","false"),"false")</f>
        <v>false</v>
      </c>
      <c r="T623" t="str">
        <f t="shared" si="8"/>
        <v>off</v>
      </c>
      <c r="Y623" t="str">
        <f>IF(BOM!$AE$4=FALSE,IF(ISERROR(SEARCH("Embrionix",BOM!$M$4)),"none",IF(ISERROR(SEARCH("Quadsplit",BOM!$N$4)),IF(ISERROR(SEARCH("rec",B623)),"none","merge"),"none")),IF(ISERROR(SEARCH("rec",B623)),"split","merge"))</f>
        <v>split</v>
      </c>
    </row>
    <row r="624" spans="1:25" x14ac:dyDescent="0.2">
      <c r="A624" t="s">
        <v>1238</v>
      </c>
      <c r="B624" t="s">
        <v>2358</v>
      </c>
      <c r="C624" t="str">
        <f>IFERROR(VLOOKUP(B624,'Sender-Receiver'!$B$3:$BP$1500,61,FALSE),"")</f>
        <v/>
      </c>
      <c r="D624" t="str">
        <f>IFERROR(VLOOKUP(B624,'Sender-Receiver'!$B$3:$BP$1500,41,FALSE),"")</f>
        <v/>
      </c>
      <c r="E624" t="s">
        <v>1240</v>
      </c>
      <c r="F624">
        <v>27</v>
      </c>
      <c r="G624" t="s">
        <v>2359</v>
      </c>
      <c r="M624" t="str">
        <f>IF(OR(BOM!$AE$4=FALSE,BOM!$AE$4="-"),IF(ISERROR(SEARCH("send",B624)),"","pool:TPC"),IF(ISERROR(SEARCH("send",B624)),"","pool:TPC|pool:TPC"))</f>
        <v>pool:TPC|pool:TPC</v>
      </c>
      <c r="S624" t="str">
        <f>IFERROR(IF(VLOOKUP(B624,'Sender-Receiver'!$B$3:$BP$1500,60,FALSE)="x","true","false"),"false")</f>
        <v>false</v>
      </c>
      <c r="T624" t="str">
        <f t="shared" si="8"/>
        <v>off</v>
      </c>
      <c r="Y624" t="str">
        <f>IF(BOM!$AE$4=FALSE,IF(ISERROR(SEARCH("Embrionix",BOM!$M$4)),"none",IF(ISERROR(SEARCH("Quadsplit",BOM!$N$4)),IF(ISERROR(SEARCH("rec",B624)),"none","merge"),"none")),IF(ISERROR(SEARCH("rec",B624)),"split","merge"))</f>
        <v>split</v>
      </c>
    </row>
    <row r="625" spans="1:25" x14ac:dyDescent="0.2">
      <c r="A625" t="s">
        <v>1238</v>
      </c>
      <c r="B625" t="s">
        <v>2360</v>
      </c>
      <c r="C625" t="str">
        <f>IFERROR(VLOOKUP(B625,'Sender-Receiver'!$B$3:$BP$1500,61,FALSE),"")</f>
        <v/>
      </c>
      <c r="D625" t="str">
        <f>IFERROR(VLOOKUP(B625,'Sender-Receiver'!$B$3:$BP$1500,41,FALSE),"")</f>
        <v/>
      </c>
      <c r="E625" t="s">
        <v>1240</v>
      </c>
      <c r="F625">
        <v>27</v>
      </c>
      <c r="G625" t="s">
        <v>2361</v>
      </c>
      <c r="M625" t="str">
        <f>IF(OR(BOM!$AE$4=FALSE,BOM!$AE$4="-"),IF(ISERROR(SEARCH("send",B625)),"","pool:TPC"),IF(ISERROR(SEARCH("send",B625)),"","pool:TPC|pool:TPC"))</f>
        <v>pool:TPC|pool:TPC</v>
      </c>
      <c r="S625" t="str">
        <f>IFERROR(IF(VLOOKUP(B625,'Sender-Receiver'!$B$3:$BP$1500,60,FALSE)="x","true","false"),"false")</f>
        <v>false</v>
      </c>
      <c r="T625" t="str">
        <f t="shared" si="8"/>
        <v>off</v>
      </c>
      <c r="Y625" t="str">
        <f>IF(BOM!$AE$4=FALSE,IF(ISERROR(SEARCH("Embrionix",BOM!$M$4)),"none",IF(ISERROR(SEARCH("Quadsplit",BOM!$N$4)),IF(ISERROR(SEARCH("rec",B625)),"none","merge"),"none")),IF(ISERROR(SEARCH("rec",B625)),"split","merge"))</f>
        <v>split</v>
      </c>
    </row>
    <row r="626" spans="1:25" x14ac:dyDescent="0.2">
      <c r="A626" t="s">
        <v>1238</v>
      </c>
      <c r="B626" t="s">
        <v>2362</v>
      </c>
      <c r="C626" t="str">
        <f>IFERROR(VLOOKUP(B626,'Sender-Receiver'!$B$3:$BP$1500,61,FALSE),"")</f>
        <v/>
      </c>
      <c r="D626" t="str">
        <f>IFERROR(VLOOKUP(B626,'Sender-Receiver'!$B$3:$BP$1500,41,FALSE),"")</f>
        <v/>
      </c>
      <c r="E626" t="s">
        <v>1240</v>
      </c>
      <c r="F626">
        <v>27</v>
      </c>
      <c r="G626" t="s">
        <v>2363</v>
      </c>
      <c r="M626" t="str">
        <f>IF(OR(BOM!$AE$4=FALSE,BOM!$AE$4="-"),IF(ISERROR(SEARCH("send",B626)),"","pool:TPC"),IF(ISERROR(SEARCH("send",B626)),"","pool:TPC|pool:TPC"))</f>
        <v>pool:TPC|pool:TPC</v>
      </c>
      <c r="S626" t="str">
        <f>IFERROR(IF(VLOOKUP(B626,'Sender-Receiver'!$B$3:$BP$1500,60,FALSE)="x","true","false"),"false")</f>
        <v>false</v>
      </c>
      <c r="T626" t="str">
        <f t="shared" si="8"/>
        <v>off</v>
      </c>
      <c r="Y626" t="str">
        <f>IF(BOM!$AE$4=FALSE,IF(ISERROR(SEARCH("Embrionix",BOM!$M$4)),"none",IF(ISERROR(SEARCH("Quadsplit",BOM!$N$4)),IF(ISERROR(SEARCH("rec",B626)),"none","merge"),"none")),IF(ISERROR(SEARCH("rec",B626)),"split","merge"))</f>
        <v>split</v>
      </c>
    </row>
    <row r="627" spans="1:25" x14ac:dyDescent="0.2">
      <c r="A627" t="s">
        <v>1238</v>
      </c>
      <c r="B627" t="s">
        <v>2364</v>
      </c>
      <c r="C627" t="str">
        <f>IFERROR(VLOOKUP(B627,'Sender-Receiver'!$B$3:$BP$1500,61,FALSE),"")</f>
        <v/>
      </c>
      <c r="D627" t="str">
        <f>IFERROR(VLOOKUP(B627,'Sender-Receiver'!$B$3:$BP$1500,41,FALSE),"")</f>
        <v/>
      </c>
      <c r="E627" t="s">
        <v>1240</v>
      </c>
      <c r="F627">
        <v>27</v>
      </c>
      <c r="G627" t="s">
        <v>2365</v>
      </c>
      <c r="M627" t="str">
        <f>IF(OR(BOM!$AE$4=FALSE,BOM!$AE$4="-"),IF(ISERROR(SEARCH("send",B627)),"","pool:TPC"),IF(ISERROR(SEARCH("send",B627)),"","pool:TPC|pool:TPC"))</f>
        <v>pool:TPC|pool:TPC</v>
      </c>
      <c r="S627" t="str">
        <f>IFERROR(IF(VLOOKUP(B627,'Sender-Receiver'!$B$3:$BP$1500,60,FALSE)="x","true","false"),"false")</f>
        <v>false</v>
      </c>
      <c r="T627" t="str">
        <f t="shared" si="8"/>
        <v>off</v>
      </c>
      <c r="Y627" t="str">
        <f>IF(BOM!$AE$4=FALSE,IF(ISERROR(SEARCH("Embrionix",BOM!$M$4)),"none",IF(ISERROR(SEARCH("Quadsplit",BOM!$N$4)),IF(ISERROR(SEARCH("rec",B627)),"none","merge"),"none")),IF(ISERROR(SEARCH("rec",B627)),"split","merge"))</f>
        <v>split</v>
      </c>
    </row>
    <row r="628" spans="1:25" x14ac:dyDescent="0.2">
      <c r="A628" t="s">
        <v>1238</v>
      </c>
      <c r="B628" t="s">
        <v>2366</v>
      </c>
      <c r="C628" t="str">
        <f>IFERROR(VLOOKUP(B628,'Sender-Receiver'!$B$3:$BP$1500,61,FALSE),"")</f>
        <v/>
      </c>
      <c r="D628" t="str">
        <f>IFERROR(VLOOKUP(B628,'Sender-Receiver'!$B$3:$BP$1500,41,FALSE),"")</f>
        <v/>
      </c>
      <c r="E628" t="s">
        <v>1240</v>
      </c>
      <c r="F628">
        <v>27</v>
      </c>
      <c r="G628" t="s">
        <v>2367</v>
      </c>
      <c r="M628" t="str">
        <f>IF(OR(BOM!$AE$4=FALSE,BOM!$AE$4="-"),IF(ISERROR(SEARCH("send",B628)),"","pool:TPC"),IF(ISERROR(SEARCH("send",B628)),"","pool:TPC|pool:TPC"))</f>
        <v>pool:TPC|pool:TPC</v>
      </c>
      <c r="S628" t="str">
        <f>IFERROR(IF(VLOOKUP(B628,'Sender-Receiver'!$B$3:$BP$1500,60,FALSE)="x","true","false"),"false")</f>
        <v>false</v>
      </c>
      <c r="T628" t="str">
        <f t="shared" si="8"/>
        <v>off</v>
      </c>
      <c r="Y628" t="str">
        <f>IF(BOM!$AE$4=FALSE,IF(ISERROR(SEARCH("Embrionix",BOM!$M$4)),"none",IF(ISERROR(SEARCH("Quadsplit",BOM!$N$4)),IF(ISERROR(SEARCH("rec",B628)),"none","merge"),"none")),IF(ISERROR(SEARCH("rec",B628)),"split","merge"))</f>
        <v>split</v>
      </c>
    </row>
    <row r="629" spans="1:25" x14ac:dyDescent="0.2">
      <c r="A629" t="s">
        <v>1238</v>
      </c>
      <c r="B629" t="s">
        <v>2368</v>
      </c>
      <c r="C629" t="str">
        <f>IFERROR(VLOOKUP(B629,'Sender-Receiver'!$B$3:$BP$1500,61,FALSE),"")</f>
        <v/>
      </c>
      <c r="D629" t="str">
        <f>IFERROR(VLOOKUP(B629,'Sender-Receiver'!$B$3:$BP$1500,41,FALSE),"")</f>
        <v/>
      </c>
      <c r="E629" t="s">
        <v>1240</v>
      </c>
      <c r="F629">
        <v>27</v>
      </c>
      <c r="G629" t="s">
        <v>2369</v>
      </c>
      <c r="M629" t="str">
        <f>IF(OR(BOM!$AE$4=FALSE,BOM!$AE$4="-"),IF(ISERROR(SEARCH("send",B629)),"","pool:TPC"),IF(ISERROR(SEARCH("send",B629)),"","pool:TPC|pool:TPC"))</f>
        <v>pool:TPC|pool:TPC</v>
      </c>
      <c r="S629" t="str">
        <f>IFERROR(IF(VLOOKUP(B629,'Sender-Receiver'!$B$3:$BP$1500,60,FALSE)="x","true","false"),"false")</f>
        <v>false</v>
      </c>
      <c r="T629" t="str">
        <f t="shared" si="8"/>
        <v>off</v>
      </c>
      <c r="Y629" t="str">
        <f>IF(BOM!$AE$4=FALSE,IF(ISERROR(SEARCH("Embrionix",BOM!$M$4)),"none",IF(ISERROR(SEARCH("Quadsplit",BOM!$N$4)),IF(ISERROR(SEARCH("rec",B629)),"none","merge"),"none")),IF(ISERROR(SEARCH("rec",B629)),"split","merge"))</f>
        <v>split</v>
      </c>
    </row>
    <row r="630" spans="1:25" x14ac:dyDescent="0.2">
      <c r="A630" t="s">
        <v>1238</v>
      </c>
      <c r="B630" t="s">
        <v>2370</v>
      </c>
      <c r="C630" t="str">
        <f>IFERROR(VLOOKUP(B630,'Sender-Receiver'!$B$3:$BP$1500,61,FALSE),"")</f>
        <v/>
      </c>
      <c r="D630" t="str">
        <f>IFERROR(VLOOKUP(B630,'Sender-Receiver'!$B$3:$BP$1500,41,FALSE),"")</f>
        <v/>
      </c>
      <c r="E630" t="s">
        <v>1240</v>
      </c>
      <c r="F630">
        <v>27</v>
      </c>
      <c r="G630" t="s">
        <v>2371</v>
      </c>
      <c r="M630" t="str">
        <f>IF(OR(BOM!$AE$4=FALSE,BOM!$AE$4="-"),IF(ISERROR(SEARCH("send",B630)),"","pool:TPC"),IF(ISERROR(SEARCH("send",B630)),"","pool:TPC|pool:TPC"))</f>
        <v>pool:TPC|pool:TPC</v>
      </c>
      <c r="S630" t="str">
        <f>IFERROR(IF(VLOOKUP(B630,'Sender-Receiver'!$B$3:$BP$1500,60,FALSE)="x","true","false"),"false")</f>
        <v>false</v>
      </c>
      <c r="T630" t="str">
        <f t="shared" si="8"/>
        <v>off</v>
      </c>
      <c r="Y630" t="str">
        <f>IF(BOM!$AE$4=FALSE,IF(ISERROR(SEARCH("Embrionix",BOM!$M$4)),"none",IF(ISERROR(SEARCH("Quadsplit",BOM!$N$4)),IF(ISERROR(SEARCH("rec",B630)),"none","merge"),"none")),IF(ISERROR(SEARCH("rec",B630)),"split","merge"))</f>
        <v>split</v>
      </c>
    </row>
    <row r="631" spans="1:25" x14ac:dyDescent="0.2">
      <c r="A631" t="s">
        <v>1238</v>
      </c>
      <c r="B631" t="s">
        <v>2372</v>
      </c>
      <c r="C631" t="str">
        <f>IFERROR(VLOOKUP(B631,'Sender-Receiver'!$B$3:$BP$1500,61,FALSE),"")</f>
        <v/>
      </c>
      <c r="D631" t="str">
        <f>IFERROR(VLOOKUP(B631,'Sender-Receiver'!$B$3:$BP$1500,41,FALSE),"")</f>
        <v/>
      </c>
      <c r="E631" t="s">
        <v>1240</v>
      </c>
      <c r="F631">
        <v>27</v>
      </c>
      <c r="G631" t="s">
        <v>2373</v>
      </c>
      <c r="M631" t="str">
        <f>IF(OR(BOM!$AE$4=FALSE,BOM!$AE$4="-"),IF(ISERROR(SEARCH("send",B631)),"","pool:TPC"),IF(ISERROR(SEARCH("send",B631)),"","pool:TPC|pool:TPC"))</f>
        <v>pool:TPC|pool:TPC</v>
      </c>
      <c r="S631" t="str">
        <f>IFERROR(IF(VLOOKUP(B631,'Sender-Receiver'!$B$3:$BP$1500,60,FALSE)="x","true","false"),"false")</f>
        <v>false</v>
      </c>
      <c r="T631" t="str">
        <f t="shared" si="8"/>
        <v>off</v>
      </c>
      <c r="Y631" t="str">
        <f>IF(BOM!$AE$4=FALSE,IF(ISERROR(SEARCH("Embrionix",BOM!$M$4)),"none",IF(ISERROR(SEARCH("Quadsplit",BOM!$N$4)),IF(ISERROR(SEARCH("rec",B631)),"none","merge"),"none")),IF(ISERROR(SEARCH("rec",B631)),"split","merge"))</f>
        <v>split</v>
      </c>
    </row>
    <row r="632" spans="1:25" x14ac:dyDescent="0.2">
      <c r="A632" t="s">
        <v>1238</v>
      </c>
      <c r="B632" t="s">
        <v>2884</v>
      </c>
      <c r="C632" t="str">
        <f>IFERROR(VLOOKUP(B632,'Sender-Receiver'!$B$3:$BP$1500,61,FALSE),"")</f>
        <v>Type:Vid_1080i50,Type:Vid_1080p25,Type:Vid_1080p50,Type:Vid_1080p60,#SNP</v>
      </c>
      <c r="D632" t="str">
        <f>IFERROR(VLOOKUP(B632,'Sender-Receiver'!$B$3:$BP$1500,41,FALSE),"")</f>
        <v>M3H InCh PGM | Ingest Ch40 | IngSRV-10</v>
      </c>
      <c r="E632" t="s">
        <v>1240</v>
      </c>
      <c r="F632">
        <v>28</v>
      </c>
      <c r="G632" t="s">
        <v>2821</v>
      </c>
      <c r="M632" t="str">
        <f>IF(OR(BOM!$AE$4=FALSE,BOM!$AE$4="-"),IF(ISERROR(SEARCH("send",B632)),"","pool:TPC"),IF(ISERROR(SEARCH("send",B632)),"","pool:TPC|pool:TPC"))</f>
        <v/>
      </c>
      <c r="S632" t="str">
        <f>IFERROR(IF(VLOOKUP(B632,'Sender-Receiver'!$B$3:$BP$1500,60,FALSE)="x","true","false"),"false")</f>
        <v>true</v>
      </c>
      <c r="T632" t="str">
        <f t="shared" si="8"/>
        <v>full</v>
      </c>
      <c r="Y632" t="str">
        <f>IF(BOM!$AE$4=FALSE,IF(ISERROR(SEARCH("Embrionix",BOM!$M$4)),"none",IF(ISERROR(SEARCH("Quadsplit",BOM!$N$4)),IF(ISERROR(SEARCH("rec",B632)),"none","merge"),"none")),IF(ISERROR(SEARCH("rec",B632)),"split","merge"))</f>
        <v>merge</v>
      </c>
    </row>
    <row r="633" spans="1:25" x14ac:dyDescent="0.2">
      <c r="A633" t="s">
        <v>1238</v>
      </c>
      <c r="B633" t="s">
        <v>2885</v>
      </c>
      <c r="C633" t="str">
        <f>IFERROR(VLOOKUP(B633,'Sender-Receiver'!$B$3:$BP$1500,61,FALSE),"")</f>
        <v>Type:Aud_1CH_M,Type:Aud_2CH_LR,Type:Aud_3CH_LRC,Type:Aud_6CH_5.1,#SNP</v>
      </c>
      <c r="D633" t="str">
        <f>IFERROR(VLOOKUP(B633,'Sender-Receiver'!$B$3:$BP$1500,41,FALSE),"")</f>
        <v>M3H InCh PGM | Ingest Ch40-01 | IngSRV-10</v>
      </c>
      <c r="E633" t="s">
        <v>1240</v>
      </c>
      <c r="F633">
        <v>28</v>
      </c>
      <c r="G633" t="s">
        <v>2822</v>
      </c>
      <c r="M633" t="str">
        <f>IF(OR(BOM!$AE$4=FALSE,BOM!$AE$4="-"),IF(ISERROR(SEARCH("send",B633)),"","pool:TPC"),IF(ISERROR(SEARCH("send",B633)),"","pool:TPC|pool:TPC"))</f>
        <v/>
      </c>
      <c r="S633" t="str">
        <f>IFERROR(IF(VLOOKUP(B633,'Sender-Receiver'!$B$3:$BP$1500,60,FALSE)="x","true","false"),"false")</f>
        <v>true</v>
      </c>
      <c r="T633" t="str">
        <f t="shared" si="8"/>
        <v>full</v>
      </c>
      <c r="Y633" t="str">
        <f>IF(BOM!$AE$4=FALSE,IF(ISERROR(SEARCH("Embrionix",BOM!$M$4)),"none",IF(ISERROR(SEARCH("Quadsplit",BOM!$N$4)),IF(ISERROR(SEARCH("rec",B633)),"none","merge"),"none")),IF(ISERROR(SEARCH("rec",B633)),"split","merge"))</f>
        <v>merge</v>
      </c>
    </row>
    <row r="634" spans="1:25" x14ac:dyDescent="0.2">
      <c r="A634" t="s">
        <v>1238</v>
      </c>
      <c r="B634" t="s">
        <v>2886</v>
      </c>
      <c r="C634" t="str">
        <f>IFERROR(VLOOKUP(B634,'Sender-Receiver'!$B$3:$BP$1500,61,FALSE),"")</f>
        <v>Type:Aud_1CH_M,Type:Aud_2CH_LR,Type:Aud_3CH_LRC,Type:Aud_6CH_5.1,#SNP</v>
      </c>
      <c r="D634" t="str">
        <f>IFERROR(VLOOKUP(B634,'Sender-Receiver'!$B$3:$BP$1500,41,FALSE),"")</f>
        <v>M3H InCh PGM | Ingest Ch40-02 | IngSRV-10</v>
      </c>
      <c r="E634" t="s">
        <v>1240</v>
      </c>
      <c r="F634">
        <v>28</v>
      </c>
      <c r="G634" t="s">
        <v>2823</v>
      </c>
      <c r="M634" t="str">
        <f>IF(OR(BOM!$AE$4=FALSE,BOM!$AE$4="-"),IF(ISERROR(SEARCH("send",B634)),"","pool:TPC"),IF(ISERROR(SEARCH("send",B634)),"","pool:TPC|pool:TPC"))</f>
        <v/>
      </c>
      <c r="S634" t="str">
        <f>IFERROR(IF(VLOOKUP(B634,'Sender-Receiver'!$B$3:$BP$1500,60,FALSE)="x","true","false"),"false")</f>
        <v>true</v>
      </c>
      <c r="T634" t="str">
        <f t="shared" si="8"/>
        <v>full</v>
      </c>
      <c r="Y634" t="str">
        <f>IF(BOM!$AE$4=FALSE,IF(ISERROR(SEARCH("Embrionix",BOM!$M$4)),"none",IF(ISERROR(SEARCH("Quadsplit",BOM!$N$4)),IF(ISERROR(SEARCH("rec",B634)),"none","merge"),"none")),IF(ISERROR(SEARCH("rec",B634)),"split","merge"))</f>
        <v>merge</v>
      </c>
    </row>
    <row r="635" spans="1:25" x14ac:dyDescent="0.2">
      <c r="A635" t="s">
        <v>1238</v>
      </c>
      <c r="B635" t="s">
        <v>2887</v>
      </c>
      <c r="C635" t="str">
        <f>IFERROR(VLOOKUP(B635,'Sender-Receiver'!$B$3:$BP$1500,61,FALSE),"")</f>
        <v>Type:Aud_1CH_M,Type:Aud_2CH_LR,Type:Aud_3CH_LRC,Type:Aud_6CH_5.1,#SNP</v>
      </c>
      <c r="D635" t="str">
        <f>IFERROR(VLOOKUP(B635,'Sender-Receiver'!$B$3:$BP$1500,41,FALSE),"")</f>
        <v>M3H InCh PGM | Ingest Ch40-03 | IngSRV-10</v>
      </c>
      <c r="E635" t="s">
        <v>1240</v>
      </c>
      <c r="F635">
        <v>28</v>
      </c>
      <c r="G635" t="s">
        <v>2824</v>
      </c>
      <c r="M635" t="str">
        <f>IF(OR(BOM!$AE$4=FALSE,BOM!$AE$4="-"),IF(ISERROR(SEARCH("send",B635)),"","pool:TPC"),IF(ISERROR(SEARCH("send",B635)),"","pool:TPC|pool:TPC"))</f>
        <v/>
      </c>
      <c r="S635" t="str">
        <f>IFERROR(IF(VLOOKUP(B635,'Sender-Receiver'!$B$3:$BP$1500,60,FALSE)="x","true","false"),"false")</f>
        <v>true</v>
      </c>
      <c r="T635" t="str">
        <f t="shared" si="8"/>
        <v>full</v>
      </c>
      <c r="Y635" t="str">
        <f>IF(BOM!$AE$4=FALSE,IF(ISERROR(SEARCH("Embrionix",BOM!$M$4)),"none",IF(ISERROR(SEARCH("Quadsplit",BOM!$N$4)),IF(ISERROR(SEARCH("rec",B635)),"none","merge"),"none")),IF(ISERROR(SEARCH("rec",B635)),"split","merge"))</f>
        <v>merge</v>
      </c>
    </row>
    <row r="636" spans="1:25" x14ac:dyDescent="0.2">
      <c r="A636" t="s">
        <v>1238</v>
      </c>
      <c r="B636" t="s">
        <v>2888</v>
      </c>
      <c r="C636" t="str">
        <f>IFERROR(VLOOKUP(B636,'Sender-Receiver'!$B$3:$BP$1500,61,FALSE),"")</f>
        <v>Type:Aud_1CH_M,Type:Aud_2CH_LR,Type:Aud_3CH_LRC,Type:Aud_6CH_5.1,#SNP</v>
      </c>
      <c r="D636" t="str">
        <f>IFERROR(VLOOKUP(B636,'Sender-Receiver'!$B$3:$BP$1500,41,FALSE),"")</f>
        <v>M3H InCh PGM | Ingest Ch40-04 | IngSRV-10</v>
      </c>
      <c r="E636" t="s">
        <v>1240</v>
      </c>
      <c r="F636">
        <v>28</v>
      </c>
      <c r="G636" t="s">
        <v>2825</v>
      </c>
      <c r="M636" t="str">
        <f>IF(OR(BOM!$AE$4=FALSE,BOM!$AE$4="-"),IF(ISERROR(SEARCH("send",B636)),"","pool:TPC"),IF(ISERROR(SEARCH("send",B636)),"","pool:TPC|pool:TPC"))</f>
        <v/>
      </c>
      <c r="S636" t="str">
        <f>IFERROR(IF(VLOOKUP(B636,'Sender-Receiver'!$B$3:$BP$1500,60,FALSE)="x","true","false"),"false")</f>
        <v>true</v>
      </c>
      <c r="T636" t="str">
        <f t="shared" si="8"/>
        <v>full</v>
      </c>
      <c r="Y636" t="str">
        <f>IF(BOM!$AE$4=FALSE,IF(ISERROR(SEARCH("Embrionix",BOM!$M$4)),"none",IF(ISERROR(SEARCH("Quadsplit",BOM!$N$4)),IF(ISERROR(SEARCH("rec",B636)),"none","merge"),"none")),IF(ISERROR(SEARCH("rec",B636)),"split","merge"))</f>
        <v>merge</v>
      </c>
    </row>
    <row r="637" spans="1:25" x14ac:dyDescent="0.2">
      <c r="A637" t="s">
        <v>1238</v>
      </c>
      <c r="B637" t="s">
        <v>2889</v>
      </c>
      <c r="C637" t="str">
        <f>IFERROR(VLOOKUP(B637,'Sender-Receiver'!$B$3:$BP$1500,61,FALSE),"")</f>
        <v>Type:Aud_1CH_M,Type:Aud_2CH_LR,Type:Aud_3CH_LRC,Type:Aud_6CH_5.1,#SNP</v>
      </c>
      <c r="D637" t="str">
        <f>IFERROR(VLOOKUP(B637,'Sender-Receiver'!$B$3:$BP$1500,41,FALSE),"")</f>
        <v>M3H InCh PGM | Ingest Ch40-05 | IngSRV-10</v>
      </c>
      <c r="E637" t="s">
        <v>1240</v>
      </c>
      <c r="F637">
        <v>28</v>
      </c>
      <c r="G637" t="s">
        <v>2826</v>
      </c>
      <c r="M637" t="str">
        <f>IF(OR(BOM!$AE$4=FALSE,BOM!$AE$4="-"),IF(ISERROR(SEARCH("send",B637)),"","pool:TPC"),IF(ISERROR(SEARCH("send",B637)),"","pool:TPC|pool:TPC"))</f>
        <v/>
      </c>
      <c r="S637" t="str">
        <f>IFERROR(IF(VLOOKUP(B637,'Sender-Receiver'!$B$3:$BP$1500,60,FALSE)="x","true","false"),"false")</f>
        <v>true</v>
      </c>
      <c r="T637" t="str">
        <f t="shared" si="8"/>
        <v>full</v>
      </c>
      <c r="Y637" t="str">
        <f>IF(BOM!$AE$4=FALSE,IF(ISERROR(SEARCH("Embrionix",BOM!$M$4)),"none",IF(ISERROR(SEARCH("Quadsplit",BOM!$N$4)),IF(ISERROR(SEARCH("rec",B637)),"none","merge"),"none")),IF(ISERROR(SEARCH("rec",B637)),"split","merge"))</f>
        <v>merge</v>
      </c>
    </row>
    <row r="638" spans="1:25" x14ac:dyDescent="0.2">
      <c r="A638" t="s">
        <v>1238</v>
      </c>
      <c r="B638" t="s">
        <v>2890</v>
      </c>
      <c r="C638" t="str">
        <f>IFERROR(VLOOKUP(B638,'Sender-Receiver'!$B$3:$BP$1500,61,FALSE),"")</f>
        <v>Type:Aud_1CH_M,Type:Aud_2CH_LR,Type:Aud_3CH_LRC,Type:Aud_6CH_5.1,#SNP</v>
      </c>
      <c r="D638" t="str">
        <f>IFERROR(VLOOKUP(B638,'Sender-Receiver'!$B$3:$BP$1500,41,FALSE),"")</f>
        <v>M3H InCh PGM | Ingest Ch40-06 | IngSRV-10</v>
      </c>
      <c r="E638" t="s">
        <v>1240</v>
      </c>
      <c r="F638">
        <v>28</v>
      </c>
      <c r="G638" t="s">
        <v>2827</v>
      </c>
      <c r="M638" t="str">
        <f>IF(OR(BOM!$AE$4=FALSE,BOM!$AE$4="-"),IF(ISERROR(SEARCH("send",B638)),"","pool:TPC"),IF(ISERROR(SEARCH("send",B638)),"","pool:TPC|pool:TPC"))</f>
        <v/>
      </c>
      <c r="S638" t="str">
        <f>IFERROR(IF(VLOOKUP(B638,'Sender-Receiver'!$B$3:$BP$1500,60,FALSE)="x","true","false"),"false")</f>
        <v>true</v>
      </c>
      <c r="T638" t="str">
        <f t="shared" si="8"/>
        <v>full</v>
      </c>
      <c r="Y638" t="str">
        <f>IF(BOM!$AE$4=FALSE,IF(ISERROR(SEARCH("Embrionix",BOM!$M$4)),"none",IF(ISERROR(SEARCH("Quadsplit",BOM!$N$4)),IF(ISERROR(SEARCH("rec",B638)),"none","merge"),"none")),IF(ISERROR(SEARCH("rec",B638)),"split","merge"))</f>
        <v>merge</v>
      </c>
    </row>
    <row r="639" spans="1:25" x14ac:dyDescent="0.2">
      <c r="A639" t="s">
        <v>1238</v>
      </c>
      <c r="B639" t="s">
        <v>2891</v>
      </c>
      <c r="C639" t="str">
        <f>IFERROR(VLOOKUP(B639,'Sender-Receiver'!$B$3:$BP$1500,61,FALSE),"")</f>
        <v>Type:Aud_1CH_M,Type:Aud_2CH_LR,Type:Aud_3CH_LRC,Type:Aud_6CH_5.1,#SNP</v>
      </c>
      <c r="D639" t="str">
        <f>IFERROR(VLOOKUP(B639,'Sender-Receiver'!$B$3:$BP$1500,41,FALSE),"")</f>
        <v>M3H InCh PGM | Ingest Ch40-07 | IngSRV-10</v>
      </c>
      <c r="E639" t="s">
        <v>1240</v>
      </c>
      <c r="F639">
        <v>28</v>
      </c>
      <c r="G639" t="s">
        <v>2828</v>
      </c>
      <c r="M639" t="str">
        <f>IF(OR(BOM!$AE$4=FALSE,BOM!$AE$4="-"),IF(ISERROR(SEARCH("send",B639)),"","pool:TPC"),IF(ISERROR(SEARCH("send",B639)),"","pool:TPC|pool:TPC"))</f>
        <v/>
      </c>
      <c r="S639" t="str">
        <f>IFERROR(IF(VLOOKUP(B639,'Sender-Receiver'!$B$3:$BP$1500,60,FALSE)="x","true","false"),"false")</f>
        <v>true</v>
      </c>
      <c r="T639" t="str">
        <f t="shared" si="8"/>
        <v>full</v>
      </c>
      <c r="Y639" t="str">
        <f>IF(BOM!$AE$4=FALSE,IF(ISERROR(SEARCH("Embrionix",BOM!$M$4)),"none",IF(ISERROR(SEARCH("Quadsplit",BOM!$N$4)),IF(ISERROR(SEARCH("rec",B639)),"none","merge"),"none")),IF(ISERROR(SEARCH("rec",B639)),"split","merge"))</f>
        <v>merge</v>
      </c>
    </row>
    <row r="640" spans="1:25" x14ac:dyDescent="0.2">
      <c r="A640" t="s">
        <v>1238</v>
      </c>
      <c r="B640" t="s">
        <v>2892</v>
      </c>
      <c r="C640" t="str">
        <f>IFERROR(VLOOKUP(B640,'Sender-Receiver'!$B$3:$BP$1500,61,FALSE),"")</f>
        <v>Type:Aud_1CH_M,Type:Aud_2CH_LR,Type:Aud_3CH_LRC,Type:Aud_6CH_5.1,#SNP</v>
      </c>
      <c r="D640" t="str">
        <f>IFERROR(VLOOKUP(B640,'Sender-Receiver'!$B$3:$BP$1500,41,FALSE),"")</f>
        <v>M3H InCh PGM | Ingest Ch40-08 | IngSRV-10</v>
      </c>
      <c r="E640" t="s">
        <v>1240</v>
      </c>
      <c r="F640">
        <v>28</v>
      </c>
      <c r="G640" t="s">
        <v>2829</v>
      </c>
      <c r="M640" t="str">
        <f>IF(OR(BOM!$AE$4=FALSE,BOM!$AE$4="-"),IF(ISERROR(SEARCH("send",B640)),"","pool:TPC"),IF(ISERROR(SEARCH("send",B640)),"","pool:TPC|pool:TPC"))</f>
        <v/>
      </c>
      <c r="S640" t="str">
        <f>IFERROR(IF(VLOOKUP(B640,'Sender-Receiver'!$B$3:$BP$1500,60,FALSE)="x","true","false"),"false")</f>
        <v>true</v>
      </c>
      <c r="T640" t="str">
        <f t="shared" si="8"/>
        <v>full</v>
      </c>
      <c r="Y640" t="str">
        <f>IF(BOM!$AE$4=FALSE,IF(ISERROR(SEARCH("Embrionix",BOM!$M$4)),"none",IF(ISERROR(SEARCH("Quadsplit",BOM!$N$4)),IF(ISERROR(SEARCH("rec",B640)),"none","merge"),"none")),IF(ISERROR(SEARCH("rec",B640)),"split","merge"))</f>
        <v>merge</v>
      </c>
    </row>
    <row r="641" spans="1:25" x14ac:dyDescent="0.2">
      <c r="A641" t="s">
        <v>1238</v>
      </c>
      <c r="B641" t="s">
        <v>2893</v>
      </c>
      <c r="C641" t="str">
        <f>IFERROR(VLOOKUP(B641,'Sender-Receiver'!$B$3:$BP$1500,61,FALSE),"")</f>
        <v>Type:Aud_1CH_M,Type:Aud_2CH_LR,Type:Aud_3CH_LRC,Type:Aud_6CH_5.1,#SNP</v>
      </c>
      <c r="D641" t="str">
        <f>IFERROR(VLOOKUP(B641,'Sender-Receiver'!$B$3:$BP$1500,41,FALSE),"")</f>
        <v>M3H InCh PGM | Ingest Ch40-09 | IngSRV-10</v>
      </c>
      <c r="E641" t="s">
        <v>1240</v>
      </c>
      <c r="F641">
        <v>28</v>
      </c>
      <c r="G641" t="s">
        <v>2830</v>
      </c>
      <c r="M641" t="str">
        <f>IF(OR(BOM!$AE$4=FALSE,BOM!$AE$4="-"),IF(ISERROR(SEARCH("send",B641)),"","pool:TPC"),IF(ISERROR(SEARCH("send",B641)),"","pool:TPC|pool:TPC"))</f>
        <v/>
      </c>
      <c r="S641" t="str">
        <f>IFERROR(IF(VLOOKUP(B641,'Sender-Receiver'!$B$3:$BP$1500,60,FALSE)="x","true","false"),"false")</f>
        <v>true</v>
      </c>
      <c r="T641" t="str">
        <f t="shared" si="8"/>
        <v>full</v>
      </c>
      <c r="Y641" t="str">
        <f>IF(BOM!$AE$4=FALSE,IF(ISERROR(SEARCH("Embrionix",BOM!$M$4)),"none",IF(ISERROR(SEARCH("Quadsplit",BOM!$N$4)),IF(ISERROR(SEARCH("rec",B641)),"none","merge"),"none")),IF(ISERROR(SEARCH("rec",B641)),"split","merge"))</f>
        <v>merge</v>
      </c>
    </row>
    <row r="642" spans="1:25" x14ac:dyDescent="0.2">
      <c r="A642" t="s">
        <v>1238</v>
      </c>
      <c r="B642" t="s">
        <v>2894</v>
      </c>
      <c r="C642" t="str">
        <f>IFERROR(VLOOKUP(B642,'Sender-Receiver'!$B$3:$BP$1500,61,FALSE),"")</f>
        <v>#SNP</v>
      </c>
      <c r="D642" t="str">
        <f>IFERROR(VLOOKUP(B642,'Sender-Receiver'!$B$3:$BP$1500,41,FALSE),"")</f>
        <v xml:space="preserve"> |  | IngSRV-10</v>
      </c>
      <c r="E642" t="s">
        <v>1240</v>
      </c>
      <c r="F642">
        <v>28</v>
      </c>
      <c r="G642" t="s">
        <v>2831</v>
      </c>
      <c r="M642" t="str">
        <f>IF(OR(BOM!$AE$4=FALSE,BOM!$AE$4="-"),IF(ISERROR(SEARCH("send",B642)),"","pool:TPC"),IF(ISERROR(SEARCH("send",B642)),"","pool:TPC|pool:TPC"))</f>
        <v/>
      </c>
      <c r="S642" t="str">
        <f>IFERROR(IF(VLOOKUP(B642,'Sender-Receiver'!$B$3:$BP$1500,60,FALSE)="x","true","false"),"false")</f>
        <v>false</v>
      </c>
      <c r="T642" t="str">
        <f t="shared" si="8"/>
        <v>off</v>
      </c>
      <c r="Y642" t="str">
        <f>IF(BOM!$AE$4=FALSE,IF(ISERROR(SEARCH("Embrionix",BOM!$M$4)),"none",IF(ISERROR(SEARCH("Quadsplit",BOM!$N$4)),IF(ISERROR(SEARCH("rec",B642)),"none","merge"),"none")),IF(ISERROR(SEARCH("rec",B642)),"split","merge"))</f>
        <v>merge</v>
      </c>
    </row>
    <row r="643" spans="1:25" x14ac:dyDescent="0.2">
      <c r="A643" t="s">
        <v>1238</v>
      </c>
      <c r="B643" t="s">
        <v>2895</v>
      </c>
      <c r="C643" t="str">
        <f>IFERROR(VLOOKUP(B643,'Sender-Receiver'!$B$3:$BP$1500,61,FALSE),"")</f>
        <v>#SNP</v>
      </c>
      <c r="D643" t="str">
        <f>IFERROR(VLOOKUP(B643,'Sender-Receiver'!$B$3:$BP$1500,41,FALSE),"")</f>
        <v xml:space="preserve"> |  | IngSRV-10</v>
      </c>
      <c r="E643" t="s">
        <v>1240</v>
      </c>
      <c r="F643">
        <v>28</v>
      </c>
      <c r="G643" t="s">
        <v>2832</v>
      </c>
      <c r="M643" t="str">
        <f>IF(OR(BOM!$AE$4=FALSE,BOM!$AE$4="-"),IF(ISERROR(SEARCH("send",B643)),"","pool:TPC"),IF(ISERROR(SEARCH("send",B643)),"","pool:TPC|pool:TPC"))</f>
        <v/>
      </c>
      <c r="S643" t="str">
        <f>IFERROR(IF(VLOOKUP(B643,'Sender-Receiver'!$B$3:$BP$1500,60,FALSE)="x","true","false"),"false")</f>
        <v>false</v>
      </c>
      <c r="T643" t="str">
        <f t="shared" si="8"/>
        <v>off</v>
      </c>
      <c r="Y643" t="str">
        <f>IF(BOM!$AE$4=FALSE,IF(ISERROR(SEARCH("Embrionix",BOM!$M$4)),"none",IF(ISERROR(SEARCH("Quadsplit",BOM!$N$4)),IF(ISERROR(SEARCH("rec",B643)),"none","merge"),"none")),IF(ISERROR(SEARCH("rec",B643)),"split","merge"))</f>
        <v>merge</v>
      </c>
    </row>
    <row r="644" spans="1:25" x14ac:dyDescent="0.2">
      <c r="A644" t="s">
        <v>1238</v>
      </c>
      <c r="B644" t="s">
        <v>2896</v>
      </c>
      <c r="C644" t="str">
        <f>IFERROR(VLOOKUP(B644,'Sender-Receiver'!$B$3:$BP$1500,61,FALSE),"")</f>
        <v>#SNP</v>
      </c>
      <c r="D644" t="str">
        <f>IFERROR(VLOOKUP(B644,'Sender-Receiver'!$B$3:$BP$1500,41,FALSE),"")</f>
        <v xml:space="preserve"> |  | IngSRV-10</v>
      </c>
      <c r="E644" t="s">
        <v>1240</v>
      </c>
      <c r="F644">
        <v>28</v>
      </c>
      <c r="G644" t="s">
        <v>2833</v>
      </c>
      <c r="M644" t="str">
        <f>IF(OR(BOM!$AE$4=FALSE,BOM!$AE$4="-"),IF(ISERROR(SEARCH("send",B644)),"","pool:TPC"),IF(ISERROR(SEARCH("send",B644)),"","pool:TPC|pool:TPC"))</f>
        <v/>
      </c>
      <c r="S644" t="str">
        <f>IFERROR(IF(VLOOKUP(B644,'Sender-Receiver'!$B$3:$BP$1500,60,FALSE)="x","true","false"),"false")</f>
        <v>false</v>
      </c>
      <c r="T644" t="str">
        <f t="shared" si="8"/>
        <v>off</v>
      </c>
      <c r="Y644" t="str">
        <f>IF(BOM!$AE$4=FALSE,IF(ISERROR(SEARCH("Embrionix",BOM!$M$4)),"none",IF(ISERROR(SEARCH("Quadsplit",BOM!$N$4)),IF(ISERROR(SEARCH("rec",B644)),"none","merge"),"none")),IF(ISERROR(SEARCH("rec",B644)),"split","merge"))</f>
        <v>merge</v>
      </c>
    </row>
    <row r="645" spans="1:25" x14ac:dyDescent="0.2">
      <c r="A645" t="s">
        <v>1238</v>
      </c>
      <c r="B645" t="s">
        <v>2897</v>
      </c>
      <c r="C645" t="str">
        <f>IFERROR(VLOOKUP(B645,'Sender-Receiver'!$B$3:$BP$1500,61,FALSE),"")</f>
        <v>#SNP</v>
      </c>
      <c r="D645" t="str">
        <f>IFERROR(VLOOKUP(B645,'Sender-Receiver'!$B$3:$BP$1500,41,FALSE),"")</f>
        <v xml:space="preserve"> |  | IngSRV-10</v>
      </c>
      <c r="E645" t="s">
        <v>1240</v>
      </c>
      <c r="F645">
        <v>28</v>
      </c>
      <c r="G645" t="s">
        <v>2834</v>
      </c>
      <c r="M645" t="str">
        <f>IF(OR(BOM!$AE$4=FALSE,BOM!$AE$4="-"),IF(ISERROR(SEARCH("send",B645)),"","pool:TPC"),IF(ISERROR(SEARCH("send",B645)),"","pool:TPC|pool:TPC"))</f>
        <v/>
      </c>
      <c r="S645" t="str">
        <f>IFERROR(IF(VLOOKUP(B645,'Sender-Receiver'!$B$3:$BP$1500,60,FALSE)="x","true","false"),"false")</f>
        <v>false</v>
      </c>
      <c r="T645" t="str">
        <f t="shared" si="8"/>
        <v>off</v>
      </c>
      <c r="Y645" t="str">
        <f>IF(BOM!$AE$4=FALSE,IF(ISERROR(SEARCH("Embrionix",BOM!$M$4)),"none",IF(ISERROR(SEARCH("Quadsplit",BOM!$N$4)),IF(ISERROR(SEARCH("rec",B645)),"none","merge"),"none")),IF(ISERROR(SEARCH("rec",B645)),"split","merge"))</f>
        <v>merge</v>
      </c>
    </row>
    <row r="646" spans="1:25" x14ac:dyDescent="0.2">
      <c r="A646" t="s">
        <v>1238</v>
      </c>
      <c r="B646" t="s">
        <v>2898</v>
      </c>
      <c r="C646" t="str">
        <f>IFERROR(VLOOKUP(B646,'Sender-Receiver'!$B$3:$BP$1500,61,FALSE),"")</f>
        <v>#SNP</v>
      </c>
      <c r="D646" t="str">
        <f>IFERROR(VLOOKUP(B646,'Sender-Receiver'!$B$3:$BP$1500,41,FALSE),"")</f>
        <v xml:space="preserve"> |  | IngSRV-10</v>
      </c>
      <c r="E646" t="s">
        <v>1240</v>
      </c>
      <c r="F646">
        <v>28</v>
      </c>
      <c r="G646" t="s">
        <v>2835</v>
      </c>
      <c r="M646" t="str">
        <f>IF(OR(BOM!$AE$4=FALSE,BOM!$AE$4="-"),IF(ISERROR(SEARCH("send",B646)),"","pool:TPC"),IF(ISERROR(SEARCH("send",B646)),"","pool:TPC|pool:TPC"))</f>
        <v/>
      </c>
      <c r="S646" t="str">
        <f>IFERROR(IF(VLOOKUP(B646,'Sender-Receiver'!$B$3:$BP$1500,60,FALSE)="x","true","false"),"false")</f>
        <v>false</v>
      </c>
      <c r="T646" t="str">
        <f t="shared" si="8"/>
        <v>off</v>
      </c>
      <c r="Y646" t="str">
        <f>IF(BOM!$AE$4=FALSE,IF(ISERROR(SEARCH("Embrionix",BOM!$M$4)),"none",IF(ISERROR(SEARCH("Quadsplit",BOM!$N$4)),IF(ISERROR(SEARCH("rec",B646)),"none","merge"),"none")),IF(ISERROR(SEARCH("rec",B646)),"split","merge"))</f>
        <v>merge</v>
      </c>
    </row>
    <row r="647" spans="1:25" x14ac:dyDescent="0.2">
      <c r="A647" t="s">
        <v>1238</v>
      </c>
      <c r="B647" t="s">
        <v>2899</v>
      </c>
      <c r="C647" t="str">
        <f>IFERROR(VLOOKUP(B647,'Sender-Receiver'!$B$3:$BP$1500,61,FALSE),"")</f>
        <v>Type:Aud_1CH_M,Type:Aud_2CH_LR,Type:Aud_3CH_LRC,Type:Aud_6CH_5.1,Type:Aud_8CH_RAW,#SNP</v>
      </c>
      <c r="D647" t="str">
        <f>IFERROR(VLOOKUP(B647,'Sender-Receiver'!$B$3:$BP$1500,41,FALSE),"")</f>
        <v>M3H InCh PGM | Ingest Ch40-15 | IngSRV-10</v>
      </c>
      <c r="E647" t="s">
        <v>1240</v>
      </c>
      <c r="F647">
        <v>28</v>
      </c>
      <c r="G647" t="s">
        <v>2836</v>
      </c>
      <c r="M647" t="str">
        <f>IF(OR(BOM!$AE$4=FALSE,BOM!$AE$4="-"),IF(ISERROR(SEARCH("send",B647)),"","pool:TPC"),IF(ISERROR(SEARCH("send",B647)),"","pool:TPC|pool:TPC"))</f>
        <v/>
      </c>
      <c r="S647" t="str">
        <f>IFERROR(IF(VLOOKUP(B647,'Sender-Receiver'!$B$3:$BP$1500,60,FALSE)="x","true","false"),"false")</f>
        <v>true</v>
      </c>
      <c r="T647" t="str">
        <f t="shared" si="8"/>
        <v>full</v>
      </c>
      <c r="Y647" t="str">
        <f>IF(BOM!$AE$4=FALSE,IF(ISERROR(SEARCH("Embrionix",BOM!$M$4)),"none",IF(ISERROR(SEARCH("Quadsplit",BOM!$N$4)),IF(ISERROR(SEARCH("rec",B647)),"none","merge"),"none")),IF(ISERROR(SEARCH("rec",B647)),"split","merge"))</f>
        <v>merge</v>
      </c>
    </row>
    <row r="648" spans="1:25" x14ac:dyDescent="0.2">
      <c r="A648" t="s">
        <v>1238</v>
      </c>
      <c r="B648" t="s">
        <v>2900</v>
      </c>
      <c r="C648" t="str">
        <f>IFERROR(VLOOKUP(B648,'Sender-Receiver'!$B$3:$BP$1500,61,FALSE),"")</f>
        <v>Type:Aud_1CH_M,Type:Aud_2CH_LR,Type:Aud_3CH_LRC,Type:Aud_6CH_5.1,Type:Aud_8CH_RAW,#SNP</v>
      </c>
      <c r="D648" t="str">
        <f>IFERROR(VLOOKUP(B648,'Sender-Receiver'!$B$3:$BP$1500,41,FALSE),"")</f>
        <v>M3H InCh PGM | Ingest Ch40-16 | IngSRV-10</v>
      </c>
      <c r="E648" t="s">
        <v>1240</v>
      </c>
      <c r="F648">
        <v>28</v>
      </c>
      <c r="G648" t="s">
        <v>2837</v>
      </c>
      <c r="M648" t="str">
        <f>IF(OR(BOM!$AE$4=FALSE,BOM!$AE$4="-"),IF(ISERROR(SEARCH("send",B648)),"","pool:TPC"),IF(ISERROR(SEARCH("send",B648)),"","pool:TPC|pool:TPC"))</f>
        <v/>
      </c>
      <c r="S648" t="str">
        <f>IFERROR(IF(VLOOKUP(B648,'Sender-Receiver'!$B$3:$BP$1500,60,FALSE)="x","true","false"),"false")</f>
        <v>true</v>
      </c>
      <c r="T648" t="str">
        <f t="shared" si="8"/>
        <v>full</v>
      </c>
      <c r="Y648" t="str">
        <f>IF(BOM!$AE$4=FALSE,IF(ISERROR(SEARCH("Embrionix",BOM!$M$4)),"none",IF(ISERROR(SEARCH("Quadsplit",BOM!$N$4)),IF(ISERROR(SEARCH("rec",B648)),"none","merge"),"none")),IF(ISERROR(SEARCH("rec",B648)),"split","merge"))</f>
        <v>merge</v>
      </c>
    </row>
    <row r="649" spans="1:25" x14ac:dyDescent="0.2">
      <c r="A649" t="s">
        <v>1238</v>
      </c>
      <c r="B649" t="s">
        <v>2901</v>
      </c>
      <c r="C649" t="str">
        <f>IFERROR(VLOOKUP(B649,'Sender-Receiver'!$B$3:$BP$1500,61,FALSE),"")</f>
        <v>Type:Anc_Prot,#SNP</v>
      </c>
      <c r="D649" t="str">
        <f>IFERROR(VLOOKUP(B649,'Sender-Receiver'!$B$3:$BP$1500,41,FALSE),"")</f>
        <v>M3H InCh PGM | Ingest Ch40-ANC1 | IngSRV-10</v>
      </c>
      <c r="E649" t="s">
        <v>1240</v>
      </c>
      <c r="F649">
        <v>28</v>
      </c>
      <c r="G649" t="s">
        <v>2838</v>
      </c>
      <c r="M649" t="str">
        <f>IF(OR(BOM!$AE$4=FALSE,BOM!$AE$4="-"),IF(ISERROR(SEARCH("send",B649)),"","pool:TPC"),IF(ISERROR(SEARCH("send",B649)),"","pool:TPC|pool:TPC"))</f>
        <v/>
      </c>
      <c r="S649" t="str">
        <f>IFERROR(IF(VLOOKUP(B649,'Sender-Receiver'!$B$3:$BP$1500,60,FALSE)="x","true","false"),"false")</f>
        <v>true</v>
      </c>
      <c r="T649" t="str">
        <f t="shared" si="8"/>
        <v>full</v>
      </c>
      <c r="Y649" t="str">
        <f>IF(BOM!$AE$4=FALSE,IF(ISERROR(SEARCH("Embrionix",BOM!$M$4)),"none",IF(ISERROR(SEARCH("Quadsplit",BOM!$N$4)),IF(ISERROR(SEARCH("rec",B649)),"none","merge"),"none")),IF(ISERROR(SEARCH("rec",B649)),"split","merge"))</f>
        <v>merge</v>
      </c>
    </row>
    <row r="650" spans="1:25" x14ac:dyDescent="0.2">
      <c r="A650" t="s">
        <v>1238</v>
      </c>
      <c r="B650" t="s">
        <v>2902</v>
      </c>
      <c r="C650" t="str">
        <f>IFERROR(VLOOKUP(B650,'Sender-Receiver'!$B$3:$BP$1500,61,FALSE),"")</f>
        <v>#SNP</v>
      </c>
      <c r="D650" t="str">
        <f>IFERROR(VLOOKUP(B650,'Sender-Receiver'!$B$3:$BP$1500,41,FALSE),"")</f>
        <v xml:space="preserve"> |  | IngSRV-10</v>
      </c>
      <c r="E650" t="s">
        <v>1240</v>
      </c>
      <c r="F650">
        <v>28</v>
      </c>
      <c r="G650" t="s">
        <v>2839</v>
      </c>
      <c r="M650" t="str">
        <f>IF(OR(BOM!$AE$4=FALSE,BOM!$AE$4="-"),IF(ISERROR(SEARCH("send",B650)),"","pool:TPC"),IF(ISERROR(SEARCH("send",B650)),"","pool:TPC|pool:TPC"))</f>
        <v/>
      </c>
      <c r="S650" t="str">
        <f>IFERROR(IF(VLOOKUP(B650,'Sender-Receiver'!$B$3:$BP$1500,60,FALSE)="x","true","false"),"false")</f>
        <v>false</v>
      </c>
      <c r="T650" t="str">
        <f t="shared" si="8"/>
        <v>off</v>
      </c>
      <c r="Y650" t="str">
        <f>IF(BOM!$AE$4=FALSE,IF(ISERROR(SEARCH("Embrionix",BOM!$M$4)),"none",IF(ISERROR(SEARCH("Quadsplit",BOM!$N$4)),IF(ISERROR(SEARCH("rec",B650)),"none","merge"),"none")),IF(ISERROR(SEARCH("rec",B650)),"split","merge"))</f>
        <v>merge</v>
      </c>
    </row>
    <row r="651" spans="1:25" x14ac:dyDescent="0.2">
      <c r="A651" t="s">
        <v>1238</v>
      </c>
      <c r="B651" t="s">
        <v>2903</v>
      </c>
      <c r="C651" t="str">
        <f>IFERROR(VLOOKUP(B651,'Sender-Receiver'!$B$3:$BP$1500,61,FALSE),"")</f>
        <v>#SNP</v>
      </c>
      <c r="D651" t="str">
        <f>IFERROR(VLOOKUP(B651,'Sender-Receiver'!$B$3:$BP$1500,41,FALSE),"")</f>
        <v xml:space="preserve"> |  | IngSRV-10</v>
      </c>
      <c r="E651" t="s">
        <v>1240</v>
      </c>
      <c r="F651">
        <v>28</v>
      </c>
      <c r="G651" t="s">
        <v>2840</v>
      </c>
      <c r="M651" t="str">
        <f>IF(OR(BOM!$AE$4=FALSE,BOM!$AE$4="-"),IF(ISERROR(SEARCH("send",B651)),"","pool:TPC"),IF(ISERROR(SEARCH("send",B651)),"","pool:TPC|pool:TPC"))</f>
        <v/>
      </c>
      <c r="S651" t="str">
        <f>IFERROR(IF(VLOOKUP(B651,'Sender-Receiver'!$B$3:$BP$1500,60,FALSE)="x","true","false"),"false")</f>
        <v>false</v>
      </c>
      <c r="T651" t="str">
        <f t="shared" si="8"/>
        <v>off</v>
      </c>
      <c r="Y651" t="str">
        <f>IF(BOM!$AE$4=FALSE,IF(ISERROR(SEARCH("Embrionix",BOM!$M$4)),"none",IF(ISERROR(SEARCH("Quadsplit",BOM!$N$4)),IF(ISERROR(SEARCH("rec",B651)),"none","merge"),"none")),IF(ISERROR(SEARCH("rec",B651)),"split","merge"))</f>
        <v>merge</v>
      </c>
    </row>
    <row r="652" spans="1:25" x14ac:dyDescent="0.2">
      <c r="A652" t="s">
        <v>1238</v>
      </c>
      <c r="B652" t="s">
        <v>2904</v>
      </c>
      <c r="C652" t="str">
        <f>IFERROR(VLOOKUP(B652,'Sender-Receiver'!$B$3:$BP$1500,61,FALSE),"")</f>
        <v>#SNP</v>
      </c>
      <c r="D652" t="str">
        <f>IFERROR(VLOOKUP(B652,'Sender-Receiver'!$B$3:$BP$1500,41,FALSE),"")</f>
        <v xml:space="preserve"> |  | IngSRV-10</v>
      </c>
      <c r="E652" t="s">
        <v>1240</v>
      </c>
      <c r="F652">
        <v>28</v>
      </c>
      <c r="G652" t="s">
        <v>2841</v>
      </c>
      <c r="M652" t="str">
        <f>IF(OR(BOM!$AE$4=FALSE,BOM!$AE$4="-"),IF(ISERROR(SEARCH("send",B652)),"","pool:TPC"),IF(ISERROR(SEARCH("send",B652)),"","pool:TPC|pool:TPC"))</f>
        <v/>
      </c>
      <c r="S652" t="str">
        <f>IFERROR(IF(VLOOKUP(B652,'Sender-Receiver'!$B$3:$BP$1500,60,FALSE)="x","true","false"),"false")</f>
        <v>false</v>
      </c>
      <c r="T652" t="str">
        <f t="shared" si="8"/>
        <v>off</v>
      </c>
      <c r="Y652" t="str">
        <f>IF(BOM!$AE$4=FALSE,IF(ISERROR(SEARCH("Embrionix",BOM!$M$4)),"none",IF(ISERROR(SEARCH("Quadsplit",BOM!$N$4)),IF(ISERROR(SEARCH("rec",B652)),"none","merge"),"none")),IF(ISERROR(SEARCH("rec",B652)),"split","merge"))</f>
        <v>merge</v>
      </c>
    </row>
    <row r="653" spans="1:25" x14ac:dyDescent="0.2">
      <c r="A653" t="s">
        <v>1238</v>
      </c>
      <c r="B653" t="s">
        <v>2374</v>
      </c>
      <c r="C653" t="str">
        <f>IFERROR(VLOOKUP(B653,'Sender-Receiver'!$B$3:$BP$1500,61,FALSE),"")</f>
        <v/>
      </c>
      <c r="D653" t="str">
        <f>IFERROR(VLOOKUP(B653,'Sender-Receiver'!$B$3:$BP$1500,41,FALSE),"")</f>
        <v/>
      </c>
      <c r="E653" t="s">
        <v>1240</v>
      </c>
      <c r="F653">
        <v>28</v>
      </c>
      <c r="G653" t="s">
        <v>2375</v>
      </c>
      <c r="M653" t="str">
        <f>IF(OR(BOM!$AE$4=FALSE,BOM!$AE$4="-"),IF(ISERROR(SEARCH("send",B653)),"","pool:TPC"),IF(ISERROR(SEARCH("send",B653)),"","pool:TPC|pool:TPC"))</f>
        <v>pool:TPC|pool:TPC</v>
      </c>
      <c r="S653" t="str">
        <f>IFERROR(IF(VLOOKUP(B653,'Sender-Receiver'!$B$3:$BP$1500,60,FALSE)="x","true","false"),"false")</f>
        <v>false</v>
      </c>
      <c r="T653" t="str">
        <f t="shared" si="8"/>
        <v>off</v>
      </c>
      <c r="Y653" t="str">
        <f>IF(BOM!$AE$4=FALSE,IF(ISERROR(SEARCH("Embrionix",BOM!$M$4)),"none",IF(ISERROR(SEARCH("Quadsplit",BOM!$N$4)),IF(ISERROR(SEARCH("rec",B653)),"none","merge"),"none")),IF(ISERROR(SEARCH("rec",B653)),"split","merge"))</f>
        <v>split</v>
      </c>
    </row>
    <row r="654" spans="1:25" x14ac:dyDescent="0.2">
      <c r="A654" t="s">
        <v>1238</v>
      </c>
      <c r="B654" t="s">
        <v>2376</v>
      </c>
      <c r="C654" t="str">
        <f>IFERROR(VLOOKUP(B654,'Sender-Receiver'!$B$3:$BP$1500,61,FALSE),"")</f>
        <v/>
      </c>
      <c r="D654" t="str">
        <f>IFERROR(VLOOKUP(B654,'Sender-Receiver'!$B$3:$BP$1500,41,FALSE),"")</f>
        <v/>
      </c>
      <c r="E654" t="s">
        <v>1240</v>
      </c>
      <c r="F654">
        <v>28</v>
      </c>
      <c r="G654" t="s">
        <v>2377</v>
      </c>
      <c r="M654" t="str">
        <f>IF(OR(BOM!$AE$4=FALSE,BOM!$AE$4="-"),IF(ISERROR(SEARCH("send",B654)),"","pool:TPC"),IF(ISERROR(SEARCH("send",B654)),"","pool:TPC|pool:TPC"))</f>
        <v>pool:TPC|pool:TPC</v>
      </c>
      <c r="S654" t="str">
        <f>IFERROR(IF(VLOOKUP(B654,'Sender-Receiver'!$B$3:$BP$1500,60,FALSE)="x","true","false"),"false")</f>
        <v>false</v>
      </c>
      <c r="T654" t="str">
        <f t="shared" si="8"/>
        <v>off</v>
      </c>
      <c r="Y654" t="str">
        <f>IF(BOM!$AE$4=FALSE,IF(ISERROR(SEARCH("Embrionix",BOM!$M$4)),"none",IF(ISERROR(SEARCH("Quadsplit",BOM!$N$4)),IF(ISERROR(SEARCH("rec",B654)),"none","merge"),"none")),IF(ISERROR(SEARCH("rec",B654)),"split","merge"))</f>
        <v>split</v>
      </c>
    </row>
    <row r="655" spans="1:25" x14ac:dyDescent="0.2">
      <c r="A655" t="s">
        <v>1238</v>
      </c>
      <c r="B655" t="s">
        <v>2378</v>
      </c>
      <c r="C655" t="str">
        <f>IFERROR(VLOOKUP(B655,'Sender-Receiver'!$B$3:$BP$1500,61,FALSE),"")</f>
        <v/>
      </c>
      <c r="D655" t="str">
        <f>IFERROR(VLOOKUP(B655,'Sender-Receiver'!$B$3:$BP$1500,41,FALSE),"")</f>
        <v/>
      </c>
      <c r="E655" t="s">
        <v>1240</v>
      </c>
      <c r="F655">
        <v>28</v>
      </c>
      <c r="G655" t="s">
        <v>2379</v>
      </c>
      <c r="M655" t="str">
        <f>IF(OR(BOM!$AE$4=FALSE,BOM!$AE$4="-"),IF(ISERROR(SEARCH("send",B655)),"","pool:TPC"),IF(ISERROR(SEARCH("send",B655)),"","pool:TPC|pool:TPC"))</f>
        <v>pool:TPC|pool:TPC</v>
      </c>
      <c r="S655" t="str">
        <f>IFERROR(IF(VLOOKUP(B655,'Sender-Receiver'!$B$3:$BP$1500,60,FALSE)="x","true","false"),"false")</f>
        <v>false</v>
      </c>
      <c r="T655" t="str">
        <f t="shared" si="8"/>
        <v>off</v>
      </c>
      <c r="Y655" t="str">
        <f>IF(BOM!$AE$4=FALSE,IF(ISERROR(SEARCH("Embrionix",BOM!$M$4)),"none",IF(ISERROR(SEARCH("Quadsplit",BOM!$N$4)),IF(ISERROR(SEARCH("rec",B655)),"none","merge"),"none")),IF(ISERROR(SEARCH("rec",B655)),"split","merge"))</f>
        <v>split</v>
      </c>
    </row>
    <row r="656" spans="1:25" x14ac:dyDescent="0.2">
      <c r="A656" t="s">
        <v>1238</v>
      </c>
      <c r="B656" t="s">
        <v>2380</v>
      </c>
      <c r="C656" t="str">
        <f>IFERROR(VLOOKUP(B656,'Sender-Receiver'!$B$3:$BP$1500,61,FALSE),"")</f>
        <v/>
      </c>
      <c r="D656" t="str">
        <f>IFERROR(VLOOKUP(B656,'Sender-Receiver'!$B$3:$BP$1500,41,FALSE),"")</f>
        <v/>
      </c>
      <c r="E656" t="s">
        <v>1240</v>
      </c>
      <c r="F656">
        <v>28</v>
      </c>
      <c r="G656" t="s">
        <v>2381</v>
      </c>
      <c r="M656" t="str">
        <f>IF(OR(BOM!$AE$4=FALSE,BOM!$AE$4="-"),IF(ISERROR(SEARCH("send",B656)),"","pool:TPC"),IF(ISERROR(SEARCH("send",B656)),"","pool:TPC|pool:TPC"))</f>
        <v>pool:TPC|pool:TPC</v>
      </c>
      <c r="S656" t="str">
        <f>IFERROR(IF(VLOOKUP(B656,'Sender-Receiver'!$B$3:$BP$1500,60,FALSE)="x","true","false"),"false")</f>
        <v>false</v>
      </c>
      <c r="T656" t="str">
        <f t="shared" si="8"/>
        <v>off</v>
      </c>
      <c r="Y656" t="str">
        <f>IF(BOM!$AE$4=FALSE,IF(ISERROR(SEARCH("Embrionix",BOM!$M$4)),"none",IF(ISERROR(SEARCH("Quadsplit",BOM!$N$4)),IF(ISERROR(SEARCH("rec",B656)),"none","merge"),"none")),IF(ISERROR(SEARCH("rec",B656)),"split","merge"))</f>
        <v>split</v>
      </c>
    </row>
    <row r="657" spans="1:25" x14ac:dyDescent="0.2">
      <c r="A657" t="s">
        <v>1238</v>
      </c>
      <c r="B657" t="s">
        <v>2382</v>
      </c>
      <c r="C657" t="str">
        <f>IFERROR(VLOOKUP(B657,'Sender-Receiver'!$B$3:$BP$1500,61,FALSE),"")</f>
        <v/>
      </c>
      <c r="D657" t="str">
        <f>IFERROR(VLOOKUP(B657,'Sender-Receiver'!$B$3:$BP$1500,41,FALSE),"")</f>
        <v/>
      </c>
      <c r="E657" t="s">
        <v>1240</v>
      </c>
      <c r="F657">
        <v>28</v>
      </c>
      <c r="G657" t="s">
        <v>2383</v>
      </c>
      <c r="M657" t="str">
        <f>IF(OR(BOM!$AE$4=FALSE,BOM!$AE$4="-"),IF(ISERROR(SEARCH("send",B657)),"","pool:TPC"),IF(ISERROR(SEARCH("send",B657)),"","pool:TPC|pool:TPC"))</f>
        <v>pool:TPC|pool:TPC</v>
      </c>
      <c r="S657" t="str">
        <f>IFERROR(IF(VLOOKUP(B657,'Sender-Receiver'!$B$3:$BP$1500,60,FALSE)="x","true","false"),"false")</f>
        <v>false</v>
      </c>
      <c r="T657" t="str">
        <f t="shared" si="8"/>
        <v>off</v>
      </c>
      <c r="Y657" t="str">
        <f>IF(BOM!$AE$4=FALSE,IF(ISERROR(SEARCH("Embrionix",BOM!$M$4)),"none",IF(ISERROR(SEARCH("Quadsplit",BOM!$N$4)),IF(ISERROR(SEARCH("rec",B657)),"none","merge"),"none")),IF(ISERROR(SEARCH("rec",B657)),"split","merge"))</f>
        <v>split</v>
      </c>
    </row>
    <row r="658" spans="1:25" x14ac:dyDescent="0.2">
      <c r="A658" t="s">
        <v>1238</v>
      </c>
      <c r="B658" t="s">
        <v>2384</v>
      </c>
      <c r="C658" t="str">
        <f>IFERROR(VLOOKUP(B658,'Sender-Receiver'!$B$3:$BP$1500,61,FALSE),"")</f>
        <v/>
      </c>
      <c r="D658" t="str">
        <f>IFERROR(VLOOKUP(B658,'Sender-Receiver'!$B$3:$BP$1500,41,FALSE),"")</f>
        <v/>
      </c>
      <c r="E658" t="s">
        <v>1240</v>
      </c>
      <c r="F658">
        <v>28</v>
      </c>
      <c r="G658" t="s">
        <v>2385</v>
      </c>
      <c r="M658" t="str">
        <f>IF(OR(BOM!$AE$4=FALSE,BOM!$AE$4="-"),IF(ISERROR(SEARCH("send",B658)),"","pool:TPC"),IF(ISERROR(SEARCH("send",B658)),"","pool:TPC|pool:TPC"))</f>
        <v>pool:TPC|pool:TPC</v>
      </c>
      <c r="S658" t="str">
        <f>IFERROR(IF(VLOOKUP(B658,'Sender-Receiver'!$B$3:$BP$1500,60,FALSE)="x","true","false"),"false")</f>
        <v>false</v>
      </c>
      <c r="T658" t="str">
        <f t="shared" si="8"/>
        <v>off</v>
      </c>
      <c r="Y658" t="str">
        <f>IF(BOM!$AE$4=FALSE,IF(ISERROR(SEARCH("Embrionix",BOM!$M$4)),"none",IF(ISERROR(SEARCH("Quadsplit",BOM!$N$4)),IF(ISERROR(SEARCH("rec",B658)),"none","merge"),"none")),IF(ISERROR(SEARCH("rec",B658)),"split","merge"))</f>
        <v>split</v>
      </c>
    </row>
    <row r="659" spans="1:25" x14ac:dyDescent="0.2">
      <c r="A659" t="s">
        <v>1238</v>
      </c>
      <c r="B659" t="s">
        <v>2386</v>
      </c>
      <c r="C659" t="str">
        <f>IFERROR(VLOOKUP(B659,'Sender-Receiver'!$B$3:$BP$1500,61,FALSE),"")</f>
        <v/>
      </c>
      <c r="D659" t="str">
        <f>IFERROR(VLOOKUP(B659,'Sender-Receiver'!$B$3:$BP$1500,41,FALSE),"")</f>
        <v/>
      </c>
      <c r="E659" t="s">
        <v>1240</v>
      </c>
      <c r="F659">
        <v>28</v>
      </c>
      <c r="G659" t="s">
        <v>2387</v>
      </c>
      <c r="M659" t="str">
        <f>IF(OR(BOM!$AE$4=FALSE,BOM!$AE$4="-"),IF(ISERROR(SEARCH("send",B659)),"","pool:TPC"),IF(ISERROR(SEARCH("send",B659)),"","pool:TPC|pool:TPC"))</f>
        <v>pool:TPC|pool:TPC</v>
      </c>
      <c r="S659" t="str">
        <f>IFERROR(IF(VLOOKUP(B659,'Sender-Receiver'!$B$3:$BP$1500,60,FALSE)="x","true","false"),"false")</f>
        <v>false</v>
      </c>
      <c r="T659" t="str">
        <f t="shared" si="8"/>
        <v>off</v>
      </c>
      <c r="Y659" t="str">
        <f>IF(BOM!$AE$4=FALSE,IF(ISERROR(SEARCH("Embrionix",BOM!$M$4)),"none",IF(ISERROR(SEARCH("Quadsplit",BOM!$N$4)),IF(ISERROR(SEARCH("rec",B659)),"none","merge"),"none")),IF(ISERROR(SEARCH("rec",B659)),"split","merge"))</f>
        <v>split</v>
      </c>
    </row>
    <row r="660" spans="1:25" x14ac:dyDescent="0.2">
      <c r="A660" t="s">
        <v>1238</v>
      </c>
      <c r="B660" t="s">
        <v>2388</v>
      </c>
      <c r="C660" t="str">
        <f>IFERROR(VLOOKUP(B660,'Sender-Receiver'!$B$3:$BP$1500,61,FALSE),"")</f>
        <v/>
      </c>
      <c r="D660" t="str">
        <f>IFERROR(VLOOKUP(B660,'Sender-Receiver'!$B$3:$BP$1500,41,FALSE),"")</f>
        <v/>
      </c>
      <c r="E660" t="s">
        <v>1240</v>
      </c>
      <c r="F660">
        <v>28</v>
      </c>
      <c r="G660" t="s">
        <v>2389</v>
      </c>
      <c r="M660" t="str">
        <f>IF(OR(BOM!$AE$4=FALSE,BOM!$AE$4="-"),IF(ISERROR(SEARCH("send",B660)),"","pool:TPC"),IF(ISERROR(SEARCH("send",B660)),"","pool:TPC|pool:TPC"))</f>
        <v>pool:TPC|pool:TPC</v>
      </c>
      <c r="S660" t="str">
        <f>IFERROR(IF(VLOOKUP(B660,'Sender-Receiver'!$B$3:$BP$1500,60,FALSE)="x","true","false"),"false")</f>
        <v>false</v>
      </c>
      <c r="T660" t="str">
        <f t="shared" si="8"/>
        <v>off</v>
      </c>
      <c r="Y660" t="str">
        <f>IF(BOM!$AE$4=FALSE,IF(ISERROR(SEARCH("Embrionix",BOM!$M$4)),"none",IF(ISERROR(SEARCH("Quadsplit",BOM!$N$4)),IF(ISERROR(SEARCH("rec",B660)),"none","merge"),"none")),IF(ISERROR(SEARCH("rec",B660)),"split","merge"))</f>
        <v>split</v>
      </c>
    </row>
    <row r="661" spans="1:25" x14ac:dyDescent="0.2">
      <c r="A661" t="s">
        <v>1238</v>
      </c>
      <c r="B661" t="s">
        <v>2390</v>
      </c>
      <c r="C661" t="str">
        <f>IFERROR(VLOOKUP(B661,'Sender-Receiver'!$B$3:$BP$1500,61,FALSE),"")</f>
        <v/>
      </c>
      <c r="D661" t="str">
        <f>IFERROR(VLOOKUP(B661,'Sender-Receiver'!$B$3:$BP$1500,41,FALSE),"")</f>
        <v/>
      </c>
      <c r="E661" t="s">
        <v>1240</v>
      </c>
      <c r="F661">
        <v>28</v>
      </c>
      <c r="G661" t="s">
        <v>2391</v>
      </c>
      <c r="M661" t="str">
        <f>IF(OR(BOM!$AE$4=FALSE,BOM!$AE$4="-"),IF(ISERROR(SEARCH("send",B661)),"","pool:TPC"),IF(ISERROR(SEARCH("send",B661)),"","pool:TPC|pool:TPC"))</f>
        <v>pool:TPC|pool:TPC</v>
      </c>
      <c r="S661" t="str">
        <f>IFERROR(IF(VLOOKUP(B661,'Sender-Receiver'!$B$3:$BP$1500,60,FALSE)="x","true","false"),"false")</f>
        <v>false</v>
      </c>
      <c r="T661" t="str">
        <f t="shared" si="8"/>
        <v>off</v>
      </c>
      <c r="Y661" t="str">
        <f>IF(BOM!$AE$4=FALSE,IF(ISERROR(SEARCH("Embrionix",BOM!$M$4)),"none",IF(ISERROR(SEARCH("Quadsplit",BOM!$N$4)),IF(ISERROR(SEARCH("rec",B661)),"none","merge"),"none")),IF(ISERROR(SEARCH("rec",B661)),"split","merge"))</f>
        <v>split</v>
      </c>
    </row>
    <row r="662" spans="1:25" x14ac:dyDescent="0.2">
      <c r="A662" t="s">
        <v>1238</v>
      </c>
      <c r="B662" t="s">
        <v>2392</v>
      </c>
      <c r="C662" t="str">
        <f>IFERROR(VLOOKUP(B662,'Sender-Receiver'!$B$3:$BP$1500,61,FALSE),"")</f>
        <v/>
      </c>
      <c r="D662" t="str">
        <f>IFERROR(VLOOKUP(B662,'Sender-Receiver'!$B$3:$BP$1500,41,FALSE),"")</f>
        <v/>
      </c>
      <c r="E662" t="s">
        <v>1240</v>
      </c>
      <c r="F662">
        <v>28</v>
      </c>
      <c r="G662" t="s">
        <v>2393</v>
      </c>
      <c r="M662" t="str">
        <f>IF(OR(BOM!$AE$4=FALSE,BOM!$AE$4="-"),IF(ISERROR(SEARCH("send",B662)),"","pool:TPC"),IF(ISERROR(SEARCH("send",B662)),"","pool:TPC|pool:TPC"))</f>
        <v>pool:TPC|pool:TPC</v>
      </c>
      <c r="S662" t="str">
        <f>IFERROR(IF(VLOOKUP(B662,'Sender-Receiver'!$B$3:$BP$1500,60,FALSE)="x","true","false"),"false")</f>
        <v>false</v>
      </c>
      <c r="T662" t="str">
        <f t="shared" si="8"/>
        <v>off</v>
      </c>
      <c r="Y662" t="str">
        <f>IF(BOM!$AE$4=FALSE,IF(ISERROR(SEARCH("Embrionix",BOM!$M$4)),"none",IF(ISERROR(SEARCH("Quadsplit",BOM!$N$4)),IF(ISERROR(SEARCH("rec",B662)),"none","merge"),"none")),IF(ISERROR(SEARCH("rec",B662)),"split","merge"))</f>
        <v>split</v>
      </c>
    </row>
    <row r="663" spans="1:25" x14ac:dyDescent="0.2">
      <c r="A663" t="s">
        <v>1238</v>
      </c>
      <c r="B663" t="s">
        <v>2394</v>
      </c>
      <c r="C663" t="str">
        <f>IFERROR(VLOOKUP(B663,'Sender-Receiver'!$B$3:$BP$1500,61,FALSE),"")</f>
        <v/>
      </c>
      <c r="D663" t="str">
        <f>IFERROR(VLOOKUP(B663,'Sender-Receiver'!$B$3:$BP$1500,41,FALSE),"")</f>
        <v/>
      </c>
      <c r="E663" t="s">
        <v>1240</v>
      </c>
      <c r="F663">
        <v>28</v>
      </c>
      <c r="G663" t="s">
        <v>2395</v>
      </c>
      <c r="M663" t="str">
        <f>IF(OR(BOM!$AE$4=FALSE,BOM!$AE$4="-"),IF(ISERROR(SEARCH("send",B663)),"","pool:TPC"),IF(ISERROR(SEARCH("send",B663)),"","pool:TPC|pool:TPC"))</f>
        <v>pool:TPC|pool:TPC</v>
      </c>
      <c r="S663" t="str">
        <f>IFERROR(IF(VLOOKUP(B663,'Sender-Receiver'!$B$3:$BP$1500,60,FALSE)="x","true","false"),"false")</f>
        <v>false</v>
      </c>
      <c r="T663" t="str">
        <f t="shared" ref="T663:T726" si="9">IF(S663="true","full","off")</f>
        <v>off</v>
      </c>
      <c r="Y663" t="str">
        <f>IF(BOM!$AE$4=FALSE,IF(ISERROR(SEARCH("Embrionix",BOM!$M$4)),"none",IF(ISERROR(SEARCH("Quadsplit",BOM!$N$4)),IF(ISERROR(SEARCH("rec",B663)),"none","merge"),"none")),IF(ISERROR(SEARCH("rec",B663)),"split","merge"))</f>
        <v>split</v>
      </c>
    </row>
    <row r="664" spans="1:25" x14ac:dyDescent="0.2">
      <c r="A664" t="s">
        <v>1238</v>
      </c>
      <c r="B664" t="s">
        <v>2396</v>
      </c>
      <c r="C664" t="str">
        <f>IFERROR(VLOOKUP(B664,'Sender-Receiver'!$B$3:$BP$1500,61,FALSE),"")</f>
        <v/>
      </c>
      <c r="D664" t="str">
        <f>IFERROR(VLOOKUP(B664,'Sender-Receiver'!$B$3:$BP$1500,41,FALSE),"")</f>
        <v/>
      </c>
      <c r="E664" t="s">
        <v>1240</v>
      </c>
      <c r="F664">
        <v>28</v>
      </c>
      <c r="G664" t="s">
        <v>2397</v>
      </c>
      <c r="M664" t="str">
        <f>IF(OR(BOM!$AE$4=FALSE,BOM!$AE$4="-"),IF(ISERROR(SEARCH("send",B664)),"","pool:TPC"),IF(ISERROR(SEARCH("send",B664)),"","pool:TPC|pool:TPC"))</f>
        <v>pool:TPC|pool:TPC</v>
      </c>
      <c r="S664" t="str">
        <f>IFERROR(IF(VLOOKUP(B664,'Sender-Receiver'!$B$3:$BP$1500,60,FALSE)="x","true","false"),"false")</f>
        <v>false</v>
      </c>
      <c r="T664" t="str">
        <f t="shared" si="9"/>
        <v>off</v>
      </c>
      <c r="Y664" t="str">
        <f>IF(BOM!$AE$4=FALSE,IF(ISERROR(SEARCH("Embrionix",BOM!$M$4)),"none",IF(ISERROR(SEARCH("Quadsplit",BOM!$N$4)),IF(ISERROR(SEARCH("rec",B664)),"none","merge"),"none")),IF(ISERROR(SEARCH("rec",B664)),"split","merge"))</f>
        <v>split</v>
      </c>
    </row>
    <row r="665" spans="1:25" x14ac:dyDescent="0.2">
      <c r="A665" t="s">
        <v>1238</v>
      </c>
      <c r="B665" t="s">
        <v>2398</v>
      </c>
      <c r="C665" t="str">
        <f>IFERROR(VLOOKUP(B665,'Sender-Receiver'!$B$3:$BP$1500,61,FALSE),"")</f>
        <v/>
      </c>
      <c r="D665" t="str">
        <f>IFERROR(VLOOKUP(B665,'Sender-Receiver'!$B$3:$BP$1500,41,FALSE),"")</f>
        <v/>
      </c>
      <c r="E665" t="s">
        <v>1240</v>
      </c>
      <c r="F665">
        <v>28</v>
      </c>
      <c r="G665" t="s">
        <v>2399</v>
      </c>
      <c r="M665" t="str">
        <f>IF(OR(BOM!$AE$4=FALSE,BOM!$AE$4="-"),IF(ISERROR(SEARCH("send",B665)),"","pool:TPC"),IF(ISERROR(SEARCH("send",B665)),"","pool:TPC|pool:TPC"))</f>
        <v>pool:TPC|pool:TPC</v>
      </c>
      <c r="S665" t="str">
        <f>IFERROR(IF(VLOOKUP(B665,'Sender-Receiver'!$B$3:$BP$1500,60,FALSE)="x","true","false"),"false")</f>
        <v>false</v>
      </c>
      <c r="T665" t="str">
        <f t="shared" si="9"/>
        <v>off</v>
      </c>
      <c r="Y665" t="str">
        <f>IF(BOM!$AE$4=FALSE,IF(ISERROR(SEARCH("Embrionix",BOM!$M$4)),"none",IF(ISERROR(SEARCH("Quadsplit",BOM!$N$4)),IF(ISERROR(SEARCH("rec",B665)),"none","merge"),"none")),IF(ISERROR(SEARCH("rec",B665)),"split","merge"))</f>
        <v>split</v>
      </c>
    </row>
    <row r="666" spans="1:25" x14ac:dyDescent="0.2">
      <c r="A666" t="s">
        <v>1238</v>
      </c>
      <c r="B666" t="s">
        <v>2400</v>
      </c>
      <c r="C666" t="str">
        <f>IFERROR(VLOOKUP(B666,'Sender-Receiver'!$B$3:$BP$1500,61,FALSE),"")</f>
        <v/>
      </c>
      <c r="D666" t="str">
        <f>IFERROR(VLOOKUP(B666,'Sender-Receiver'!$B$3:$BP$1500,41,FALSE),"")</f>
        <v/>
      </c>
      <c r="E666" t="s">
        <v>1240</v>
      </c>
      <c r="F666">
        <v>28</v>
      </c>
      <c r="G666" t="s">
        <v>2401</v>
      </c>
      <c r="M666" t="str">
        <f>IF(OR(BOM!$AE$4=FALSE,BOM!$AE$4="-"),IF(ISERROR(SEARCH("send",B666)),"","pool:TPC"),IF(ISERROR(SEARCH("send",B666)),"","pool:TPC|pool:TPC"))</f>
        <v>pool:TPC|pool:TPC</v>
      </c>
      <c r="S666" t="str">
        <f>IFERROR(IF(VLOOKUP(B666,'Sender-Receiver'!$B$3:$BP$1500,60,FALSE)="x","true","false"),"false")</f>
        <v>false</v>
      </c>
      <c r="T666" t="str">
        <f t="shared" si="9"/>
        <v>off</v>
      </c>
      <c r="Y666" t="str">
        <f>IF(BOM!$AE$4=FALSE,IF(ISERROR(SEARCH("Embrionix",BOM!$M$4)),"none",IF(ISERROR(SEARCH("Quadsplit",BOM!$N$4)),IF(ISERROR(SEARCH("rec",B666)),"none","merge"),"none")),IF(ISERROR(SEARCH("rec",B666)),"split","merge"))</f>
        <v>split</v>
      </c>
    </row>
    <row r="667" spans="1:25" x14ac:dyDescent="0.2">
      <c r="A667" t="s">
        <v>1238</v>
      </c>
      <c r="B667" t="s">
        <v>2402</v>
      </c>
      <c r="C667" t="str">
        <f>IFERROR(VLOOKUP(B667,'Sender-Receiver'!$B$3:$BP$1500,61,FALSE),"")</f>
        <v/>
      </c>
      <c r="D667" t="str">
        <f>IFERROR(VLOOKUP(B667,'Sender-Receiver'!$B$3:$BP$1500,41,FALSE),"")</f>
        <v/>
      </c>
      <c r="E667" t="s">
        <v>1240</v>
      </c>
      <c r="F667">
        <v>28</v>
      </c>
      <c r="G667" t="s">
        <v>2403</v>
      </c>
      <c r="M667" t="str">
        <f>IF(OR(BOM!$AE$4=FALSE,BOM!$AE$4="-"),IF(ISERROR(SEARCH("send",B667)),"","pool:TPC"),IF(ISERROR(SEARCH("send",B667)),"","pool:TPC|pool:TPC"))</f>
        <v>pool:TPC|pool:TPC</v>
      </c>
      <c r="S667" t="str">
        <f>IFERROR(IF(VLOOKUP(B667,'Sender-Receiver'!$B$3:$BP$1500,60,FALSE)="x","true","false"),"false")</f>
        <v>false</v>
      </c>
      <c r="T667" t="str">
        <f t="shared" si="9"/>
        <v>off</v>
      </c>
      <c r="Y667" t="str">
        <f>IF(BOM!$AE$4=FALSE,IF(ISERROR(SEARCH("Embrionix",BOM!$M$4)),"none",IF(ISERROR(SEARCH("Quadsplit",BOM!$N$4)),IF(ISERROR(SEARCH("rec",B667)),"none","merge"),"none")),IF(ISERROR(SEARCH("rec",B667)),"split","merge"))</f>
        <v>split</v>
      </c>
    </row>
    <row r="668" spans="1:25" x14ac:dyDescent="0.2">
      <c r="A668" t="s">
        <v>1238</v>
      </c>
      <c r="B668" t="s">
        <v>2404</v>
      </c>
      <c r="C668" t="str">
        <f>IFERROR(VLOOKUP(B668,'Sender-Receiver'!$B$3:$BP$1500,61,FALSE),"")</f>
        <v/>
      </c>
      <c r="D668" t="str">
        <f>IFERROR(VLOOKUP(B668,'Sender-Receiver'!$B$3:$BP$1500,41,FALSE),"")</f>
        <v/>
      </c>
      <c r="E668" t="s">
        <v>1240</v>
      </c>
      <c r="F668">
        <v>28</v>
      </c>
      <c r="G668" t="s">
        <v>2405</v>
      </c>
      <c r="M668" t="str">
        <f>IF(OR(BOM!$AE$4=FALSE,BOM!$AE$4="-"),IF(ISERROR(SEARCH("send",B668)),"","pool:TPC"),IF(ISERROR(SEARCH("send",B668)),"","pool:TPC|pool:TPC"))</f>
        <v>pool:TPC|pool:TPC</v>
      </c>
      <c r="S668" t="str">
        <f>IFERROR(IF(VLOOKUP(B668,'Sender-Receiver'!$B$3:$BP$1500,60,FALSE)="x","true","false"),"false")</f>
        <v>false</v>
      </c>
      <c r="T668" t="str">
        <f t="shared" si="9"/>
        <v>off</v>
      </c>
      <c r="Y668" t="str">
        <f>IF(BOM!$AE$4=FALSE,IF(ISERROR(SEARCH("Embrionix",BOM!$M$4)),"none",IF(ISERROR(SEARCH("Quadsplit",BOM!$N$4)),IF(ISERROR(SEARCH("rec",B668)),"none","merge"),"none")),IF(ISERROR(SEARCH("rec",B668)),"split","merge"))</f>
        <v>split</v>
      </c>
    </row>
    <row r="669" spans="1:25" x14ac:dyDescent="0.2">
      <c r="A669" t="s">
        <v>1238</v>
      </c>
      <c r="B669" t="s">
        <v>2406</v>
      </c>
      <c r="C669" t="str">
        <f>IFERROR(VLOOKUP(B669,'Sender-Receiver'!$B$3:$BP$1500,61,FALSE),"")</f>
        <v/>
      </c>
      <c r="D669" t="str">
        <f>IFERROR(VLOOKUP(B669,'Sender-Receiver'!$B$3:$BP$1500,41,FALSE),"")</f>
        <v/>
      </c>
      <c r="E669" t="s">
        <v>1240</v>
      </c>
      <c r="F669">
        <v>28</v>
      </c>
      <c r="G669" t="s">
        <v>2407</v>
      </c>
      <c r="M669" t="str">
        <f>IF(OR(BOM!$AE$4=FALSE,BOM!$AE$4="-"),IF(ISERROR(SEARCH("send",B669)),"","pool:TPC"),IF(ISERROR(SEARCH("send",B669)),"","pool:TPC|pool:TPC"))</f>
        <v>pool:TPC|pool:TPC</v>
      </c>
      <c r="S669" t="str">
        <f>IFERROR(IF(VLOOKUP(B669,'Sender-Receiver'!$B$3:$BP$1500,60,FALSE)="x","true","false"),"false")</f>
        <v>false</v>
      </c>
      <c r="T669" t="str">
        <f t="shared" si="9"/>
        <v>off</v>
      </c>
      <c r="Y669" t="str">
        <f>IF(BOM!$AE$4=FALSE,IF(ISERROR(SEARCH("Embrionix",BOM!$M$4)),"none",IF(ISERROR(SEARCH("Quadsplit",BOM!$N$4)),IF(ISERROR(SEARCH("rec",B669)),"none","merge"),"none")),IF(ISERROR(SEARCH("rec",B669)),"split","merge"))</f>
        <v>split</v>
      </c>
    </row>
    <row r="670" spans="1:25" x14ac:dyDescent="0.2">
      <c r="A670" t="s">
        <v>1238</v>
      </c>
      <c r="B670" t="s">
        <v>2408</v>
      </c>
      <c r="C670" t="str">
        <f>IFERROR(VLOOKUP(B670,'Sender-Receiver'!$B$3:$BP$1500,61,FALSE),"")</f>
        <v/>
      </c>
      <c r="D670" t="str">
        <f>IFERROR(VLOOKUP(B670,'Sender-Receiver'!$B$3:$BP$1500,41,FALSE),"")</f>
        <v/>
      </c>
      <c r="E670" t="s">
        <v>1240</v>
      </c>
      <c r="F670">
        <v>28</v>
      </c>
      <c r="G670" t="s">
        <v>2409</v>
      </c>
      <c r="M670" t="str">
        <f>IF(OR(BOM!$AE$4=FALSE,BOM!$AE$4="-"),IF(ISERROR(SEARCH("send",B670)),"","pool:TPC"),IF(ISERROR(SEARCH("send",B670)),"","pool:TPC|pool:TPC"))</f>
        <v>pool:TPC|pool:TPC</v>
      </c>
      <c r="S670" t="str">
        <f>IFERROR(IF(VLOOKUP(B670,'Sender-Receiver'!$B$3:$BP$1500,60,FALSE)="x","true","false"),"false")</f>
        <v>false</v>
      </c>
      <c r="T670" t="str">
        <f t="shared" si="9"/>
        <v>off</v>
      </c>
      <c r="Y670" t="str">
        <f>IF(BOM!$AE$4=FALSE,IF(ISERROR(SEARCH("Embrionix",BOM!$M$4)),"none",IF(ISERROR(SEARCH("Quadsplit",BOM!$N$4)),IF(ISERROR(SEARCH("rec",B670)),"none","merge"),"none")),IF(ISERROR(SEARCH("rec",B670)),"split","merge"))</f>
        <v>split</v>
      </c>
    </row>
    <row r="671" spans="1:25" x14ac:dyDescent="0.2">
      <c r="A671" t="s">
        <v>1238</v>
      </c>
      <c r="B671" t="s">
        <v>2410</v>
      </c>
      <c r="C671" t="str">
        <f>IFERROR(VLOOKUP(B671,'Sender-Receiver'!$B$3:$BP$1500,61,FALSE),"")</f>
        <v/>
      </c>
      <c r="D671" t="str">
        <f>IFERROR(VLOOKUP(B671,'Sender-Receiver'!$B$3:$BP$1500,41,FALSE),"")</f>
        <v/>
      </c>
      <c r="E671" t="s">
        <v>1240</v>
      </c>
      <c r="F671">
        <v>28</v>
      </c>
      <c r="G671" t="s">
        <v>2411</v>
      </c>
      <c r="M671" t="str">
        <f>IF(OR(BOM!$AE$4=FALSE,BOM!$AE$4="-"),IF(ISERROR(SEARCH("send",B671)),"","pool:TPC"),IF(ISERROR(SEARCH("send",B671)),"","pool:TPC|pool:TPC"))</f>
        <v>pool:TPC|pool:TPC</v>
      </c>
      <c r="S671" t="str">
        <f>IFERROR(IF(VLOOKUP(B671,'Sender-Receiver'!$B$3:$BP$1500,60,FALSE)="x","true","false"),"false")</f>
        <v>false</v>
      </c>
      <c r="T671" t="str">
        <f t="shared" si="9"/>
        <v>off</v>
      </c>
      <c r="Y671" t="str">
        <f>IF(BOM!$AE$4=FALSE,IF(ISERROR(SEARCH("Embrionix",BOM!$M$4)),"none",IF(ISERROR(SEARCH("Quadsplit",BOM!$N$4)),IF(ISERROR(SEARCH("rec",B671)),"none","merge"),"none")),IF(ISERROR(SEARCH("rec",B671)),"split","merge"))</f>
        <v>split</v>
      </c>
    </row>
    <row r="672" spans="1:25" x14ac:dyDescent="0.2">
      <c r="A672" t="s">
        <v>1238</v>
      </c>
      <c r="B672" t="s">
        <v>2412</v>
      </c>
      <c r="C672" t="str">
        <f>IFERROR(VLOOKUP(B672,'Sender-Receiver'!$B$3:$BP$1500,61,FALSE),"")</f>
        <v/>
      </c>
      <c r="D672" t="str">
        <f>IFERROR(VLOOKUP(B672,'Sender-Receiver'!$B$3:$BP$1500,41,FALSE),"")</f>
        <v/>
      </c>
      <c r="E672" t="s">
        <v>1240</v>
      </c>
      <c r="F672">
        <v>28</v>
      </c>
      <c r="G672" t="s">
        <v>2413</v>
      </c>
      <c r="M672" t="str">
        <f>IF(OR(BOM!$AE$4=FALSE,BOM!$AE$4="-"),IF(ISERROR(SEARCH("send",B672)),"","pool:TPC"),IF(ISERROR(SEARCH("send",B672)),"","pool:TPC|pool:TPC"))</f>
        <v>pool:TPC|pool:TPC</v>
      </c>
      <c r="S672" t="str">
        <f>IFERROR(IF(VLOOKUP(B672,'Sender-Receiver'!$B$3:$BP$1500,60,FALSE)="x","true","false"),"false")</f>
        <v>false</v>
      </c>
      <c r="T672" t="str">
        <f t="shared" si="9"/>
        <v>off</v>
      </c>
      <c r="Y672" t="str">
        <f>IF(BOM!$AE$4=FALSE,IF(ISERROR(SEARCH("Embrionix",BOM!$M$4)),"none",IF(ISERROR(SEARCH("Quadsplit",BOM!$N$4)),IF(ISERROR(SEARCH("rec",B672)),"none","merge"),"none")),IF(ISERROR(SEARCH("rec",B672)),"split","merge"))</f>
        <v>split</v>
      </c>
    </row>
    <row r="673" spans="1:25" x14ac:dyDescent="0.2">
      <c r="A673" t="s">
        <v>1238</v>
      </c>
      <c r="B673" t="s">
        <v>2414</v>
      </c>
      <c r="C673" t="str">
        <f>IFERROR(VLOOKUP(B673,'Sender-Receiver'!$B$3:$BP$1500,61,FALSE),"")</f>
        <v/>
      </c>
      <c r="D673" t="str">
        <f>IFERROR(VLOOKUP(B673,'Sender-Receiver'!$B$3:$BP$1500,41,FALSE),"")</f>
        <v/>
      </c>
      <c r="E673" t="s">
        <v>1240</v>
      </c>
      <c r="F673">
        <v>28</v>
      </c>
      <c r="G673" t="s">
        <v>2415</v>
      </c>
      <c r="M673" t="str">
        <f>IF(OR(BOM!$AE$4=FALSE,BOM!$AE$4="-"),IF(ISERROR(SEARCH("send",B673)),"","pool:TPC"),IF(ISERROR(SEARCH("send",B673)),"","pool:TPC|pool:TPC"))</f>
        <v>pool:TPC|pool:TPC</v>
      </c>
      <c r="S673" t="str">
        <f>IFERROR(IF(VLOOKUP(B673,'Sender-Receiver'!$B$3:$BP$1500,60,FALSE)="x","true","false"),"false")</f>
        <v>false</v>
      </c>
      <c r="T673" t="str">
        <f t="shared" si="9"/>
        <v>off</v>
      </c>
      <c r="Y673" t="str">
        <f>IF(BOM!$AE$4=FALSE,IF(ISERROR(SEARCH("Embrionix",BOM!$M$4)),"none",IF(ISERROR(SEARCH("Quadsplit",BOM!$N$4)),IF(ISERROR(SEARCH("rec",B673)),"none","merge"),"none")),IF(ISERROR(SEARCH("rec",B673)),"split","merge"))</f>
        <v>split</v>
      </c>
    </row>
    <row r="674" spans="1:25" x14ac:dyDescent="0.2">
      <c r="A674" t="s">
        <v>1238</v>
      </c>
      <c r="B674" t="s">
        <v>2416</v>
      </c>
      <c r="C674" t="str">
        <f>IFERROR(VLOOKUP(B674,'Sender-Receiver'!$B$3:$BP$1500,61,FALSE),"")</f>
        <v>Type:Vid_1080i50,#SNP</v>
      </c>
      <c r="D674" t="str">
        <f>IFERROR(VLOOKUP(B674,'Sender-Receiver'!$B$3:$BP$1500,41,FALSE),"")</f>
        <v>MEDEM Edits Out | Out Edit21 | EditPC-21</v>
      </c>
      <c r="E674" t="s">
        <v>1240</v>
      </c>
      <c r="F674">
        <v>29</v>
      </c>
      <c r="G674" t="s">
        <v>2417</v>
      </c>
      <c r="M674" t="str">
        <f>IF(OR(BOM!$AE$4=FALSE,BOM!$AE$4="-"),IF(ISERROR(SEARCH("send",B674)),"","pool:TPC"),IF(ISERROR(SEARCH("send",B674)),"","pool:TPC|pool:TPC"))</f>
        <v>pool:TPC|pool:TPC</v>
      </c>
      <c r="S674" t="str">
        <f>IFERROR(IF(VLOOKUP(B674,'Sender-Receiver'!$B$3:$BP$1500,60,FALSE)="x","true","false"),"false")</f>
        <v>true</v>
      </c>
      <c r="T674" t="str">
        <f t="shared" si="9"/>
        <v>full</v>
      </c>
      <c r="Y674" t="str">
        <f>IF(BOM!$AE$4=FALSE,IF(ISERROR(SEARCH("Embrionix",BOM!$M$4)),"none",IF(ISERROR(SEARCH("Quadsplit",BOM!$N$4)),IF(ISERROR(SEARCH("rec",B674)),"none","merge"),"none")),IF(ISERROR(SEARCH("rec",B674)),"split","merge"))</f>
        <v>split</v>
      </c>
    </row>
    <row r="675" spans="1:25" x14ac:dyDescent="0.2">
      <c r="A675" t="s">
        <v>1238</v>
      </c>
      <c r="B675" t="s">
        <v>2418</v>
      </c>
      <c r="C675" t="str">
        <f>IFERROR(VLOOKUP(B675,'Sender-Receiver'!$B$3:$BP$1500,61,FALSE),"")</f>
        <v>Type:Aud_2CH_LR,#SNP</v>
      </c>
      <c r="D675" t="str">
        <f>IFERROR(VLOOKUP(B675,'Sender-Receiver'!$B$3:$BP$1500,41,FALSE),"")</f>
        <v>MEDEM Edits Out | Out Edit21-01 | EditPC-21</v>
      </c>
      <c r="E675" t="s">
        <v>1240</v>
      </c>
      <c r="F675">
        <v>29</v>
      </c>
      <c r="G675" t="s">
        <v>2419</v>
      </c>
      <c r="M675" t="str">
        <f>IF(OR(BOM!$AE$4=FALSE,BOM!$AE$4="-"),IF(ISERROR(SEARCH("send",B675)),"","pool:TPC"),IF(ISERROR(SEARCH("send",B675)),"","pool:TPC|pool:TPC"))</f>
        <v>pool:TPC|pool:TPC</v>
      </c>
      <c r="S675" t="str">
        <f>IFERROR(IF(VLOOKUP(B675,'Sender-Receiver'!$B$3:$BP$1500,60,FALSE)="x","true","false"),"false")</f>
        <v>true</v>
      </c>
      <c r="T675" t="str">
        <f t="shared" si="9"/>
        <v>full</v>
      </c>
      <c r="Y675" t="str">
        <f>IF(BOM!$AE$4=FALSE,IF(ISERROR(SEARCH("Embrionix",BOM!$M$4)),"none",IF(ISERROR(SEARCH("Quadsplit",BOM!$N$4)),IF(ISERROR(SEARCH("rec",B675)),"none","merge"),"none")),IF(ISERROR(SEARCH("rec",B675)),"split","merge"))</f>
        <v>split</v>
      </c>
    </row>
    <row r="676" spans="1:25" x14ac:dyDescent="0.2">
      <c r="A676" t="s">
        <v>1238</v>
      </c>
      <c r="B676" t="s">
        <v>2420</v>
      </c>
      <c r="C676" t="str">
        <f>IFERROR(VLOOKUP(B676,'Sender-Receiver'!$B$3:$BP$1500,61,FALSE),"")</f>
        <v>Type:Aud_1CH_M,#SNP</v>
      </c>
      <c r="D676" t="str">
        <f>IFERROR(VLOOKUP(B676,'Sender-Receiver'!$B$3:$BP$1500,41,FALSE),"")</f>
        <v>MEDEM Edits Out | Out Edit21-02 | EditPC-21</v>
      </c>
      <c r="E676" t="s">
        <v>1240</v>
      </c>
      <c r="F676">
        <v>29</v>
      </c>
      <c r="G676" t="s">
        <v>2421</v>
      </c>
      <c r="M676" t="str">
        <f>IF(OR(BOM!$AE$4=FALSE,BOM!$AE$4="-"),IF(ISERROR(SEARCH("send",B676)),"","pool:TPC"),IF(ISERROR(SEARCH("send",B676)),"","pool:TPC|pool:TPC"))</f>
        <v>pool:TPC|pool:TPC</v>
      </c>
      <c r="S676" t="str">
        <f>IFERROR(IF(VLOOKUP(B676,'Sender-Receiver'!$B$3:$BP$1500,60,FALSE)="x","true","false"),"false")</f>
        <v>true</v>
      </c>
      <c r="T676" t="str">
        <f t="shared" si="9"/>
        <v>full</v>
      </c>
      <c r="Y676" t="str">
        <f>IF(BOM!$AE$4=FALSE,IF(ISERROR(SEARCH("Embrionix",BOM!$M$4)),"none",IF(ISERROR(SEARCH("Quadsplit",BOM!$N$4)),IF(ISERROR(SEARCH("rec",B676)),"none","merge"),"none")),IF(ISERROR(SEARCH("rec",B676)),"split","merge"))</f>
        <v>split</v>
      </c>
    </row>
    <row r="677" spans="1:25" x14ac:dyDescent="0.2">
      <c r="A677" t="s">
        <v>1238</v>
      </c>
      <c r="B677" t="s">
        <v>2422</v>
      </c>
      <c r="C677" t="str">
        <f>IFERROR(VLOOKUP(B677,'Sender-Receiver'!$B$3:$BP$1500,61,FALSE),"")</f>
        <v>Type:Aud_1CH_M,#SNP</v>
      </c>
      <c r="D677" t="str">
        <f>IFERROR(VLOOKUP(B677,'Sender-Receiver'!$B$3:$BP$1500,41,FALSE),"")</f>
        <v>MEDEM Edits Out | Out Edit21-03 | EditPC-21</v>
      </c>
      <c r="E677" t="s">
        <v>1240</v>
      </c>
      <c r="F677">
        <v>29</v>
      </c>
      <c r="G677" t="s">
        <v>2423</v>
      </c>
      <c r="M677" t="str">
        <f>IF(OR(BOM!$AE$4=FALSE,BOM!$AE$4="-"),IF(ISERROR(SEARCH("send",B677)),"","pool:TPC"),IF(ISERROR(SEARCH("send",B677)),"","pool:TPC|pool:TPC"))</f>
        <v>pool:TPC|pool:TPC</v>
      </c>
      <c r="S677" t="str">
        <f>IFERROR(IF(VLOOKUP(B677,'Sender-Receiver'!$B$3:$BP$1500,60,FALSE)="x","true","false"),"false")</f>
        <v>true</v>
      </c>
      <c r="T677" t="str">
        <f t="shared" si="9"/>
        <v>full</v>
      </c>
      <c r="Y677" t="str">
        <f>IF(BOM!$AE$4=FALSE,IF(ISERROR(SEARCH("Embrionix",BOM!$M$4)),"none",IF(ISERROR(SEARCH("Quadsplit",BOM!$N$4)),IF(ISERROR(SEARCH("rec",B677)),"none","merge"),"none")),IF(ISERROR(SEARCH("rec",B677)),"split","merge"))</f>
        <v>split</v>
      </c>
    </row>
    <row r="678" spans="1:25" x14ac:dyDescent="0.2">
      <c r="A678" t="s">
        <v>1238</v>
      </c>
      <c r="B678" t="s">
        <v>2424</v>
      </c>
      <c r="C678" t="str">
        <f>IFERROR(VLOOKUP(B678,'Sender-Receiver'!$B$3:$BP$1500,61,FALSE),"")</f>
        <v>Type:Aud_2CH_LR,#SNP</v>
      </c>
      <c r="D678" t="str">
        <f>IFERROR(VLOOKUP(B678,'Sender-Receiver'!$B$3:$BP$1500,41,FALSE),"")</f>
        <v>MEDEM Edits Out | Out Edit21-04 | EditPC-21</v>
      </c>
      <c r="E678" t="s">
        <v>1240</v>
      </c>
      <c r="F678">
        <v>29</v>
      </c>
      <c r="G678" t="s">
        <v>2425</v>
      </c>
      <c r="M678" t="str">
        <f>IF(OR(BOM!$AE$4=FALSE,BOM!$AE$4="-"),IF(ISERROR(SEARCH("send",B678)),"","pool:TPC"),IF(ISERROR(SEARCH("send",B678)),"","pool:TPC|pool:TPC"))</f>
        <v>pool:TPC|pool:TPC</v>
      </c>
      <c r="S678" t="str">
        <f>IFERROR(IF(VLOOKUP(B678,'Sender-Receiver'!$B$3:$BP$1500,60,FALSE)="x","true","false"),"false")</f>
        <v>true</v>
      </c>
      <c r="T678" t="str">
        <f t="shared" si="9"/>
        <v>full</v>
      </c>
      <c r="Y678" t="str">
        <f>IF(BOM!$AE$4=FALSE,IF(ISERROR(SEARCH("Embrionix",BOM!$M$4)),"none",IF(ISERROR(SEARCH("Quadsplit",BOM!$N$4)),IF(ISERROR(SEARCH("rec",B678)),"none","merge"),"none")),IF(ISERROR(SEARCH("rec",B678)),"split","merge"))</f>
        <v>split</v>
      </c>
    </row>
    <row r="679" spans="1:25" x14ac:dyDescent="0.2">
      <c r="A679" t="s">
        <v>1238</v>
      </c>
      <c r="B679" t="s">
        <v>2426</v>
      </c>
      <c r="C679" t="str">
        <f>IFERROR(VLOOKUP(B679,'Sender-Receiver'!$B$3:$BP$1500,61,FALSE),"")</f>
        <v>Type:Aud_1CH_M,#SNP</v>
      </c>
      <c r="D679" t="str">
        <f>IFERROR(VLOOKUP(B679,'Sender-Receiver'!$B$3:$BP$1500,41,FALSE),"")</f>
        <v>MEDEM Edits Out | Out Edit21-05 | EditPC-21</v>
      </c>
      <c r="E679" t="s">
        <v>1240</v>
      </c>
      <c r="F679">
        <v>29</v>
      </c>
      <c r="G679" t="s">
        <v>2427</v>
      </c>
      <c r="M679" t="str">
        <f>IF(OR(BOM!$AE$4=FALSE,BOM!$AE$4="-"),IF(ISERROR(SEARCH("send",B679)),"","pool:TPC"),IF(ISERROR(SEARCH("send",B679)),"","pool:TPC|pool:TPC"))</f>
        <v>pool:TPC|pool:TPC</v>
      </c>
      <c r="S679" t="str">
        <f>IFERROR(IF(VLOOKUP(B679,'Sender-Receiver'!$B$3:$BP$1500,60,FALSE)="x","true","false"),"false")</f>
        <v>true</v>
      </c>
      <c r="T679" t="str">
        <f t="shared" si="9"/>
        <v>full</v>
      </c>
      <c r="Y679" t="str">
        <f>IF(BOM!$AE$4=FALSE,IF(ISERROR(SEARCH("Embrionix",BOM!$M$4)),"none",IF(ISERROR(SEARCH("Quadsplit",BOM!$N$4)),IF(ISERROR(SEARCH("rec",B679)),"none","merge"),"none")),IF(ISERROR(SEARCH("rec",B679)),"split","merge"))</f>
        <v>split</v>
      </c>
    </row>
    <row r="680" spans="1:25" x14ac:dyDescent="0.2">
      <c r="A680" t="s">
        <v>1238</v>
      </c>
      <c r="B680" t="s">
        <v>2428</v>
      </c>
      <c r="C680" t="str">
        <f>IFERROR(VLOOKUP(B680,'Sender-Receiver'!$B$3:$BP$1500,61,FALSE),"")</f>
        <v>Type:Aud_1CH_M,#SNP</v>
      </c>
      <c r="D680" t="str">
        <f>IFERROR(VLOOKUP(B680,'Sender-Receiver'!$B$3:$BP$1500,41,FALSE),"")</f>
        <v>MEDEM Edits Out | Out Edit21-06 | EditPC-21</v>
      </c>
      <c r="E680" t="s">
        <v>1240</v>
      </c>
      <c r="F680">
        <v>29</v>
      </c>
      <c r="G680" t="s">
        <v>2429</v>
      </c>
      <c r="M680" t="str">
        <f>IF(OR(BOM!$AE$4=FALSE,BOM!$AE$4="-"),IF(ISERROR(SEARCH("send",B680)),"","pool:TPC"),IF(ISERROR(SEARCH("send",B680)),"","pool:TPC|pool:TPC"))</f>
        <v>pool:TPC|pool:TPC</v>
      </c>
      <c r="S680" t="str">
        <f>IFERROR(IF(VLOOKUP(B680,'Sender-Receiver'!$B$3:$BP$1500,60,FALSE)="x","true","false"),"false")</f>
        <v>true</v>
      </c>
      <c r="T680" t="str">
        <f t="shared" si="9"/>
        <v>full</v>
      </c>
      <c r="Y680" t="str">
        <f>IF(BOM!$AE$4=FALSE,IF(ISERROR(SEARCH("Embrionix",BOM!$M$4)),"none",IF(ISERROR(SEARCH("Quadsplit",BOM!$N$4)),IF(ISERROR(SEARCH("rec",B680)),"none","merge"),"none")),IF(ISERROR(SEARCH("rec",B680)),"split","merge"))</f>
        <v>split</v>
      </c>
    </row>
    <row r="681" spans="1:25" x14ac:dyDescent="0.2">
      <c r="A681" t="s">
        <v>1238</v>
      </c>
      <c r="B681" t="s">
        <v>2430</v>
      </c>
      <c r="C681" t="str">
        <f>IFERROR(VLOOKUP(B681,'Sender-Receiver'!$B$3:$BP$1500,61,FALSE),"")</f>
        <v>Type:Aud_2CH_LR,#SNP</v>
      </c>
      <c r="D681" t="str">
        <f>IFERROR(VLOOKUP(B681,'Sender-Receiver'!$B$3:$BP$1500,41,FALSE),"")</f>
        <v>MEDEM Edits Out | Out Edit21-07 | EditPC-21</v>
      </c>
      <c r="E681" t="s">
        <v>1240</v>
      </c>
      <c r="F681">
        <v>29</v>
      </c>
      <c r="G681" t="s">
        <v>2431</v>
      </c>
      <c r="M681" t="str">
        <f>IF(OR(BOM!$AE$4=FALSE,BOM!$AE$4="-"),IF(ISERROR(SEARCH("send",B681)),"","pool:TPC"),IF(ISERROR(SEARCH("send",B681)),"","pool:TPC|pool:TPC"))</f>
        <v>pool:TPC|pool:TPC</v>
      </c>
      <c r="S681" t="str">
        <f>IFERROR(IF(VLOOKUP(B681,'Sender-Receiver'!$B$3:$BP$1500,60,FALSE)="x","true","false"),"false")</f>
        <v>true</v>
      </c>
      <c r="T681" t="str">
        <f t="shared" si="9"/>
        <v>full</v>
      </c>
      <c r="Y681" t="str">
        <f>IF(BOM!$AE$4=FALSE,IF(ISERROR(SEARCH("Embrionix",BOM!$M$4)),"none",IF(ISERROR(SEARCH("Quadsplit",BOM!$N$4)),IF(ISERROR(SEARCH("rec",B681)),"none","merge"),"none")),IF(ISERROR(SEARCH("rec",B681)),"split","merge"))</f>
        <v>split</v>
      </c>
    </row>
    <row r="682" spans="1:25" x14ac:dyDescent="0.2">
      <c r="A682" t="s">
        <v>1238</v>
      </c>
      <c r="B682" t="s">
        <v>2432</v>
      </c>
      <c r="C682" t="str">
        <f>IFERROR(VLOOKUP(B682,'Sender-Receiver'!$B$3:$BP$1500,61,FALSE),"")</f>
        <v>Type:Aud_6CH_5.1,#SNP</v>
      </c>
      <c r="D682" t="str">
        <f>IFERROR(VLOOKUP(B682,'Sender-Receiver'!$B$3:$BP$1500,41,FALSE),"")</f>
        <v>MEDEM Edits Out | Out Edit21-08 | EditPC-21</v>
      </c>
      <c r="E682" t="s">
        <v>1240</v>
      </c>
      <c r="F682">
        <v>29</v>
      </c>
      <c r="G682" t="s">
        <v>2433</v>
      </c>
      <c r="M682" t="str">
        <f>IF(OR(BOM!$AE$4=FALSE,BOM!$AE$4="-"),IF(ISERROR(SEARCH("send",B682)),"","pool:TPC"),IF(ISERROR(SEARCH("send",B682)),"","pool:TPC|pool:TPC"))</f>
        <v>pool:TPC|pool:TPC</v>
      </c>
      <c r="S682" t="str">
        <f>IFERROR(IF(VLOOKUP(B682,'Sender-Receiver'!$B$3:$BP$1500,60,FALSE)="x","true","false"),"false")</f>
        <v>true</v>
      </c>
      <c r="T682" t="str">
        <f t="shared" si="9"/>
        <v>full</v>
      </c>
      <c r="Y682" t="str">
        <f>IF(BOM!$AE$4=FALSE,IF(ISERROR(SEARCH("Embrionix",BOM!$M$4)),"none",IF(ISERROR(SEARCH("Quadsplit",BOM!$N$4)),IF(ISERROR(SEARCH("rec",B682)),"none","merge"),"none")),IF(ISERROR(SEARCH("rec",B682)),"split","merge"))</f>
        <v>split</v>
      </c>
    </row>
    <row r="683" spans="1:25" x14ac:dyDescent="0.2">
      <c r="A683" t="s">
        <v>1238</v>
      </c>
      <c r="B683" t="s">
        <v>2434</v>
      </c>
      <c r="C683" t="str">
        <f>IFERROR(VLOOKUP(B683,'Sender-Receiver'!$B$3:$BP$1500,61,FALSE),"")</f>
        <v>#SNP</v>
      </c>
      <c r="D683" t="str">
        <f>IFERROR(VLOOKUP(B683,'Sender-Receiver'!$B$3:$BP$1500,41,FALSE),"")</f>
        <v xml:space="preserve"> |  | EditPC-21</v>
      </c>
      <c r="E683" t="s">
        <v>1240</v>
      </c>
      <c r="F683">
        <v>29</v>
      </c>
      <c r="G683" t="s">
        <v>2435</v>
      </c>
      <c r="M683" t="str">
        <f>IF(OR(BOM!$AE$4=FALSE,BOM!$AE$4="-"),IF(ISERROR(SEARCH("send",B683)),"","pool:TPC"),IF(ISERROR(SEARCH("send",B683)),"","pool:TPC|pool:TPC"))</f>
        <v>pool:TPC|pool:TPC</v>
      </c>
      <c r="S683" t="str">
        <f>IFERROR(IF(VLOOKUP(B683,'Sender-Receiver'!$B$3:$BP$1500,60,FALSE)="x","true","false"),"false")</f>
        <v>false</v>
      </c>
      <c r="T683" t="str">
        <f t="shared" si="9"/>
        <v>off</v>
      </c>
      <c r="Y683" t="str">
        <f>IF(BOM!$AE$4=FALSE,IF(ISERROR(SEARCH("Embrionix",BOM!$M$4)),"none",IF(ISERROR(SEARCH("Quadsplit",BOM!$N$4)),IF(ISERROR(SEARCH("rec",B683)),"none","merge"),"none")),IF(ISERROR(SEARCH("rec",B683)),"split","merge"))</f>
        <v>split</v>
      </c>
    </row>
    <row r="684" spans="1:25" x14ac:dyDescent="0.2">
      <c r="A684" t="s">
        <v>1238</v>
      </c>
      <c r="B684" t="s">
        <v>2436</v>
      </c>
      <c r="C684" t="str">
        <f>IFERROR(VLOOKUP(B684,'Sender-Receiver'!$B$3:$BP$1500,61,FALSE),"")</f>
        <v>#SNP</v>
      </c>
      <c r="D684" t="str">
        <f>IFERROR(VLOOKUP(B684,'Sender-Receiver'!$B$3:$BP$1500,41,FALSE),"")</f>
        <v xml:space="preserve"> |  | EditPC-21</v>
      </c>
      <c r="E684" t="s">
        <v>1240</v>
      </c>
      <c r="F684">
        <v>29</v>
      </c>
      <c r="G684" t="s">
        <v>2437</v>
      </c>
      <c r="M684" t="str">
        <f>IF(OR(BOM!$AE$4=FALSE,BOM!$AE$4="-"),IF(ISERROR(SEARCH("send",B684)),"","pool:TPC"),IF(ISERROR(SEARCH("send",B684)),"","pool:TPC|pool:TPC"))</f>
        <v>pool:TPC|pool:TPC</v>
      </c>
      <c r="S684" t="str">
        <f>IFERROR(IF(VLOOKUP(B684,'Sender-Receiver'!$B$3:$BP$1500,60,FALSE)="x","true","false"),"false")</f>
        <v>false</v>
      </c>
      <c r="T684" t="str">
        <f t="shared" si="9"/>
        <v>off</v>
      </c>
      <c r="Y684" t="str">
        <f>IF(BOM!$AE$4=FALSE,IF(ISERROR(SEARCH("Embrionix",BOM!$M$4)),"none",IF(ISERROR(SEARCH("Quadsplit",BOM!$N$4)),IF(ISERROR(SEARCH("rec",B684)),"none","merge"),"none")),IF(ISERROR(SEARCH("rec",B684)),"split","merge"))</f>
        <v>split</v>
      </c>
    </row>
    <row r="685" spans="1:25" x14ac:dyDescent="0.2">
      <c r="A685" t="s">
        <v>1238</v>
      </c>
      <c r="B685" t="s">
        <v>2438</v>
      </c>
      <c r="C685" t="str">
        <f>IFERROR(VLOOKUP(B685,'Sender-Receiver'!$B$3:$BP$1500,61,FALSE),"")</f>
        <v>#SNP</v>
      </c>
      <c r="D685" t="str">
        <f>IFERROR(VLOOKUP(B685,'Sender-Receiver'!$B$3:$BP$1500,41,FALSE),"")</f>
        <v xml:space="preserve"> |  | EditPC-21</v>
      </c>
      <c r="E685" t="s">
        <v>1240</v>
      </c>
      <c r="F685">
        <v>29</v>
      </c>
      <c r="G685" t="s">
        <v>2439</v>
      </c>
      <c r="M685" t="str">
        <f>IF(OR(BOM!$AE$4=FALSE,BOM!$AE$4="-"),IF(ISERROR(SEARCH("send",B685)),"","pool:TPC"),IF(ISERROR(SEARCH("send",B685)),"","pool:TPC|pool:TPC"))</f>
        <v>pool:TPC|pool:TPC</v>
      </c>
      <c r="S685" t="str">
        <f>IFERROR(IF(VLOOKUP(B685,'Sender-Receiver'!$B$3:$BP$1500,60,FALSE)="x","true","false"),"false")</f>
        <v>false</v>
      </c>
      <c r="T685" t="str">
        <f t="shared" si="9"/>
        <v>off</v>
      </c>
      <c r="Y685" t="str">
        <f>IF(BOM!$AE$4=FALSE,IF(ISERROR(SEARCH("Embrionix",BOM!$M$4)),"none",IF(ISERROR(SEARCH("Quadsplit",BOM!$N$4)),IF(ISERROR(SEARCH("rec",B685)),"none","merge"),"none")),IF(ISERROR(SEARCH("rec",B685)),"split","merge"))</f>
        <v>split</v>
      </c>
    </row>
    <row r="686" spans="1:25" x14ac:dyDescent="0.2">
      <c r="A686" t="s">
        <v>1238</v>
      </c>
      <c r="B686" t="s">
        <v>2440</v>
      </c>
      <c r="C686" t="str">
        <f>IFERROR(VLOOKUP(B686,'Sender-Receiver'!$B$3:$BP$1500,61,FALSE),"")</f>
        <v>#SNP</v>
      </c>
      <c r="D686" t="str">
        <f>IFERROR(VLOOKUP(B686,'Sender-Receiver'!$B$3:$BP$1500,41,FALSE),"")</f>
        <v xml:space="preserve"> |  | EditPC-21</v>
      </c>
      <c r="E686" t="s">
        <v>1240</v>
      </c>
      <c r="F686">
        <v>29</v>
      </c>
      <c r="G686" t="s">
        <v>2441</v>
      </c>
      <c r="M686" t="str">
        <f>IF(OR(BOM!$AE$4=FALSE,BOM!$AE$4="-"),IF(ISERROR(SEARCH("send",B686)),"","pool:TPC"),IF(ISERROR(SEARCH("send",B686)),"","pool:TPC|pool:TPC"))</f>
        <v>pool:TPC|pool:TPC</v>
      </c>
      <c r="S686" t="str">
        <f>IFERROR(IF(VLOOKUP(B686,'Sender-Receiver'!$B$3:$BP$1500,60,FALSE)="x","true","false"),"false")</f>
        <v>false</v>
      </c>
      <c r="T686" t="str">
        <f t="shared" si="9"/>
        <v>off</v>
      </c>
      <c r="Y686" t="str">
        <f>IF(BOM!$AE$4=FALSE,IF(ISERROR(SEARCH("Embrionix",BOM!$M$4)),"none",IF(ISERROR(SEARCH("Quadsplit",BOM!$N$4)),IF(ISERROR(SEARCH("rec",B686)),"none","merge"),"none")),IF(ISERROR(SEARCH("rec",B686)),"split","merge"))</f>
        <v>split</v>
      </c>
    </row>
    <row r="687" spans="1:25" x14ac:dyDescent="0.2">
      <c r="A687" t="s">
        <v>1238</v>
      </c>
      <c r="B687" t="s">
        <v>2442</v>
      </c>
      <c r="C687" t="str">
        <f>IFERROR(VLOOKUP(B687,'Sender-Receiver'!$B$3:$BP$1500,61,FALSE),"")</f>
        <v>#SNP</v>
      </c>
      <c r="D687" t="str">
        <f>IFERROR(VLOOKUP(B687,'Sender-Receiver'!$B$3:$BP$1500,41,FALSE),"")</f>
        <v xml:space="preserve"> |  | EditPC-21</v>
      </c>
      <c r="E687" t="s">
        <v>1240</v>
      </c>
      <c r="F687">
        <v>29</v>
      </c>
      <c r="G687" t="s">
        <v>2443</v>
      </c>
      <c r="M687" t="str">
        <f>IF(OR(BOM!$AE$4=FALSE,BOM!$AE$4="-"),IF(ISERROR(SEARCH("send",B687)),"","pool:TPC"),IF(ISERROR(SEARCH("send",B687)),"","pool:TPC|pool:TPC"))</f>
        <v>pool:TPC|pool:TPC</v>
      </c>
      <c r="S687" t="str">
        <f>IFERROR(IF(VLOOKUP(B687,'Sender-Receiver'!$B$3:$BP$1500,60,FALSE)="x","true","false"),"false")</f>
        <v>false</v>
      </c>
      <c r="T687" t="str">
        <f t="shared" si="9"/>
        <v>off</v>
      </c>
      <c r="Y687" t="str">
        <f>IF(BOM!$AE$4=FALSE,IF(ISERROR(SEARCH("Embrionix",BOM!$M$4)),"none",IF(ISERROR(SEARCH("Quadsplit",BOM!$N$4)),IF(ISERROR(SEARCH("rec",B687)),"none","merge"),"none")),IF(ISERROR(SEARCH("rec",B687)),"split","merge"))</f>
        <v>split</v>
      </c>
    </row>
    <row r="688" spans="1:25" x14ac:dyDescent="0.2">
      <c r="A688" t="s">
        <v>1238</v>
      </c>
      <c r="B688" t="s">
        <v>2444</v>
      </c>
      <c r="C688" t="str">
        <f>IFERROR(VLOOKUP(B688,'Sender-Receiver'!$B$3:$BP$1500,61,FALSE),"")</f>
        <v>#SNP</v>
      </c>
      <c r="D688" t="str">
        <f>IFERROR(VLOOKUP(B688,'Sender-Receiver'!$B$3:$BP$1500,41,FALSE),"")</f>
        <v xml:space="preserve"> |  | EditPC-21</v>
      </c>
      <c r="E688" t="s">
        <v>1240</v>
      </c>
      <c r="F688">
        <v>29</v>
      </c>
      <c r="G688" t="s">
        <v>2445</v>
      </c>
      <c r="M688" t="str">
        <f>IF(OR(BOM!$AE$4=FALSE,BOM!$AE$4="-"),IF(ISERROR(SEARCH("send",B688)),"","pool:TPC"),IF(ISERROR(SEARCH("send",B688)),"","pool:TPC|pool:TPC"))</f>
        <v>pool:TPC|pool:TPC</v>
      </c>
      <c r="S688" t="str">
        <f>IFERROR(IF(VLOOKUP(B688,'Sender-Receiver'!$B$3:$BP$1500,60,FALSE)="x","true","false"),"false")</f>
        <v>false</v>
      </c>
      <c r="T688" t="str">
        <f t="shared" si="9"/>
        <v>off</v>
      </c>
      <c r="Y688" t="str">
        <f>IF(BOM!$AE$4=FALSE,IF(ISERROR(SEARCH("Embrionix",BOM!$M$4)),"none",IF(ISERROR(SEARCH("Quadsplit",BOM!$N$4)),IF(ISERROR(SEARCH("rec",B688)),"none","merge"),"none")),IF(ISERROR(SEARCH("rec",B688)),"split","merge"))</f>
        <v>split</v>
      </c>
    </row>
    <row r="689" spans="1:25" x14ac:dyDescent="0.2">
      <c r="A689" t="s">
        <v>1238</v>
      </c>
      <c r="B689" t="s">
        <v>2446</v>
      </c>
      <c r="C689" t="str">
        <f>IFERROR(VLOOKUP(B689,'Sender-Receiver'!$B$3:$BP$1500,61,FALSE),"")</f>
        <v>Type:Aud_8CH_RAW,#SNP</v>
      </c>
      <c r="D689" t="str">
        <f>IFERROR(VLOOKUP(B689,'Sender-Receiver'!$B$3:$BP$1500,41,FALSE),"")</f>
        <v>MEDEM Edits Out | Out Edit21-15 | EditPC-21</v>
      </c>
      <c r="E689" t="s">
        <v>1240</v>
      </c>
      <c r="F689">
        <v>29</v>
      </c>
      <c r="G689" t="s">
        <v>2447</v>
      </c>
      <c r="M689" t="str">
        <f>IF(OR(BOM!$AE$4=FALSE,BOM!$AE$4="-"),IF(ISERROR(SEARCH("send",B689)),"","pool:TPC"),IF(ISERROR(SEARCH("send",B689)),"","pool:TPC|pool:TPC"))</f>
        <v>pool:TPC|pool:TPC</v>
      </c>
      <c r="S689" t="str">
        <f>IFERROR(IF(VLOOKUP(B689,'Sender-Receiver'!$B$3:$BP$1500,60,FALSE)="x","true","false"),"false")</f>
        <v>true</v>
      </c>
      <c r="T689" t="str">
        <f t="shared" si="9"/>
        <v>full</v>
      </c>
      <c r="Y689" t="str">
        <f>IF(BOM!$AE$4=FALSE,IF(ISERROR(SEARCH("Embrionix",BOM!$M$4)),"none",IF(ISERROR(SEARCH("Quadsplit",BOM!$N$4)),IF(ISERROR(SEARCH("rec",B689)),"none","merge"),"none")),IF(ISERROR(SEARCH("rec",B689)),"split","merge"))</f>
        <v>split</v>
      </c>
    </row>
    <row r="690" spans="1:25" x14ac:dyDescent="0.2">
      <c r="A690" t="s">
        <v>1238</v>
      </c>
      <c r="B690" t="s">
        <v>2448</v>
      </c>
      <c r="C690" t="str">
        <f>IFERROR(VLOOKUP(B690,'Sender-Receiver'!$B$3:$BP$1500,61,FALSE),"")</f>
        <v>Type:Aud_8CH_RAW,#SNP</v>
      </c>
      <c r="D690" t="str">
        <f>IFERROR(VLOOKUP(B690,'Sender-Receiver'!$B$3:$BP$1500,41,FALSE),"")</f>
        <v>MEDEM Edits Out | Out Edit21-16 | EditPC-21</v>
      </c>
      <c r="E690" t="s">
        <v>1240</v>
      </c>
      <c r="F690">
        <v>29</v>
      </c>
      <c r="G690" t="s">
        <v>2449</v>
      </c>
      <c r="M690" t="str">
        <f>IF(OR(BOM!$AE$4=FALSE,BOM!$AE$4="-"),IF(ISERROR(SEARCH("send",B690)),"","pool:TPC"),IF(ISERROR(SEARCH("send",B690)),"","pool:TPC|pool:TPC"))</f>
        <v>pool:TPC|pool:TPC</v>
      </c>
      <c r="S690" t="str">
        <f>IFERROR(IF(VLOOKUP(B690,'Sender-Receiver'!$B$3:$BP$1500,60,FALSE)="x","true","false"),"false")</f>
        <v>true</v>
      </c>
      <c r="T690" t="str">
        <f t="shared" si="9"/>
        <v>full</v>
      </c>
      <c r="Y690" t="str">
        <f>IF(BOM!$AE$4=FALSE,IF(ISERROR(SEARCH("Embrionix",BOM!$M$4)),"none",IF(ISERROR(SEARCH("Quadsplit",BOM!$N$4)),IF(ISERROR(SEARCH("rec",B690)),"none","merge"),"none")),IF(ISERROR(SEARCH("rec",B690)),"split","merge"))</f>
        <v>split</v>
      </c>
    </row>
    <row r="691" spans="1:25" x14ac:dyDescent="0.2">
      <c r="A691" t="s">
        <v>1238</v>
      </c>
      <c r="B691" t="s">
        <v>2450</v>
      </c>
      <c r="C691" t="str">
        <f>IFERROR(VLOOKUP(B691,'Sender-Receiver'!$B$3:$BP$1500,61,FALSE),"")</f>
        <v>Type:Anc_Prot,#SNP</v>
      </c>
      <c r="D691" t="str">
        <f>IFERROR(VLOOKUP(B691,'Sender-Receiver'!$B$3:$BP$1500,41,FALSE),"")</f>
        <v>MEDEM Edits Out | Out Edit21-ANC1 | EditPC-21</v>
      </c>
      <c r="E691" t="s">
        <v>1240</v>
      </c>
      <c r="F691">
        <v>29</v>
      </c>
      <c r="G691" t="s">
        <v>2451</v>
      </c>
      <c r="M691" t="str">
        <f>IF(OR(BOM!$AE$4=FALSE,BOM!$AE$4="-"),IF(ISERROR(SEARCH("send",B691)),"","pool:TPC"),IF(ISERROR(SEARCH("send",B691)),"","pool:TPC|pool:TPC"))</f>
        <v>pool:TPC|pool:TPC</v>
      </c>
      <c r="S691" t="str">
        <f>IFERROR(IF(VLOOKUP(B691,'Sender-Receiver'!$B$3:$BP$1500,60,FALSE)="x","true","false"),"false")</f>
        <v>true</v>
      </c>
      <c r="T691" t="str">
        <f t="shared" si="9"/>
        <v>full</v>
      </c>
      <c r="Y691" t="str">
        <f>IF(BOM!$AE$4=FALSE,IF(ISERROR(SEARCH("Embrionix",BOM!$M$4)),"none",IF(ISERROR(SEARCH("Quadsplit",BOM!$N$4)),IF(ISERROR(SEARCH("rec",B691)),"none","merge"),"none")),IF(ISERROR(SEARCH("rec",B691)),"split","merge"))</f>
        <v>split</v>
      </c>
    </row>
    <row r="692" spans="1:25" x14ac:dyDescent="0.2">
      <c r="A692" t="s">
        <v>1238</v>
      </c>
      <c r="B692" t="s">
        <v>2452</v>
      </c>
      <c r="C692" t="str">
        <f>IFERROR(VLOOKUP(B692,'Sender-Receiver'!$B$3:$BP$1500,61,FALSE),"")</f>
        <v>#SNP</v>
      </c>
      <c r="D692" t="str">
        <f>IFERROR(VLOOKUP(B692,'Sender-Receiver'!$B$3:$BP$1500,41,FALSE),"")</f>
        <v xml:space="preserve"> |  | EditPC-21</v>
      </c>
      <c r="E692" t="s">
        <v>1240</v>
      </c>
      <c r="F692">
        <v>29</v>
      </c>
      <c r="G692" t="s">
        <v>2453</v>
      </c>
      <c r="M692" t="str">
        <f>IF(OR(BOM!$AE$4=FALSE,BOM!$AE$4="-"),IF(ISERROR(SEARCH("send",B692)),"","pool:TPC"),IF(ISERROR(SEARCH("send",B692)),"","pool:TPC|pool:TPC"))</f>
        <v>pool:TPC|pool:TPC</v>
      </c>
      <c r="S692" t="str">
        <f>IFERROR(IF(VLOOKUP(B692,'Sender-Receiver'!$B$3:$BP$1500,60,FALSE)="x","true","false"),"false")</f>
        <v>false</v>
      </c>
      <c r="T692" t="str">
        <f t="shared" si="9"/>
        <v>off</v>
      </c>
      <c r="Y692" t="str">
        <f>IF(BOM!$AE$4=FALSE,IF(ISERROR(SEARCH("Embrionix",BOM!$M$4)),"none",IF(ISERROR(SEARCH("Quadsplit",BOM!$N$4)),IF(ISERROR(SEARCH("rec",B692)),"none","merge"),"none")),IF(ISERROR(SEARCH("rec",B692)),"split","merge"))</f>
        <v>split</v>
      </c>
    </row>
    <row r="693" spans="1:25" x14ac:dyDescent="0.2">
      <c r="A693" t="s">
        <v>1238</v>
      </c>
      <c r="B693" t="s">
        <v>2454</v>
      </c>
      <c r="C693" t="str">
        <f>IFERROR(VLOOKUP(B693,'Sender-Receiver'!$B$3:$BP$1500,61,FALSE),"")</f>
        <v>#SNP</v>
      </c>
      <c r="D693" t="str">
        <f>IFERROR(VLOOKUP(B693,'Sender-Receiver'!$B$3:$BP$1500,41,FALSE),"")</f>
        <v xml:space="preserve"> |  | EditPC-21</v>
      </c>
      <c r="E693" t="s">
        <v>1240</v>
      </c>
      <c r="F693">
        <v>29</v>
      </c>
      <c r="G693" t="s">
        <v>2455</v>
      </c>
      <c r="M693" t="str">
        <f>IF(OR(BOM!$AE$4=FALSE,BOM!$AE$4="-"),IF(ISERROR(SEARCH("send",B693)),"","pool:TPC"),IF(ISERROR(SEARCH("send",B693)),"","pool:TPC|pool:TPC"))</f>
        <v>pool:TPC|pool:TPC</v>
      </c>
      <c r="S693" t="str">
        <f>IFERROR(IF(VLOOKUP(B693,'Sender-Receiver'!$B$3:$BP$1500,60,FALSE)="x","true","false"),"false")</f>
        <v>false</v>
      </c>
      <c r="T693" t="str">
        <f t="shared" si="9"/>
        <v>off</v>
      </c>
      <c r="Y693" t="str">
        <f>IF(BOM!$AE$4=FALSE,IF(ISERROR(SEARCH("Embrionix",BOM!$M$4)),"none",IF(ISERROR(SEARCH("Quadsplit",BOM!$N$4)),IF(ISERROR(SEARCH("rec",B693)),"none","merge"),"none")),IF(ISERROR(SEARCH("rec",B693)),"split","merge"))</f>
        <v>split</v>
      </c>
    </row>
    <row r="694" spans="1:25" x14ac:dyDescent="0.2">
      <c r="A694" t="s">
        <v>1238</v>
      </c>
      <c r="B694" t="s">
        <v>2456</v>
      </c>
      <c r="C694" t="str">
        <f>IFERROR(VLOOKUP(B694,'Sender-Receiver'!$B$3:$BP$1500,61,FALSE),"")</f>
        <v>#SNP</v>
      </c>
      <c r="D694" t="str">
        <f>IFERROR(VLOOKUP(B694,'Sender-Receiver'!$B$3:$BP$1500,41,FALSE),"")</f>
        <v xml:space="preserve"> |  | EditPC-21</v>
      </c>
      <c r="E694" t="s">
        <v>1240</v>
      </c>
      <c r="F694">
        <v>29</v>
      </c>
      <c r="G694" t="s">
        <v>2457</v>
      </c>
      <c r="M694" t="str">
        <f>IF(OR(BOM!$AE$4=FALSE,BOM!$AE$4="-"),IF(ISERROR(SEARCH("send",B694)),"","pool:TPC"),IF(ISERROR(SEARCH("send",B694)),"","pool:TPC|pool:TPC"))</f>
        <v>pool:TPC|pool:TPC</v>
      </c>
      <c r="S694" t="str">
        <f>IFERROR(IF(VLOOKUP(B694,'Sender-Receiver'!$B$3:$BP$1500,60,FALSE)="x","true","false"),"false")</f>
        <v>false</v>
      </c>
      <c r="T694" t="str">
        <f t="shared" si="9"/>
        <v>off</v>
      </c>
      <c r="Y694" t="str">
        <f>IF(BOM!$AE$4=FALSE,IF(ISERROR(SEARCH("Embrionix",BOM!$M$4)),"none",IF(ISERROR(SEARCH("Quadsplit",BOM!$N$4)),IF(ISERROR(SEARCH("rec",B694)),"none","merge"),"none")),IF(ISERROR(SEARCH("rec",B694)),"split","merge"))</f>
        <v>split</v>
      </c>
    </row>
    <row r="695" spans="1:25" x14ac:dyDescent="0.2">
      <c r="A695" t="s">
        <v>1238</v>
      </c>
      <c r="B695" t="s">
        <v>2458</v>
      </c>
      <c r="C695" t="str">
        <f>IFERROR(VLOOKUP(B695,'Sender-Receiver'!$B$3:$BP$1500,61,FALSE),"")</f>
        <v>Type:Vid_1080i50,#SNP</v>
      </c>
      <c r="D695" t="str">
        <f>IFERROR(VLOOKUP(B695,'Sender-Receiver'!$B$3:$BP$1500,41,FALSE),"")</f>
        <v>MEDEM Edits Out | Out Edit22 | EditPC-22</v>
      </c>
      <c r="E695" t="s">
        <v>1240</v>
      </c>
      <c r="F695">
        <v>30</v>
      </c>
      <c r="G695" t="s">
        <v>2459</v>
      </c>
      <c r="M695" t="str">
        <f>IF(OR(BOM!$AE$4=FALSE,BOM!$AE$4="-"),IF(ISERROR(SEARCH("send",B695)),"","pool:TPC"),IF(ISERROR(SEARCH("send",B695)),"","pool:TPC|pool:TPC"))</f>
        <v>pool:TPC|pool:TPC</v>
      </c>
      <c r="S695" t="str">
        <f>IFERROR(IF(VLOOKUP(B695,'Sender-Receiver'!$B$3:$BP$1500,60,FALSE)="x","true","false"),"false")</f>
        <v>true</v>
      </c>
      <c r="T695" t="str">
        <f t="shared" si="9"/>
        <v>full</v>
      </c>
      <c r="Y695" t="str">
        <f>IF(BOM!$AE$4=FALSE,IF(ISERROR(SEARCH("Embrionix",BOM!$M$4)),"none",IF(ISERROR(SEARCH("Quadsplit",BOM!$N$4)),IF(ISERROR(SEARCH("rec",B695)),"none","merge"),"none")),IF(ISERROR(SEARCH("rec",B695)),"split","merge"))</f>
        <v>split</v>
      </c>
    </row>
    <row r="696" spans="1:25" x14ac:dyDescent="0.2">
      <c r="A696" t="s">
        <v>1238</v>
      </c>
      <c r="B696" t="s">
        <v>2460</v>
      </c>
      <c r="C696" t="str">
        <f>IFERROR(VLOOKUP(B696,'Sender-Receiver'!$B$3:$BP$1500,61,FALSE),"")</f>
        <v>Type:Aud_2CH_LR,#SNP</v>
      </c>
      <c r="D696" t="str">
        <f>IFERROR(VLOOKUP(B696,'Sender-Receiver'!$B$3:$BP$1500,41,FALSE),"")</f>
        <v>MEDEM Edits Out | Out Edit22-01 | EditPC-22</v>
      </c>
      <c r="E696" t="s">
        <v>1240</v>
      </c>
      <c r="F696">
        <v>30</v>
      </c>
      <c r="G696" t="s">
        <v>2461</v>
      </c>
      <c r="M696" t="str">
        <f>IF(OR(BOM!$AE$4=FALSE,BOM!$AE$4="-"),IF(ISERROR(SEARCH("send",B696)),"","pool:TPC"),IF(ISERROR(SEARCH("send",B696)),"","pool:TPC|pool:TPC"))</f>
        <v>pool:TPC|pool:TPC</v>
      </c>
      <c r="S696" t="str">
        <f>IFERROR(IF(VLOOKUP(B696,'Sender-Receiver'!$B$3:$BP$1500,60,FALSE)="x","true","false"),"false")</f>
        <v>true</v>
      </c>
      <c r="T696" t="str">
        <f t="shared" si="9"/>
        <v>full</v>
      </c>
      <c r="Y696" t="str">
        <f>IF(BOM!$AE$4=FALSE,IF(ISERROR(SEARCH("Embrionix",BOM!$M$4)),"none",IF(ISERROR(SEARCH("Quadsplit",BOM!$N$4)),IF(ISERROR(SEARCH("rec",B696)),"none","merge"),"none")),IF(ISERROR(SEARCH("rec",B696)),"split","merge"))</f>
        <v>split</v>
      </c>
    </row>
    <row r="697" spans="1:25" x14ac:dyDescent="0.2">
      <c r="A697" t="s">
        <v>1238</v>
      </c>
      <c r="B697" t="s">
        <v>2462</v>
      </c>
      <c r="C697" t="str">
        <f>IFERROR(VLOOKUP(B697,'Sender-Receiver'!$B$3:$BP$1500,61,FALSE),"")</f>
        <v>Type:Aud_1CH_M,#SNP</v>
      </c>
      <c r="D697" t="str">
        <f>IFERROR(VLOOKUP(B697,'Sender-Receiver'!$B$3:$BP$1500,41,FALSE),"")</f>
        <v>MEDEM Edits Out | Out Edit22-02 | EditPC-22</v>
      </c>
      <c r="E697" t="s">
        <v>1240</v>
      </c>
      <c r="F697">
        <v>30</v>
      </c>
      <c r="G697" t="s">
        <v>2463</v>
      </c>
      <c r="M697" t="str">
        <f>IF(OR(BOM!$AE$4=FALSE,BOM!$AE$4="-"),IF(ISERROR(SEARCH("send",B697)),"","pool:TPC"),IF(ISERROR(SEARCH("send",B697)),"","pool:TPC|pool:TPC"))</f>
        <v>pool:TPC|pool:TPC</v>
      </c>
      <c r="S697" t="str">
        <f>IFERROR(IF(VLOOKUP(B697,'Sender-Receiver'!$B$3:$BP$1500,60,FALSE)="x","true","false"),"false")</f>
        <v>true</v>
      </c>
      <c r="T697" t="str">
        <f t="shared" si="9"/>
        <v>full</v>
      </c>
      <c r="Y697" t="str">
        <f>IF(BOM!$AE$4=FALSE,IF(ISERROR(SEARCH("Embrionix",BOM!$M$4)),"none",IF(ISERROR(SEARCH("Quadsplit",BOM!$N$4)),IF(ISERROR(SEARCH("rec",B697)),"none","merge"),"none")),IF(ISERROR(SEARCH("rec",B697)),"split","merge"))</f>
        <v>split</v>
      </c>
    </row>
    <row r="698" spans="1:25" x14ac:dyDescent="0.2">
      <c r="A698" t="s">
        <v>1238</v>
      </c>
      <c r="B698" t="s">
        <v>2464</v>
      </c>
      <c r="C698" t="str">
        <f>IFERROR(VLOOKUP(B698,'Sender-Receiver'!$B$3:$BP$1500,61,FALSE),"")</f>
        <v>Type:Aud_1CH_M,#SNP</v>
      </c>
      <c r="D698" t="str">
        <f>IFERROR(VLOOKUP(B698,'Sender-Receiver'!$B$3:$BP$1500,41,FALSE),"")</f>
        <v>MEDEM Edits Out | Out Edit22-03 | EditPC-22</v>
      </c>
      <c r="E698" t="s">
        <v>1240</v>
      </c>
      <c r="F698">
        <v>30</v>
      </c>
      <c r="G698" t="s">
        <v>2465</v>
      </c>
      <c r="M698" t="str">
        <f>IF(OR(BOM!$AE$4=FALSE,BOM!$AE$4="-"),IF(ISERROR(SEARCH("send",B698)),"","pool:TPC"),IF(ISERROR(SEARCH("send",B698)),"","pool:TPC|pool:TPC"))</f>
        <v>pool:TPC|pool:TPC</v>
      </c>
      <c r="S698" t="str">
        <f>IFERROR(IF(VLOOKUP(B698,'Sender-Receiver'!$B$3:$BP$1500,60,FALSE)="x","true","false"),"false")</f>
        <v>true</v>
      </c>
      <c r="T698" t="str">
        <f t="shared" si="9"/>
        <v>full</v>
      </c>
      <c r="Y698" t="str">
        <f>IF(BOM!$AE$4=FALSE,IF(ISERROR(SEARCH("Embrionix",BOM!$M$4)),"none",IF(ISERROR(SEARCH("Quadsplit",BOM!$N$4)),IF(ISERROR(SEARCH("rec",B698)),"none","merge"),"none")),IF(ISERROR(SEARCH("rec",B698)),"split","merge"))</f>
        <v>split</v>
      </c>
    </row>
    <row r="699" spans="1:25" x14ac:dyDescent="0.2">
      <c r="A699" t="s">
        <v>1238</v>
      </c>
      <c r="B699" t="s">
        <v>2466</v>
      </c>
      <c r="C699" t="str">
        <f>IFERROR(VLOOKUP(B699,'Sender-Receiver'!$B$3:$BP$1500,61,FALSE),"")</f>
        <v>Type:Aud_2CH_LR,#SNP</v>
      </c>
      <c r="D699" t="str">
        <f>IFERROR(VLOOKUP(B699,'Sender-Receiver'!$B$3:$BP$1500,41,FALSE),"")</f>
        <v>MEDEM Edits Out | Out Edit22-04 | EditPC-22</v>
      </c>
      <c r="E699" t="s">
        <v>1240</v>
      </c>
      <c r="F699">
        <v>30</v>
      </c>
      <c r="G699" t="s">
        <v>2467</v>
      </c>
      <c r="M699" t="str">
        <f>IF(OR(BOM!$AE$4=FALSE,BOM!$AE$4="-"),IF(ISERROR(SEARCH("send",B699)),"","pool:TPC"),IF(ISERROR(SEARCH("send",B699)),"","pool:TPC|pool:TPC"))</f>
        <v>pool:TPC|pool:TPC</v>
      </c>
      <c r="S699" t="str">
        <f>IFERROR(IF(VLOOKUP(B699,'Sender-Receiver'!$B$3:$BP$1500,60,FALSE)="x","true","false"),"false")</f>
        <v>true</v>
      </c>
      <c r="T699" t="str">
        <f t="shared" si="9"/>
        <v>full</v>
      </c>
      <c r="Y699" t="str">
        <f>IF(BOM!$AE$4=FALSE,IF(ISERROR(SEARCH("Embrionix",BOM!$M$4)),"none",IF(ISERROR(SEARCH("Quadsplit",BOM!$N$4)),IF(ISERROR(SEARCH("rec",B699)),"none","merge"),"none")),IF(ISERROR(SEARCH("rec",B699)),"split","merge"))</f>
        <v>split</v>
      </c>
    </row>
    <row r="700" spans="1:25" x14ac:dyDescent="0.2">
      <c r="A700" t="s">
        <v>1238</v>
      </c>
      <c r="B700" t="s">
        <v>2468</v>
      </c>
      <c r="C700" t="str">
        <f>IFERROR(VLOOKUP(B700,'Sender-Receiver'!$B$3:$BP$1500,61,FALSE),"")</f>
        <v>Type:Aud_1CH_M,#SNP</v>
      </c>
      <c r="D700" t="str">
        <f>IFERROR(VLOOKUP(B700,'Sender-Receiver'!$B$3:$BP$1500,41,FALSE),"")</f>
        <v>MEDEM Edits Out | Out Edit22-05 | EditPC-22</v>
      </c>
      <c r="E700" t="s">
        <v>1240</v>
      </c>
      <c r="F700">
        <v>30</v>
      </c>
      <c r="G700" t="s">
        <v>2469</v>
      </c>
      <c r="M700" t="str">
        <f>IF(OR(BOM!$AE$4=FALSE,BOM!$AE$4="-"),IF(ISERROR(SEARCH("send",B700)),"","pool:TPC"),IF(ISERROR(SEARCH("send",B700)),"","pool:TPC|pool:TPC"))</f>
        <v>pool:TPC|pool:TPC</v>
      </c>
      <c r="S700" t="str">
        <f>IFERROR(IF(VLOOKUP(B700,'Sender-Receiver'!$B$3:$BP$1500,60,FALSE)="x","true","false"),"false")</f>
        <v>true</v>
      </c>
      <c r="T700" t="str">
        <f t="shared" si="9"/>
        <v>full</v>
      </c>
      <c r="Y700" t="str">
        <f>IF(BOM!$AE$4=FALSE,IF(ISERROR(SEARCH("Embrionix",BOM!$M$4)),"none",IF(ISERROR(SEARCH("Quadsplit",BOM!$N$4)),IF(ISERROR(SEARCH("rec",B700)),"none","merge"),"none")),IF(ISERROR(SEARCH("rec",B700)),"split","merge"))</f>
        <v>split</v>
      </c>
    </row>
    <row r="701" spans="1:25" x14ac:dyDescent="0.2">
      <c r="A701" t="s">
        <v>1238</v>
      </c>
      <c r="B701" t="s">
        <v>2470</v>
      </c>
      <c r="C701" t="str">
        <f>IFERROR(VLOOKUP(B701,'Sender-Receiver'!$B$3:$BP$1500,61,FALSE),"")</f>
        <v>Type:Aud_1CH_M,#SNP</v>
      </c>
      <c r="D701" t="str">
        <f>IFERROR(VLOOKUP(B701,'Sender-Receiver'!$B$3:$BP$1500,41,FALSE),"")</f>
        <v>MEDEM Edits Out | Out Edit22-06 | EditPC-22</v>
      </c>
      <c r="E701" t="s">
        <v>1240</v>
      </c>
      <c r="F701">
        <v>30</v>
      </c>
      <c r="G701" t="s">
        <v>2471</v>
      </c>
      <c r="M701" t="str">
        <f>IF(OR(BOM!$AE$4=FALSE,BOM!$AE$4="-"),IF(ISERROR(SEARCH("send",B701)),"","pool:TPC"),IF(ISERROR(SEARCH("send",B701)),"","pool:TPC|pool:TPC"))</f>
        <v>pool:TPC|pool:TPC</v>
      </c>
      <c r="S701" t="str">
        <f>IFERROR(IF(VLOOKUP(B701,'Sender-Receiver'!$B$3:$BP$1500,60,FALSE)="x","true","false"),"false")</f>
        <v>true</v>
      </c>
      <c r="T701" t="str">
        <f t="shared" si="9"/>
        <v>full</v>
      </c>
      <c r="Y701" t="str">
        <f>IF(BOM!$AE$4=FALSE,IF(ISERROR(SEARCH("Embrionix",BOM!$M$4)),"none",IF(ISERROR(SEARCH("Quadsplit",BOM!$N$4)),IF(ISERROR(SEARCH("rec",B701)),"none","merge"),"none")),IF(ISERROR(SEARCH("rec",B701)),"split","merge"))</f>
        <v>split</v>
      </c>
    </row>
    <row r="702" spans="1:25" x14ac:dyDescent="0.2">
      <c r="A702" t="s">
        <v>1238</v>
      </c>
      <c r="B702" t="s">
        <v>2472</v>
      </c>
      <c r="C702" t="str">
        <f>IFERROR(VLOOKUP(B702,'Sender-Receiver'!$B$3:$BP$1500,61,FALSE),"")</f>
        <v>Type:Aud_2CH_LR,#SNP</v>
      </c>
      <c r="D702" t="str">
        <f>IFERROR(VLOOKUP(B702,'Sender-Receiver'!$B$3:$BP$1500,41,FALSE),"")</f>
        <v>MEDEM Edits Out | Out Edit22-07 | EditPC-22</v>
      </c>
      <c r="E702" t="s">
        <v>1240</v>
      </c>
      <c r="F702">
        <v>30</v>
      </c>
      <c r="G702" t="s">
        <v>2473</v>
      </c>
      <c r="M702" t="str">
        <f>IF(OR(BOM!$AE$4=FALSE,BOM!$AE$4="-"),IF(ISERROR(SEARCH("send",B702)),"","pool:TPC"),IF(ISERROR(SEARCH("send",B702)),"","pool:TPC|pool:TPC"))</f>
        <v>pool:TPC|pool:TPC</v>
      </c>
      <c r="S702" t="str">
        <f>IFERROR(IF(VLOOKUP(B702,'Sender-Receiver'!$B$3:$BP$1500,60,FALSE)="x","true","false"),"false")</f>
        <v>true</v>
      </c>
      <c r="T702" t="str">
        <f t="shared" si="9"/>
        <v>full</v>
      </c>
      <c r="Y702" t="str">
        <f>IF(BOM!$AE$4=FALSE,IF(ISERROR(SEARCH("Embrionix",BOM!$M$4)),"none",IF(ISERROR(SEARCH("Quadsplit",BOM!$N$4)),IF(ISERROR(SEARCH("rec",B702)),"none","merge"),"none")),IF(ISERROR(SEARCH("rec",B702)),"split","merge"))</f>
        <v>split</v>
      </c>
    </row>
    <row r="703" spans="1:25" x14ac:dyDescent="0.2">
      <c r="A703" t="s">
        <v>1238</v>
      </c>
      <c r="B703" t="s">
        <v>2474</v>
      </c>
      <c r="C703" t="str">
        <f>IFERROR(VLOOKUP(B703,'Sender-Receiver'!$B$3:$BP$1500,61,FALSE),"")</f>
        <v>Type:Aud_6CH_5.1,#SNP</v>
      </c>
      <c r="D703" t="str">
        <f>IFERROR(VLOOKUP(B703,'Sender-Receiver'!$B$3:$BP$1500,41,FALSE),"")</f>
        <v>MEDEM Edits Out | Out Edit22-08 | EditPC-22</v>
      </c>
      <c r="E703" t="s">
        <v>1240</v>
      </c>
      <c r="F703">
        <v>30</v>
      </c>
      <c r="G703" t="s">
        <v>2475</v>
      </c>
      <c r="M703" t="str">
        <f>IF(OR(BOM!$AE$4=FALSE,BOM!$AE$4="-"),IF(ISERROR(SEARCH("send",B703)),"","pool:TPC"),IF(ISERROR(SEARCH("send",B703)),"","pool:TPC|pool:TPC"))</f>
        <v>pool:TPC|pool:TPC</v>
      </c>
      <c r="S703" t="str">
        <f>IFERROR(IF(VLOOKUP(B703,'Sender-Receiver'!$B$3:$BP$1500,60,FALSE)="x","true","false"),"false")</f>
        <v>true</v>
      </c>
      <c r="T703" t="str">
        <f t="shared" si="9"/>
        <v>full</v>
      </c>
      <c r="Y703" t="str">
        <f>IF(BOM!$AE$4=FALSE,IF(ISERROR(SEARCH("Embrionix",BOM!$M$4)),"none",IF(ISERROR(SEARCH("Quadsplit",BOM!$N$4)),IF(ISERROR(SEARCH("rec",B703)),"none","merge"),"none")),IF(ISERROR(SEARCH("rec",B703)),"split","merge"))</f>
        <v>split</v>
      </c>
    </row>
    <row r="704" spans="1:25" x14ac:dyDescent="0.2">
      <c r="A704" t="s">
        <v>1238</v>
      </c>
      <c r="B704" t="s">
        <v>2476</v>
      </c>
      <c r="C704" t="str">
        <f>IFERROR(VLOOKUP(B704,'Sender-Receiver'!$B$3:$BP$1500,61,FALSE),"")</f>
        <v>#SNP</v>
      </c>
      <c r="D704" t="str">
        <f>IFERROR(VLOOKUP(B704,'Sender-Receiver'!$B$3:$BP$1500,41,FALSE),"")</f>
        <v xml:space="preserve"> |  | EditPC-22</v>
      </c>
      <c r="E704" t="s">
        <v>1240</v>
      </c>
      <c r="F704">
        <v>30</v>
      </c>
      <c r="G704" t="s">
        <v>2477</v>
      </c>
      <c r="M704" t="str">
        <f>IF(OR(BOM!$AE$4=FALSE,BOM!$AE$4="-"),IF(ISERROR(SEARCH("send",B704)),"","pool:TPC"),IF(ISERROR(SEARCH("send",B704)),"","pool:TPC|pool:TPC"))</f>
        <v>pool:TPC|pool:TPC</v>
      </c>
      <c r="S704" t="str">
        <f>IFERROR(IF(VLOOKUP(B704,'Sender-Receiver'!$B$3:$BP$1500,60,FALSE)="x","true","false"),"false")</f>
        <v>false</v>
      </c>
      <c r="T704" t="str">
        <f t="shared" si="9"/>
        <v>off</v>
      </c>
      <c r="Y704" t="str">
        <f>IF(BOM!$AE$4=FALSE,IF(ISERROR(SEARCH("Embrionix",BOM!$M$4)),"none",IF(ISERROR(SEARCH("Quadsplit",BOM!$N$4)),IF(ISERROR(SEARCH("rec",B704)),"none","merge"),"none")),IF(ISERROR(SEARCH("rec",B704)),"split","merge"))</f>
        <v>split</v>
      </c>
    </row>
    <row r="705" spans="1:25" x14ac:dyDescent="0.2">
      <c r="A705" t="s">
        <v>1238</v>
      </c>
      <c r="B705" t="s">
        <v>2478</v>
      </c>
      <c r="C705" t="str">
        <f>IFERROR(VLOOKUP(B705,'Sender-Receiver'!$B$3:$BP$1500,61,FALSE),"")</f>
        <v>#SNP</v>
      </c>
      <c r="D705" t="str">
        <f>IFERROR(VLOOKUP(B705,'Sender-Receiver'!$B$3:$BP$1500,41,FALSE),"")</f>
        <v xml:space="preserve"> |  | EditPC-22</v>
      </c>
      <c r="E705" t="s">
        <v>1240</v>
      </c>
      <c r="F705">
        <v>30</v>
      </c>
      <c r="G705" t="s">
        <v>2479</v>
      </c>
      <c r="M705" t="str">
        <f>IF(OR(BOM!$AE$4=FALSE,BOM!$AE$4="-"),IF(ISERROR(SEARCH("send",B705)),"","pool:TPC"),IF(ISERROR(SEARCH("send",B705)),"","pool:TPC|pool:TPC"))</f>
        <v>pool:TPC|pool:TPC</v>
      </c>
      <c r="S705" t="str">
        <f>IFERROR(IF(VLOOKUP(B705,'Sender-Receiver'!$B$3:$BP$1500,60,FALSE)="x","true","false"),"false")</f>
        <v>false</v>
      </c>
      <c r="T705" t="str">
        <f t="shared" si="9"/>
        <v>off</v>
      </c>
      <c r="Y705" t="str">
        <f>IF(BOM!$AE$4=FALSE,IF(ISERROR(SEARCH("Embrionix",BOM!$M$4)),"none",IF(ISERROR(SEARCH("Quadsplit",BOM!$N$4)),IF(ISERROR(SEARCH("rec",B705)),"none","merge"),"none")),IF(ISERROR(SEARCH("rec",B705)),"split","merge"))</f>
        <v>split</v>
      </c>
    </row>
    <row r="706" spans="1:25" x14ac:dyDescent="0.2">
      <c r="A706" t="s">
        <v>1238</v>
      </c>
      <c r="B706" t="s">
        <v>2480</v>
      </c>
      <c r="C706" t="str">
        <f>IFERROR(VLOOKUP(B706,'Sender-Receiver'!$B$3:$BP$1500,61,FALSE),"")</f>
        <v>#SNP</v>
      </c>
      <c r="D706" t="str">
        <f>IFERROR(VLOOKUP(B706,'Sender-Receiver'!$B$3:$BP$1500,41,FALSE),"")</f>
        <v xml:space="preserve"> |  | EditPC-22</v>
      </c>
      <c r="E706" t="s">
        <v>1240</v>
      </c>
      <c r="F706">
        <v>30</v>
      </c>
      <c r="G706" t="s">
        <v>2481</v>
      </c>
      <c r="M706" t="str">
        <f>IF(OR(BOM!$AE$4=FALSE,BOM!$AE$4="-"),IF(ISERROR(SEARCH("send",B706)),"","pool:TPC"),IF(ISERROR(SEARCH("send",B706)),"","pool:TPC|pool:TPC"))</f>
        <v>pool:TPC|pool:TPC</v>
      </c>
      <c r="S706" t="str">
        <f>IFERROR(IF(VLOOKUP(B706,'Sender-Receiver'!$B$3:$BP$1500,60,FALSE)="x","true","false"),"false")</f>
        <v>false</v>
      </c>
      <c r="T706" t="str">
        <f t="shared" si="9"/>
        <v>off</v>
      </c>
      <c r="Y706" t="str">
        <f>IF(BOM!$AE$4=FALSE,IF(ISERROR(SEARCH("Embrionix",BOM!$M$4)),"none",IF(ISERROR(SEARCH("Quadsplit",BOM!$N$4)),IF(ISERROR(SEARCH("rec",B706)),"none","merge"),"none")),IF(ISERROR(SEARCH("rec",B706)),"split","merge"))</f>
        <v>split</v>
      </c>
    </row>
    <row r="707" spans="1:25" x14ac:dyDescent="0.2">
      <c r="A707" t="s">
        <v>1238</v>
      </c>
      <c r="B707" t="s">
        <v>2482</v>
      </c>
      <c r="C707" t="str">
        <f>IFERROR(VLOOKUP(B707,'Sender-Receiver'!$B$3:$BP$1500,61,FALSE),"")</f>
        <v>#SNP</v>
      </c>
      <c r="D707" t="str">
        <f>IFERROR(VLOOKUP(B707,'Sender-Receiver'!$B$3:$BP$1500,41,FALSE),"")</f>
        <v xml:space="preserve"> |  | EditPC-22</v>
      </c>
      <c r="E707" t="s">
        <v>1240</v>
      </c>
      <c r="F707">
        <v>30</v>
      </c>
      <c r="G707" t="s">
        <v>2483</v>
      </c>
      <c r="M707" t="str">
        <f>IF(OR(BOM!$AE$4=FALSE,BOM!$AE$4="-"),IF(ISERROR(SEARCH("send",B707)),"","pool:TPC"),IF(ISERROR(SEARCH("send",B707)),"","pool:TPC|pool:TPC"))</f>
        <v>pool:TPC|pool:TPC</v>
      </c>
      <c r="S707" t="str">
        <f>IFERROR(IF(VLOOKUP(B707,'Sender-Receiver'!$B$3:$BP$1500,60,FALSE)="x","true","false"),"false")</f>
        <v>false</v>
      </c>
      <c r="T707" t="str">
        <f t="shared" si="9"/>
        <v>off</v>
      </c>
      <c r="Y707" t="str">
        <f>IF(BOM!$AE$4=FALSE,IF(ISERROR(SEARCH("Embrionix",BOM!$M$4)),"none",IF(ISERROR(SEARCH("Quadsplit",BOM!$N$4)),IF(ISERROR(SEARCH("rec",B707)),"none","merge"),"none")),IF(ISERROR(SEARCH("rec",B707)),"split","merge"))</f>
        <v>split</v>
      </c>
    </row>
    <row r="708" spans="1:25" x14ac:dyDescent="0.2">
      <c r="A708" t="s">
        <v>1238</v>
      </c>
      <c r="B708" t="s">
        <v>2484</v>
      </c>
      <c r="C708" t="str">
        <f>IFERROR(VLOOKUP(B708,'Sender-Receiver'!$B$3:$BP$1500,61,FALSE),"")</f>
        <v>#SNP</v>
      </c>
      <c r="D708" t="str">
        <f>IFERROR(VLOOKUP(B708,'Sender-Receiver'!$B$3:$BP$1500,41,FALSE),"")</f>
        <v xml:space="preserve"> |  | EditPC-22</v>
      </c>
      <c r="E708" t="s">
        <v>1240</v>
      </c>
      <c r="F708">
        <v>30</v>
      </c>
      <c r="G708" t="s">
        <v>2485</v>
      </c>
      <c r="M708" t="str">
        <f>IF(OR(BOM!$AE$4=FALSE,BOM!$AE$4="-"),IF(ISERROR(SEARCH("send",B708)),"","pool:TPC"),IF(ISERROR(SEARCH("send",B708)),"","pool:TPC|pool:TPC"))</f>
        <v>pool:TPC|pool:TPC</v>
      </c>
      <c r="S708" t="str">
        <f>IFERROR(IF(VLOOKUP(B708,'Sender-Receiver'!$B$3:$BP$1500,60,FALSE)="x","true","false"),"false")</f>
        <v>false</v>
      </c>
      <c r="T708" t="str">
        <f t="shared" si="9"/>
        <v>off</v>
      </c>
      <c r="Y708" t="str">
        <f>IF(BOM!$AE$4=FALSE,IF(ISERROR(SEARCH("Embrionix",BOM!$M$4)),"none",IF(ISERROR(SEARCH("Quadsplit",BOM!$N$4)),IF(ISERROR(SEARCH("rec",B708)),"none","merge"),"none")),IF(ISERROR(SEARCH("rec",B708)),"split","merge"))</f>
        <v>split</v>
      </c>
    </row>
    <row r="709" spans="1:25" x14ac:dyDescent="0.2">
      <c r="A709" t="s">
        <v>1238</v>
      </c>
      <c r="B709" t="s">
        <v>2486</v>
      </c>
      <c r="C709" t="str">
        <f>IFERROR(VLOOKUP(B709,'Sender-Receiver'!$B$3:$BP$1500,61,FALSE),"")</f>
        <v>#SNP</v>
      </c>
      <c r="D709" t="str">
        <f>IFERROR(VLOOKUP(B709,'Sender-Receiver'!$B$3:$BP$1500,41,FALSE),"")</f>
        <v xml:space="preserve"> |  | EditPC-22</v>
      </c>
      <c r="E709" t="s">
        <v>1240</v>
      </c>
      <c r="F709">
        <v>30</v>
      </c>
      <c r="G709" t="s">
        <v>2487</v>
      </c>
      <c r="M709" t="str">
        <f>IF(OR(BOM!$AE$4=FALSE,BOM!$AE$4="-"),IF(ISERROR(SEARCH("send",B709)),"","pool:TPC"),IF(ISERROR(SEARCH("send",B709)),"","pool:TPC|pool:TPC"))</f>
        <v>pool:TPC|pool:TPC</v>
      </c>
      <c r="S709" t="str">
        <f>IFERROR(IF(VLOOKUP(B709,'Sender-Receiver'!$B$3:$BP$1500,60,FALSE)="x","true","false"),"false")</f>
        <v>false</v>
      </c>
      <c r="T709" t="str">
        <f t="shared" si="9"/>
        <v>off</v>
      </c>
      <c r="Y709" t="str">
        <f>IF(BOM!$AE$4=FALSE,IF(ISERROR(SEARCH("Embrionix",BOM!$M$4)),"none",IF(ISERROR(SEARCH("Quadsplit",BOM!$N$4)),IF(ISERROR(SEARCH("rec",B709)),"none","merge"),"none")),IF(ISERROR(SEARCH("rec",B709)),"split","merge"))</f>
        <v>split</v>
      </c>
    </row>
    <row r="710" spans="1:25" x14ac:dyDescent="0.2">
      <c r="A710" t="s">
        <v>1238</v>
      </c>
      <c r="B710" t="s">
        <v>2488</v>
      </c>
      <c r="C710" t="str">
        <f>IFERROR(VLOOKUP(B710,'Sender-Receiver'!$B$3:$BP$1500,61,FALSE),"")</f>
        <v>Type:Aud_8CH_RAW,#SNP</v>
      </c>
      <c r="D710" t="str">
        <f>IFERROR(VLOOKUP(B710,'Sender-Receiver'!$B$3:$BP$1500,41,FALSE),"")</f>
        <v>MEDEM Edits Out | Out Edit22-15 | EditPC-22</v>
      </c>
      <c r="E710" t="s">
        <v>1240</v>
      </c>
      <c r="F710">
        <v>30</v>
      </c>
      <c r="G710" t="s">
        <v>2489</v>
      </c>
      <c r="M710" t="str">
        <f>IF(OR(BOM!$AE$4=FALSE,BOM!$AE$4="-"),IF(ISERROR(SEARCH("send",B710)),"","pool:TPC"),IF(ISERROR(SEARCH("send",B710)),"","pool:TPC|pool:TPC"))</f>
        <v>pool:TPC|pool:TPC</v>
      </c>
      <c r="S710" t="str">
        <f>IFERROR(IF(VLOOKUP(B710,'Sender-Receiver'!$B$3:$BP$1500,60,FALSE)="x","true","false"),"false")</f>
        <v>true</v>
      </c>
      <c r="T710" t="str">
        <f t="shared" si="9"/>
        <v>full</v>
      </c>
      <c r="Y710" t="str">
        <f>IF(BOM!$AE$4=FALSE,IF(ISERROR(SEARCH("Embrionix",BOM!$M$4)),"none",IF(ISERROR(SEARCH("Quadsplit",BOM!$N$4)),IF(ISERROR(SEARCH("rec",B710)),"none","merge"),"none")),IF(ISERROR(SEARCH("rec",B710)),"split","merge"))</f>
        <v>split</v>
      </c>
    </row>
    <row r="711" spans="1:25" x14ac:dyDescent="0.2">
      <c r="A711" t="s">
        <v>1238</v>
      </c>
      <c r="B711" t="s">
        <v>2490</v>
      </c>
      <c r="C711" t="str">
        <f>IFERROR(VLOOKUP(B711,'Sender-Receiver'!$B$3:$BP$1500,61,FALSE),"")</f>
        <v>Type:Aud_8CH_RAW,#SNP</v>
      </c>
      <c r="D711" t="str">
        <f>IFERROR(VLOOKUP(B711,'Sender-Receiver'!$B$3:$BP$1500,41,FALSE),"")</f>
        <v>MEDEM Edits Out | Out Edit22-16 | EditPC-22</v>
      </c>
      <c r="E711" t="s">
        <v>1240</v>
      </c>
      <c r="F711">
        <v>30</v>
      </c>
      <c r="G711" t="s">
        <v>2491</v>
      </c>
      <c r="M711" t="str">
        <f>IF(OR(BOM!$AE$4=FALSE,BOM!$AE$4="-"),IF(ISERROR(SEARCH("send",B711)),"","pool:TPC"),IF(ISERROR(SEARCH("send",B711)),"","pool:TPC|pool:TPC"))</f>
        <v>pool:TPC|pool:TPC</v>
      </c>
      <c r="S711" t="str">
        <f>IFERROR(IF(VLOOKUP(B711,'Sender-Receiver'!$B$3:$BP$1500,60,FALSE)="x","true","false"),"false")</f>
        <v>true</v>
      </c>
      <c r="T711" t="str">
        <f t="shared" si="9"/>
        <v>full</v>
      </c>
      <c r="Y711" t="str">
        <f>IF(BOM!$AE$4=FALSE,IF(ISERROR(SEARCH("Embrionix",BOM!$M$4)),"none",IF(ISERROR(SEARCH("Quadsplit",BOM!$N$4)),IF(ISERROR(SEARCH("rec",B711)),"none","merge"),"none")),IF(ISERROR(SEARCH("rec",B711)),"split","merge"))</f>
        <v>split</v>
      </c>
    </row>
    <row r="712" spans="1:25" x14ac:dyDescent="0.2">
      <c r="A712" t="s">
        <v>1238</v>
      </c>
      <c r="B712" t="s">
        <v>2492</v>
      </c>
      <c r="C712" t="str">
        <f>IFERROR(VLOOKUP(B712,'Sender-Receiver'!$B$3:$BP$1500,61,FALSE),"")</f>
        <v>Type:Anc_Prot,#SNP</v>
      </c>
      <c r="D712" t="str">
        <f>IFERROR(VLOOKUP(B712,'Sender-Receiver'!$B$3:$BP$1500,41,FALSE),"")</f>
        <v>MEDEM Edits Out | Out Edit22-ANC1 | EditPC-22</v>
      </c>
      <c r="E712" t="s">
        <v>1240</v>
      </c>
      <c r="F712">
        <v>30</v>
      </c>
      <c r="G712" t="s">
        <v>2493</v>
      </c>
      <c r="M712" t="str">
        <f>IF(OR(BOM!$AE$4=FALSE,BOM!$AE$4="-"),IF(ISERROR(SEARCH("send",B712)),"","pool:TPC"),IF(ISERROR(SEARCH("send",B712)),"","pool:TPC|pool:TPC"))</f>
        <v>pool:TPC|pool:TPC</v>
      </c>
      <c r="S712" t="str">
        <f>IFERROR(IF(VLOOKUP(B712,'Sender-Receiver'!$B$3:$BP$1500,60,FALSE)="x","true","false"),"false")</f>
        <v>true</v>
      </c>
      <c r="T712" t="str">
        <f t="shared" si="9"/>
        <v>full</v>
      </c>
      <c r="Y712" t="str">
        <f>IF(BOM!$AE$4=FALSE,IF(ISERROR(SEARCH("Embrionix",BOM!$M$4)),"none",IF(ISERROR(SEARCH("Quadsplit",BOM!$N$4)),IF(ISERROR(SEARCH("rec",B712)),"none","merge"),"none")),IF(ISERROR(SEARCH("rec",B712)),"split","merge"))</f>
        <v>split</v>
      </c>
    </row>
    <row r="713" spans="1:25" x14ac:dyDescent="0.2">
      <c r="A713" t="s">
        <v>1238</v>
      </c>
      <c r="B713" t="s">
        <v>2494</v>
      </c>
      <c r="C713" t="str">
        <f>IFERROR(VLOOKUP(B713,'Sender-Receiver'!$B$3:$BP$1500,61,FALSE),"")</f>
        <v>#SNP</v>
      </c>
      <c r="D713" t="str">
        <f>IFERROR(VLOOKUP(B713,'Sender-Receiver'!$B$3:$BP$1500,41,FALSE),"")</f>
        <v xml:space="preserve"> |  | EditPC-22</v>
      </c>
      <c r="E713" t="s">
        <v>1240</v>
      </c>
      <c r="F713">
        <v>30</v>
      </c>
      <c r="G713" t="s">
        <v>2495</v>
      </c>
      <c r="M713" t="str">
        <f>IF(OR(BOM!$AE$4=FALSE,BOM!$AE$4="-"),IF(ISERROR(SEARCH("send",B713)),"","pool:TPC"),IF(ISERROR(SEARCH("send",B713)),"","pool:TPC|pool:TPC"))</f>
        <v>pool:TPC|pool:TPC</v>
      </c>
      <c r="S713" t="str">
        <f>IFERROR(IF(VLOOKUP(B713,'Sender-Receiver'!$B$3:$BP$1500,60,FALSE)="x","true","false"),"false")</f>
        <v>false</v>
      </c>
      <c r="T713" t="str">
        <f t="shared" si="9"/>
        <v>off</v>
      </c>
      <c r="Y713" t="str">
        <f>IF(BOM!$AE$4=FALSE,IF(ISERROR(SEARCH("Embrionix",BOM!$M$4)),"none",IF(ISERROR(SEARCH("Quadsplit",BOM!$N$4)),IF(ISERROR(SEARCH("rec",B713)),"none","merge"),"none")),IF(ISERROR(SEARCH("rec",B713)),"split","merge"))</f>
        <v>split</v>
      </c>
    </row>
    <row r="714" spans="1:25" x14ac:dyDescent="0.2">
      <c r="A714" t="s">
        <v>1238</v>
      </c>
      <c r="B714" t="s">
        <v>2496</v>
      </c>
      <c r="C714" t="str">
        <f>IFERROR(VLOOKUP(B714,'Sender-Receiver'!$B$3:$BP$1500,61,FALSE),"")</f>
        <v>#SNP</v>
      </c>
      <c r="D714" t="str">
        <f>IFERROR(VLOOKUP(B714,'Sender-Receiver'!$B$3:$BP$1500,41,FALSE),"")</f>
        <v xml:space="preserve"> |  | EditPC-22</v>
      </c>
      <c r="E714" t="s">
        <v>1240</v>
      </c>
      <c r="F714">
        <v>30</v>
      </c>
      <c r="G714" t="s">
        <v>2497</v>
      </c>
      <c r="M714" t="str">
        <f>IF(OR(BOM!$AE$4=FALSE,BOM!$AE$4="-"),IF(ISERROR(SEARCH("send",B714)),"","pool:TPC"),IF(ISERROR(SEARCH("send",B714)),"","pool:TPC|pool:TPC"))</f>
        <v>pool:TPC|pool:TPC</v>
      </c>
      <c r="S714" t="str">
        <f>IFERROR(IF(VLOOKUP(B714,'Sender-Receiver'!$B$3:$BP$1500,60,FALSE)="x","true","false"),"false")</f>
        <v>false</v>
      </c>
      <c r="T714" t="str">
        <f t="shared" si="9"/>
        <v>off</v>
      </c>
      <c r="Y714" t="str">
        <f>IF(BOM!$AE$4=FALSE,IF(ISERROR(SEARCH("Embrionix",BOM!$M$4)),"none",IF(ISERROR(SEARCH("Quadsplit",BOM!$N$4)),IF(ISERROR(SEARCH("rec",B714)),"none","merge"),"none")),IF(ISERROR(SEARCH("rec",B714)),"split","merge"))</f>
        <v>split</v>
      </c>
    </row>
    <row r="715" spans="1:25" x14ac:dyDescent="0.2">
      <c r="A715" t="s">
        <v>1238</v>
      </c>
      <c r="B715" t="s">
        <v>2498</v>
      </c>
      <c r="C715" t="str">
        <f>IFERROR(VLOOKUP(B715,'Sender-Receiver'!$B$3:$BP$1500,61,FALSE),"")</f>
        <v>#SNP</v>
      </c>
      <c r="D715" t="str">
        <f>IFERROR(VLOOKUP(B715,'Sender-Receiver'!$B$3:$BP$1500,41,FALSE),"")</f>
        <v xml:space="preserve"> |  | EditPC-22</v>
      </c>
      <c r="E715" t="s">
        <v>1240</v>
      </c>
      <c r="F715">
        <v>30</v>
      </c>
      <c r="G715" t="s">
        <v>2499</v>
      </c>
      <c r="M715" t="str">
        <f>IF(OR(BOM!$AE$4=FALSE,BOM!$AE$4="-"),IF(ISERROR(SEARCH("send",B715)),"","pool:TPC"),IF(ISERROR(SEARCH("send",B715)),"","pool:TPC|pool:TPC"))</f>
        <v>pool:TPC|pool:TPC</v>
      </c>
      <c r="S715" t="str">
        <f>IFERROR(IF(VLOOKUP(B715,'Sender-Receiver'!$B$3:$BP$1500,60,FALSE)="x","true","false"),"false")</f>
        <v>false</v>
      </c>
      <c r="T715" t="str">
        <f t="shared" si="9"/>
        <v>off</v>
      </c>
      <c r="Y715" t="str">
        <f>IF(BOM!$AE$4=FALSE,IF(ISERROR(SEARCH("Embrionix",BOM!$M$4)),"none",IF(ISERROR(SEARCH("Quadsplit",BOM!$N$4)),IF(ISERROR(SEARCH("rec",B715)),"none","merge"),"none")),IF(ISERROR(SEARCH("rec",B715)),"split","merge"))</f>
        <v>split</v>
      </c>
    </row>
    <row r="716" spans="1:25" x14ac:dyDescent="0.2">
      <c r="A716" t="s">
        <v>1238</v>
      </c>
      <c r="B716" t="s">
        <v>2500</v>
      </c>
      <c r="C716" t="str">
        <f>IFERROR(VLOOKUP(B716,'Sender-Receiver'!$B$3:$BP$1500,61,FALSE),"")</f>
        <v>Type:Vid_1080i50,#SNP</v>
      </c>
      <c r="D716" t="str">
        <f>IFERROR(VLOOKUP(B716,'Sender-Receiver'!$B$3:$BP$1500,41,FALSE),"")</f>
        <v>MEDEM Edits Out | Out Edit23 | EditPC-23</v>
      </c>
      <c r="E716" t="s">
        <v>1240</v>
      </c>
      <c r="F716">
        <v>31</v>
      </c>
      <c r="G716" t="s">
        <v>2501</v>
      </c>
      <c r="M716" t="str">
        <f>IF(OR(BOM!$AE$4=FALSE,BOM!$AE$4="-"),IF(ISERROR(SEARCH("send",B716)),"","pool:TPC"),IF(ISERROR(SEARCH("send",B716)),"","pool:TPC|pool:TPC"))</f>
        <v>pool:TPC|pool:TPC</v>
      </c>
      <c r="S716" t="str">
        <f>IFERROR(IF(VLOOKUP(B716,'Sender-Receiver'!$B$3:$BP$1500,60,FALSE)="x","true","false"),"false")</f>
        <v>true</v>
      </c>
      <c r="T716" t="str">
        <f t="shared" si="9"/>
        <v>full</v>
      </c>
      <c r="Y716" t="str">
        <f>IF(BOM!$AE$4=FALSE,IF(ISERROR(SEARCH("Embrionix",BOM!$M$4)),"none",IF(ISERROR(SEARCH("Quadsplit",BOM!$N$4)),IF(ISERROR(SEARCH("rec",B716)),"none","merge"),"none")),IF(ISERROR(SEARCH("rec",B716)),"split","merge"))</f>
        <v>split</v>
      </c>
    </row>
    <row r="717" spans="1:25" x14ac:dyDescent="0.2">
      <c r="A717" t="s">
        <v>1238</v>
      </c>
      <c r="B717" t="s">
        <v>2502</v>
      </c>
      <c r="C717" t="str">
        <f>IFERROR(VLOOKUP(B717,'Sender-Receiver'!$B$3:$BP$1500,61,FALSE),"")</f>
        <v>Type:Aud_2CH_LR,#SNP</v>
      </c>
      <c r="D717" t="str">
        <f>IFERROR(VLOOKUP(B717,'Sender-Receiver'!$B$3:$BP$1500,41,FALSE),"")</f>
        <v>MEDEM Edits Out | Out Edit23-01 | EditPC-23</v>
      </c>
      <c r="E717" t="s">
        <v>1240</v>
      </c>
      <c r="F717">
        <v>31</v>
      </c>
      <c r="G717" t="s">
        <v>2503</v>
      </c>
      <c r="M717" t="str">
        <f>IF(OR(BOM!$AE$4=FALSE,BOM!$AE$4="-"),IF(ISERROR(SEARCH("send",B717)),"","pool:TPC"),IF(ISERROR(SEARCH("send",B717)),"","pool:TPC|pool:TPC"))</f>
        <v>pool:TPC|pool:TPC</v>
      </c>
      <c r="S717" t="str">
        <f>IFERROR(IF(VLOOKUP(B717,'Sender-Receiver'!$B$3:$BP$1500,60,FALSE)="x","true","false"),"false")</f>
        <v>true</v>
      </c>
      <c r="T717" t="str">
        <f t="shared" si="9"/>
        <v>full</v>
      </c>
      <c r="Y717" t="str">
        <f>IF(BOM!$AE$4=FALSE,IF(ISERROR(SEARCH("Embrionix",BOM!$M$4)),"none",IF(ISERROR(SEARCH("Quadsplit",BOM!$N$4)),IF(ISERROR(SEARCH("rec",B717)),"none","merge"),"none")),IF(ISERROR(SEARCH("rec",B717)),"split","merge"))</f>
        <v>split</v>
      </c>
    </row>
    <row r="718" spans="1:25" x14ac:dyDescent="0.2">
      <c r="A718" t="s">
        <v>1238</v>
      </c>
      <c r="B718" t="s">
        <v>2504</v>
      </c>
      <c r="C718" t="str">
        <f>IFERROR(VLOOKUP(B718,'Sender-Receiver'!$B$3:$BP$1500,61,FALSE),"")</f>
        <v>Type:Aud_1CH_M,#SNP</v>
      </c>
      <c r="D718" t="str">
        <f>IFERROR(VLOOKUP(B718,'Sender-Receiver'!$B$3:$BP$1500,41,FALSE),"")</f>
        <v>MEDEM Edits Out | Out Edit23-02 | EditPC-23</v>
      </c>
      <c r="E718" t="s">
        <v>1240</v>
      </c>
      <c r="F718">
        <v>31</v>
      </c>
      <c r="G718" t="s">
        <v>2505</v>
      </c>
      <c r="M718" t="str">
        <f>IF(OR(BOM!$AE$4=FALSE,BOM!$AE$4="-"),IF(ISERROR(SEARCH("send",B718)),"","pool:TPC"),IF(ISERROR(SEARCH("send",B718)),"","pool:TPC|pool:TPC"))</f>
        <v>pool:TPC|pool:TPC</v>
      </c>
      <c r="S718" t="str">
        <f>IFERROR(IF(VLOOKUP(B718,'Sender-Receiver'!$B$3:$BP$1500,60,FALSE)="x","true","false"),"false")</f>
        <v>true</v>
      </c>
      <c r="T718" t="str">
        <f t="shared" si="9"/>
        <v>full</v>
      </c>
      <c r="Y718" t="str">
        <f>IF(BOM!$AE$4=FALSE,IF(ISERROR(SEARCH("Embrionix",BOM!$M$4)),"none",IF(ISERROR(SEARCH("Quadsplit",BOM!$N$4)),IF(ISERROR(SEARCH("rec",B718)),"none","merge"),"none")),IF(ISERROR(SEARCH("rec",B718)),"split","merge"))</f>
        <v>split</v>
      </c>
    </row>
    <row r="719" spans="1:25" x14ac:dyDescent="0.2">
      <c r="A719" t="s">
        <v>1238</v>
      </c>
      <c r="B719" t="s">
        <v>2506</v>
      </c>
      <c r="C719" t="str">
        <f>IFERROR(VLOOKUP(B719,'Sender-Receiver'!$B$3:$BP$1500,61,FALSE),"")</f>
        <v>Type:Aud_1CH_M,#SNP</v>
      </c>
      <c r="D719" t="str">
        <f>IFERROR(VLOOKUP(B719,'Sender-Receiver'!$B$3:$BP$1500,41,FALSE),"")</f>
        <v>MEDEM Edits Out | Out Edit23-03 | EditPC-23</v>
      </c>
      <c r="E719" t="s">
        <v>1240</v>
      </c>
      <c r="F719">
        <v>31</v>
      </c>
      <c r="G719" t="s">
        <v>2507</v>
      </c>
      <c r="M719" t="str">
        <f>IF(OR(BOM!$AE$4=FALSE,BOM!$AE$4="-"),IF(ISERROR(SEARCH("send",B719)),"","pool:TPC"),IF(ISERROR(SEARCH("send",B719)),"","pool:TPC|pool:TPC"))</f>
        <v>pool:TPC|pool:TPC</v>
      </c>
      <c r="S719" t="str">
        <f>IFERROR(IF(VLOOKUP(B719,'Sender-Receiver'!$B$3:$BP$1500,60,FALSE)="x","true","false"),"false")</f>
        <v>true</v>
      </c>
      <c r="T719" t="str">
        <f t="shared" si="9"/>
        <v>full</v>
      </c>
      <c r="Y719" t="str">
        <f>IF(BOM!$AE$4=FALSE,IF(ISERROR(SEARCH("Embrionix",BOM!$M$4)),"none",IF(ISERROR(SEARCH("Quadsplit",BOM!$N$4)),IF(ISERROR(SEARCH("rec",B719)),"none","merge"),"none")),IF(ISERROR(SEARCH("rec",B719)),"split","merge"))</f>
        <v>split</v>
      </c>
    </row>
    <row r="720" spans="1:25" x14ac:dyDescent="0.2">
      <c r="A720" t="s">
        <v>1238</v>
      </c>
      <c r="B720" t="s">
        <v>2508</v>
      </c>
      <c r="C720" t="str">
        <f>IFERROR(VLOOKUP(B720,'Sender-Receiver'!$B$3:$BP$1500,61,FALSE),"")</f>
        <v>Type:Aud_2CH_LR,#SNP</v>
      </c>
      <c r="D720" t="str">
        <f>IFERROR(VLOOKUP(B720,'Sender-Receiver'!$B$3:$BP$1500,41,FALSE),"")</f>
        <v>MEDEM Edits Out | Out Edit23-04 | EditPC-23</v>
      </c>
      <c r="E720" t="s">
        <v>1240</v>
      </c>
      <c r="F720">
        <v>31</v>
      </c>
      <c r="G720" t="s">
        <v>2509</v>
      </c>
      <c r="M720" t="str">
        <f>IF(OR(BOM!$AE$4=FALSE,BOM!$AE$4="-"),IF(ISERROR(SEARCH("send",B720)),"","pool:TPC"),IF(ISERROR(SEARCH("send",B720)),"","pool:TPC|pool:TPC"))</f>
        <v>pool:TPC|pool:TPC</v>
      </c>
      <c r="S720" t="str">
        <f>IFERROR(IF(VLOOKUP(B720,'Sender-Receiver'!$B$3:$BP$1500,60,FALSE)="x","true","false"),"false")</f>
        <v>true</v>
      </c>
      <c r="T720" t="str">
        <f t="shared" si="9"/>
        <v>full</v>
      </c>
      <c r="Y720" t="str">
        <f>IF(BOM!$AE$4=FALSE,IF(ISERROR(SEARCH("Embrionix",BOM!$M$4)),"none",IF(ISERROR(SEARCH("Quadsplit",BOM!$N$4)),IF(ISERROR(SEARCH("rec",B720)),"none","merge"),"none")),IF(ISERROR(SEARCH("rec",B720)),"split","merge"))</f>
        <v>split</v>
      </c>
    </row>
    <row r="721" spans="1:25" x14ac:dyDescent="0.2">
      <c r="A721" t="s">
        <v>1238</v>
      </c>
      <c r="B721" t="s">
        <v>2510</v>
      </c>
      <c r="C721" t="str">
        <f>IFERROR(VLOOKUP(B721,'Sender-Receiver'!$B$3:$BP$1500,61,FALSE),"")</f>
        <v>Type:Aud_1CH_M,#SNP</v>
      </c>
      <c r="D721" t="str">
        <f>IFERROR(VLOOKUP(B721,'Sender-Receiver'!$B$3:$BP$1500,41,FALSE),"")</f>
        <v>MEDEM Edits Out | Out Edit23-05 | EditPC-23</v>
      </c>
      <c r="E721" t="s">
        <v>1240</v>
      </c>
      <c r="F721">
        <v>31</v>
      </c>
      <c r="G721" t="s">
        <v>2511</v>
      </c>
      <c r="M721" t="str">
        <f>IF(OR(BOM!$AE$4=FALSE,BOM!$AE$4="-"),IF(ISERROR(SEARCH("send",B721)),"","pool:TPC"),IF(ISERROR(SEARCH("send",B721)),"","pool:TPC|pool:TPC"))</f>
        <v>pool:TPC|pool:TPC</v>
      </c>
      <c r="S721" t="str">
        <f>IFERROR(IF(VLOOKUP(B721,'Sender-Receiver'!$B$3:$BP$1500,60,FALSE)="x","true","false"),"false")</f>
        <v>true</v>
      </c>
      <c r="T721" t="str">
        <f t="shared" si="9"/>
        <v>full</v>
      </c>
      <c r="Y721" t="str">
        <f>IF(BOM!$AE$4=FALSE,IF(ISERROR(SEARCH("Embrionix",BOM!$M$4)),"none",IF(ISERROR(SEARCH("Quadsplit",BOM!$N$4)),IF(ISERROR(SEARCH("rec",B721)),"none","merge"),"none")),IF(ISERROR(SEARCH("rec",B721)),"split","merge"))</f>
        <v>split</v>
      </c>
    </row>
    <row r="722" spans="1:25" x14ac:dyDescent="0.2">
      <c r="A722" t="s">
        <v>1238</v>
      </c>
      <c r="B722" t="s">
        <v>2512</v>
      </c>
      <c r="C722" t="str">
        <f>IFERROR(VLOOKUP(B722,'Sender-Receiver'!$B$3:$BP$1500,61,FALSE),"")</f>
        <v>Type:Aud_1CH_M,#SNP</v>
      </c>
      <c r="D722" t="str">
        <f>IFERROR(VLOOKUP(B722,'Sender-Receiver'!$B$3:$BP$1500,41,FALSE),"")</f>
        <v>MEDEM Edits Out | Out Edit23-06 | EditPC-23</v>
      </c>
      <c r="E722" t="s">
        <v>1240</v>
      </c>
      <c r="F722">
        <v>31</v>
      </c>
      <c r="G722" t="s">
        <v>2513</v>
      </c>
      <c r="M722" t="str">
        <f>IF(OR(BOM!$AE$4=FALSE,BOM!$AE$4="-"),IF(ISERROR(SEARCH("send",B722)),"","pool:TPC"),IF(ISERROR(SEARCH("send",B722)),"","pool:TPC|pool:TPC"))</f>
        <v>pool:TPC|pool:TPC</v>
      </c>
      <c r="S722" t="str">
        <f>IFERROR(IF(VLOOKUP(B722,'Sender-Receiver'!$B$3:$BP$1500,60,FALSE)="x","true","false"),"false")</f>
        <v>true</v>
      </c>
      <c r="T722" t="str">
        <f t="shared" si="9"/>
        <v>full</v>
      </c>
      <c r="Y722" t="str">
        <f>IF(BOM!$AE$4=FALSE,IF(ISERROR(SEARCH("Embrionix",BOM!$M$4)),"none",IF(ISERROR(SEARCH("Quadsplit",BOM!$N$4)),IF(ISERROR(SEARCH("rec",B722)),"none","merge"),"none")),IF(ISERROR(SEARCH("rec",B722)),"split","merge"))</f>
        <v>split</v>
      </c>
    </row>
    <row r="723" spans="1:25" x14ac:dyDescent="0.2">
      <c r="A723" t="s">
        <v>1238</v>
      </c>
      <c r="B723" t="s">
        <v>2514</v>
      </c>
      <c r="C723" t="str">
        <f>IFERROR(VLOOKUP(B723,'Sender-Receiver'!$B$3:$BP$1500,61,FALSE),"")</f>
        <v>Type:Aud_2CH_LR,#SNP</v>
      </c>
      <c r="D723" t="str">
        <f>IFERROR(VLOOKUP(B723,'Sender-Receiver'!$B$3:$BP$1500,41,FALSE),"")</f>
        <v>MEDEM Edits Out | Out Edit23-07 | EditPC-23</v>
      </c>
      <c r="E723" t="s">
        <v>1240</v>
      </c>
      <c r="F723">
        <v>31</v>
      </c>
      <c r="G723" t="s">
        <v>2515</v>
      </c>
      <c r="M723" t="str">
        <f>IF(OR(BOM!$AE$4=FALSE,BOM!$AE$4="-"),IF(ISERROR(SEARCH("send",B723)),"","pool:TPC"),IF(ISERROR(SEARCH("send",B723)),"","pool:TPC|pool:TPC"))</f>
        <v>pool:TPC|pool:TPC</v>
      </c>
      <c r="S723" t="str">
        <f>IFERROR(IF(VLOOKUP(B723,'Sender-Receiver'!$B$3:$BP$1500,60,FALSE)="x","true","false"),"false")</f>
        <v>true</v>
      </c>
      <c r="T723" t="str">
        <f t="shared" si="9"/>
        <v>full</v>
      </c>
      <c r="Y723" t="str">
        <f>IF(BOM!$AE$4=FALSE,IF(ISERROR(SEARCH("Embrionix",BOM!$M$4)),"none",IF(ISERROR(SEARCH("Quadsplit",BOM!$N$4)),IF(ISERROR(SEARCH("rec",B723)),"none","merge"),"none")),IF(ISERROR(SEARCH("rec",B723)),"split","merge"))</f>
        <v>split</v>
      </c>
    </row>
    <row r="724" spans="1:25" x14ac:dyDescent="0.2">
      <c r="A724" t="s">
        <v>1238</v>
      </c>
      <c r="B724" t="s">
        <v>2516</v>
      </c>
      <c r="C724" t="str">
        <f>IFERROR(VLOOKUP(B724,'Sender-Receiver'!$B$3:$BP$1500,61,FALSE),"")</f>
        <v>Type:Aud_6CH_5.1,#SNP</v>
      </c>
      <c r="D724" t="str">
        <f>IFERROR(VLOOKUP(B724,'Sender-Receiver'!$B$3:$BP$1500,41,FALSE),"")</f>
        <v>MEDEM Edits Out | Out Edit23-08 | EditPC-23</v>
      </c>
      <c r="E724" t="s">
        <v>1240</v>
      </c>
      <c r="F724">
        <v>31</v>
      </c>
      <c r="G724" t="s">
        <v>2517</v>
      </c>
      <c r="M724" t="str">
        <f>IF(OR(BOM!$AE$4=FALSE,BOM!$AE$4="-"),IF(ISERROR(SEARCH("send",B724)),"","pool:TPC"),IF(ISERROR(SEARCH("send",B724)),"","pool:TPC|pool:TPC"))</f>
        <v>pool:TPC|pool:TPC</v>
      </c>
      <c r="S724" t="str">
        <f>IFERROR(IF(VLOOKUP(B724,'Sender-Receiver'!$B$3:$BP$1500,60,FALSE)="x","true","false"),"false")</f>
        <v>true</v>
      </c>
      <c r="T724" t="str">
        <f t="shared" si="9"/>
        <v>full</v>
      </c>
      <c r="Y724" t="str">
        <f>IF(BOM!$AE$4=FALSE,IF(ISERROR(SEARCH("Embrionix",BOM!$M$4)),"none",IF(ISERROR(SEARCH("Quadsplit",BOM!$N$4)),IF(ISERROR(SEARCH("rec",B724)),"none","merge"),"none")),IF(ISERROR(SEARCH("rec",B724)),"split","merge"))</f>
        <v>split</v>
      </c>
    </row>
    <row r="725" spans="1:25" x14ac:dyDescent="0.2">
      <c r="A725" t="s">
        <v>1238</v>
      </c>
      <c r="B725" t="s">
        <v>2518</v>
      </c>
      <c r="C725" t="str">
        <f>IFERROR(VLOOKUP(B725,'Sender-Receiver'!$B$3:$BP$1500,61,FALSE),"")</f>
        <v>#SNP</v>
      </c>
      <c r="D725" t="str">
        <f>IFERROR(VLOOKUP(B725,'Sender-Receiver'!$B$3:$BP$1500,41,FALSE),"")</f>
        <v xml:space="preserve"> |  | EditPC-23</v>
      </c>
      <c r="E725" t="s">
        <v>1240</v>
      </c>
      <c r="F725">
        <v>31</v>
      </c>
      <c r="G725" t="s">
        <v>2519</v>
      </c>
      <c r="M725" t="str">
        <f>IF(OR(BOM!$AE$4=FALSE,BOM!$AE$4="-"),IF(ISERROR(SEARCH("send",B725)),"","pool:TPC"),IF(ISERROR(SEARCH("send",B725)),"","pool:TPC|pool:TPC"))</f>
        <v>pool:TPC|pool:TPC</v>
      </c>
      <c r="S725" t="str">
        <f>IFERROR(IF(VLOOKUP(B725,'Sender-Receiver'!$B$3:$BP$1500,60,FALSE)="x","true","false"),"false")</f>
        <v>false</v>
      </c>
      <c r="T725" t="str">
        <f t="shared" si="9"/>
        <v>off</v>
      </c>
      <c r="Y725" t="str">
        <f>IF(BOM!$AE$4=FALSE,IF(ISERROR(SEARCH("Embrionix",BOM!$M$4)),"none",IF(ISERROR(SEARCH("Quadsplit",BOM!$N$4)),IF(ISERROR(SEARCH("rec",B725)),"none","merge"),"none")),IF(ISERROR(SEARCH("rec",B725)),"split","merge"))</f>
        <v>split</v>
      </c>
    </row>
    <row r="726" spans="1:25" x14ac:dyDescent="0.2">
      <c r="A726" t="s">
        <v>1238</v>
      </c>
      <c r="B726" t="s">
        <v>2520</v>
      </c>
      <c r="C726" t="str">
        <f>IFERROR(VLOOKUP(B726,'Sender-Receiver'!$B$3:$BP$1500,61,FALSE),"")</f>
        <v>#SNP</v>
      </c>
      <c r="D726" t="str">
        <f>IFERROR(VLOOKUP(B726,'Sender-Receiver'!$B$3:$BP$1500,41,FALSE),"")</f>
        <v xml:space="preserve"> |  | EditPC-23</v>
      </c>
      <c r="E726" t="s">
        <v>1240</v>
      </c>
      <c r="F726">
        <v>31</v>
      </c>
      <c r="G726" t="s">
        <v>2521</v>
      </c>
      <c r="M726" t="str">
        <f>IF(OR(BOM!$AE$4=FALSE,BOM!$AE$4="-"),IF(ISERROR(SEARCH("send",B726)),"","pool:TPC"),IF(ISERROR(SEARCH("send",B726)),"","pool:TPC|pool:TPC"))</f>
        <v>pool:TPC|pool:TPC</v>
      </c>
      <c r="S726" t="str">
        <f>IFERROR(IF(VLOOKUP(B726,'Sender-Receiver'!$B$3:$BP$1500,60,FALSE)="x","true","false"),"false")</f>
        <v>false</v>
      </c>
      <c r="T726" t="str">
        <f t="shared" si="9"/>
        <v>off</v>
      </c>
      <c r="Y726" t="str">
        <f>IF(BOM!$AE$4=FALSE,IF(ISERROR(SEARCH("Embrionix",BOM!$M$4)),"none",IF(ISERROR(SEARCH("Quadsplit",BOM!$N$4)),IF(ISERROR(SEARCH("rec",B726)),"none","merge"),"none")),IF(ISERROR(SEARCH("rec",B726)),"split","merge"))</f>
        <v>split</v>
      </c>
    </row>
    <row r="727" spans="1:25" x14ac:dyDescent="0.2">
      <c r="A727" t="s">
        <v>1238</v>
      </c>
      <c r="B727" t="s">
        <v>2522</v>
      </c>
      <c r="C727" t="str">
        <f>IFERROR(VLOOKUP(B727,'Sender-Receiver'!$B$3:$BP$1500,61,FALSE),"")</f>
        <v>#SNP</v>
      </c>
      <c r="D727" t="str">
        <f>IFERROR(VLOOKUP(B727,'Sender-Receiver'!$B$3:$BP$1500,41,FALSE),"")</f>
        <v xml:space="preserve"> |  | EditPC-23</v>
      </c>
      <c r="E727" t="s">
        <v>1240</v>
      </c>
      <c r="F727">
        <v>31</v>
      </c>
      <c r="G727" t="s">
        <v>2523</v>
      </c>
      <c r="M727" t="str">
        <f>IF(OR(BOM!$AE$4=FALSE,BOM!$AE$4="-"),IF(ISERROR(SEARCH("send",B727)),"","pool:TPC"),IF(ISERROR(SEARCH("send",B727)),"","pool:TPC|pool:TPC"))</f>
        <v>pool:TPC|pool:TPC</v>
      </c>
      <c r="S727" t="str">
        <f>IFERROR(IF(VLOOKUP(B727,'Sender-Receiver'!$B$3:$BP$1500,60,FALSE)="x","true","false"),"false")</f>
        <v>false</v>
      </c>
      <c r="T727" t="str">
        <f t="shared" ref="T727:T757" si="10">IF(S727="true","full","off")</f>
        <v>off</v>
      </c>
      <c r="Y727" t="str">
        <f>IF(BOM!$AE$4=FALSE,IF(ISERROR(SEARCH("Embrionix",BOM!$M$4)),"none",IF(ISERROR(SEARCH("Quadsplit",BOM!$N$4)),IF(ISERROR(SEARCH("rec",B727)),"none","merge"),"none")),IF(ISERROR(SEARCH("rec",B727)),"split","merge"))</f>
        <v>split</v>
      </c>
    </row>
    <row r="728" spans="1:25" x14ac:dyDescent="0.2">
      <c r="A728" t="s">
        <v>1238</v>
      </c>
      <c r="B728" t="s">
        <v>2524</v>
      </c>
      <c r="C728" t="str">
        <f>IFERROR(VLOOKUP(B728,'Sender-Receiver'!$B$3:$BP$1500,61,FALSE),"")</f>
        <v>#SNP</v>
      </c>
      <c r="D728" t="str">
        <f>IFERROR(VLOOKUP(B728,'Sender-Receiver'!$B$3:$BP$1500,41,FALSE),"")</f>
        <v xml:space="preserve"> |  | EditPC-23</v>
      </c>
      <c r="E728" t="s">
        <v>1240</v>
      </c>
      <c r="F728">
        <v>31</v>
      </c>
      <c r="G728" t="s">
        <v>2525</v>
      </c>
      <c r="M728" t="str">
        <f>IF(OR(BOM!$AE$4=FALSE,BOM!$AE$4="-"),IF(ISERROR(SEARCH("send",B728)),"","pool:TPC"),IF(ISERROR(SEARCH("send",B728)),"","pool:TPC|pool:TPC"))</f>
        <v>pool:TPC|pool:TPC</v>
      </c>
      <c r="S728" t="str">
        <f>IFERROR(IF(VLOOKUP(B728,'Sender-Receiver'!$B$3:$BP$1500,60,FALSE)="x","true","false"),"false")</f>
        <v>false</v>
      </c>
      <c r="T728" t="str">
        <f t="shared" si="10"/>
        <v>off</v>
      </c>
      <c r="Y728" t="str">
        <f>IF(BOM!$AE$4=FALSE,IF(ISERROR(SEARCH("Embrionix",BOM!$M$4)),"none",IF(ISERROR(SEARCH("Quadsplit",BOM!$N$4)),IF(ISERROR(SEARCH("rec",B728)),"none","merge"),"none")),IF(ISERROR(SEARCH("rec",B728)),"split","merge"))</f>
        <v>split</v>
      </c>
    </row>
    <row r="729" spans="1:25" x14ac:dyDescent="0.2">
      <c r="A729" t="s">
        <v>1238</v>
      </c>
      <c r="B729" t="s">
        <v>2526</v>
      </c>
      <c r="C729" t="str">
        <f>IFERROR(VLOOKUP(B729,'Sender-Receiver'!$B$3:$BP$1500,61,FALSE),"")</f>
        <v>#SNP</v>
      </c>
      <c r="D729" t="str">
        <f>IFERROR(VLOOKUP(B729,'Sender-Receiver'!$B$3:$BP$1500,41,FALSE),"")</f>
        <v xml:space="preserve"> |  | EditPC-23</v>
      </c>
      <c r="E729" t="s">
        <v>1240</v>
      </c>
      <c r="F729">
        <v>31</v>
      </c>
      <c r="G729" t="s">
        <v>2527</v>
      </c>
      <c r="M729" t="str">
        <f>IF(OR(BOM!$AE$4=FALSE,BOM!$AE$4="-"),IF(ISERROR(SEARCH("send",B729)),"","pool:TPC"),IF(ISERROR(SEARCH("send",B729)),"","pool:TPC|pool:TPC"))</f>
        <v>pool:TPC|pool:TPC</v>
      </c>
      <c r="S729" t="str">
        <f>IFERROR(IF(VLOOKUP(B729,'Sender-Receiver'!$B$3:$BP$1500,60,FALSE)="x","true","false"),"false")</f>
        <v>false</v>
      </c>
      <c r="T729" t="str">
        <f t="shared" si="10"/>
        <v>off</v>
      </c>
      <c r="Y729" t="str">
        <f>IF(BOM!$AE$4=FALSE,IF(ISERROR(SEARCH("Embrionix",BOM!$M$4)),"none",IF(ISERROR(SEARCH("Quadsplit",BOM!$N$4)),IF(ISERROR(SEARCH("rec",B729)),"none","merge"),"none")),IF(ISERROR(SEARCH("rec",B729)),"split","merge"))</f>
        <v>split</v>
      </c>
    </row>
    <row r="730" spans="1:25" x14ac:dyDescent="0.2">
      <c r="A730" t="s">
        <v>1238</v>
      </c>
      <c r="B730" t="s">
        <v>2528</v>
      </c>
      <c r="C730" t="str">
        <f>IFERROR(VLOOKUP(B730,'Sender-Receiver'!$B$3:$BP$1500,61,FALSE),"")</f>
        <v>#SNP</v>
      </c>
      <c r="D730" t="str">
        <f>IFERROR(VLOOKUP(B730,'Sender-Receiver'!$B$3:$BP$1500,41,FALSE),"")</f>
        <v xml:space="preserve"> |  | EditPC-23</v>
      </c>
      <c r="E730" t="s">
        <v>1240</v>
      </c>
      <c r="F730">
        <v>31</v>
      </c>
      <c r="G730" t="s">
        <v>2529</v>
      </c>
      <c r="M730" t="str">
        <f>IF(OR(BOM!$AE$4=FALSE,BOM!$AE$4="-"),IF(ISERROR(SEARCH("send",B730)),"","pool:TPC"),IF(ISERROR(SEARCH("send",B730)),"","pool:TPC|pool:TPC"))</f>
        <v>pool:TPC|pool:TPC</v>
      </c>
      <c r="S730" t="str">
        <f>IFERROR(IF(VLOOKUP(B730,'Sender-Receiver'!$B$3:$BP$1500,60,FALSE)="x","true","false"),"false")</f>
        <v>false</v>
      </c>
      <c r="T730" t="str">
        <f t="shared" si="10"/>
        <v>off</v>
      </c>
      <c r="Y730" t="str">
        <f>IF(BOM!$AE$4=FALSE,IF(ISERROR(SEARCH("Embrionix",BOM!$M$4)),"none",IF(ISERROR(SEARCH("Quadsplit",BOM!$N$4)),IF(ISERROR(SEARCH("rec",B730)),"none","merge"),"none")),IF(ISERROR(SEARCH("rec",B730)),"split","merge"))</f>
        <v>split</v>
      </c>
    </row>
    <row r="731" spans="1:25" x14ac:dyDescent="0.2">
      <c r="A731" t="s">
        <v>1238</v>
      </c>
      <c r="B731" t="s">
        <v>2530</v>
      </c>
      <c r="C731" t="str">
        <f>IFERROR(VLOOKUP(B731,'Sender-Receiver'!$B$3:$BP$1500,61,FALSE),"")</f>
        <v>Type:Aud_8CH_RAW,#SNP</v>
      </c>
      <c r="D731" t="str">
        <f>IFERROR(VLOOKUP(B731,'Sender-Receiver'!$B$3:$BP$1500,41,FALSE),"")</f>
        <v>MEDEM Edits Out | Out Edit23-15 | EditPC-23</v>
      </c>
      <c r="E731" t="s">
        <v>1240</v>
      </c>
      <c r="F731">
        <v>31</v>
      </c>
      <c r="G731" t="s">
        <v>2531</v>
      </c>
      <c r="M731" t="str">
        <f>IF(OR(BOM!$AE$4=FALSE,BOM!$AE$4="-"),IF(ISERROR(SEARCH("send",B731)),"","pool:TPC"),IF(ISERROR(SEARCH("send",B731)),"","pool:TPC|pool:TPC"))</f>
        <v>pool:TPC|pool:TPC</v>
      </c>
      <c r="S731" t="str">
        <f>IFERROR(IF(VLOOKUP(B731,'Sender-Receiver'!$B$3:$BP$1500,60,FALSE)="x","true","false"),"false")</f>
        <v>true</v>
      </c>
      <c r="T731" t="str">
        <f t="shared" si="10"/>
        <v>full</v>
      </c>
      <c r="Y731" t="str">
        <f>IF(BOM!$AE$4=FALSE,IF(ISERROR(SEARCH("Embrionix",BOM!$M$4)),"none",IF(ISERROR(SEARCH("Quadsplit",BOM!$N$4)),IF(ISERROR(SEARCH("rec",B731)),"none","merge"),"none")),IF(ISERROR(SEARCH("rec",B731)),"split","merge"))</f>
        <v>split</v>
      </c>
    </row>
    <row r="732" spans="1:25" x14ac:dyDescent="0.2">
      <c r="A732" t="s">
        <v>1238</v>
      </c>
      <c r="B732" t="s">
        <v>2532</v>
      </c>
      <c r="C732" t="str">
        <f>IFERROR(VLOOKUP(B732,'Sender-Receiver'!$B$3:$BP$1500,61,FALSE),"")</f>
        <v>Type:Aud_8CH_RAW,#SNP</v>
      </c>
      <c r="D732" t="str">
        <f>IFERROR(VLOOKUP(B732,'Sender-Receiver'!$B$3:$BP$1500,41,FALSE),"")</f>
        <v>MEDEM Edits Out | Out Edit23-16 | EditPC-23</v>
      </c>
      <c r="E732" t="s">
        <v>1240</v>
      </c>
      <c r="F732">
        <v>31</v>
      </c>
      <c r="G732" t="s">
        <v>2533</v>
      </c>
      <c r="M732" t="str">
        <f>IF(OR(BOM!$AE$4=FALSE,BOM!$AE$4="-"),IF(ISERROR(SEARCH("send",B732)),"","pool:TPC"),IF(ISERROR(SEARCH("send",B732)),"","pool:TPC|pool:TPC"))</f>
        <v>pool:TPC|pool:TPC</v>
      </c>
      <c r="S732" t="str">
        <f>IFERROR(IF(VLOOKUP(B732,'Sender-Receiver'!$B$3:$BP$1500,60,FALSE)="x","true","false"),"false")</f>
        <v>true</v>
      </c>
      <c r="T732" t="str">
        <f t="shared" si="10"/>
        <v>full</v>
      </c>
      <c r="Y732" t="str">
        <f>IF(BOM!$AE$4=FALSE,IF(ISERROR(SEARCH("Embrionix",BOM!$M$4)),"none",IF(ISERROR(SEARCH("Quadsplit",BOM!$N$4)),IF(ISERROR(SEARCH("rec",B732)),"none","merge"),"none")),IF(ISERROR(SEARCH("rec",B732)),"split","merge"))</f>
        <v>split</v>
      </c>
    </row>
    <row r="733" spans="1:25" x14ac:dyDescent="0.2">
      <c r="A733" t="s">
        <v>1238</v>
      </c>
      <c r="B733" t="s">
        <v>2534</v>
      </c>
      <c r="C733" t="str">
        <f>IFERROR(VLOOKUP(B733,'Sender-Receiver'!$B$3:$BP$1500,61,FALSE),"")</f>
        <v>Type:Anc_Prot,#SNP</v>
      </c>
      <c r="D733" t="str">
        <f>IFERROR(VLOOKUP(B733,'Sender-Receiver'!$B$3:$BP$1500,41,FALSE),"")</f>
        <v>MEDEM Edits Out | Out Edit23-ANC1 | EditPC-23</v>
      </c>
      <c r="E733" t="s">
        <v>1240</v>
      </c>
      <c r="F733">
        <v>31</v>
      </c>
      <c r="G733" t="s">
        <v>2535</v>
      </c>
      <c r="M733" t="str">
        <f>IF(OR(BOM!$AE$4=FALSE,BOM!$AE$4="-"),IF(ISERROR(SEARCH("send",B733)),"","pool:TPC"),IF(ISERROR(SEARCH("send",B733)),"","pool:TPC|pool:TPC"))</f>
        <v>pool:TPC|pool:TPC</v>
      </c>
      <c r="S733" t="str">
        <f>IFERROR(IF(VLOOKUP(B733,'Sender-Receiver'!$B$3:$BP$1500,60,FALSE)="x","true","false"),"false")</f>
        <v>true</v>
      </c>
      <c r="T733" t="str">
        <f t="shared" si="10"/>
        <v>full</v>
      </c>
      <c r="Y733" t="str">
        <f>IF(BOM!$AE$4=FALSE,IF(ISERROR(SEARCH("Embrionix",BOM!$M$4)),"none",IF(ISERROR(SEARCH("Quadsplit",BOM!$N$4)),IF(ISERROR(SEARCH("rec",B733)),"none","merge"),"none")),IF(ISERROR(SEARCH("rec",B733)),"split","merge"))</f>
        <v>split</v>
      </c>
    </row>
    <row r="734" spans="1:25" x14ac:dyDescent="0.2">
      <c r="A734" t="s">
        <v>1238</v>
      </c>
      <c r="B734" t="s">
        <v>2536</v>
      </c>
      <c r="C734" t="str">
        <f>IFERROR(VLOOKUP(B734,'Sender-Receiver'!$B$3:$BP$1500,61,FALSE),"")</f>
        <v>#SNP</v>
      </c>
      <c r="D734" t="str">
        <f>IFERROR(VLOOKUP(B734,'Sender-Receiver'!$B$3:$BP$1500,41,FALSE),"")</f>
        <v xml:space="preserve"> |  | EditPC-23</v>
      </c>
      <c r="E734" t="s">
        <v>1240</v>
      </c>
      <c r="F734">
        <v>31</v>
      </c>
      <c r="G734" t="s">
        <v>2537</v>
      </c>
      <c r="M734" t="str">
        <f>IF(OR(BOM!$AE$4=FALSE,BOM!$AE$4="-"),IF(ISERROR(SEARCH("send",B734)),"","pool:TPC"),IF(ISERROR(SEARCH("send",B734)),"","pool:TPC|pool:TPC"))</f>
        <v>pool:TPC|pool:TPC</v>
      </c>
      <c r="S734" t="str">
        <f>IFERROR(IF(VLOOKUP(B734,'Sender-Receiver'!$B$3:$BP$1500,60,FALSE)="x","true","false"),"false")</f>
        <v>false</v>
      </c>
      <c r="T734" t="str">
        <f t="shared" si="10"/>
        <v>off</v>
      </c>
      <c r="Y734" t="str">
        <f>IF(BOM!$AE$4=FALSE,IF(ISERROR(SEARCH("Embrionix",BOM!$M$4)),"none",IF(ISERROR(SEARCH("Quadsplit",BOM!$N$4)),IF(ISERROR(SEARCH("rec",B734)),"none","merge"),"none")),IF(ISERROR(SEARCH("rec",B734)),"split","merge"))</f>
        <v>split</v>
      </c>
    </row>
    <row r="735" spans="1:25" x14ac:dyDescent="0.2">
      <c r="A735" t="s">
        <v>1238</v>
      </c>
      <c r="B735" t="s">
        <v>2538</v>
      </c>
      <c r="C735" t="str">
        <f>IFERROR(VLOOKUP(B735,'Sender-Receiver'!$B$3:$BP$1500,61,FALSE),"")</f>
        <v>#SNP</v>
      </c>
      <c r="D735" t="str">
        <f>IFERROR(VLOOKUP(B735,'Sender-Receiver'!$B$3:$BP$1500,41,FALSE),"")</f>
        <v xml:space="preserve"> |  | EditPC-23</v>
      </c>
      <c r="E735" t="s">
        <v>1240</v>
      </c>
      <c r="F735">
        <v>31</v>
      </c>
      <c r="G735" t="s">
        <v>2539</v>
      </c>
      <c r="M735" t="str">
        <f>IF(OR(BOM!$AE$4=FALSE,BOM!$AE$4="-"),IF(ISERROR(SEARCH("send",B735)),"","pool:TPC"),IF(ISERROR(SEARCH("send",B735)),"","pool:TPC|pool:TPC"))</f>
        <v>pool:TPC|pool:TPC</v>
      </c>
      <c r="S735" t="str">
        <f>IFERROR(IF(VLOOKUP(B735,'Sender-Receiver'!$B$3:$BP$1500,60,FALSE)="x","true","false"),"false")</f>
        <v>false</v>
      </c>
      <c r="T735" t="str">
        <f t="shared" si="10"/>
        <v>off</v>
      </c>
      <c r="Y735" t="str">
        <f>IF(BOM!$AE$4=FALSE,IF(ISERROR(SEARCH("Embrionix",BOM!$M$4)),"none",IF(ISERROR(SEARCH("Quadsplit",BOM!$N$4)),IF(ISERROR(SEARCH("rec",B735)),"none","merge"),"none")),IF(ISERROR(SEARCH("rec",B735)),"split","merge"))</f>
        <v>split</v>
      </c>
    </row>
    <row r="736" spans="1:25" x14ac:dyDescent="0.2">
      <c r="A736" t="s">
        <v>1238</v>
      </c>
      <c r="B736" t="s">
        <v>2540</v>
      </c>
      <c r="C736" t="str">
        <f>IFERROR(VLOOKUP(B736,'Sender-Receiver'!$B$3:$BP$1500,61,FALSE),"")</f>
        <v>#SNP</v>
      </c>
      <c r="D736" t="str">
        <f>IFERROR(VLOOKUP(B736,'Sender-Receiver'!$B$3:$BP$1500,41,FALSE),"")</f>
        <v xml:space="preserve"> |  | EditPC-23</v>
      </c>
      <c r="E736" t="s">
        <v>1240</v>
      </c>
      <c r="F736">
        <v>31</v>
      </c>
      <c r="G736" t="s">
        <v>2541</v>
      </c>
      <c r="M736" t="str">
        <f>IF(OR(BOM!$AE$4=FALSE,BOM!$AE$4="-"),IF(ISERROR(SEARCH("send",B736)),"","pool:TPC"),IF(ISERROR(SEARCH("send",B736)),"","pool:TPC|pool:TPC"))</f>
        <v>pool:TPC|pool:TPC</v>
      </c>
      <c r="S736" t="str">
        <f>IFERROR(IF(VLOOKUP(B736,'Sender-Receiver'!$B$3:$BP$1500,60,FALSE)="x","true","false"),"false")</f>
        <v>false</v>
      </c>
      <c r="T736" t="str">
        <f t="shared" si="10"/>
        <v>off</v>
      </c>
      <c r="Y736" t="str">
        <f>IF(BOM!$AE$4=FALSE,IF(ISERROR(SEARCH("Embrionix",BOM!$M$4)),"none",IF(ISERROR(SEARCH("Quadsplit",BOM!$N$4)),IF(ISERROR(SEARCH("rec",B736)),"none","merge"),"none")),IF(ISERROR(SEARCH("rec",B736)),"split","merge"))</f>
        <v>split</v>
      </c>
    </row>
    <row r="737" spans="1:25" x14ac:dyDescent="0.2">
      <c r="A737" t="s">
        <v>1238</v>
      </c>
      <c r="B737" t="s">
        <v>2542</v>
      </c>
      <c r="C737" t="str">
        <f>IFERROR(VLOOKUP(B737,'Sender-Receiver'!$B$3:$BP$1500,61,FALSE),"")</f>
        <v>Type:Vid_1080i50,#SNP</v>
      </c>
      <c r="D737" t="str">
        <f>IFERROR(VLOOKUP(B737,'Sender-Receiver'!$B$3:$BP$1500,41,FALSE),"")</f>
        <v>MEDEM Edits Out | Out Edit24 | EditPC-24</v>
      </c>
      <c r="E737" t="s">
        <v>1240</v>
      </c>
      <c r="F737">
        <v>32</v>
      </c>
      <c r="G737" t="s">
        <v>2543</v>
      </c>
      <c r="M737" t="str">
        <f>IF(OR(BOM!$AE$4=FALSE,BOM!$AE$4="-"),IF(ISERROR(SEARCH("send",B737)),"","pool:TPC"),IF(ISERROR(SEARCH("send",B737)),"","pool:TPC|pool:TPC"))</f>
        <v>pool:TPC|pool:TPC</v>
      </c>
      <c r="S737" t="str">
        <f>IFERROR(IF(VLOOKUP(B737,'Sender-Receiver'!$B$3:$BP$1500,60,FALSE)="x","true","false"),"false")</f>
        <v>true</v>
      </c>
      <c r="T737" t="str">
        <f t="shared" si="10"/>
        <v>full</v>
      </c>
      <c r="Y737" t="str">
        <f>IF(BOM!$AE$4=FALSE,IF(ISERROR(SEARCH("Embrionix",BOM!$M$4)),"none",IF(ISERROR(SEARCH("Quadsplit",BOM!$N$4)),IF(ISERROR(SEARCH("rec",B737)),"none","merge"),"none")),IF(ISERROR(SEARCH("rec",B737)),"split","merge"))</f>
        <v>split</v>
      </c>
    </row>
    <row r="738" spans="1:25" x14ac:dyDescent="0.2">
      <c r="A738" t="s">
        <v>1238</v>
      </c>
      <c r="B738" t="s">
        <v>2544</v>
      </c>
      <c r="C738" t="str">
        <f>IFERROR(VLOOKUP(B738,'Sender-Receiver'!$B$3:$BP$1500,61,FALSE),"")</f>
        <v>Type:Aud_2CH_LR,#SNP</v>
      </c>
      <c r="D738" t="str">
        <f>IFERROR(VLOOKUP(B738,'Sender-Receiver'!$B$3:$BP$1500,41,FALSE),"")</f>
        <v>MEDEM Edits Out | Out Edit24-01 | EditPC-24</v>
      </c>
      <c r="E738" t="s">
        <v>1240</v>
      </c>
      <c r="F738">
        <v>32</v>
      </c>
      <c r="G738" t="s">
        <v>2545</v>
      </c>
      <c r="M738" t="str">
        <f>IF(OR(BOM!$AE$4=FALSE,BOM!$AE$4="-"),IF(ISERROR(SEARCH("send",B738)),"","pool:TPC"),IF(ISERROR(SEARCH("send",B738)),"","pool:TPC|pool:TPC"))</f>
        <v>pool:TPC|pool:TPC</v>
      </c>
      <c r="S738" t="str">
        <f>IFERROR(IF(VLOOKUP(B738,'Sender-Receiver'!$B$3:$BP$1500,60,FALSE)="x","true","false"),"false")</f>
        <v>true</v>
      </c>
      <c r="T738" t="str">
        <f t="shared" si="10"/>
        <v>full</v>
      </c>
      <c r="Y738" t="str">
        <f>IF(BOM!$AE$4=FALSE,IF(ISERROR(SEARCH("Embrionix",BOM!$M$4)),"none",IF(ISERROR(SEARCH("Quadsplit",BOM!$N$4)),IF(ISERROR(SEARCH("rec",B738)),"none","merge"),"none")),IF(ISERROR(SEARCH("rec",B738)),"split","merge"))</f>
        <v>split</v>
      </c>
    </row>
    <row r="739" spans="1:25" x14ac:dyDescent="0.2">
      <c r="A739" t="s">
        <v>1238</v>
      </c>
      <c r="B739" t="s">
        <v>2546</v>
      </c>
      <c r="C739" t="str">
        <f>IFERROR(VLOOKUP(B739,'Sender-Receiver'!$B$3:$BP$1500,61,FALSE),"")</f>
        <v>Type:Aud_1CH_M,#SNP</v>
      </c>
      <c r="D739" t="str">
        <f>IFERROR(VLOOKUP(B739,'Sender-Receiver'!$B$3:$BP$1500,41,FALSE),"")</f>
        <v>MEDEM Edits Out | Out Edit24-02 | EditPC-24</v>
      </c>
      <c r="E739" t="s">
        <v>1240</v>
      </c>
      <c r="F739">
        <v>32</v>
      </c>
      <c r="G739" t="s">
        <v>2547</v>
      </c>
      <c r="M739" t="str">
        <f>IF(OR(BOM!$AE$4=FALSE,BOM!$AE$4="-"),IF(ISERROR(SEARCH("send",B739)),"","pool:TPC"),IF(ISERROR(SEARCH("send",B739)),"","pool:TPC|pool:TPC"))</f>
        <v>pool:TPC|pool:TPC</v>
      </c>
      <c r="S739" t="str">
        <f>IFERROR(IF(VLOOKUP(B739,'Sender-Receiver'!$B$3:$BP$1500,60,FALSE)="x","true","false"),"false")</f>
        <v>true</v>
      </c>
      <c r="T739" t="str">
        <f t="shared" si="10"/>
        <v>full</v>
      </c>
      <c r="Y739" t="str">
        <f>IF(BOM!$AE$4=FALSE,IF(ISERROR(SEARCH("Embrionix",BOM!$M$4)),"none",IF(ISERROR(SEARCH("Quadsplit",BOM!$N$4)),IF(ISERROR(SEARCH("rec",B739)),"none","merge"),"none")),IF(ISERROR(SEARCH("rec",B739)),"split","merge"))</f>
        <v>split</v>
      </c>
    </row>
    <row r="740" spans="1:25" x14ac:dyDescent="0.2">
      <c r="A740" t="s">
        <v>1238</v>
      </c>
      <c r="B740" t="s">
        <v>2548</v>
      </c>
      <c r="C740" t="str">
        <f>IFERROR(VLOOKUP(B740,'Sender-Receiver'!$B$3:$BP$1500,61,FALSE),"")</f>
        <v>Type:Aud_1CH_M,#SNP</v>
      </c>
      <c r="D740" t="str">
        <f>IFERROR(VLOOKUP(B740,'Sender-Receiver'!$B$3:$BP$1500,41,FALSE),"")</f>
        <v>MEDEM Edits Out | Out Edit24-03 | EditPC-24</v>
      </c>
      <c r="E740" t="s">
        <v>1240</v>
      </c>
      <c r="F740">
        <v>32</v>
      </c>
      <c r="G740" t="s">
        <v>2549</v>
      </c>
      <c r="M740" t="str">
        <f>IF(OR(BOM!$AE$4=FALSE,BOM!$AE$4="-"),IF(ISERROR(SEARCH("send",B740)),"","pool:TPC"),IF(ISERROR(SEARCH("send",B740)),"","pool:TPC|pool:TPC"))</f>
        <v>pool:TPC|pool:TPC</v>
      </c>
      <c r="S740" t="str">
        <f>IFERROR(IF(VLOOKUP(B740,'Sender-Receiver'!$B$3:$BP$1500,60,FALSE)="x","true","false"),"false")</f>
        <v>true</v>
      </c>
      <c r="T740" t="str">
        <f t="shared" si="10"/>
        <v>full</v>
      </c>
      <c r="Y740" t="str">
        <f>IF(BOM!$AE$4=FALSE,IF(ISERROR(SEARCH("Embrionix",BOM!$M$4)),"none",IF(ISERROR(SEARCH("Quadsplit",BOM!$N$4)),IF(ISERROR(SEARCH("rec",B740)),"none","merge"),"none")),IF(ISERROR(SEARCH("rec",B740)),"split","merge"))</f>
        <v>split</v>
      </c>
    </row>
    <row r="741" spans="1:25" x14ac:dyDescent="0.2">
      <c r="A741" t="s">
        <v>1238</v>
      </c>
      <c r="B741" t="s">
        <v>2550</v>
      </c>
      <c r="C741" t="str">
        <f>IFERROR(VLOOKUP(B741,'Sender-Receiver'!$B$3:$BP$1500,61,FALSE),"")</f>
        <v>Type:Aud_2CH_LR,#SNP</v>
      </c>
      <c r="D741" t="str">
        <f>IFERROR(VLOOKUP(B741,'Sender-Receiver'!$B$3:$BP$1500,41,FALSE),"")</f>
        <v>MEDEM Edits Out | Out Edit24-04 | EditPC-24</v>
      </c>
      <c r="E741" t="s">
        <v>1240</v>
      </c>
      <c r="F741">
        <v>32</v>
      </c>
      <c r="G741" t="s">
        <v>2551</v>
      </c>
      <c r="M741" t="str">
        <f>IF(OR(BOM!$AE$4=FALSE,BOM!$AE$4="-"),IF(ISERROR(SEARCH("send",B741)),"","pool:TPC"),IF(ISERROR(SEARCH("send",B741)),"","pool:TPC|pool:TPC"))</f>
        <v>pool:TPC|pool:TPC</v>
      </c>
      <c r="S741" t="str">
        <f>IFERROR(IF(VLOOKUP(B741,'Sender-Receiver'!$B$3:$BP$1500,60,FALSE)="x","true","false"),"false")</f>
        <v>true</v>
      </c>
      <c r="T741" t="str">
        <f t="shared" si="10"/>
        <v>full</v>
      </c>
      <c r="Y741" t="str">
        <f>IF(BOM!$AE$4=FALSE,IF(ISERROR(SEARCH("Embrionix",BOM!$M$4)),"none",IF(ISERROR(SEARCH("Quadsplit",BOM!$N$4)),IF(ISERROR(SEARCH("rec",B741)),"none","merge"),"none")),IF(ISERROR(SEARCH("rec",B741)),"split","merge"))</f>
        <v>split</v>
      </c>
    </row>
    <row r="742" spans="1:25" x14ac:dyDescent="0.2">
      <c r="A742" t="s">
        <v>1238</v>
      </c>
      <c r="B742" t="s">
        <v>2552</v>
      </c>
      <c r="C742" t="str">
        <f>IFERROR(VLOOKUP(B742,'Sender-Receiver'!$B$3:$BP$1500,61,FALSE),"")</f>
        <v>Type:Aud_1CH_M,#SNP</v>
      </c>
      <c r="D742" t="str">
        <f>IFERROR(VLOOKUP(B742,'Sender-Receiver'!$B$3:$BP$1500,41,FALSE),"")</f>
        <v>MEDEM Edits Out | Out Edit24-05 | EditPC-24</v>
      </c>
      <c r="E742" t="s">
        <v>1240</v>
      </c>
      <c r="F742">
        <v>32</v>
      </c>
      <c r="G742" t="s">
        <v>2553</v>
      </c>
      <c r="M742" t="str">
        <f>IF(OR(BOM!$AE$4=FALSE,BOM!$AE$4="-"),IF(ISERROR(SEARCH("send",B742)),"","pool:TPC"),IF(ISERROR(SEARCH("send",B742)),"","pool:TPC|pool:TPC"))</f>
        <v>pool:TPC|pool:TPC</v>
      </c>
      <c r="S742" t="str">
        <f>IFERROR(IF(VLOOKUP(B742,'Sender-Receiver'!$B$3:$BP$1500,60,FALSE)="x","true","false"),"false")</f>
        <v>true</v>
      </c>
      <c r="T742" t="str">
        <f t="shared" si="10"/>
        <v>full</v>
      </c>
      <c r="Y742" t="str">
        <f>IF(BOM!$AE$4=FALSE,IF(ISERROR(SEARCH("Embrionix",BOM!$M$4)),"none",IF(ISERROR(SEARCH("Quadsplit",BOM!$N$4)),IF(ISERROR(SEARCH("rec",B742)),"none","merge"),"none")),IF(ISERROR(SEARCH("rec",B742)),"split","merge"))</f>
        <v>split</v>
      </c>
    </row>
    <row r="743" spans="1:25" x14ac:dyDescent="0.2">
      <c r="A743" t="s">
        <v>1238</v>
      </c>
      <c r="B743" t="s">
        <v>2554</v>
      </c>
      <c r="C743" t="str">
        <f>IFERROR(VLOOKUP(B743,'Sender-Receiver'!$B$3:$BP$1500,61,FALSE),"")</f>
        <v>Type:Aud_1CH_M,#SNP</v>
      </c>
      <c r="D743" t="str">
        <f>IFERROR(VLOOKUP(B743,'Sender-Receiver'!$B$3:$BP$1500,41,FALSE),"")</f>
        <v>MEDEM Edits Out | Out Edit24-06 | EditPC-24</v>
      </c>
      <c r="E743" t="s">
        <v>1240</v>
      </c>
      <c r="F743">
        <v>32</v>
      </c>
      <c r="G743" t="s">
        <v>2555</v>
      </c>
      <c r="M743" t="str">
        <f>IF(OR(BOM!$AE$4=FALSE,BOM!$AE$4="-"),IF(ISERROR(SEARCH("send",B743)),"","pool:TPC"),IF(ISERROR(SEARCH("send",B743)),"","pool:TPC|pool:TPC"))</f>
        <v>pool:TPC|pool:TPC</v>
      </c>
      <c r="S743" t="str">
        <f>IFERROR(IF(VLOOKUP(B743,'Sender-Receiver'!$B$3:$BP$1500,60,FALSE)="x","true","false"),"false")</f>
        <v>true</v>
      </c>
      <c r="T743" t="str">
        <f t="shared" si="10"/>
        <v>full</v>
      </c>
      <c r="Y743" t="str">
        <f>IF(BOM!$AE$4=FALSE,IF(ISERROR(SEARCH("Embrionix",BOM!$M$4)),"none",IF(ISERROR(SEARCH("Quadsplit",BOM!$N$4)),IF(ISERROR(SEARCH("rec",B743)),"none","merge"),"none")),IF(ISERROR(SEARCH("rec",B743)),"split","merge"))</f>
        <v>split</v>
      </c>
    </row>
    <row r="744" spans="1:25" x14ac:dyDescent="0.2">
      <c r="A744" t="s">
        <v>1238</v>
      </c>
      <c r="B744" t="s">
        <v>2556</v>
      </c>
      <c r="C744" t="str">
        <f>IFERROR(VLOOKUP(B744,'Sender-Receiver'!$B$3:$BP$1500,61,FALSE),"")</f>
        <v>Type:Aud_2CH_LR,#SNP</v>
      </c>
      <c r="D744" t="str">
        <f>IFERROR(VLOOKUP(B744,'Sender-Receiver'!$B$3:$BP$1500,41,FALSE),"")</f>
        <v>MEDEM Edits Out | Out Edit24-07 | EditPC-24</v>
      </c>
      <c r="E744" t="s">
        <v>1240</v>
      </c>
      <c r="F744">
        <v>32</v>
      </c>
      <c r="G744" t="s">
        <v>2557</v>
      </c>
      <c r="M744" t="str">
        <f>IF(OR(BOM!$AE$4=FALSE,BOM!$AE$4="-"),IF(ISERROR(SEARCH("send",B744)),"","pool:TPC"),IF(ISERROR(SEARCH("send",B744)),"","pool:TPC|pool:TPC"))</f>
        <v>pool:TPC|pool:TPC</v>
      </c>
      <c r="S744" t="str">
        <f>IFERROR(IF(VLOOKUP(B744,'Sender-Receiver'!$B$3:$BP$1500,60,FALSE)="x","true","false"),"false")</f>
        <v>true</v>
      </c>
      <c r="T744" t="str">
        <f t="shared" si="10"/>
        <v>full</v>
      </c>
      <c r="Y744" t="str">
        <f>IF(BOM!$AE$4=FALSE,IF(ISERROR(SEARCH("Embrionix",BOM!$M$4)),"none",IF(ISERROR(SEARCH("Quadsplit",BOM!$N$4)),IF(ISERROR(SEARCH("rec",B744)),"none","merge"),"none")),IF(ISERROR(SEARCH("rec",B744)),"split","merge"))</f>
        <v>split</v>
      </c>
    </row>
    <row r="745" spans="1:25" x14ac:dyDescent="0.2">
      <c r="A745" t="s">
        <v>1238</v>
      </c>
      <c r="B745" t="s">
        <v>2558</v>
      </c>
      <c r="C745" t="str">
        <f>IFERROR(VLOOKUP(B745,'Sender-Receiver'!$B$3:$BP$1500,61,FALSE),"")</f>
        <v>Type:Aud_6CH_5.1,#SNP</v>
      </c>
      <c r="D745" t="str">
        <f>IFERROR(VLOOKUP(B745,'Sender-Receiver'!$B$3:$BP$1500,41,FALSE),"")</f>
        <v>MEDEM Edits Out | Out Edit24-08 | EditPC-24</v>
      </c>
      <c r="E745" t="s">
        <v>1240</v>
      </c>
      <c r="F745">
        <v>32</v>
      </c>
      <c r="G745" t="s">
        <v>2559</v>
      </c>
      <c r="M745" t="str">
        <f>IF(OR(BOM!$AE$4=FALSE,BOM!$AE$4="-"),IF(ISERROR(SEARCH("send",B745)),"","pool:TPC"),IF(ISERROR(SEARCH("send",B745)),"","pool:TPC|pool:TPC"))</f>
        <v>pool:TPC|pool:TPC</v>
      </c>
      <c r="S745" t="str">
        <f>IFERROR(IF(VLOOKUP(B745,'Sender-Receiver'!$B$3:$BP$1500,60,FALSE)="x","true","false"),"false")</f>
        <v>true</v>
      </c>
      <c r="T745" t="str">
        <f t="shared" si="10"/>
        <v>full</v>
      </c>
      <c r="Y745" t="str">
        <f>IF(BOM!$AE$4=FALSE,IF(ISERROR(SEARCH("Embrionix",BOM!$M$4)),"none",IF(ISERROR(SEARCH("Quadsplit",BOM!$N$4)),IF(ISERROR(SEARCH("rec",B745)),"none","merge"),"none")),IF(ISERROR(SEARCH("rec",B745)),"split","merge"))</f>
        <v>split</v>
      </c>
    </row>
    <row r="746" spans="1:25" x14ac:dyDescent="0.2">
      <c r="A746" t="s">
        <v>1238</v>
      </c>
      <c r="B746" t="s">
        <v>2560</v>
      </c>
      <c r="C746" t="str">
        <f>IFERROR(VLOOKUP(B746,'Sender-Receiver'!$B$3:$BP$1500,61,FALSE),"")</f>
        <v>#SNP</v>
      </c>
      <c r="D746" t="str">
        <f>IFERROR(VLOOKUP(B746,'Sender-Receiver'!$B$3:$BP$1500,41,FALSE),"")</f>
        <v xml:space="preserve"> |  | EditPC-24</v>
      </c>
      <c r="E746" t="s">
        <v>1240</v>
      </c>
      <c r="F746">
        <v>32</v>
      </c>
      <c r="G746" t="s">
        <v>2561</v>
      </c>
      <c r="M746" t="str">
        <f>IF(OR(BOM!$AE$4=FALSE,BOM!$AE$4="-"),IF(ISERROR(SEARCH("send",B746)),"","pool:TPC"),IF(ISERROR(SEARCH("send",B746)),"","pool:TPC|pool:TPC"))</f>
        <v>pool:TPC|pool:TPC</v>
      </c>
      <c r="S746" t="str">
        <f>IFERROR(IF(VLOOKUP(B746,'Sender-Receiver'!$B$3:$BP$1500,60,FALSE)="x","true","false"),"false")</f>
        <v>false</v>
      </c>
      <c r="T746" t="str">
        <f t="shared" si="10"/>
        <v>off</v>
      </c>
      <c r="Y746" t="str">
        <f>IF(BOM!$AE$4=FALSE,IF(ISERROR(SEARCH("Embrionix",BOM!$M$4)),"none",IF(ISERROR(SEARCH("Quadsplit",BOM!$N$4)),IF(ISERROR(SEARCH("rec",B746)),"none","merge"),"none")),IF(ISERROR(SEARCH("rec",B746)),"split","merge"))</f>
        <v>split</v>
      </c>
    </row>
    <row r="747" spans="1:25" x14ac:dyDescent="0.2">
      <c r="A747" t="s">
        <v>1238</v>
      </c>
      <c r="B747" t="s">
        <v>2562</v>
      </c>
      <c r="C747" t="str">
        <f>IFERROR(VLOOKUP(B747,'Sender-Receiver'!$B$3:$BP$1500,61,FALSE),"")</f>
        <v>#SNP</v>
      </c>
      <c r="D747" t="str">
        <f>IFERROR(VLOOKUP(B747,'Sender-Receiver'!$B$3:$BP$1500,41,FALSE),"")</f>
        <v xml:space="preserve"> |  | EditPC-24</v>
      </c>
      <c r="E747" t="s">
        <v>1240</v>
      </c>
      <c r="F747">
        <v>32</v>
      </c>
      <c r="G747" t="s">
        <v>2563</v>
      </c>
      <c r="M747" t="str">
        <f>IF(OR(BOM!$AE$4=FALSE,BOM!$AE$4="-"),IF(ISERROR(SEARCH("send",B747)),"","pool:TPC"),IF(ISERROR(SEARCH("send",B747)),"","pool:TPC|pool:TPC"))</f>
        <v>pool:TPC|pool:TPC</v>
      </c>
      <c r="S747" t="str">
        <f>IFERROR(IF(VLOOKUP(B747,'Sender-Receiver'!$B$3:$BP$1500,60,FALSE)="x","true","false"),"false")</f>
        <v>false</v>
      </c>
      <c r="T747" t="str">
        <f t="shared" si="10"/>
        <v>off</v>
      </c>
      <c r="Y747" t="str">
        <f>IF(BOM!$AE$4=FALSE,IF(ISERROR(SEARCH("Embrionix",BOM!$M$4)),"none",IF(ISERROR(SEARCH("Quadsplit",BOM!$N$4)),IF(ISERROR(SEARCH("rec",B747)),"none","merge"),"none")),IF(ISERROR(SEARCH("rec",B747)),"split","merge"))</f>
        <v>split</v>
      </c>
    </row>
    <row r="748" spans="1:25" x14ac:dyDescent="0.2">
      <c r="A748" t="s">
        <v>1238</v>
      </c>
      <c r="B748" t="s">
        <v>2564</v>
      </c>
      <c r="C748" t="str">
        <f>IFERROR(VLOOKUP(B748,'Sender-Receiver'!$B$3:$BP$1500,61,FALSE),"")</f>
        <v>#SNP</v>
      </c>
      <c r="D748" t="str">
        <f>IFERROR(VLOOKUP(B748,'Sender-Receiver'!$B$3:$BP$1500,41,FALSE),"")</f>
        <v xml:space="preserve"> |  | EditPC-24</v>
      </c>
      <c r="E748" t="s">
        <v>1240</v>
      </c>
      <c r="F748">
        <v>32</v>
      </c>
      <c r="G748" t="s">
        <v>2565</v>
      </c>
      <c r="M748" t="str">
        <f>IF(OR(BOM!$AE$4=FALSE,BOM!$AE$4="-"),IF(ISERROR(SEARCH("send",B748)),"","pool:TPC"),IF(ISERROR(SEARCH("send",B748)),"","pool:TPC|pool:TPC"))</f>
        <v>pool:TPC|pool:TPC</v>
      </c>
      <c r="S748" t="str">
        <f>IFERROR(IF(VLOOKUP(B748,'Sender-Receiver'!$B$3:$BP$1500,60,FALSE)="x","true","false"),"false")</f>
        <v>false</v>
      </c>
      <c r="T748" t="str">
        <f t="shared" si="10"/>
        <v>off</v>
      </c>
      <c r="Y748" t="str">
        <f>IF(BOM!$AE$4=FALSE,IF(ISERROR(SEARCH("Embrionix",BOM!$M$4)),"none",IF(ISERROR(SEARCH("Quadsplit",BOM!$N$4)),IF(ISERROR(SEARCH("rec",B748)),"none","merge"),"none")),IF(ISERROR(SEARCH("rec",B748)),"split","merge"))</f>
        <v>split</v>
      </c>
    </row>
    <row r="749" spans="1:25" x14ac:dyDescent="0.2">
      <c r="A749" t="s">
        <v>1238</v>
      </c>
      <c r="B749" t="s">
        <v>2566</v>
      </c>
      <c r="C749" t="str">
        <f>IFERROR(VLOOKUP(B749,'Sender-Receiver'!$B$3:$BP$1500,61,FALSE),"")</f>
        <v>#SNP</v>
      </c>
      <c r="D749" t="str">
        <f>IFERROR(VLOOKUP(B749,'Sender-Receiver'!$B$3:$BP$1500,41,FALSE),"")</f>
        <v xml:space="preserve"> |  | EditPC-24</v>
      </c>
      <c r="E749" t="s">
        <v>1240</v>
      </c>
      <c r="F749">
        <v>32</v>
      </c>
      <c r="G749" t="s">
        <v>2567</v>
      </c>
      <c r="M749" t="str">
        <f>IF(OR(BOM!$AE$4=FALSE,BOM!$AE$4="-"),IF(ISERROR(SEARCH("send",B749)),"","pool:TPC"),IF(ISERROR(SEARCH("send",B749)),"","pool:TPC|pool:TPC"))</f>
        <v>pool:TPC|pool:TPC</v>
      </c>
      <c r="S749" t="str">
        <f>IFERROR(IF(VLOOKUP(B749,'Sender-Receiver'!$B$3:$BP$1500,60,FALSE)="x","true","false"),"false")</f>
        <v>false</v>
      </c>
      <c r="T749" t="str">
        <f t="shared" si="10"/>
        <v>off</v>
      </c>
      <c r="Y749" t="str">
        <f>IF(BOM!$AE$4=FALSE,IF(ISERROR(SEARCH("Embrionix",BOM!$M$4)),"none",IF(ISERROR(SEARCH("Quadsplit",BOM!$N$4)),IF(ISERROR(SEARCH("rec",B749)),"none","merge"),"none")),IF(ISERROR(SEARCH("rec",B749)),"split","merge"))</f>
        <v>split</v>
      </c>
    </row>
    <row r="750" spans="1:25" x14ac:dyDescent="0.2">
      <c r="A750" t="s">
        <v>1238</v>
      </c>
      <c r="B750" t="s">
        <v>2568</v>
      </c>
      <c r="C750" t="str">
        <f>IFERROR(VLOOKUP(B750,'Sender-Receiver'!$B$3:$BP$1500,61,FALSE),"")</f>
        <v>#SNP</v>
      </c>
      <c r="D750" t="str">
        <f>IFERROR(VLOOKUP(B750,'Sender-Receiver'!$B$3:$BP$1500,41,FALSE),"")</f>
        <v xml:space="preserve"> |  | EditPC-24</v>
      </c>
      <c r="E750" t="s">
        <v>1240</v>
      </c>
      <c r="F750">
        <v>32</v>
      </c>
      <c r="G750" t="s">
        <v>2569</v>
      </c>
      <c r="M750" t="str">
        <f>IF(OR(BOM!$AE$4=FALSE,BOM!$AE$4="-"),IF(ISERROR(SEARCH("send",B750)),"","pool:TPC"),IF(ISERROR(SEARCH("send",B750)),"","pool:TPC|pool:TPC"))</f>
        <v>pool:TPC|pool:TPC</v>
      </c>
      <c r="S750" t="str">
        <f>IFERROR(IF(VLOOKUP(B750,'Sender-Receiver'!$B$3:$BP$1500,60,FALSE)="x","true","false"),"false")</f>
        <v>false</v>
      </c>
      <c r="T750" t="str">
        <f t="shared" si="10"/>
        <v>off</v>
      </c>
      <c r="Y750" t="str">
        <f>IF(BOM!$AE$4=FALSE,IF(ISERROR(SEARCH("Embrionix",BOM!$M$4)),"none",IF(ISERROR(SEARCH("Quadsplit",BOM!$N$4)),IF(ISERROR(SEARCH("rec",B750)),"none","merge"),"none")),IF(ISERROR(SEARCH("rec",B750)),"split","merge"))</f>
        <v>split</v>
      </c>
    </row>
    <row r="751" spans="1:25" x14ac:dyDescent="0.2">
      <c r="A751" t="s">
        <v>1238</v>
      </c>
      <c r="B751" t="s">
        <v>2570</v>
      </c>
      <c r="C751" t="str">
        <f>IFERROR(VLOOKUP(B751,'Sender-Receiver'!$B$3:$BP$1500,61,FALSE),"")</f>
        <v>#SNP</v>
      </c>
      <c r="D751" t="str">
        <f>IFERROR(VLOOKUP(B751,'Sender-Receiver'!$B$3:$BP$1500,41,FALSE),"")</f>
        <v xml:space="preserve"> |  | EditPC-24</v>
      </c>
      <c r="E751" t="s">
        <v>1240</v>
      </c>
      <c r="F751">
        <v>32</v>
      </c>
      <c r="G751" t="s">
        <v>2571</v>
      </c>
      <c r="M751" t="str">
        <f>IF(OR(BOM!$AE$4=FALSE,BOM!$AE$4="-"),IF(ISERROR(SEARCH("send",B751)),"","pool:TPC"),IF(ISERROR(SEARCH("send",B751)),"","pool:TPC|pool:TPC"))</f>
        <v>pool:TPC|pool:TPC</v>
      </c>
      <c r="S751" t="str">
        <f>IFERROR(IF(VLOOKUP(B751,'Sender-Receiver'!$B$3:$BP$1500,60,FALSE)="x","true","false"),"false")</f>
        <v>false</v>
      </c>
      <c r="T751" t="str">
        <f t="shared" si="10"/>
        <v>off</v>
      </c>
      <c r="Y751" t="str">
        <f>IF(BOM!$AE$4=FALSE,IF(ISERROR(SEARCH("Embrionix",BOM!$M$4)),"none",IF(ISERROR(SEARCH("Quadsplit",BOM!$N$4)),IF(ISERROR(SEARCH("rec",B751)),"none","merge"),"none")),IF(ISERROR(SEARCH("rec",B751)),"split","merge"))</f>
        <v>split</v>
      </c>
    </row>
    <row r="752" spans="1:25" x14ac:dyDescent="0.2">
      <c r="A752" t="s">
        <v>1238</v>
      </c>
      <c r="B752" t="s">
        <v>2572</v>
      </c>
      <c r="C752" t="str">
        <f>IFERROR(VLOOKUP(B752,'Sender-Receiver'!$B$3:$BP$1500,61,FALSE),"")</f>
        <v>Type:Aud_8CH_RAW,#SNP</v>
      </c>
      <c r="D752" t="str">
        <f>IFERROR(VLOOKUP(B752,'Sender-Receiver'!$B$3:$BP$1500,41,FALSE),"")</f>
        <v>MEDEM Edits Out | Out Edit24-15 | EditPC-24</v>
      </c>
      <c r="E752" t="s">
        <v>1240</v>
      </c>
      <c r="F752">
        <v>32</v>
      </c>
      <c r="G752" t="s">
        <v>2573</v>
      </c>
      <c r="M752" t="str">
        <f>IF(OR(BOM!$AE$4=FALSE,BOM!$AE$4="-"),IF(ISERROR(SEARCH("send",B752)),"","pool:TPC"),IF(ISERROR(SEARCH("send",B752)),"","pool:TPC|pool:TPC"))</f>
        <v>pool:TPC|pool:TPC</v>
      </c>
      <c r="S752" t="str">
        <f>IFERROR(IF(VLOOKUP(B752,'Sender-Receiver'!$B$3:$BP$1500,60,FALSE)="x","true","false"),"false")</f>
        <v>true</v>
      </c>
      <c r="T752" t="str">
        <f t="shared" si="10"/>
        <v>full</v>
      </c>
      <c r="Y752" t="str">
        <f>IF(BOM!$AE$4=FALSE,IF(ISERROR(SEARCH("Embrionix",BOM!$M$4)),"none",IF(ISERROR(SEARCH("Quadsplit",BOM!$N$4)),IF(ISERROR(SEARCH("rec",B752)),"none","merge"),"none")),IF(ISERROR(SEARCH("rec",B752)),"split","merge"))</f>
        <v>split</v>
      </c>
    </row>
    <row r="753" spans="1:25" x14ac:dyDescent="0.2">
      <c r="A753" t="s">
        <v>1238</v>
      </c>
      <c r="B753" t="s">
        <v>2574</v>
      </c>
      <c r="C753" t="str">
        <f>IFERROR(VLOOKUP(B753,'Sender-Receiver'!$B$3:$BP$1500,61,FALSE),"")</f>
        <v>Type:Aud_8CH_RAW,#SNP</v>
      </c>
      <c r="D753" t="str">
        <f>IFERROR(VLOOKUP(B753,'Sender-Receiver'!$B$3:$BP$1500,41,FALSE),"")</f>
        <v>MEDEM Edits Out | Out Edit24-16 | EditPC-24</v>
      </c>
      <c r="E753" t="s">
        <v>1240</v>
      </c>
      <c r="F753">
        <v>32</v>
      </c>
      <c r="G753" t="s">
        <v>2575</v>
      </c>
      <c r="M753" t="str">
        <f>IF(OR(BOM!$AE$4=FALSE,BOM!$AE$4="-"),IF(ISERROR(SEARCH("send",B753)),"","pool:TPC"),IF(ISERROR(SEARCH("send",B753)),"","pool:TPC|pool:TPC"))</f>
        <v>pool:TPC|pool:TPC</v>
      </c>
      <c r="S753" t="str">
        <f>IFERROR(IF(VLOOKUP(B753,'Sender-Receiver'!$B$3:$BP$1500,60,FALSE)="x","true","false"),"false")</f>
        <v>true</v>
      </c>
      <c r="T753" t="str">
        <f t="shared" si="10"/>
        <v>full</v>
      </c>
      <c r="Y753" t="str">
        <f>IF(BOM!$AE$4=FALSE,IF(ISERROR(SEARCH("Embrionix",BOM!$M$4)),"none",IF(ISERROR(SEARCH("Quadsplit",BOM!$N$4)),IF(ISERROR(SEARCH("rec",B753)),"none","merge"),"none")),IF(ISERROR(SEARCH("rec",B753)),"split","merge"))</f>
        <v>split</v>
      </c>
    </row>
    <row r="754" spans="1:25" x14ac:dyDescent="0.2">
      <c r="A754" t="s">
        <v>1238</v>
      </c>
      <c r="B754" t="s">
        <v>2576</v>
      </c>
      <c r="C754" t="str">
        <f>IFERROR(VLOOKUP(B754,'Sender-Receiver'!$B$3:$BP$1500,61,FALSE),"")</f>
        <v>Type:Anc_Prot,#SNP</v>
      </c>
      <c r="D754" t="str">
        <f>IFERROR(VLOOKUP(B754,'Sender-Receiver'!$B$3:$BP$1500,41,FALSE),"")</f>
        <v>MEDEM Edits Out | Out Edit24-ANC1 | EditPC-24</v>
      </c>
      <c r="E754" t="s">
        <v>1240</v>
      </c>
      <c r="F754">
        <v>32</v>
      </c>
      <c r="G754" t="s">
        <v>2577</v>
      </c>
      <c r="M754" t="str">
        <f>IF(OR(BOM!$AE$4=FALSE,BOM!$AE$4="-"),IF(ISERROR(SEARCH("send",B754)),"","pool:TPC"),IF(ISERROR(SEARCH("send",B754)),"","pool:TPC|pool:TPC"))</f>
        <v>pool:TPC|pool:TPC</v>
      </c>
      <c r="S754" t="str">
        <f>IFERROR(IF(VLOOKUP(B754,'Sender-Receiver'!$B$3:$BP$1500,60,FALSE)="x","true","false"),"false")</f>
        <v>true</v>
      </c>
      <c r="T754" t="str">
        <f t="shared" si="10"/>
        <v>full</v>
      </c>
      <c r="Y754" t="str">
        <f>IF(BOM!$AE$4=FALSE,IF(ISERROR(SEARCH("Embrionix",BOM!$M$4)),"none",IF(ISERROR(SEARCH("Quadsplit",BOM!$N$4)),IF(ISERROR(SEARCH("rec",B754)),"none","merge"),"none")),IF(ISERROR(SEARCH("rec",B754)),"split","merge"))</f>
        <v>split</v>
      </c>
    </row>
    <row r="755" spans="1:25" x14ac:dyDescent="0.2">
      <c r="A755" t="s">
        <v>1238</v>
      </c>
      <c r="B755" t="s">
        <v>2578</v>
      </c>
      <c r="C755" t="str">
        <f>IFERROR(VLOOKUP(B755,'Sender-Receiver'!$B$3:$BP$1500,61,FALSE),"")</f>
        <v>#SNP</v>
      </c>
      <c r="D755" t="str">
        <f>IFERROR(VLOOKUP(B755,'Sender-Receiver'!$B$3:$BP$1500,41,FALSE),"")</f>
        <v xml:space="preserve"> |  | EditPC-24</v>
      </c>
      <c r="E755" t="s">
        <v>1240</v>
      </c>
      <c r="F755">
        <v>32</v>
      </c>
      <c r="G755" t="s">
        <v>2579</v>
      </c>
      <c r="M755" t="str">
        <f>IF(OR(BOM!$AE$4=FALSE,BOM!$AE$4="-"),IF(ISERROR(SEARCH("send",B755)),"","pool:TPC"),IF(ISERROR(SEARCH("send",B755)),"","pool:TPC|pool:TPC"))</f>
        <v>pool:TPC|pool:TPC</v>
      </c>
      <c r="S755" t="str">
        <f>IFERROR(IF(VLOOKUP(B755,'Sender-Receiver'!$B$3:$BP$1500,60,FALSE)="x","true","false"),"false")</f>
        <v>false</v>
      </c>
      <c r="T755" t="str">
        <f t="shared" si="10"/>
        <v>off</v>
      </c>
      <c r="Y755" t="str">
        <f>IF(BOM!$AE$4=FALSE,IF(ISERROR(SEARCH("Embrionix",BOM!$M$4)),"none",IF(ISERROR(SEARCH("Quadsplit",BOM!$N$4)),IF(ISERROR(SEARCH("rec",B755)),"none","merge"),"none")),IF(ISERROR(SEARCH("rec",B755)),"split","merge"))</f>
        <v>split</v>
      </c>
    </row>
    <row r="756" spans="1:25" x14ac:dyDescent="0.2">
      <c r="A756" t="s">
        <v>1238</v>
      </c>
      <c r="B756" t="s">
        <v>2580</v>
      </c>
      <c r="C756" t="str">
        <f>IFERROR(VLOOKUP(B756,'Sender-Receiver'!$B$3:$BP$1500,61,FALSE),"")</f>
        <v>#SNP</v>
      </c>
      <c r="D756" t="str">
        <f>IFERROR(VLOOKUP(B756,'Sender-Receiver'!$B$3:$BP$1500,41,FALSE),"")</f>
        <v xml:space="preserve"> |  | EditPC-24</v>
      </c>
      <c r="E756" t="s">
        <v>1240</v>
      </c>
      <c r="F756">
        <v>32</v>
      </c>
      <c r="G756" t="s">
        <v>2581</v>
      </c>
      <c r="M756" t="str">
        <f>IF(OR(BOM!$AE$4=FALSE,BOM!$AE$4="-"),IF(ISERROR(SEARCH("send",B756)),"","pool:TPC"),IF(ISERROR(SEARCH("send",B756)),"","pool:TPC|pool:TPC"))</f>
        <v>pool:TPC|pool:TPC</v>
      </c>
      <c r="S756" t="str">
        <f>IFERROR(IF(VLOOKUP(B756,'Sender-Receiver'!$B$3:$BP$1500,60,FALSE)="x","true","false"),"false")</f>
        <v>false</v>
      </c>
      <c r="T756" t="str">
        <f t="shared" si="10"/>
        <v>off</v>
      </c>
      <c r="Y756" t="str">
        <f>IF(BOM!$AE$4=FALSE,IF(ISERROR(SEARCH("Embrionix",BOM!$M$4)),"none",IF(ISERROR(SEARCH("Quadsplit",BOM!$N$4)),IF(ISERROR(SEARCH("rec",B756)),"none","merge"),"none")),IF(ISERROR(SEARCH("rec",B756)),"split","merge"))</f>
        <v>split</v>
      </c>
    </row>
    <row r="757" spans="1:25" x14ac:dyDescent="0.2">
      <c r="A757" t="s">
        <v>1238</v>
      </c>
      <c r="B757" t="s">
        <v>2582</v>
      </c>
      <c r="C757" t="str">
        <f>IFERROR(VLOOKUP(B757,'Sender-Receiver'!$B$3:$BP$1500,61,FALSE),"")</f>
        <v>#SNP</v>
      </c>
      <c r="D757" t="str">
        <f>IFERROR(VLOOKUP(B757,'Sender-Receiver'!$B$3:$BP$1500,41,FALSE),"")</f>
        <v xml:space="preserve"> |  | EditPC-24</v>
      </c>
      <c r="E757" t="s">
        <v>1240</v>
      </c>
      <c r="F757">
        <v>32</v>
      </c>
      <c r="G757" t="s">
        <v>2583</v>
      </c>
      <c r="M757" t="str">
        <f>IF(OR(BOM!$AE$4=FALSE,BOM!$AE$4="-"),IF(ISERROR(SEARCH("send",B757)),"","pool:TPC"),IF(ISERROR(SEARCH("send",B757)),"","pool:TPC|pool:TPC"))</f>
        <v>pool:TPC|pool:TPC</v>
      </c>
      <c r="S757" t="str">
        <f>IFERROR(IF(VLOOKUP(B757,'Sender-Receiver'!$B$3:$BP$1500,60,FALSE)="x","true","false"),"false")</f>
        <v>false</v>
      </c>
      <c r="T757" t="str">
        <f t="shared" si="10"/>
        <v>off</v>
      </c>
      <c r="Y757" t="str">
        <f>IF(BOM!$AE$4=FALSE,IF(ISERROR(SEARCH("Embrionix",BOM!$M$4)),"none",IF(ISERROR(SEARCH("Quadsplit",BOM!$N$4)),IF(ISERROR(SEARCH("rec",B757)),"none","merge"),"none")),IF(ISERROR(SEARCH("rec",B757)),"split","merge"))</f>
        <v>split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0D56-9ED3-4F93-9331-F5D6AC6F1EAD}">
  <dimension ref="A1:A4"/>
  <sheetViews>
    <sheetView workbookViewId="0">
      <selection activeCell="A5" sqref="A5"/>
    </sheetView>
  </sheetViews>
  <sheetFormatPr baseColWidth="10" defaultColWidth="11.42578125" defaultRowHeight="12.75" x14ac:dyDescent="0.2"/>
  <sheetData>
    <row r="1" spans="1:1" x14ac:dyDescent="0.2">
      <c r="A1" t="s">
        <v>2584</v>
      </c>
    </row>
    <row r="2" spans="1:1" x14ac:dyDescent="0.2">
      <c r="A2" t="s">
        <v>146</v>
      </c>
    </row>
    <row r="3" spans="1:1" x14ac:dyDescent="0.2">
      <c r="A3" t="s">
        <v>113</v>
      </c>
    </row>
    <row r="4" spans="1:1" x14ac:dyDescent="0.2">
      <c r="A4" t="s">
        <v>2585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BA0A-373C-4D55-A580-6D9009BF302E}">
  <sheetPr codeName="Tabelle4">
    <tabColor theme="0" tint="-4.9989318521683403E-2"/>
  </sheetPr>
  <dimension ref="A1:C10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26.140625" bestFit="1" customWidth="1"/>
    <col min="2" max="2" width="13.42578125" bestFit="1" customWidth="1"/>
    <col min="3" max="3" width="57.5703125" bestFit="1" customWidth="1"/>
  </cols>
  <sheetData>
    <row r="1" spans="1:3" x14ac:dyDescent="0.2">
      <c r="A1" t="s">
        <v>2586</v>
      </c>
      <c r="B1" t="s">
        <v>2587</v>
      </c>
      <c r="C1" t="s">
        <v>2588</v>
      </c>
    </row>
    <row r="2" spans="1:3" x14ac:dyDescent="0.2">
      <c r="A2" s="21" t="s">
        <v>93</v>
      </c>
      <c r="B2" s="21" t="s">
        <v>2589</v>
      </c>
      <c r="C2" s="21" t="s">
        <v>2590</v>
      </c>
    </row>
    <row r="3" spans="1:3" x14ac:dyDescent="0.2">
      <c r="A3" s="21" t="s">
        <v>2591</v>
      </c>
      <c r="B3" s="21" t="s">
        <v>2589</v>
      </c>
      <c r="C3" s="21" t="s">
        <v>2590</v>
      </c>
    </row>
    <row r="4" spans="1:3" x14ac:dyDescent="0.2">
      <c r="A4" s="21" t="s">
        <v>2592</v>
      </c>
      <c r="B4" s="21" t="s">
        <v>2589</v>
      </c>
      <c r="C4" s="21" t="s">
        <v>2590</v>
      </c>
    </row>
    <row r="5" spans="1:3" x14ac:dyDescent="0.2">
      <c r="A5" s="21" t="s">
        <v>2593</v>
      </c>
      <c r="B5" s="21" t="s">
        <v>2589</v>
      </c>
      <c r="C5" s="21" t="s">
        <v>2590</v>
      </c>
    </row>
    <row r="6" spans="1:3" x14ac:dyDescent="0.2">
      <c r="A6" s="21" t="s">
        <v>2594</v>
      </c>
      <c r="B6" s="21" t="s">
        <v>2589</v>
      </c>
      <c r="C6" s="21" t="s">
        <v>2590</v>
      </c>
    </row>
    <row r="7" spans="1:3" x14ac:dyDescent="0.2">
      <c r="A7" s="21" t="s">
        <v>2595</v>
      </c>
      <c r="B7" s="21" t="s">
        <v>2589</v>
      </c>
      <c r="C7" s="21" t="s">
        <v>2590</v>
      </c>
    </row>
    <row r="8" spans="1:3" x14ac:dyDescent="0.2">
      <c r="A8" s="21" t="s">
        <v>2596</v>
      </c>
      <c r="B8" s="21" t="s">
        <v>2589</v>
      </c>
      <c r="C8" s="21" t="s">
        <v>2590</v>
      </c>
    </row>
    <row r="9" spans="1:3" x14ac:dyDescent="0.2">
      <c r="A9" s="21" t="s">
        <v>117</v>
      </c>
      <c r="B9" s="21" t="s">
        <v>2589</v>
      </c>
      <c r="C9" s="21" t="s">
        <v>2590</v>
      </c>
    </row>
    <row r="10" spans="1:3" x14ac:dyDescent="0.2">
      <c r="A10" s="21" t="s">
        <v>2597</v>
      </c>
      <c r="B10" s="21" t="s">
        <v>2589</v>
      </c>
      <c r="C10" s="21" t="s">
        <v>2590</v>
      </c>
    </row>
  </sheetData>
  <dataValidations disablePrompts="1" count="1">
    <dataValidation type="list" allowBlank="1" showInputMessage="1" showErrorMessage="1" sqref="H8" xr:uid="{EA25B99F-F9D9-41C4-B20D-38BE3CA8BC14}">
      <formula1>dev_type_gw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4529-6563-4E3A-8F75-80A490CA0179}">
  <sheetPr codeName="Tabelle5">
    <tabColor theme="0" tint="-4.9989318521683403E-2"/>
  </sheetPr>
  <dimension ref="A1:C4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20.42578125" bestFit="1" customWidth="1"/>
    <col min="2" max="2" width="13.42578125" bestFit="1" customWidth="1"/>
    <col min="3" max="3" width="49.5703125" bestFit="1" customWidth="1"/>
  </cols>
  <sheetData>
    <row r="1" spans="1:3" x14ac:dyDescent="0.2">
      <c r="A1" t="s">
        <v>28</v>
      </c>
      <c r="B1" t="s">
        <v>2587</v>
      </c>
      <c r="C1" t="s">
        <v>2588</v>
      </c>
    </row>
    <row r="2" spans="1:3" x14ac:dyDescent="0.2">
      <c r="A2" s="21" t="s">
        <v>2598</v>
      </c>
      <c r="B2" s="21" t="s">
        <v>2589</v>
      </c>
      <c r="C2" s="21" t="s">
        <v>2599</v>
      </c>
    </row>
    <row r="3" spans="1:3" x14ac:dyDescent="0.2">
      <c r="A3" s="21" t="s">
        <v>92</v>
      </c>
      <c r="B3" s="21" t="s">
        <v>2589</v>
      </c>
      <c r="C3" s="21" t="s">
        <v>2599</v>
      </c>
    </row>
    <row r="4" spans="1:3" x14ac:dyDescent="0.2">
      <c r="A4" s="21" t="s">
        <v>116</v>
      </c>
      <c r="B4" s="21" t="s">
        <v>2589</v>
      </c>
      <c r="C4" s="21" t="s">
        <v>2599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A93E-1E07-4828-8CC4-6E7DA605C419}">
  <sheetPr codeName="Tabelle6">
    <tabColor theme="0" tint="-4.9989318521683403E-2"/>
  </sheetPr>
  <dimension ref="A1:C10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26.140625" bestFit="1" customWidth="1"/>
    <col min="2" max="2" width="13.42578125" bestFit="1" customWidth="1"/>
    <col min="3" max="3" width="57.5703125" bestFit="1" customWidth="1"/>
  </cols>
  <sheetData>
    <row r="1" spans="1:3" x14ac:dyDescent="0.2">
      <c r="A1" t="s">
        <v>2586</v>
      </c>
      <c r="B1" t="s">
        <v>2587</v>
      </c>
      <c r="C1" t="s">
        <v>2588</v>
      </c>
    </row>
    <row r="2" spans="1:3" x14ac:dyDescent="0.2">
      <c r="A2" s="21" t="s">
        <v>93</v>
      </c>
      <c r="B2" s="21" t="s">
        <v>2589</v>
      </c>
      <c r="C2" s="21" t="s">
        <v>2590</v>
      </c>
    </row>
    <row r="3" spans="1:3" x14ac:dyDescent="0.2">
      <c r="A3" s="21" t="s">
        <v>2591</v>
      </c>
      <c r="B3" s="21" t="s">
        <v>2589</v>
      </c>
      <c r="C3" s="21" t="s">
        <v>2590</v>
      </c>
    </row>
    <row r="4" spans="1:3" x14ac:dyDescent="0.2">
      <c r="A4" s="21" t="s">
        <v>2592</v>
      </c>
      <c r="B4" s="21" t="s">
        <v>2589</v>
      </c>
      <c r="C4" s="21" t="s">
        <v>2590</v>
      </c>
    </row>
    <row r="5" spans="1:3" x14ac:dyDescent="0.2">
      <c r="A5" s="21" t="s">
        <v>2593</v>
      </c>
      <c r="B5" s="21" t="s">
        <v>2589</v>
      </c>
      <c r="C5" s="21" t="s">
        <v>2590</v>
      </c>
    </row>
    <row r="6" spans="1:3" x14ac:dyDescent="0.2">
      <c r="A6" s="21" t="s">
        <v>2594</v>
      </c>
      <c r="B6" s="21" t="s">
        <v>2589</v>
      </c>
      <c r="C6" s="21" t="s">
        <v>2590</v>
      </c>
    </row>
    <row r="7" spans="1:3" x14ac:dyDescent="0.2">
      <c r="A7" s="21" t="s">
        <v>2595</v>
      </c>
      <c r="B7" s="21" t="s">
        <v>2589</v>
      </c>
      <c r="C7" s="21" t="s">
        <v>2590</v>
      </c>
    </row>
    <row r="8" spans="1:3" x14ac:dyDescent="0.2">
      <c r="A8" s="21" t="s">
        <v>2596</v>
      </c>
      <c r="B8" s="21" t="s">
        <v>2589</v>
      </c>
      <c r="C8" s="21" t="s">
        <v>2590</v>
      </c>
    </row>
    <row r="9" spans="1:3" x14ac:dyDescent="0.2">
      <c r="A9" s="21" t="s">
        <v>117</v>
      </c>
      <c r="B9" s="21" t="s">
        <v>2589</v>
      </c>
      <c r="C9" s="21" t="s">
        <v>2590</v>
      </c>
    </row>
    <row r="10" spans="1:3" x14ac:dyDescent="0.2">
      <c r="A10" s="21" t="s">
        <v>2597</v>
      </c>
      <c r="B10" s="21" t="s">
        <v>2589</v>
      </c>
      <c r="C10" s="21" t="s">
        <v>2590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4CB-4348-4A81-B0DB-C23F9EE7335A}">
  <sheetPr codeName="Tabelle7">
    <tabColor theme="0" tint="-4.9989318521683403E-2"/>
  </sheetPr>
  <dimension ref="A1:C61"/>
  <sheetViews>
    <sheetView workbookViewId="0">
      <selection activeCell="C39" sqref="C39"/>
    </sheetView>
  </sheetViews>
  <sheetFormatPr baseColWidth="10" defaultColWidth="11.42578125" defaultRowHeight="12.75" x14ac:dyDescent="0.2"/>
  <cols>
    <col min="1" max="1" width="23.7109375" bestFit="1" customWidth="1"/>
    <col min="2" max="2" width="13.42578125" bestFit="1" customWidth="1"/>
    <col min="3" max="3" width="51.85546875" bestFit="1" customWidth="1"/>
  </cols>
  <sheetData>
    <row r="1" spans="1:3" x14ac:dyDescent="0.2">
      <c r="A1" t="s">
        <v>27</v>
      </c>
      <c r="B1" t="s">
        <v>2587</v>
      </c>
      <c r="C1" t="s">
        <v>2588</v>
      </c>
    </row>
    <row r="2" spans="1:3" x14ac:dyDescent="0.2">
      <c r="A2" s="21" t="s">
        <v>2600</v>
      </c>
      <c r="B2" s="21" t="s">
        <v>2589</v>
      </c>
      <c r="C2" s="21" t="s">
        <v>2601</v>
      </c>
    </row>
    <row r="3" spans="1:3" x14ac:dyDescent="0.2">
      <c r="A3" s="21" t="s">
        <v>115</v>
      </c>
      <c r="B3" s="21" t="s">
        <v>2589</v>
      </c>
      <c r="C3" s="21" t="s">
        <v>2601</v>
      </c>
    </row>
    <row r="4" spans="1:3" x14ac:dyDescent="0.2">
      <c r="A4" s="21" t="s">
        <v>2602</v>
      </c>
      <c r="B4" s="21" t="s">
        <v>2589</v>
      </c>
      <c r="C4" s="21" t="s">
        <v>2601</v>
      </c>
    </row>
    <row r="5" spans="1:3" x14ac:dyDescent="0.2">
      <c r="A5" s="21" t="s">
        <v>2603</v>
      </c>
      <c r="B5" s="21" t="s">
        <v>2589</v>
      </c>
      <c r="C5" s="21" t="s">
        <v>2601</v>
      </c>
    </row>
    <row r="6" spans="1:3" x14ac:dyDescent="0.2">
      <c r="A6" s="21" t="s">
        <v>2604</v>
      </c>
      <c r="B6" s="21" t="s">
        <v>2589</v>
      </c>
      <c r="C6" s="21" t="s">
        <v>2601</v>
      </c>
    </row>
    <row r="7" spans="1:3" x14ac:dyDescent="0.2">
      <c r="A7" s="21" t="s">
        <v>2605</v>
      </c>
      <c r="B7" s="21" t="s">
        <v>2589</v>
      </c>
      <c r="C7" s="21" t="s">
        <v>2601</v>
      </c>
    </row>
    <row r="8" spans="1:3" x14ac:dyDescent="0.2">
      <c r="A8" s="21" t="s">
        <v>2606</v>
      </c>
      <c r="B8" s="21" t="s">
        <v>2589</v>
      </c>
      <c r="C8" s="21" t="s">
        <v>2601</v>
      </c>
    </row>
    <row r="9" spans="1:3" x14ac:dyDescent="0.2">
      <c r="A9" s="21" t="s">
        <v>2607</v>
      </c>
      <c r="B9" s="21" t="s">
        <v>2589</v>
      </c>
      <c r="C9" s="21" t="s">
        <v>2601</v>
      </c>
    </row>
    <row r="10" spans="1:3" x14ac:dyDescent="0.2">
      <c r="A10" s="21" t="s">
        <v>2608</v>
      </c>
      <c r="B10" s="21" t="s">
        <v>2589</v>
      </c>
      <c r="C10" s="21" t="s">
        <v>2601</v>
      </c>
    </row>
    <row r="11" spans="1:3" x14ac:dyDescent="0.2">
      <c r="A11" s="21" t="s">
        <v>149</v>
      </c>
      <c r="B11" s="21" t="s">
        <v>2589</v>
      </c>
      <c r="C11" s="21" t="s">
        <v>2601</v>
      </c>
    </row>
    <row r="12" spans="1:3" x14ac:dyDescent="0.2">
      <c r="A12" s="21" t="s">
        <v>2609</v>
      </c>
      <c r="B12" s="21" t="s">
        <v>2589</v>
      </c>
      <c r="C12" s="21" t="s">
        <v>2601</v>
      </c>
    </row>
    <row r="13" spans="1:3" x14ac:dyDescent="0.2">
      <c r="A13" s="21" t="s">
        <v>2610</v>
      </c>
      <c r="B13" s="21" t="s">
        <v>2589</v>
      </c>
      <c r="C13" s="21" t="s">
        <v>2601</v>
      </c>
    </row>
    <row r="14" spans="1:3" x14ac:dyDescent="0.2">
      <c r="A14" s="21" t="s">
        <v>2611</v>
      </c>
      <c r="B14" s="21" t="s">
        <v>2589</v>
      </c>
      <c r="C14" s="21" t="s">
        <v>2601</v>
      </c>
    </row>
    <row r="15" spans="1:3" x14ac:dyDescent="0.2">
      <c r="A15" s="21" t="s">
        <v>2612</v>
      </c>
      <c r="B15" s="21" t="s">
        <v>2589</v>
      </c>
      <c r="C15" s="21" t="s">
        <v>2601</v>
      </c>
    </row>
    <row r="16" spans="1:3" x14ac:dyDescent="0.2">
      <c r="A16" s="21" t="s">
        <v>2613</v>
      </c>
      <c r="B16" s="21" t="s">
        <v>2589</v>
      </c>
      <c r="C16" s="21" t="s">
        <v>2601</v>
      </c>
    </row>
    <row r="17" spans="1:3" x14ac:dyDescent="0.2">
      <c r="A17" s="21" t="s">
        <v>2614</v>
      </c>
      <c r="B17" s="21" t="s">
        <v>2589</v>
      </c>
      <c r="C17" s="21" t="s">
        <v>2601</v>
      </c>
    </row>
    <row r="18" spans="1:3" x14ac:dyDescent="0.2">
      <c r="A18" s="21" t="s">
        <v>2615</v>
      </c>
      <c r="B18" s="21" t="s">
        <v>2589</v>
      </c>
      <c r="C18" s="21" t="s">
        <v>2601</v>
      </c>
    </row>
    <row r="19" spans="1:3" x14ac:dyDescent="0.2">
      <c r="A19" s="21" t="s">
        <v>2616</v>
      </c>
      <c r="B19" s="21" t="s">
        <v>2589</v>
      </c>
      <c r="C19" s="21" t="s">
        <v>2601</v>
      </c>
    </row>
    <row r="20" spans="1:3" x14ac:dyDescent="0.2">
      <c r="A20" s="21" t="s">
        <v>155</v>
      </c>
      <c r="B20" s="21" t="s">
        <v>2589</v>
      </c>
      <c r="C20" s="21" t="s">
        <v>2601</v>
      </c>
    </row>
    <row r="21" spans="1:3" x14ac:dyDescent="0.2">
      <c r="A21" s="21" t="s">
        <v>158</v>
      </c>
      <c r="B21" s="21" t="s">
        <v>2589</v>
      </c>
      <c r="C21" s="21" t="s">
        <v>2601</v>
      </c>
    </row>
    <row r="22" spans="1:3" x14ac:dyDescent="0.2">
      <c r="A22" s="21" t="s">
        <v>161</v>
      </c>
      <c r="B22" s="21" t="s">
        <v>2589</v>
      </c>
      <c r="C22" s="21" t="s">
        <v>2601</v>
      </c>
    </row>
    <row r="23" spans="1:3" x14ac:dyDescent="0.2">
      <c r="A23" s="21" t="s">
        <v>164</v>
      </c>
      <c r="B23" s="21" t="s">
        <v>2589</v>
      </c>
      <c r="C23" s="21" t="s">
        <v>2601</v>
      </c>
    </row>
    <row r="24" spans="1:3" x14ac:dyDescent="0.2">
      <c r="A24" s="21" t="s">
        <v>2617</v>
      </c>
      <c r="B24" s="21" t="s">
        <v>2589</v>
      </c>
      <c r="C24" s="21" t="s">
        <v>2601</v>
      </c>
    </row>
    <row r="25" spans="1:3" x14ac:dyDescent="0.2">
      <c r="A25" s="21" t="s">
        <v>2618</v>
      </c>
      <c r="B25" s="21" t="s">
        <v>2589</v>
      </c>
      <c r="C25" s="21" t="s">
        <v>2601</v>
      </c>
    </row>
    <row r="26" spans="1:3" x14ac:dyDescent="0.2">
      <c r="A26" s="21" t="s">
        <v>2619</v>
      </c>
      <c r="B26" s="21" t="s">
        <v>2589</v>
      </c>
      <c r="C26" s="21" t="s">
        <v>2601</v>
      </c>
    </row>
    <row r="27" spans="1:3" x14ac:dyDescent="0.2">
      <c r="A27" s="21" t="s">
        <v>2620</v>
      </c>
      <c r="B27" s="21" t="s">
        <v>2589</v>
      </c>
      <c r="C27" s="21" t="s">
        <v>2601</v>
      </c>
    </row>
    <row r="28" spans="1:3" x14ac:dyDescent="0.2">
      <c r="A28" s="21" t="s">
        <v>2621</v>
      </c>
      <c r="B28" s="21" t="s">
        <v>2589</v>
      </c>
      <c r="C28" s="21" t="s">
        <v>2601</v>
      </c>
    </row>
    <row r="29" spans="1:3" x14ac:dyDescent="0.2">
      <c r="A29" s="21" t="s">
        <v>2622</v>
      </c>
      <c r="B29" s="21" t="s">
        <v>2589</v>
      </c>
      <c r="C29" s="21" t="s">
        <v>2601</v>
      </c>
    </row>
    <row r="30" spans="1:3" x14ac:dyDescent="0.2">
      <c r="A30" s="21" t="s">
        <v>2623</v>
      </c>
      <c r="B30" s="21" t="s">
        <v>2589</v>
      </c>
      <c r="C30" s="21" t="s">
        <v>2601</v>
      </c>
    </row>
    <row r="31" spans="1:3" x14ac:dyDescent="0.2">
      <c r="A31" s="21" t="s">
        <v>2624</v>
      </c>
      <c r="B31" s="21" t="s">
        <v>2589</v>
      </c>
      <c r="C31" s="21" t="s">
        <v>2601</v>
      </c>
    </row>
    <row r="32" spans="1:3" x14ac:dyDescent="0.2">
      <c r="A32" s="21" t="s">
        <v>2625</v>
      </c>
      <c r="B32" s="21" t="s">
        <v>2589</v>
      </c>
      <c r="C32" s="21" t="s">
        <v>2601</v>
      </c>
    </row>
    <row r="33" spans="1:3" x14ac:dyDescent="0.2">
      <c r="A33" s="21" t="s">
        <v>137</v>
      </c>
      <c r="B33" s="21" t="s">
        <v>2589</v>
      </c>
      <c r="C33" s="21" t="s">
        <v>2601</v>
      </c>
    </row>
    <row r="34" spans="1:3" x14ac:dyDescent="0.2">
      <c r="A34" s="21" t="s">
        <v>144</v>
      </c>
      <c r="B34" s="21" t="s">
        <v>2589</v>
      </c>
      <c r="C34" s="21" t="s">
        <v>2601</v>
      </c>
    </row>
    <row r="35" spans="1:3" x14ac:dyDescent="0.2">
      <c r="A35" s="21" t="s">
        <v>2626</v>
      </c>
      <c r="B35" s="21" t="s">
        <v>2589</v>
      </c>
      <c r="C35" s="21" t="s">
        <v>2601</v>
      </c>
    </row>
    <row r="36" spans="1:3" x14ac:dyDescent="0.2">
      <c r="A36" s="21" t="s">
        <v>2627</v>
      </c>
      <c r="B36" s="21" t="s">
        <v>2589</v>
      </c>
      <c r="C36" s="21" t="s">
        <v>2601</v>
      </c>
    </row>
    <row r="37" spans="1:3" x14ac:dyDescent="0.2">
      <c r="A37" s="21" t="s">
        <v>120</v>
      </c>
      <c r="B37" s="21" t="s">
        <v>2589</v>
      </c>
      <c r="C37" s="21" t="s">
        <v>2601</v>
      </c>
    </row>
    <row r="38" spans="1:3" x14ac:dyDescent="0.2">
      <c r="A38" s="21" t="s">
        <v>2628</v>
      </c>
      <c r="B38" s="21" t="s">
        <v>2589</v>
      </c>
      <c r="C38" s="21" t="s">
        <v>2601</v>
      </c>
    </row>
    <row r="39" spans="1:3" x14ac:dyDescent="0.2">
      <c r="A39" s="21" t="s">
        <v>2629</v>
      </c>
      <c r="B39" s="21" t="s">
        <v>2589</v>
      </c>
      <c r="C39" s="21" t="s">
        <v>2601</v>
      </c>
    </row>
    <row r="40" spans="1:3" x14ac:dyDescent="0.2">
      <c r="A40" s="21" t="s">
        <v>2630</v>
      </c>
      <c r="B40" s="21" t="s">
        <v>2589</v>
      </c>
      <c r="C40" s="21" t="s">
        <v>2601</v>
      </c>
    </row>
    <row r="41" spans="1:3" x14ac:dyDescent="0.2">
      <c r="A41" s="21" t="s">
        <v>2631</v>
      </c>
      <c r="B41" s="21" t="s">
        <v>2589</v>
      </c>
      <c r="C41" s="21" t="s">
        <v>2601</v>
      </c>
    </row>
    <row r="42" spans="1:3" x14ac:dyDescent="0.2">
      <c r="A42" s="21" t="s">
        <v>2632</v>
      </c>
      <c r="B42" s="21" t="s">
        <v>2589</v>
      </c>
      <c r="C42" s="21" t="s">
        <v>2601</v>
      </c>
    </row>
    <row r="43" spans="1:3" x14ac:dyDescent="0.2">
      <c r="A43" s="21" t="s">
        <v>2633</v>
      </c>
      <c r="B43" s="21" t="s">
        <v>2589</v>
      </c>
      <c r="C43" s="21" t="s">
        <v>2601</v>
      </c>
    </row>
    <row r="44" spans="1:3" x14ac:dyDescent="0.2">
      <c r="A44" s="21" t="s">
        <v>2634</v>
      </c>
      <c r="B44" s="21" t="s">
        <v>2589</v>
      </c>
      <c r="C44" s="21" t="s">
        <v>2601</v>
      </c>
    </row>
    <row r="45" spans="1:3" x14ac:dyDescent="0.2">
      <c r="A45" s="21" t="s">
        <v>2635</v>
      </c>
      <c r="B45" s="21" t="s">
        <v>2589</v>
      </c>
      <c r="C45" s="21" t="s">
        <v>2601</v>
      </c>
    </row>
    <row r="46" spans="1:3" x14ac:dyDescent="0.2">
      <c r="A46" s="21" t="s">
        <v>2636</v>
      </c>
      <c r="B46" s="21" t="s">
        <v>2589</v>
      </c>
      <c r="C46" s="21" t="s">
        <v>2601</v>
      </c>
    </row>
    <row r="47" spans="1:3" x14ac:dyDescent="0.2">
      <c r="A47" s="21" t="s">
        <v>171</v>
      </c>
      <c r="B47" s="21" t="s">
        <v>2589</v>
      </c>
      <c r="C47" s="21" t="s">
        <v>2601</v>
      </c>
    </row>
    <row r="48" spans="1:3" x14ac:dyDescent="0.2">
      <c r="A48" s="21" t="s">
        <v>174</v>
      </c>
      <c r="B48" s="21" t="s">
        <v>2589</v>
      </c>
      <c r="C48" s="21" t="s">
        <v>2601</v>
      </c>
    </row>
    <row r="49" spans="1:3" x14ac:dyDescent="0.2">
      <c r="A49" s="21" t="s">
        <v>177</v>
      </c>
      <c r="B49" s="21" t="s">
        <v>2589</v>
      </c>
      <c r="C49" s="21" t="s">
        <v>2601</v>
      </c>
    </row>
    <row r="50" spans="1:3" x14ac:dyDescent="0.2">
      <c r="A50" s="21" t="s">
        <v>180</v>
      </c>
      <c r="B50" s="21" t="s">
        <v>2589</v>
      </c>
      <c r="C50" s="21" t="s">
        <v>2601</v>
      </c>
    </row>
    <row r="51" spans="1:3" x14ac:dyDescent="0.2">
      <c r="A51" s="21" t="s">
        <v>2637</v>
      </c>
      <c r="B51" s="21" t="s">
        <v>2589</v>
      </c>
      <c r="C51" s="21" t="s">
        <v>2601</v>
      </c>
    </row>
    <row r="52" spans="1:3" x14ac:dyDescent="0.2">
      <c r="A52" s="21" t="s">
        <v>2638</v>
      </c>
      <c r="B52" s="21" t="s">
        <v>2589</v>
      </c>
      <c r="C52" s="21" t="s">
        <v>2601</v>
      </c>
    </row>
    <row r="53" spans="1:3" x14ac:dyDescent="0.2">
      <c r="A53" s="21" t="s">
        <v>2639</v>
      </c>
      <c r="B53" s="21" t="s">
        <v>2589</v>
      </c>
      <c r="C53" s="21" t="s">
        <v>2601</v>
      </c>
    </row>
    <row r="54" spans="1:3" x14ac:dyDescent="0.2">
      <c r="A54" s="21" t="s">
        <v>2640</v>
      </c>
      <c r="B54" s="21" t="s">
        <v>2589</v>
      </c>
      <c r="C54" s="21" t="s">
        <v>2601</v>
      </c>
    </row>
    <row r="55" spans="1:3" x14ac:dyDescent="0.2">
      <c r="A55" s="21" t="s">
        <v>2641</v>
      </c>
      <c r="B55" s="21" t="s">
        <v>2589</v>
      </c>
      <c r="C55" s="21" t="s">
        <v>2601</v>
      </c>
    </row>
    <row r="56" spans="1:3" x14ac:dyDescent="0.2">
      <c r="A56" s="21" t="s">
        <v>2642</v>
      </c>
      <c r="B56" s="21" t="s">
        <v>2589</v>
      </c>
      <c r="C56" s="21" t="s">
        <v>2601</v>
      </c>
    </row>
    <row r="57" spans="1:3" x14ac:dyDescent="0.2">
      <c r="A57" s="21" t="s">
        <v>2643</v>
      </c>
      <c r="B57" s="21" t="s">
        <v>2589</v>
      </c>
      <c r="C57" s="21" t="s">
        <v>2601</v>
      </c>
    </row>
    <row r="58" spans="1:3" x14ac:dyDescent="0.2">
      <c r="A58" s="21" t="s">
        <v>2644</v>
      </c>
      <c r="B58" s="21" t="s">
        <v>2589</v>
      </c>
      <c r="C58" s="21" t="s">
        <v>2601</v>
      </c>
    </row>
    <row r="59" spans="1:3" x14ac:dyDescent="0.2">
      <c r="A59" s="21" t="s">
        <v>2645</v>
      </c>
      <c r="B59" s="21" t="s">
        <v>2589</v>
      </c>
      <c r="C59" s="21" t="s">
        <v>2601</v>
      </c>
    </row>
    <row r="60" spans="1:3" x14ac:dyDescent="0.2">
      <c r="A60" s="21" t="s">
        <v>2646</v>
      </c>
      <c r="B60" s="21" t="s">
        <v>2589</v>
      </c>
      <c r="C60" s="21" t="s">
        <v>2601</v>
      </c>
    </row>
    <row r="61" spans="1:3" x14ac:dyDescent="0.2">
      <c r="A61" s="21" t="s">
        <v>2647</v>
      </c>
      <c r="B61" s="21" t="s">
        <v>2589</v>
      </c>
      <c r="C61" s="21" t="s">
        <v>2601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j t m T 1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a O 2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t m T y i K R 7 g O A A A A E Q A A A B M A H A B G b 3 J t d W x h c y 9 T Z W N 0 a W 9 u M S 5 t I K I Y A C i g F A A A A A A A A A A A A A A A A A A A A A A A A A A A A C t O T S 7 J z M 9 T C I b Q h t Y A U E s B A i 0 A F A A C A A g A m j t m T 1 x O R D 2 p A A A A + Q A A A B I A A A A A A A A A A A A A A A A A A A A A A E N v b m Z p Z y 9 Q Y W N r Y W d l L n h t b F B L A Q I t A B Q A A g A I A J o 7 Z k 8 P y u m r p A A A A O k A A A A T A A A A A A A A A A A A A A A A A P U A A A B b Q 2 9 u d G V u d F 9 U e X B l c 1 0 u e G 1 s U E s B A i 0 A F A A C A A g A m j t m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k o N y K n v I N I g h H S S Z r L o D I A A A A A A g A A A A A A A 2 Y A A M A A A A A Q A A A A s W g j l Z W m n Y h 5 i 4 F 8 J 0 J R 5 w A A A A A E g A A A o A A A A B A A A A A Y / I z 4 O / z / f s R o x B y Y f K 4 p U A A A A F n N w d p 3 r T v h C A A p j z 7 m r Q N K 2 e v D W d 5 G e P F L V p 5 F j P C q M Y v b w M P U 6 P z I b t K m v 4 B d e w U L E K 6 T u P S k 7 A d U 8 A n t + z 5 g 0 4 u q Z 8 Q D 3 O 2 t I 3 K w 8 t 5 B F A A A A L t J T w a o H q 9 7 t A 3 m I 5 W z L 7 J N 6 G I h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F203703E46CF459607BAE3D5CD3E9A" ma:contentTypeVersion="12" ma:contentTypeDescription="Ein neues Dokument erstellen." ma:contentTypeScope="" ma:versionID="9d07781c0bd6727cf113ade4ef1e60c6">
  <xsd:schema xmlns:xsd="http://www.w3.org/2001/XMLSchema" xmlns:xs="http://www.w3.org/2001/XMLSchema" xmlns:p="http://schemas.microsoft.com/office/2006/metadata/properties" xmlns:ns2="89cd8dc2-7f1e-4f42-83a0-a70470038d8c" xmlns:ns3="1248aef5-c64b-4b14-b256-1fc60ae2f00c" targetNamespace="http://schemas.microsoft.com/office/2006/metadata/properties" ma:root="true" ma:fieldsID="e591de0cd795033d3212032d82c6e25a" ns2:_="" ns3:_="">
    <xsd:import namespace="89cd8dc2-7f1e-4f42-83a0-a70470038d8c"/>
    <xsd:import namespace="1248aef5-c64b-4b14-b256-1fc60ae2f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d8dc2-7f1e-4f42-83a0-a70470038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8aef5-c64b-4b14-b256-1fc60ae2f0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95DC93-DF79-4170-B312-B7F42D5BB34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DD1F228-257D-4753-8250-18430D542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34842F-0158-4E74-AD8E-BE22152C6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d8dc2-7f1e-4f42-83a0-a70470038d8c"/>
    <ds:schemaRef ds:uri="1248aef5-c64b-4b14-b256-1fc60ae2f0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5A24A9C-5C17-4D31-BC38-BE7B98DB06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8</vt:i4>
      </vt:variant>
    </vt:vector>
  </HeadingPairs>
  <TitlesOfParts>
    <vt:vector size="21" baseType="lpstr">
      <vt:lpstr>Changelog</vt:lpstr>
      <vt:lpstr>BOM</vt:lpstr>
      <vt:lpstr>Sender-Receiver</vt:lpstr>
      <vt:lpstr>Nevion</vt:lpstr>
      <vt:lpstr>Dropdown</vt:lpstr>
      <vt:lpstr>SP - Device Type Gateway</vt:lpstr>
      <vt:lpstr>SP - Manufacturer</vt:lpstr>
      <vt:lpstr>SP - Dev. Type GW</vt:lpstr>
      <vt:lpstr>SP - Device Location</vt:lpstr>
      <vt:lpstr>SP - Workplace Usage</vt:lpstr>
      <vt:lpstr>SP - Workplace Room</vt:lpstr>
      <vt:lpstr>SP - ST2022-7</vt:lpstr>
      <vt:lpstr>SP - Driver</vt:lpstr>
      <vt:lpstr>dev_location</vt:lpstr>
      <vt:lpstr>dev_type_gw</vt:lpstr>
      <vt:lpstr>driver</vt:lpstr>
      <vt:lpstr>drivertag</vt:lpstr>
      <vt:lpstr>manufacturer</vt:lpstr>
      <vt:lpstr>ST2022_7</vt:lpstr>
      <vt:lpstr>workplace_room</vt:lpstr>
      <vt:lpstr>workplace_usage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Furter, Sandro (tpc)</dc:creator>
  <cp:keywords/>
  <dc:description/>
  <cp:lastModifiedBy>Baumgartner, Luis (SRF)</cp:lastModifiedBy>
  <cp:revision/>
  <dcterms:created xsi:type="dcterms:W3CDTF">2019-11-05T21:10:34Z</dcterms:created>
  <dcterms:modified xsi:type="dcterms:W3CDTF">2021-10-25T04:02:11Z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0x01010055F203703E46CF459607BAE3D5CD3E9A</vt:lpwstr>
  </property>
</Properties>
</file>