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rf\WebIO\import\"/>
    </mc:Choice>
  </mc:AlternateContent>
  <xr:revisionPtr revIDLastSave="0" documentId="8_{1377E50B-04EA-4F46-AF46-6DEFB08408E3}" xr6:coauthVersionLast="47" xr6:coauthVersionMax="47" xr10:uidLastSave="{00000000-0000-0000-0000-000000000000}"/>
  <bookViews>
    <workbookView xWindow="-108" yWindow="-108" windowWidth="46296" windowHeight="25416" tabRatio="805" activeTab="3" xr2:uid="{268188F4-3915-41D9-B24B-6EE97302B25D}"/>
  </bookViews>
  <sheets>
    <sheet name="Changelog" sheetId="14" r:id="rId1"/>
    <sheet name="BOM" sheetId="1" r:id="rId2"/>
    <sheet name="Sender-Receiver" sheetId="3" r:id="rId3"/>
    <sheet name="Nevion" sheetId="15" r:id="rId4"/>
    <sheet name="SP - Device Type Gateway" sheetId="5" state="hidden" r:id="rId5"/>
    <sheet name="SP - Manufacturer" sheetId="13" state="hidden" r:id="rId6"/>
    <sheet name="SP - Dev. Type GW" sheetId="8" state="hidden" r:id="rId7"/>
    <sheet name="SP - Device Location" sheetId="7" state="hidden" r:id="rId8"/>
    <sheet name="SP - Workplace Usage" sheetId="12" state="hidden" r:id="rId9"/>
    <sheet name="SP - Workplace Room" sheetId="11" state="hidden" r:id="rId10"/>
    <sheet name="SP - ST2022-7" sheetId="10" state="hidden" r:id="rId11"/>
    <sheet name="SP - Driver" sheetId="9" state="hidden" r:id="rId12"/>
  </sheets>
  <definedNames>
    <definedName name="dev_location">'SP - Device Location'!$A:$A</definedName>
    <definedName name="dev_type_gw">'SP - Device Type Gateway'!$A:$A</definedName>
    <definedName name="driver">'SP - Driver'!$A:$A</definedName>
    <definedName name="drivertag">'SP - Driver'!$D:$D</definedName>
    <definedName name="manufacturer">'SP - Manufacturer'!$A:$A</definedName>
    <definedName name="query__1" localSheetId="4" hidden="1">'SP - Device Type Gateway'!$A$1:$C$13</definedName>
    <definedName name="query__2" localSheetId="7" hidden="1">'SP - Device Location'!$A$1:$C$62</definedName>
    <definedName name="query__3" localSheetId="6" hidden="1">'SP - Dev. Type GW'!$A$1:$C$10</definedName>
    <definedName name="query__4" localSheetId="11" hidden="1">'SP - Driver'!$A$1:$D$5</definedName>
    <definedName name="query__6" localSheetId="10" hidden="1">'SP - ST2022-7'!$A$1:$C$3</definedName>
    <definedName name="query__7" localSheetId="9" hidden="1">'SP - Workplace Room'!$A$1:$C$62</definedName>
    <definedName name="query__8" localSheetId="8" hidden="1">'SP - Workplace Usage'!$A$1:$C$25</definedName>
    <definedName name="query__9" localSheetId="5" hidden="1">'SP - Manufacturer'!$A$1:$C$4</definedName>
    <definedName name="ST2022_7">'SP - ST2022-7'!$A:$A</definedName>
    <definedName name="workplace_room">'SP - Workplace Room'!$A:$A</definedName>
    <definedName name="workplace_usage">'SP - Workplace Usage'!$A:$A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5" l="1"/>
  <c r="Y4" i="15"/>
  <c r="Y5" i="15"/>
  <c r="Y6" i="15"/>
  <c r="Y7" i="15"/>
  <c r="Y8" i="15"/>
  <c r="Y9" i="15"/>
  <c r="Y10" i="15"/>
  <c r="Y11" i="15"/>
  <c r="Y12" i="15"/>
  <c r="Y13" i="15"/>
  <c r="Y2" i="15"/>
  <c r="T3" i="15"/>
  <c r="T4" i="15"/>
  <c r="T5" i="15"/>
  <c r="T6" i="15"/>
  <c r="T7" i="15"/>
  <c r="T8" i="15"/>
  <c r="T9" i="15"/>
  <c r="T10" i="15"/>
  <c r="T11" i="15"/>
  <c r="T12" i="15"/>
  <c r="T13" i="15"/>
  <c r="T2" i="15"/>
  <c r="S3" i="15"/>
  <c r="S4" i="15"/>
  <c r="S5" i="15"/>
  <c r="S6" i="15"/>
  <c r="S7" i="15"/>
  <c r="S8" i="15"/>
  <c r="S9" i="15"/>
  <c r="S10" i="15"/>
  <c r="S11" i="15"/>
  <c r="S12" i="15"/>
  <c r="S13" i="15"/>
  <c r="S2" i="15"/>
  <c r="M3" i="15"/>
  <c r="M4" i="15"/>
  <c r="M5" i="15"/>
  <c r="M6" i="15"/>
  <c r="M7" i="15"/>
  <c r="M8" i="15"/>
  <c r="M9" i="15"/>
  <c r="M10" i="15"/>
  <c r="M11" i="15"/>
  <c r="M12" i="15"/>
  <c r="M13" i="15"/>
  <c r="M2" i="15"/>
  <c r="D3" i="15"/>
  <c r="D4" i="15"/>
  <c r="D5" i="15"/>
  <c r="D6" i="15"/>
  <c r="D7" i="15"/>
  <c r="D8" i="15"/>
  <c r="D9" i="15"/>
  <c r="D10" i="15"/>
  <c r="D11" i="15"/>
  <c r="D12" i="15"/>
  <c r="D13" i="15"/>
  <c r="D2" i="15"/>
  <c r="C3" i="15"/>
  <c r="C4" i="15"/>
  <c r="C5" i="15"/>
  <c r="C6" i="15"/>
  <c r="C7" i="15"/>
  <c r="C8" i="15"/>
  <c r="C9" i="15"/>
  <c r="C10" i="15"/>
  <c r="C11" i="15"/>
  <c r="C12" i="15"/>
  <c r="C13" i="15"/>
  <c r="C2" i="15"/>
  <c r="B5" i="1"/>
  <c r="I15" i="3" l="1"/>
  <c r="I14" i="3"/>
  <c r="I13" i="3"/>
  <c r="I12" i="3"/>
  <c r="I11" i="3"/>
  <c r="I10" i="3"/>
  <c r="I9" i="3"/>
  <c r="I8" i="3"/>
  <c r="I7" i="3"/>
  <c r="I6" i="3"/>
  <c r="I5" i="3"/>
  <c r="I4" i="3"/>
  <c r="M15" i="3"/>
  <c r="M14" i="3"/>
  <c r="M13" i="3"/>
  <c r="M12" i="3"/>
  <c r="M11" i="3"/>
  <c r="M10" i="3"/>
  <c r="M9" i="3"/>
  <c r="M8" i="3"/>
  <c r="M7" i="3"/>
  <c r="M6" i="3"/>
  <c r="M4" i="3"/>
  <c r="M5" i="3"/>
  <c r="I3" i="3"/>
  <c r="F15" i="3"/>
  <c r="F14" i="3"/>
  <c r="F13" i="3"/>
  <c r="F12" i="3"/>
  <c r="F11" i="3"/>
  <c r="F10" i="3"/>
  <c r="F6" i="3"/>
  <c r="F7" i="3"/>
  <c r="F8" i="3"/>
  <c r="F9" i="3"/>
  <c r="F4" i="3"/>
  <c r="F5" i="3"/>
  <c r="Q5" i="1"/>
  <c r="AS5" i="1" s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A5" i="1"/>
  <c r="AQ5" i="1"/>
  <c r="AO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U3" i="1"/>
  <c r="U5" i="1"/>
  <c r="T5" i="1"/>
  <c r="S3" i="1"/>
  <c r="S5" i="1" s="1"/>
  <c r="N5" i="1"/>
  <c r="M5" i="1"/>
  <c r="L5" i="1"/>
  <c r="M3" i="3" l="1"/>
  <c r="AS3" i="1" l="1"/>
  <c r="AS4" i="1"/>
  <c r="BP3" i="3" l="1"/>
  <c r="BP4" i="3"/>
  <c r="BP5" i="3"/>
  <c r="BP6" i="3"/>
  <c r="BP7" i="3"/>
  <c r="BP8" i="3"/>
  <c r="BP9" i="3"/>
  <c r="BP10" i="3"/>
  <c r="BP11" i="3"/>
  <c r="BP12" i="3"/>
  <c r="BP13" i="3"/>
  <c r="BP14" i="3"/>
  <c r="BP15" i="3"/>
  <c r="BH5" i="3" l="1"/>
  <c r="BH6" i="3"/>
  <c r="BH7" i="3"/>
  <c r="BH8" i="3"/>
  <c r="BH9" i="3"/>
  <c r="BH10" i="3"/>
  <c r="BH11" i="3"/>
  <c r="BH12" i="3"/>
  <c r="BH13" i="3"/>
  <c r="BH14" i="3"/>
  <c r="BH15" i="3"/>
  <c r="BH4" i="3"/>
  <c r="AP4" i="3" l="1"/>
  <c r="AP5" i="3"/>
  <c r="AP6" i="3"/>
  <c r="AP7" i="3"/>
  <c r="AP8" i="3"/>
  <c r="AP9" i="3"/>
  <c r="AP10" i="3"/>
  <c r="AP11" i="3"/>
  <c r="AP12" i="3"/>
  <c r="AP13" i="3"/>
  <c r="AP14" i="3"/>
  <c r="AP15" i="3"/>
  <c r="AN3" i="3" l="1"/>
  <c r="AN4" i="3"/>
  <c r="AN5" i="3"/>
  <c r="AN6" i="3"/>
  <c r="AN7" i="3"/>
  <c r="AN8" i="3"/>
  <c r="AN9" i="3"/>
  <c r="AN10" i="3"/>
  <c r="AN11" i="3"/>
  <c r="AN12" i="3"/>
  <c r="AN13" i="3"/>
  <c r="AN14" i="3"/>
  <c r="AN15" i="3"/>
  <c r="AL3" i="3"/>
  <c r="BI3" i="3" s="1"/>
  <c r="AL4" i="3"/>
  <c r="BI4" i="3" s="1"/>
  <c r="AL5" i="3"/>
  <c r="BI5" i="3" s="1"/>
  <c r="AL6" i="3"/>
  <c r="BI6" i="3" s="1"/>
  <c r="AL7" i="3"/>
  <c r="BI7" i="3" s="1"/>
  <c r="AL8" i="3"/>
  <c r="BI8" i="3" s="1"/>
  <c r="AL9" i="3"/>
  <c r="BI9" i="3" s="1"/>
  <c r="AL10" i="3"/>
  <c r="BI10" i="3" s="1"/>
  <c r="AL11" i="3"/>
  <c r="BI11" i="3" s="1"/>
  <c r="AL12" i="3"/>
  <c r="BI12" i="3" s="1"/>
  <c r="AL13" i="3"/>
  <c r="BI13" i="3" s="1"/>
  <c r="AL14" i="3"/>
  <c r="BI14" i="3" s="1"/>
  <c r="AL15" i="3"/>
  <c r="BI15" i="3" s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F3" i="3"/>
  <c r="AP3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A3" i="3"/>
  <c r="A5" i="3"/>
  <c r="A6" i="3"/>
  <c r="A7" i="3"/>
  <c r="A8" i="3"/>
  <c r="A9" i="3"/>
  <c r="A10" i="3"/>
  <c r="A11" i="3"/>
  <c r="A12" i="3"/>
  <c r="A13" i="3"/>
  <c r="A14" i="3"/>
  <c r="A15" i="3"/>
  <c r="A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28FFD3-E94F-401E-91AE-C292483A9CD3}" odcFile="C:\Users\furtersa\Downloads\query (1).iqy" keepAlive="1" name="query (1)" type="5" refreshedVersion="6" minRefreshableVersion="3" background="1" refreshOnLoad="1" saveData="1">
    <dbPr connection="Provider=Microsoft.Office.List.OLEDB.2.0;Data Source=&quot;&quot;;ApplicationName=Excel;Version=12.0.0.0" command="&lt;LIST&gt;&lt;VIEWGUID&gt;4A642D8E-4EBC-40E2-97A1-22AA2ED74CFE&lt;/VIEWGUID&gt;&lt;LISTNAME&gt;{AEB6DE1B-3E86-4326-9088-09814D4F249A}&lt;/LISTNAME&gt;&lt;LISTWEB&gt;https://srgssr.sharepoint.com/sites/MetechnoIPOrchestrator/_vti_bin&lt;/LISTWEB&gt;&lt;LISTSUBWEB&gt;&lt;/LISTSUBWEB&gt;&lt;ROOTFOLDER&gt;&lt;/ROOTFOLDER&gt;&lt;/LIST&gt;" commandType="5"/>
  </connection>
  <connection id="2" xr16:uid="{23F917AE-ED37-4CBE-8ACF-15AB7CD26615}" odcFile="C:\Users\furtersa\Downloads\query (2).iqy" keepAlive="1" name="query (2)" type="5" refreshedVersion="6" minRefreshableVersion="3" saveData="1">
    <dbPr connection="Provider=Microsoft.Office.List.OLEDB.2.0;Data Source=&quot;&quot;;ApplicationName=Excel;Version=12.0.0.0" command="&lt;LIST&gt;&lt;VIEWGUID&gt;259DF45A-B65C-47FE-8548-990033ED3E9A&lt;/VIEWGUID&gt;&lt;LISTNAME&gt;{E4924C51-B3F4-422A-B340-4BA2CF13C9BF}&lt;/LISTNAME&gt;&lt;LISTWEB&gt;https://srgssr.sharepoint.com/sites/MetechnoIPOrchestrator/_vti_bin&lt;/LISTWEB&gt;&lt;LISTSUBWEB&gt;&lt;/LISTSUBWEB&gt;&lt;ROOTFOLDER&gt;&lt;/ROOTFOLDER&gt;&lt;/LIST&gt;" commandType="5"/>
  </connection>
  <connection id="3" xr16:uid="{B96018B8-EDF0-4CEC-A610-59D0A1BB1605}" odcFile="C:\Users\furtersa\Downloads\query (3).iqy" keepAlive="1" name="query (3)" type="5" refreshedVersion="6" minRefreshableVersion="3" saveData="1">
    <dbPr connection="Provider=Microsoft.Office.List.OLEDB.2.0;Data Source=&quot;&quot;;ApplicationName=Excel;Version=12.0.0.0" command="&lt;LIST&gt;&lt;VIEWGUID&gt;4A642D8E-4EBC-40E2-97A1-22AA2ED74CFE&lt;/VIEWGUID&gt;&lt;LISTNAME&gt;{AEB6DE1B-3E86-4326-9088-09814D4F249A}&lt;/LISTNAME&gt;&lt;LISTWEB&gt;https://srgssr.sharepoint.com/sites/MetechnoIPOrchestrator/_vti_bin&lt;/LISTWEB&gt;&lt;LISTSUBWEB&gt;&lt;/LISTSUBWEB&gt;&lt;ROOTFOLDER&gt;&lt;/ROOTFOLDER&gt;&lt;/LIST&gt;" commandType="5"/>
  </connection>
  <connection id="4" xr16:uid="{0D59BC20-9811-4BCF-A564-2141C69ECC4A}" odcFile="C:\Users\furtersa\Downloads\query (4).iqy" keepAlive="1" name="query (4)" type="5" refreshedVersion="6" minRefreshableVersion="3" saveData="1">
    <dbPr connection="Provider=Microsoft.Office.List.OLEDB.2.0;Data Source=&quot;&quot;;ApplicationName=Excel;Version=12.0.0.0" command="&lt;LIST&gt;&lt;VIEWGUID&gt;6FBF62EF-05A1-459F-ACD0-E98497ADFBC5&lt;/VIEWGUID&gt;&lt;LISTNAME&gt;{99353682-2FE8-46E8-B882-B86AE135E2CC}&lt;/LISTNAME&gt;&lt;LISTWEB&gt;https://srgssr.sharepoint.com/sites/MetechnoIPOrchestrator/_vti_bin&lt;/LISTWEB&gt;&lt;LISTSUBWEB&gt;&lt;/LISTSUBWEB&gt;&lt;ROOTFOLDER&gt;&lt;/ROOTFOLDER&gt;&lt;/LIST&gt;" commandType="5"/>
  </connection>
  <connection id="5" xr16:uid="{0F741D8F-0A99-4C3C-A489-4AC95A5DD989}" odcFile="C:\Users\furtersa\Downloads\query (6).iqy" keepAlive="1" name="query (6)" type="5" refreshedVersion="6" minRefreshableVersion="3" saveData="1">
    <dbPr connection="Provider=Microsoft.Office.List.OLEDB.2.0;Data Source=&quot;&quot;;ApplicationName=Excel;Version=12.0.0.0" command="&lt;LIST&gt;&lt;VIEWGUID&gt;7EA3C99C-21EC-44AE-ACF1-3030FCFA7D2C&lt;/VIEWGUID&gt;&lt;LISTNAME&gt;{F6A14A4D-6E77-4AC9-A957-B7665E34612A}&lt;/LISTNAME&gt;&lt;LISTWEB&gt;https://srgssr.sharepoint.com/sites/MetechnoIPOrchestrator/_vti_bin&lt;/LISTWEB&gt;&lt;LISTSUBWEB&gt;&lt;/LISTSUBWEB&gt;&lt;ROOTFOLDER&gt;&lt;/ROOTFOLDER&gt;&lt;/LIST&gt;" commandType="5"/>
  </connection>
  <connection id="6" xr16:uid="{EF6C7C3E-65F4-4380-85FD-FC265AB3A93A}" odcFile="C:\Users\furtersa\Downloads\query (7).iqy" keepAlive="1" name="query (7)" type="5" refreshedVersion="6" minRefreshableVersion="3" saveData="1">
    <dbPr connection="Provider=Microsoft.Office.List.OLEDB.2.0;Data Source=&quot;&quot;;ApplicationName=Excel;Version=12.0.0.0" command="&lt;LIST&gt;&lt;VIEWGUID&gt;3D1A95FB-2763-4A8E-836D-E16019B19128&lt;/VIEWGUID&gt;&lt;LISTNAME&gt;{74BE3C27-51EE-4DE6-B678-1E6398C1D190}&lt;/LISTNAME&gt;&lt;LISTWEB&gt;https://srgssr.sharepoint.com/sites/MetechnoIPOrchestrator/_vti_bin&lt;/LISTWEB&gt;&lt;LISTSUBWEB&gt;&lt;/LISTSUBWEB&gt;&lt;ROOTFOLDER&gt;&lt;/ROOTFOLDER&gt;&lt;/LIST&gt;" commandType="5"/>
  </connection>
  <connection id="7" xr16:uid="{FAE49345-61DB-4DAE-8826-B85A421CE579}" odcFile="C:\Users\furtersa\Downloads\query (8).iqy" keepAlive="1" name="query (8)" type="5" refreshedVersion="6" minRefreshableVersion="3" saveData="1">
    <dbPr connection="Provider=Microsoft.Office.List.OLEDB.2.0;Data Source=&quot;&quot;;ApplicationName=Excel;Version=12.0.0.0" command="&lt;LIST&gt;&lt;VIEWGUID&gt;3BC26D36-9DEC-4D2C-AEA1-9E473DB6A8A3&lt;/VIEWGUID&gt;&lt;LISTNAME&gt;{546D4B9F-8DBA-4EFB-AE62-511C15CEA36C}&lt;/LISTNAME&gt;&lt;LISTWEB&gt;https://srgssr.sharepoint.com/sites/MetechnoIPOrchestrator/_vti_bin&lt;/LISTWEB&gt;&lt;LISTSUBWEB&gt;&lt;/LISTSUBWEB&gt;&lt;ROOTFOLDER&gt;&lt;/ROOTFOLDER&gt;&lt;/LIST&gt;" commandType="5"/>
  </connection>
  <connection id="8" xr16:uid="{6A2BA97E-BE17-42EB-A8B5-C37552B1EE0F}" odcFile="C:\Users\furtersa\Downloads\query (9).iqy" keepAlive="1" name="query (9)" type="5" refreshedVersion="6" minRefreshableVersion="3" saveData="1">
    <dbPr connection="Provider=Microsoft.Office.List.OLEDB.2.0;Data Source=&quot;&quot;;ApplicationName=Excel;Version=12.0.0.0" command="&lt;LIST&gt;&lt;VIEWGUID&gt;7431EF7E-6842-49C1-87AA-B15DAAB7B958&lt;/VIEWGUID&gt;&lt;LISTNAME&gt;{89A3FC2A-B94F-48F4-B9B1-31167DCF6110}&lt;/LISTNAME&gt;&lt;LISTWEB&gt;https://srgssr.sharepoint.com/sites/MetechnoIPOrchestrator/_vti_bin&lt;/LISTWEB&gt;&lt;LISTSUBWEB&gt;&lt;/LISTSUBWEB&gt;&lt;ROOTFOLDER&gt;&lt;/ROOTFOLDER&gt;&lt;/LIST&gt;" commandType="5"/>
  </connection>
</connections>
</file>

<file path=xl/sharedStrings.xml><?xml version="1.0" encoding="utf-8"?>
<sst xmlns="http://schemas.openxmlformats.org/spreadsheetml/2006/main" count="867" uniqueCount="322">
  <si>
    <t>IO List Metechno</t>
  </si>
  <si>
    <t>Device ID</t>
  </si>
  <si>
    <t>Device Label 
(according to rack layout)</t>
  </si>
  <si>
    <t>Creation
Date</t>
  </si>
  <si>
    <t>Data Change 
Date BOM</t>
  </si>
  <si>
    <t>#VIDrec</t>
  </si>
  <si>
    <t>#VIDsend</t>
  </si>
  <si>
    <t>#AUDrec</t>
  </si>
  <si>
    <t>#AUDsend</t>
  </si>
  <si>
    <t>#ANCrec</t>
  </si>
  <si>
    <t>#ANCsend</t>
  </si>
  <si>
    <t>Functional Group</t>
  </si>
  <si>
    <t>BS0</t>
  </si>
  <si>
    <t>Management BFE</t>
  </si>
  <si>
    <t>Showdesign</t>
  </si>
  <si>
    <t>Responsibility</t>
  </si>
  <si>
    <t>FQDN Realtime A</t>
  </si>
  <si>
    <t>IP-Address Realtime A</t>
  </si>
  <si>
    <t>Switch Realtime A</t>
  </si>
  <si>
    <t>Port Realtime A</t>
  </si>
  <si>
    <t>FQDN Realtime B</t>
  </si>
  <si>
    <t>IP-Address Realtime B</t>
  </si>
  <si>
    <t>Switch Realtime B</t>
  </si>
  <si>
    <t>Port Realtime B</t>
  </si>
  <si>
    <t>FQDN Control A</t>
  </si>
  <si>
    <t>IP-Address Control A</t>
  </si>
  <si>
    <t>FQDN Control B</t>
  </si>
  <si>
    <t>IP-Address Control B</t>
  </si>
  <si>
    <t>Netzwerk Protokoll
 (TCP/UDP)</t>
  </si>
  <si>
    <t>Kommunikations Richtung 
(-&gt; BFE, BFE -&gt;)</t>
  </si>
  <si>
    <t>Protokoll 
(BFE)</t>
  </si>
  <si>
    <t>Portnummer
(BFE)</t>
  </si>
  <si>
    <t xml:space="preserve">Driver </t>
  </si>
  <si>
    <t xml:space="preserve">Static Multicasts </t>
  </si>
  <si>
    <t>2022-7</t>
  </si>
  <si>
    <t>MBB</t>
  </si>
  <si>
    <t>VIP-Description</t>
  </si>
  <si>
    <t>Date Configured in VIP</t>
  </si>
  <si>
    <t>Type:Vid_1080i50</t>
  </si>
  <si>
    <t>Type:Vid_1080p25</t>
  </si>
  <si>
    <t>Type:Vid_1080p50</t>
  </si>
  <si>
    <t>Type:Vid_2160p50</t>
  </si>
  <si>
    <t>Type:Vid_1080p60</t>
  </si>
  <si>
    <t>Type:Aud_1CH_M</t>
  </si>
  <si>
    <t>Type:Aud_1CH_M_LD</t>
  </si>
  <si>
    <t>Type:Aud_2CH_DBE</t>
  </si>
  <si>
    <t>Type:Aud_2CH_LR</t>
  </si>
  <si>
    <t>Type:Aud_2CH_LR_LD</t>
  </si>
  <si>
    <t>Type:Aud_3CH_LRC</t>
  </si>
  <si>
    <t>Type:Aud_6CH_5.1</t>
  </si>
  <si>
    <t>Type:Aud_8CH_RAW</t>
  </si>
  <si>
    <t>Type:Aud_8CH_RAW_LD</t>
  </si>
  <si>
    <t>Type:Aud_32CH_RAW_LD</t>
  </si>
  <si>
    <t>Type:Anc_Prot</t>
  </si>
  <si>
    <t>Converter Function enabled</t>
  </si>
  <si>
    <t>Use As Endpoint</t>
  </si>
  <si>
    <t>Tags</t>
  </si>
  <si>
    <t>VideoIPath unique ID</t>
  </si>
  <si>
    <t>Import Status</t>
  </si>
  <si>
    <t>KSC Pro</t>
  </si>
  <si>
    <t>KSC Acq</t>
  </si>
  <si>
    <t>KSC Agg</t>
  </si>
  <si>
    <t>Embrionix 2xSDI&gt;IP (HD)</t>
  </si>
  <si>
    <t>TC.01.124-MCR-U2</t>
  </si>
  <si>
    <t>TC.01.124-MCR-U5</t>
  </si>
  <si>
    <t>VGW1099-01</t>
  </si>
  <si>
    <t>Testing</t>
  </si>
  <si>
    <t>Mon 1.1</t>
  </si>
  <si>
    <t>x</t>
  </si>
  <si>
    <t>Peter Hochueli</t>
  </si>
  <si>
    <t>10.120.42.42</t>
  </si>
  <si>
    <t>V-LeafA01</t>
  </si>
  <si>
    <t>eth1</t>
  </si>
  <si>
    <t>tpco-megw-vgw109901.rta.st-net.media.int</t>
  </si>
  <si>
    <t>tpco-megw-vgw109901.rtb.st-net.media.int</t>
  </si>
  <si>
    <t>10.120.43.42</t>
  </si>
  <si>
    <t>V-LeafB01</t>
  </si>
  <si>
    <t>10.120.24.42</t>
  </si>
  <si>
    <t>10.120.25.42</t>
  </si>
  <si>
    <t>tpco-megw-vgw109901.cta.st-net.media.int</t>
  </si>
  <si>
    <t>tpco-megw-vgw109901.ctb.st-net.media.int</t>
  </si>
  <si>
    <t>Device Location</t>
  </si>
  <si>
    <t>Manufacturer</t>
  </si>
  <si>
    <t>Device Type  Gateway</t>
  </si>
  <si>
    <t>Workplace (Usage)</t>
  </si>
  <si>
    <t>Workplace (Room)</t>
  </si>
  <si>
    <t>Attached Device if Gateway</t>
  </si>
  <si>
    <t>Stream ID</t>
  </si>
  <si>
    <t>Sender-Receivername</t>
  </si>
  <si>
    <t>Change Date
Stream Name</t>
  </si>
  <si>
    <t>Change Date
Stream Data</t>
  </si>
  <si>
    <t>Device Label (according to rack layout)</t>
  </si>
  <si>
    <t>Signaltyp</t>
  </si>
  <si>
    <t>Send/Rec</t>
  </si>
  <si>
    <t>Streamname</t>
  </si>
  <si>
    <t>Streamcounter</t>
  </si>
  <si>
    <t>VIDsend_0001</t>
  </si>
  <si>
    <t>Import Action</t>
  </si>
  <si>
    <t>Gerätegruppe 
Circuit Manager</t>
  </si>
  <si>
    <t>Gerät
Circuit Manager</t>
  </si>
  <si>
    <t>Family
GFX-Unit</t>
  </si>
  <si>
    <t>Label 1
GFX-Unit</t>
  </si>
  <si>
    <t>Anzahl Zeichen</t>
  </si>
  <si>
    <t>Label 3
(no Limit)</t>
  </si>
  <si>
    <t>Label 4
(no Limit)</t>
  </si>
  <si>
    <t>gelb markierte Spalten müssen manuell eingetragen werden</t>
  </si>
  <si>
    <t>Family 
(max. 16 Characters)</t>
  </si>
  <si>
    <t>Label 1 
(max. 16 Characters)</t>
  </si>
  <si>
    <t>Label 2
(max. 16 Characters)</t>
  </si>
  <si>
    <t>Label 3
(max. 8 Characters)</t>
  </si>
  <si>
    <t>Label 5
(no Limit)</t>
  </si>
  <si>
    <t>Embrionix emBox</t>
  </si>
  <si>
    <t>No</t>
  </si>
  <si>
    <t>Produzent</t>
  </si>
  <si>
    <t>Embrionix</t>
  </si>
  <si>
    <t>no</t>
  </si>
  <si>
    <t>Changelog</t>
  </si>
  <si>
    <t>Creator:</t>
  </si>
  <si>
    <t xml:space="preserve">Tagger: </t>
  </si>
  <si>
    <t>Labeler:</t>
  </si>
  <si>
    <t>Importer Nevion</t>
  </si>
  <si>
    <t>Importer BFE</t>
  </si>
  <si>
    <t>Debugger</t>
  </si>
  <si>
    <t>Terminator:</t>
  </si>
  <si>
    <t>Date</t>
  </si>
  <si>
    <t>Name</t>
  </si>
  <si>
    <t>&gt; CTRL + .</t>
  </si>
  <si>
    <t>SDI01_VIDrec_0001</t>
  </si>
  <si>
    <t>SDI01_AUDrec_0001</t>
  </si>
  <si>
    <t>SDI01_AUDrec_0002</t>
  </si>
  <si>
    <t>SDI01_AUDrec_0003</t>
  </si>
  <si>
    <t>SDI01_AUDrec_0004</t>
  </si>
  <si>
    <t>SDI01_ANCrec_0001</t>
  </si>
  <si>
    <t>SDI02_VIDrec_0001</t>
  </si>
  <si>
    <t>SDI02_AUDrec_0001</t>
  </si>
  <si>
    <t>SDI02_AUDrec_0002</t>
  </si>
  <si>
    <t>SDI02_AUDrec_0003</t>
  </si>
  <si>
    <t>SDI02_AUDrec_0004</t>
  </si>
  <si>
    <t>SDI02_ANCrec_0001</t>
  </si>
  <si>
    <t>Bemerkungen</t>
  </si>
  <si>
    <t>Pfad</t>
  </si>
  <si>
    <t>Elementtyp</t>
  </si>
  <si>
    <t>Directout</t>
  </si>
  <si>
    <t>sites/MetechnoIPOrchestrator/Lists/IOListe  Manufacturer</t>
  </si>
  <si>
    <t>Element</t>
  </si>
  <si>
    <t>Imagine Comunications</t>
  </si>
  <si>
    <t>Device Type Gateway</t>
  </si>
  <si>
    <t>sites/MetechnoIPOrchestrator/Lists/IOListe  Device Type  Gateway</t>
  </si>
  <si>
    <t>Embrionix IP&lt;BiDi&gt;SDI (UHD)</t>
  </si>
  <si>
    <t>Embrionix IP&gt;1xHDMI (HD)</t>
  </si>
  <si>
    <t>Embrionix IP&gt;1xHDMI (UHD)</t>
  </si>
  <si>
    <t>Embrionix IP&gt;2xSDI (HD)</t>
  </si>
  <si>
    <t>Embrionix Quadsplit</t>
  </si>
  <si>
    <t>Montone.42</t>
  </si>
  <si>
    <t>SNP Gateway</t>
  </si>
  <si>
    <t>SNP Processing Unit</t>
  </si>
  <si>
    <t>TC.01.124 | MCR</t>
  </si>
  <si>
    <t>sites/MetechnoIPOrchestrator/Lists/IOListe  Device Location</t>
  </si>
  <si>
    <t>TC.U1.223 | MDC</t>
  </si>
  <si>
    <t>TC.01.238 | SeDe</t>
  </si>
  <si>
    <t>TC.01.134 | SDN 1</t>
  </si>
  <si>
    <t>TC.01.153 | SDN 2</t>
  </si>
  <si>
    <t>TC.01.172 | SDS</t>
  </si>
  <si>
    <t>TC.01.242 | ZI 1</t>
  </si>
  <si>
    <t>TC.01.245 | ZI 2</t>
  </si>
  <si>
    <t>TC.01.229 | ZI Desk</t>
  </si>
  <si>
    <t>TC.03.225 | M3H</t>
  </si>
  <si>
    <t>TC.01.191 | VIS 1</t>
  </si>
  <si>
    <t>TC.03.219 | Edit-Sup</t>
  </si>
  <si>
    <t>TC.02.277 | Edit 01</t>
  </si>
  <si>
    <t>TC.02.258 | Edit 02</t>
  </si>
  <si>
    <t>TC.03.296 | Edit 03</t>
  </si>
  <si>
    <t>TC.03.277 | Edit 04</t>
  </si>
  <si>
    <t>TC.03.258 | Edit 05</t>
  </si>
  <si>
    <t>TC.03.106 | Edit 06</t>
  </si>
  <si>
    <t>TC.03.087 | Edit 07</t>
  </si>
  <si>
    <t>TC.03.068 | Edit 08</t>
  </si>
  <si>
    <t>TC.03.030 | Edit 09</t>
  </si>
  <si>
    <t>TC.03.017 | Edit 10</t>
  </si>
  <si>
    <t>TC.03.018 | Edit 11</t>
  </si>
  <si>
    <t>TC.03.020 | Edit 12</t>
  </si>
  <si>
    <t>TC.04.296 | Edit 13</t>
  </si>
  <si>
    <t>TC.00.196 | OFF401</t>
  </si>
  <si>
    <t>TC.00.197 | OFF402</t>
  </si>
  <si>
    <t>TC.02.260 | OFF421</t>
  </si>
  <si>
    <t>TC.03.260 | OFF431</t>
  </si>
  <si>
    <t>TC.03.261 | OFF432</t>
  </si>
  <si>
    <t>TC.04.261 | OFF441</t>
  </si>
  <si>
    <t>TC.02.296 | MPA421</t>
  </si>
  <si>
    <t>TC.03.021 | MPA431</t>
  </si>
  <si>
    <t>TC.04.277 | MPA441</t>
  </si>
  <si>
    <t>TC.00.177 | R402</t>
  </si>
  <si>
    <t>TC.00.104 | R401</t>
  </si>
  <si>
    <t>TC.02.225 | R421</t>
  </si>
  <si>
    <t>TC.04.226 | R441</t>
  </si>
  <si>
    <t>TC.04.258 | RADIO 1</t>
  </si>
  <si>
    <t>TC.04.260 | RADIO 2</t>
  </si>
  <si>
    <t>TC.01.180 | SAW M</t>
  </si>
  <si>
    <t>TC.01.142 | SAW S1</t>
  </si>
  <si>
    <t>TC.01.199 | SAW S2</t>
  </si>
  <si>
    <t>TC.02 | Newsroom News</t>
  </si>
  <si>
    <t>TC.04 | Newsroom Sport</t>
  </si>
  <si>
    <t>NEBEZ.V3.17 | Edit 21</t>
  </si>
  <si>
    <t>NEBEZ.V3.16 | Edit 22</t>
  </si>
  <si>
    <t>NEBEZ.V3.15 | Edit 23</t>
  </si>
  <si>
    <t>NEBEZ.V3.14 | Edit 24</t>
  </si>
  <si>
    <t>NEBEZ.V3.08 | Edit 25</t>
  </si>
  <si>
    <t>NEBEZ.V3.06 | Edit 26</t>
  </si>
  <si>
    <t>NEBEZ.V3.07 | Edit 27</t>
  </si>
  <si>
    <t>TC.02.001 | CP421</t>
  </si>
  <si>
    <t>TC.02.135 | CP422</t>
  </si>
  <si>
    <t>TC.04.205 | CP441</t>
  </si>
  <si>
    <t>TC.02.021 | Edit 14 (Proxy)</t>
  </si>
  <si>
    <t>TC.03.001 | Edit 15 (Proxy)</t>
  </si>
  <si>
    <t>TC.02.107 | Videodesk</t>
  </si>
  <si>
    <t>Meteodach</t>
  </si>
  <si>
    <t>Meteobüro</t>
  </si>
  <si>
    <t>TC.00.104 | R401e</t>
  </si>
  <si>
    <t>Titel</t>
  </si>
  <si>
    <t>AP2 (LSM/Grafik/Kam)</t>
  </si>
  <si>
    <t>sites/MetechnoIPOrchestrator/Lists/IOListe  Workplace Usage</t>
  </si>
  <si>
    <t>AP1 (Produzent)</t>
  </si>
  <si>
    <t>AP1 / AP2</t>
  </si>
  <si>
    <t>Regisseur</t>
  </si>
  <si>
    <t>Multitechniker</t>
  </si>
  <si>
    <t>Ton</t>
  </si>
  <si>
    <t>Studio</t>
  </si>
  <si>
    <t>Tisch</t>
  </si>
  <si>
    <t>AP4 / AP5</t>
  </si>
  <si>
    <t>Kamera</t>
  </si>
  <si>
    <t>Moderator</t>
  </si>
  <si>
    <t>AP1</t>
  </si>
  <si>
    <t>AP2</t>
  </si>
  <si>
    <t>AP3</t>
  </si>
  <si>
    <t>AP4</t>
  </si>
  <si>
    <t>AP5</t>
  </si>
  <si>
    <t>AP6</t>
  </si>
  <si>
    <t>MPA</t>
  </si>
  <si>
    <t>Officeplatz</t>
  </si>
  <si>
    <t>Editor</t>
  </si>
  <si>
    <t>Journalist</t>
  </si>
  <si>
    <t>Multiple</t>
  </si>
  <si>
    <t>AP3 / AP4</t>
  </si>
  <si>
    <t>sites/MetechnoIPOrchestrator/Lists/IOListe  Workplace Room</t>
  </si>
  <si>
    <t>Yes</t>
  </si>
  <si>
    <t>sites/MetechnoIPOrchestrator/Lists/IOListe  ST20227</t>
  </si>
  <si>
    <t>Driver Tag</t>
  </si>
  <si>
    <t>#Embrionix emBox</t>
  </si>
  <si>
    <t>sites/MetechnoIPOrchestrator/Lists/IOListe  Driver</t>
  </si>
  <si>
    <t>#Embrionix uadsplit</t>
  </si>
  <si>
    <t>Imagine Communications SNP</t>
  </si>
  <si>
    <t>#SNP</t>
  </si>
  <si>
    <t>Directout Montone.42</t>
  </si>
  <si>
    <t>#Montone</t>
  </si>
  <si>
    <t>Marco Lennartz</t>
  </si>
  <si>
    <t>VGW4226-05</t>
  </si>
  <si>
    <t>Videomonitor</t>
  </si>
  <si>
    <t>tpco-megw-vgw422605.st-net.media.int</t>
  </si>
  <si>
    <t>10.120.104.81</t>
  </si>
  <si>
    <t>V-LeafB05</t>
  </si>
  <si>
    <t>MON PRV</t>
  </si>
  <si>
    <t>Bernhard Sager</t>
  </si>
  <si>
    <t>X</t>
  </si>
  <si>
    <t>DISPLAY R441</t>
  </si>
  <si>
    <t>PREVIEW</t>
  </si>
  <si>
    <t>Paul Montague (AWK)</t>
  </si>
  <si>
    <t>#EndpointType(0)</t>
  </si>
  <si>
    <t>EndpointName(1)</t>
  </si>
  <si>
    <t>Tags(2)</t>
  </si>
  <si>
    <t>Description(3)</t>
  </si>
  <si>
    <t>DeviceName(4)</t>
  </si>
  <si>
    <t>Slot(5)</t>
  </si>
  <si>
    <t>Channel(6)</t>
  </si>
  <si>
    <t>PriSwitch(7)</t>
  </si>
  <si>
    <t>PriSwitchIf(8)</t>
  </si>
  <si>
    <t>SecSwitch(9)</t>
  </si>
  <si>
    <t>SecSwitchIf(10)</t>
  </si>
  <si>
    <t>SourceIp(11)</t>
  </si>
  <si>
    <t>DestinationIp(12)</t>
  </si>
  <si>
    <t>DestinationUdp(13)</t>
  </si>
  <si>
    <t>VlanId(14)</t>
  </si>
  <si>
    <t>PortIp(15)</t>
  </si>
  <si>
    <t>PortGateway(16)</t>
  </si>
  <si>
    <t>PortNetmask(17)</t>
  </si>
  <si>
    <t>Active(18)</t>
  </si>
  <si>
    <t>Present(19)</t>
  </si>
  <si>
    <t>Not Used(20)</t>
  </si>
  <si>
    <t>Not Used(21)</t>
  </si>
  <si>
    <t>Not Used(22)</t>
  </si>
  <si>
    <t>Custom(23)</t>
  </si>
  <si>
    <t>SIPS Mode(24)</t>
  </si>
  <si>
    <t>EXT</t>
  </si>
  <si>
    <t>VGW4226-05_SDI01_ANCrec_0001</t>
  </si>
  <si>
    <t>|device489</t>
  </si>
  <si>
    <t>5|Ancillary rx ch1 flow 5</t>
  </si>
  <si>
    <t>VGW4226-05_SDI01_AUDrec_0001</t>
  </si>
  <si>
    <t>1|Audio rx ch1 flow 1</t>
  </si>
  <si>
    <t>VGW4226-05_SDI01_AUDrec_0002</t>
  </si>
  <si>
    <t>2|Audio rx ch1 flow 2</t>
  </si>
  <si>
    <t>VGW4226-05_SDI01_AUDrec_0003</t>
  </si>
  <si>
    <t>3|Audio rx ch1 flow 3</t>
  </si>
  <si>
    <t>VGW4226-05_SDI01_AUDrec_0004</t>
  </si>
  <si>
    <t>4|Audio rx ch1 flow 4</t>
  </si>
  <si>
    <t>VGW4226-05_SDI01_VIDrec_0001</t>
  </si>
  <si>
    <t>0|Video rx ch1 flow 0</t>
  </si>
  <si>
    <t>VGW4226-05_SDI02_ANCrec_0001</t>
  </si>
  <si>
    <t>11|Ancillary rx ch2 flow 5</t>
  </si>
  <si>
    <t>VGW4226-05_SDI02_AUDrec_0001</t>
  </si>
  <si>
    <t>7|Audio rx ch2 flow 1</t>
  </si>
  <si>
    <t>VGW4226-05_SDI02_AUDrec_0002</t>
  </si>
  <si>
    <t>8|Audio rx ch2 flow 2</t>
  </si>
  <si>
    <t>VGW4226-05_SDI02_AUDrec_0003</t>
  </si>
  <si>
    <t>9|Audio rx ch2 flow 3</t>
  </si>
  <si>
    <t>VGW4226-05_SDI02_AUDrec_0004</t>
  </si>
  <si>
    <t>10|Audio rx ch2 flow 4</t>
  </si>
  <si>
    <t>VGW4226-05_SDI02_VIDrec_0001</t>
  </si>
  <si>
    <t>6|Video rx ch2 flow 0</t>
  </si>
  <si>
    <t>n/a (no Gateway)</t>
  </si>
  <si>
    <t>MONITOR R441</t>
  </si>
  <si>
    <t>MON TP</t>
  </si>
  <si>
    <t>Embrionix IP&gt;2xSDI (UHD)</t>
  </si>
  <si>
    <t>spare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</si>
</sst>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2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6" fillId="13" borderId="0" applyNumberFormat="0" applyBorder="0" applyAlignment="0" applyProtection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>
      <alignment vertical="top" wrapText="1"/>
    </xf>
    <xf numFmtId="14" fontId="0" fillId="11" borderId="0" xfId="0" applyNumberFormat="1" applyFill="1"/>
    <xf numFmtId="0" fontId="0" fillId="11" borderId="0" xfId="0" applyFill="1"/>
    <xf numFmtId="14" fontId="5" fillId="11" borderId="0" xfId="0" applyNumberFormat="1" applyFont="1" applyFill="1"/>
    <xf numFmtId="49" fontId="0" fillId="0" borderId="0" xfId="0" applyNumberFormat="1" applyAlignment="1"/>
    <xf numFmtId="0" fontId="8" fillId="0" borderId="0" xfId="0" applyFont="1"/>
    <xf numFmtId="0" fontId="6" fillId="13" borderId="2" xfId="1" applyBorder="1"/>
    <xf numFmtId="0" fontId="7" fillId="13" borderId="2" xfId="1" applyFont="1" applyBorder="1"/>
    <xf numFmtId="0" fontId="7" fillId="13" borderId="2" xfId="1" applyFont="1" applyBorder="1" applyAlignment="1">
      <alignment vertical="center"/>
    </xf>
    <xf numFmtId="14" fontId="6" fillId="13" borderId="2" xfId="1" applyNumberFormat="1" applyBorder="1"/>
    <xf numFmtId="0" fontId="4" fillId="15" borderId="0" xfId="0" applyFont="1" applyFill="1" applyBorder="1" applyAlignment="1" applyProtection="1">
      <alignment horizontal="center" vertical="top" wrapText="1"/>
    </xf>
    <xf numFmtId="14" fontId="4" fillId="15" borderId="0" xfId="0" applyNumberFormat="1" applyFont="1" applyFill="1" applyBorder="1" applyAlignment="1" applyProtection="1">
      <alignment horizontal="center" vertical="top" wrapText="1"/>
    </xf>
    <xf numFmtId="0" fontId="4" fillId="14" borderId="0" xfId="0" applyFont="1" applyFill="1" applyBorder="1" applyAlignment="1" applyProtection="1">
      <alignment horizontal="center" vertical="top" wrapText="1"/>
    </xf>
    <xf numFmtId="0" fontId="4" fillId="15" borderId="0" xfId="0" applyFont="1" applyFill="1" applyProtection="1"/>
    <xf numFmtId="0" fontId="4" fillId="12" borderId="0" xfId="0" applyFont="1" applyFill="1" applyBorder="1" applyAlignment="1" applyProtection="1">
      <alignment horizontal="center" vertical="top" wrapText="1"/>
    </xf>
    <xf numFmtId="0" fontId="4" fillId="9" borderId="0" xfId="0" applyFont="1" applyFill="1" applyBorder="1" applyAlignment="1" applyProtection="1">
      <alignment vertical="top" wrapText="1"/>
    </xf>
    <xf numFmtId="0" fontId="4" fillId="9" borderId="0" xfId="0" applyFont="1" applyFill="1" applyBorder="1" applyAlignment="1" applyProtection="1">
      <alignment vertical="top" textRotation="90" wrapText="1"/>
    </xf>
    <xf numFmtId="0" fontId="4" fillId="9" borderId="0" xfId="0" applyFont="1" applyFill="1" applyBorder="1" applyAlignment="1" applyProtection="1">
      <alignment horizontal="center" vertical="top" textRotation="90" wrapText="1"/>
    </xf>
    <xf numFmtId="0" fontId="4" fillId="12" borderId="0" xfId="0" applyFont="1" applyFill="1" applyBorder="1" applyAlignment="1" applyProtection="1">
      <alignment horizontal="left" vertical="top" wrapText="1"/>
    </xf>
    <xf numFmtId="0" fontId="4" fillId="12" borderId="0" xfId="0" applyFont="1" applyFill="1" applyBorder="1" applyAlignment="1" applyProtection="1">
      <alignment vertical="top" wrapText="1"/>
    </xf>
    <xf numFmtId="0" fontId="4" fillId="12" borderId="0" xfId="0" applyFont="1" applyFill="1" applyProtection="1"/>
    <xf numFmtId="0" fontId="4" fillId="11" borderId="0" xfId="0" applyFont="1" applyFill="1" applyBorder="1" applyAlignment="1" applyProtection="1">
      <alignment vertical="top" wrapText="1"/>
    </xf>
    <xf numFmtId="0" fontId="0" fillId="2" borderId="1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left" vertical="top" wrapText="1"/>
    </xf>
    <xf numFmtId="14" fontId="0" fillId="2" borderId="1" xfId="0" applyNumberFormat="1" applyFont="1" applyFill="1" applyBorder="1" applyAlignment="1">
      <alignment horizontal="center" vertical="top" wrapText="1"/>
    </xf>
    <xf numFmtId="0" fontId="0" fillId="7" borderId="1" xfId="0" applyFont="1" applyFill="1" applyBorder="1" applyAlignment="1">
      <alignment vertical="top" wrapText="1"/>
    </xf>
    <xf numFmtId="0" fontId="0" fillId="8" borderId="1" xfId="0" applyFont="1" applyFill="1" applyBorder="1" applyAlignment="1">
      <alignment vertical="top" textRotation="90" wrapText="1"/>
    </xf>
    <xf numFmtId="0" fontId="0" fillId="8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textRotation="90" wrapText="1"/>
    </xf>
    <xf numFmtId="0" fontId="0" fillId="6" borderId="1" xfId="0" applyFont="1" applyFill="1" applyBorder="1" applyAlignment="1">
      <alignment horizontal="center" vertical="top" textRotation="90" wrapText="1"/>
    </xf>
    <xf numFmtId="0" fontId="0" fillId="10" borderId="1" xfId="0" applyFont="1" applyFill="1" applyBorder="1" applyAlignment="1">
      <alignment vertical="top" wrapText="1"/>
    </xf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14" fontId="0" fillId="0" borderId="0" xfId="0" applyNumberFormat="1" applyFont="1" applyFill="1" applyProtection="1"/>
    <xf numFmtId="0" fontId="0" fillId="0" borderId="0" xfId="0" applyFont="1" applyFill="1" applyProtection="1"/>
    <xf numFmtId="0" fontId="0" fillId="0" borderId="0" xfId="0" applyFont="1" applyAlignment="1" applyProtection="1"/>
    <xf numFmtId="0" fontId="0" fillId="11" borderId="0" xfId="0" applyFont="1" applyFill="1" applyProtection="1"/>
    <xf numFmtId="0" fontId="0" fillId="0" borderId="0" xfId="0" applyFont="1" applyAlignment="1" applyProtection="1">
      <alignment horizontal="right"/>
    </xf>
    <xf numFmtId="0" fontId="0" fillId="0" borderId="0" xfId="0" applyFont="1" applyFill="1" applyProtection="1">
      <protection locked="0"/>
    </xf>
    <xf numFmtId="14" fontId="0" fillId="0" borderId="0" xfId="0" applyNumberFormat="1" applyFont="1" applyFill="1" applyProtection="1">
      <protection locked="0"/>
    </xf>
    <xf numFmtId="0" fontId="0" fillId="0" borderId="0" xfId="0" applyFont="1" applyFill="1" applyAlignment="1" applyProtection="1"/>
    <xf numFmtId="0" fontId="0" fillId="13" borderId="2" xfId="1" applyFont="1" applyBorder="1"/>
    <xf numFmtId="0" fontId="0" fillId="0" borderId="0" xfId="0" applyFont="1" applyFill="1" applyAlignment="1" applyProtection="1">
      <alignment horizontal="left"/>
      <protection locked="0"/>
    </xf>
    <xf numFmtId="0" fontId="0" fillId="0" borderId="0" xfId="0" applyFont="1" applyFill="1" applyAlignment="1" applyProtection="1">
      <protection locked="0"/>
    </xf>
    <xf numFmtId="0" fontId="4" fillId="0" borderId="0" xfId="0" applyFont="1" applyFill="1" applyBorder="1" applyAlignment="1" applyProtection="1">
      <alignment vertical="top" wrapText="1"/>
    </xf>
    <xf numFmtId="0" fontId="0" fillId="16" borderId="0" xfId="0" applyFill="1" applyProtection="1">
      <protection locked="0"/>
    </xf>
    <xf numFmtId="0" fontId="0" fillId="16" borderId="3" xfId="0" applyFont="1" applyFill="1" applyBorder="1" applyProtection="1">
      <protection locked="0"/>
    </xf>
    <xf numFmtId="14" fontId="0" fillId="13" borderId="2" xfId="1" applyNumberFormat="1" applyFont="1" applyBorder="1"/>
    <xf numFmtId="0" fontId="0" fillId="0" borderId="0" xfId="0" applyFill="1" applyProtection="1">
      <protection locked="0"/>
    </xf>
    <xf numFmtId="0" fontId="0" fillId="0" borderId="3" xfId="0" applyFont="1" applyFill="1" applyBorder="1" applyProtection="1">
      <protection locked="0"/>
    </xf>
    <xf numFmtId="14" fontId="9" fillId="11" borderId="0" xfId="0" applyNumberFormat="1" applyFont="1" applyFill="1" applyAlignment="1">
      <alignment horizontal="center" vertical="center" wrapText="1"/>
    </xf>
  </cellXfs>
  <cellStyles count="2">
    <cellStyle name="40% - Accent1" xfId="1" builtinId="31"/>
    <cellStyle name="Normal" xfId="0" builtinId="0"/>
  </cellStyles>
  <dxfs count="180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alignment horizontal="left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1)" refreshOnLoad="1" connectionId="1" xr16:uid="{CD97EA4D-32C9-4285-9085-75B553CB5DFC}" autoFormatId="16" applyNumberFormats="0" applyBorderFormats="0" applyFontFormats="0" applyPatternFormats="0" applyAlignmentFormats="0" applyWidthHeightFormats="0">
  <queryTableRefresh nextId="4">
    <queryTableFields count="3">
      <queryTableField id="1" name="Device Type Gateway" tableColumnId="1"/>
      <queryTableField id="3" name="Elementtyp" tableColumnId="2"/>
      <queryTableField id="2" name="Pfad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9)" backgroundRefresh="0" connectionId="8" xr16:uid="{6962F972-A649-44E4-A13E-9CE2A646F84D}" autoFormatId="16" applyNumberFormats="0" applyBorderFormats="0" applyFontFormats="0" applyPatternFormats="0" applyAlignmentFormats="0" applyWidthHeightFormats="0">
  <queryTableRefresh nextId="4">
    <queryTableFields count="3">
      <queryTableField id="1" name="Manufacturer" tableColumnId="1"/>
      <queryTableField id="3" name="Elementtyp" tableColumnId="2"/>
      <queryTableField id="2" name="Pfad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3)" backgroundRefresh="0" connectionId="3" xr16:uid="{64CC28EF-1F1F-4C9C-AD85-34EB2D09D1CB}" autoFormatId="16" applyNumberFormats="0" applyBorderFormats="0" applyFontFormats="0" applyPatternFormats="0" applyAlignmentFormats="0" applyWidthHeightFormats="0">
  <queryTableRefresh nextId="4">
    <queryTableFields count="3">
      <queryTableField id="1" name="Device Type Gateway" tableColumnId="1"/>
      <queryTableField id="3" name="Elementtyp" tableColumnId="2"/>
      <queryTableField id="2" name="Pfad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2)" backgroundRefresh="0" connectionId="2" xr16:uid="{492E37D2-D17A-4D45-AED1-DDE69749D2F1}" autoFormatId="16" applyNumberFormats="0" applyBorderFormats="0" applyFontFormats="0" applyPatternFormats="0" applyAlignmentFormats="0" applyWidthHeightFormats="0">
  <queryTableRefresh nextId="4">
    <queryTableFields count="3">
      <queryTableField id="1" name="Device Location" tableColumnId="1"/>
      <queryTableField id="3" name="Elementtyp" tableColumnId="2"/>
      <queryTableField id="2" name="Pfad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8)" backgroundRefresh="0" connectionId="7" xr16:uid="{D6B7A0CD-B6A0-42A5-A2CF-2672ABD50652}" autoFormatId="16" applyNumberFormats="0" applyBorderFormats="0" applyFontFormats="0" applyPatternFormats="0" applyAlignmentFormats="0" applyWidthHeightFormats="0">
  <queryTableRefresh nextId="4">
    <queryTableFields count="3">
      <queryTableField id="1" name="Titel" tableColumnId="1"/>
      <queryTableField id="3" name="Elementtyp" tableColumnId="2"/>
      <queryTableField id="2" name="Pfad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7)" backgroundRefresh="0" connectionId="6" xr16:uid="{0029FB3E-4D6E-465D-A1EC-8DCC8D6C6A6C}" autoFormatId="16" applyNumberFormats="0" applyBorderFormats="0" applyFontFormats="0" applyPatternFormats="0" applyAlignmentFormats="0" applyWidthHeightFormats="0">
  <queryTableRefresh nextId="4">
    <queryTableFields count="3">
      <queryTableField id="1" name="Titel" tableColumnId="1"/>
      <queryTableField id="3" name="Elementtyp" tableColumnId="2"/>
      <queryTableField id="2" name="Pfad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6)" backgroundRefresh="0" connectionId="5" xr16:uid="{01410544-9CD7-46B0-BFFA-E11E1283E939}" autoFormatId="16" applyNumberFormats="0" applyBorderFormats="0" applyFontFormats="0" applyPatternFormats="0" applyAlignmentFormats="0" applyWidthHeightFormats="0">
  <queryTableRefresh nextId="4">
    <queryTableFields count="3">
      <queryTableField id="1" name="Titel" tableColumnId="1"/>
      <queryTableField id="3" name="Elementtyp" tableColumnId="2"/>
      <queryTableField id="2" name="Pfad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4)" backgroundRefresh="0" connectionId="4" xr16:uid="{4DEED033-A177-4E65-92FB-0FD487445273}" autoFormatId="16" applyNumberFormats="0" applyBorderFormats="0" applyFontFormats="0" applyPatternFormats="0" applyAlignmentFormats="0" applyWidthHeightFormats="0">
  <queryTableRefresh nextId="5">
    <queryTableFields count="4">
      <queryTableField id="1" name="Titel" tableColumnId="1"/>
      <queryTableField id="3" name="Elementtyp" tableColumnId="2"/>
      <queryTableField id="2" name="Pfad" tableColumnId="3"/>
      <queryTableField id="4" name="Driver Tag" tableColumnId="4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2E33A6-3338-42DC-8E49-7EEF8580B00B}" name="Tabelle3" displayName="Tabelle3" ref="A2:BU5" totalsRowShown="0" headerRowDxfId="179" dataDxfId="177" headerRowBorderDxfId="178" tableBorderDxfId="176">
  <autoFilter ref="A2:BU5" xr:uid="{3F41246D-DE1B-475C-BEAC-663B5B021DBE}"/>
  <tableColumns count="73">
    <tableColumn id="1" xr3:uid="{A3DE7761-195D-41ED-829A-94FE8E5ABB31}" name="Device ID" dataDxfId="175"/>
    <tableColumn id="2" xr3:uid="{755B25E0-0DE5-43F4-8021-25FC3D43ED47}" name="Device Label _x000a_(according to rack layout)" dataDxfId="174"/>
    <tableColumn id="3" xr3:uid="{4F265D3F-A198-4331-817B-5B892106BE2E}" name="Creation_x000a_Date" dataDxfId="173"/>
    <tableColumn id="4" xr3:uid="{9D777AD0-C060-4308-BE0F-7094D55C61A3}" name="Data Change _x000a_Date BOM" dataDxfId="172"/>
    <tableColumn id="5" xr3:uid="{8AB0427E-EA76-4A20-8573-E146619856A0}" name="#VIDrec" dataDxfId="171"/>
    <tableColumn id="6" xr3:uid="{E024B0B6-735D-4817-B512-CF5F276ED0A8}" name="#VIDsend" dataDxfId="170"/>
    <tableColumn id="7" xr3:uid="{7B1936FA-9BA8-4055-8882-A1DACABF5E17}" name="#AUDrec" dataDxfId="169"/>
    <tableColumn id="8" xr3:uid="{7E9C38EB-EFAA-4A02-AA22-9A39569A3680}" name="#AUDsend" dataDxfId="168"/>
    <tableColumn id="9" xr3:uid="{98DCD477-6253-4BDC-ADF0-E034A217CFE6}" name="#ANCrec" dataDxfId="167"/>
    <tableColumn id="10" xr3:uid="{702ADCE7-E160-43A8-A052-7BB1A2BAA459}" name="#ANCsend" dataDxfId="166"/>
    <tableColumn id="11" xr3:uid="{C95C5301-C71E-41AD-96AB-4481DA06B6D8}" name="Functional Group" dataDxfId="165"/>
    <tableColumn id="12" xr3:uid="{AE57B0FF-E42C-498D-AC87-DF62CAEE447E}" name="Device Location" dataDxfId="164"/>
    <tableColumn id="13" xr3:uid="{9306E3CB-ECA9-4D3B-8ED8-5342D4C809CC}" name="Manufacturer" dataDxfId="163"/>
    <tableColumn id="14" xr3:uid="{29F213DE-08D4-419F-BD08-7BC1EA37613B}" name="Device Type  Gateway" dataDxfId="162"/>
    <tableColumn id="15" xr3:uid="{CA24D3A4-C8A6-4909-AC70-2AFA89B8A801}" name="Attached Device if Gateway" dataDxfId="161"/>
    <tableColumn id="16" xr3:uid="{3B0FADE1-D270-4F1C-A942-17F2B23F48C3}" name="Workplace (Usage)" dataDxfId="160"/>
    <tableColumn id="17" xr3:uid="{E03E7EDB-50F6-4ACE-BD37-F1EE91119823}" name="Workplace (Room)" dataDxfId="159"/>
    <tableColumn id="18" xr3:uid="{DC900093-1A92-4BCD-8097-4F181EE855B4}" name="BS0" dataDxfId="158"/>
    <tableColumn id="19" xr3:uid="{E6F8964B-A18A-4983-9DFB-E5419549FDC2}" name="KSC Acq" dataDxfId="157">
      <calculatedColumnFormula>S2</calculatedColumnFormula>
    </tableColumn>
    <tableColumn id="20" xr3:uid="{BF5429A5-365E-48E9-AC9E-4B9B6FAE51DF}" name="KSC Pro" dataDxfId="156"/>
    <tableColumn id="21" xr3:uid="{912604CA-DE95-479F-BE3F-E91723F151B1}" name="KSC Agg" dataDxfId="155">
      <calculatedColumnFormula>U2</calculatedColumnFormula>
    </tableColumn>
    <tableColumn id="22" xr3:uid="{BD037AFC-7C06-4E01-BFE3-ABC0D3A97888}" name="Management BFE" dataDxfId="154"/>
    <tableColumn id="23" xr3:uid="{EC3EFD5C-5FAF-41E6-9B8C-8343A898E339}" name="Showdesign" dataDxfId="153"/>
    <tableColumn id="24" xr3:uid="{99654D5F-A80C-410C-AD70-5FF780DC4EB1}" name="Responsibility" dataDxfId="152"/>
    <tableColumn id="25" xr3:uid="{DC0D75A4-764A-4432-BEBE-D6D8BB6E08A8}" name="FQDN Realtime A" dataDxfId="151"/>
    <tableColumn id="26" xr3:uid="{61489D39-2C84-4B09-919D-A13257E8407F}" name="IP-Address Realtime A" dataDxfId="150"/>
    <tableColumn id="27" xr3:uid="{A01D313F-DE64-4C6C-8AA0-D1CCAEEBBA4B}" name="Switch Realtime A" dataDxfId="149"/>
    <tableColumn id="28" xr3:uid="{8693674A-76E6-4A70-9D12-44CFDABEFA87}" name="Port Realtime A" dataDxfId="148"/>
    <tableColumn id="29" xr3:uid="{B1368AAA-72F5-4BEE-9DEF-67E2479AFE8F}" name="FQDN Realtime B" dataDxfId="147"/>
    <tableColumn id="30" xr3:uid="{89960101-9646-4461-B7A6-4064E22F7D8D}" name="IP-Address Realtime B" dataDxfId="146"/>
    <tableColumn id="31" xr3:uid="{EE2E893F-10A8-4415-8314-6769F33ACC91}" name="Switch Realtime B" dataDxfId="145"/>
    <tableColumn id="32" xr3:uid="{DE18783A-2534-4DDA-AB43-6F807A29541B}" name="Port Realtime B" dataDxfId="144"/>
    <tableColumn id="33" xr3:uid="{3D5A7AEF-95CB-4D47-AC1D-B7ED86006BA5}" name="FQDN Control A" dataDxfId="143"/>
    <tableColumn id="34" xr3:uid="{36299FA4-2149-491A-99D9-9037D14112B7}" name="IP-Address Control A" dataDxfId="142"/>
    <tableColumn id="35" xr3:uid="{D05D21D9-D6CD-483D-8DA8-5DA6B6E8FAC5}" name="FQDN Control B" dataDxfId="141"/>
    <tableColumn id="36" xr3:uid="{C5E7384F-3F76-4F2E-B180-3DD74A995E6C}" name="IP-Address Control B" dataDxfId="140"/>
    <tableColumn id="37" xr3:uid="{8A74CB36-D552-483F-A4EB-4527FF0C9739}" name="Netzwerk Protokoll_x000a_ (TCP/UDP)" dataDxfId="139"/>
    <tableColumn id="38" xr3:uid="{D93448E3-AD2C-40EA-A758-4951CE7AF24C}" name="Kommunikations Richtung _x000a_(-&gt; BFE, BFE -&gt;)" dataDxfId="138"/>
    <tableColumn id="39" xr3:uid="{BA3B2377-AD9D-46E2-BF16-F857FBD77163}" name="Protokoll _x000a_(BFE)" dataDxfId="137"/>
    <tableColumn id="40" xr3:uid="{E997140A-E02C-4EC9-80BE-36A118B30FB2}" name="Portnummer_x000a_(BFE)" dataDxfId="136"/>
    <tableColumn id="41" xr3:uid="{A1570255-42DC-4E9D-BFD0-C9E11CBFFF58}" name="Driver " dataDxfId="135"/>
    <tableColumn id="42" xr3:uid="{980755D9-E7FE-4536-9119-8288D84E8FA2}" name="Static Multicasts " dataDxfId="134"/>
    <tableColumn id="43" xr3:uid="{BCC2B870-76EF-4BC0-8BBF-82B386DF6635}" name="2022-7" dataDxfId="133"/>
    <tableColumn id="44" xr3:uid="{114FE1C9-46B6-48AC-B528-18BDC2E131C9}" name="MBB" dataDxfId="132"/>
    <tableColumn id="45" xr3:uid="{2843CF70-867F-4D3D-B67C-2E6EC158880F}" name="VIP-Description" dataDxfId="131">
      <calculatedColumnFormula>CONCATENATE(
Tabelle3[[#This Row],[Workplace (Room)]],
" | ",
Tabelle3[[#This Row],[Attached Device if Gateway]],
" | ",
Tabelle3[[#This Row],[Workplace (Usage)]]
)</calculatedColumnFormula>
    </tableColumn>
    <tableColumn id="46" xr3:uid="{ADED0BE9-7AAC-4C08-B233-420ACF77EEE6}" name="Date Configured in VIP" dataDxfId="130"/>
    <tableColumn id="47" xr3:uid="{B53E5B70-539E-4A9B-B187-BBE54B178B70}" name="Type:Vid_1080i50" dataDxfId="129"/>
    <tableColumn id="48" xr3:uid="{EF43F9F8-4A56-42E6-B85F-A45D60AC4CA1}" name="Type:Vid_1080p25" dataDxfId="128"/>
    <tableColumn id="49" xr3:uid="{BBFAF18F-415E-4A9C-B1A2-478F57F9D00B}" name="Type:Vid_1080p50" dataDxfId="127"/>
    <tableColumn id="50" xr3:uid="{E290373C-4E49-47C1-A71E-18BB94E86C1A}" name="Type:Vid_2160p50" dataDxfId="126"/>
    <tableColumn id="51" xr3:uid="{04934DB6-DE8E-4EFB-BF5B-9AF60BA9E4B4}" name="Type:Vid_1080p60" dataDxfId="125"/>
    <tableColumn id="52" xr3:uid="{4C3BF3B4-4131-459D-AA54-C297A481BC71}" name="Type:Aud_1CH_M" dataDxfId="124"/>
    <tableColumn id="53" xr3:uid="{73526136-D9FC-4F85-9F9D-4A889549D5DF}" name="Type:Aud_1CH_M_LD" dataDxfId="123"/>
    <tableColumn id="54" xr3:uid="{6B995C3E-9560-436E-A5A1-A73FB07AA17F}" name="Type:Aud_2CH_DBE" dataDxfId="122"/>
    <tableColumn id="55" xr3:uid="{21EC6FB3-3402-4488-BBF1-C790C05EE3A4}" name="Type:Aud_2CH_LR" dataDxfId="121"/>
    <tableColumn id="56" xr3:uid="{3B2E5E14-2298-4974-A74B-6874FA650BD3}" name="Type:Aud_2CH_LR_LD" dataDxfId="120"/>
    <tableColumn id="57" xr3:uid="{66E95AAE-592A-440B-BBC2-D1CE603E7051}" name="Type:Aud_3CH_LRC" dataDxfId="119"/>
    <tableColumn id="58" xr3:uid="{1835167D-4D69-4763-BC65-BEC7B4B2501C}" name="Type:Aud_6CH_5.1" dataDxfId="118"/>
    <tableColumn id="59" xr3:uid="{27021CB0-3CCD-4131-B16C-0B2832E40CB6}" name="Type:Aud_8CH_RAW" dataDxfId="117"/>
    <tableColumn id="60" xr3:uid="{60E4922C-4BE0-4BA0-894A-7B013519C6CD}" name="Type:Aud_8CH_RAW_LD" dataDxfId="116"/>
    <tableColumn id="61" xr3:uid="{53D14F05-38A5-4121-9C63-F30D535063CD}" name="Type:Aud_32CH_RAW_LD" dataDxfId="115"/>
    <tableColumn id="62" xr3:uid="{FC2D3001-FE9C-4C1D-9E04-5C38BF84B3CC}" name="Type:Anc_Prot" dataDxfId="114"/>
    <tableColumn id="63" xr3:uid="{BE538462-980E-4F3A-8812-7B698BEA3601}" name="Converter Function enabled" dataDxfId="113"/>
    <tableColumn id="64" xr3:uid="{44D272A5-B931-4A1D-8D98-BBA11519CE48}" name="Use As Endpoint" dataDxfId="112"/>
    <tableColumn id="65" xr3:uid="{4ED10EDE-5389-4A5D-B362-A15CB8CDB704}" name="Tags" dataDxfId="111"/>
    <tableColumn id="66" xr3:uid="{F3D40F5D-A5EE-4A1C-8284-A41C5ED737C5}" name="VideoIPath unique ID" dataDxfId="110"/>
    <tableColumn id="67" xr3:uid="{CC0D5738-06F2-4DE0-8A9D-3658B8B7AC7D}" name="Import Status" dataDxfId="109"/>
    <tableColumn id="68" xr3:uid="{32E25D3D-CACD-4F52-AFFA-B5D649D6B924}" name="Family _x000a_(max. 16 Characters)" dataDxfId="108"/>
    <tableColumn id="69" xr3:uid="{6CA16A6A-902B-4DB8-8C47-E2B0D6E2EBB7}" name="Label 1 _x000a_(max. 16 Characters)" dataDxfId="107"/>
    <tableColumn id="70" xr3:uid="{756B1DF9-0776-42A9-8851-4B1880106D91}" name="Label 2_x000a_(max. 16 Characters)" dataDxfId="106"/>
    <tableColumn id="71" xr3:uid="{BE198E98-1450-4E79-931E-557F8B2F7E94}" name="Label 3_x000a_(max. 8 Characters)" dataDxfId="105"/>
    <tableColumn id="72" xr3:uid="{5C42CEDD-03F1-4731-BFC4-8BC5600B5C15}" name="Label 4_x000a_(no Limit)" dataDxfId="104"/>
    <tableColumn id="73" xr3:uid="{FA4366C4-A5BB-44A6-8BE1-457C6F73C3CE}" name="Label 5_x000a_(no Limit)" dataDxfId="103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DA6609-63C9-4DF6-B10D-E6DD433BE438}" name="Tabelle_query__4" displayName="Tabelle_query__4" ref="A1:D5" tableType="queryTable" totalsRowShown="0">
  <autoFilter ref="A1:D5" xr:uid="{6D7599E4-BE27-4AD4-B8A7-17EB56936A1D}"/>
  <tableColumns count="4">
    <tableColumn id="1" xr3:uid="{898A4FD8-8AD6-4E8B-B238-C29B7F897C22}" uniqueName="Title" name="Titel" queryTableFieldId="1" dataDxfId="3"/>
    <tableColumn id="2" xr3:uid="{DA6854C0-ABCF-4642-9373-B6934B73B1FF}" uniqueName="FSObjType" name="Elementtyp" queryTableFieldId="3" dataDxfId="2"/>
    <tableColumn id="3" xr3:uid="{B299768D-0037-4055-8B04-05ADD7F2DEF6}" uniqueName="FileDirRef" name="Pfad" queryTableFieldId="2" dataDxfId="1"/>
    <tableColumn id="4" xr3:uid="{2F8FF2BD-608B-405E-BE05-C0A257FA3ECF}" uniqueName="DriverTag" name="Driver Tag" queryTableFieldId="4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53B8C4-A8F4-4447-8665-831F478D3C79}" name="Tabelle32" displayName="Tabelle32" ref="A2:BV15" totalsRowShown="0" headerRowDxfId="102" dataDxfId="100" headerRowBorderDxfId="101" tableBorderDxfId="99">
  <autoFilter ref="A2:BV15" xr:uid="{3F41246D-DE1B-475C-BEAC-663B5B021DBE}"/>
  <tableColumns count="74">
    <tableColumn id="1" xr3:uid="{66F04483-4C49-4E25-BB68-1E9AEBD63AD1}" name="Stream ID" dataDxfId="98"/>
    <tableColumn id="2" xr3:uid="{0C372DE8-06FF-476E-9673-A4DBB084B48F}" name="Sender-Receivername" dataDxfId="97">
      <calculatedColumnFormula>IFERROR(IF(VLOOKUP(Tabelle32[[#This Row],[Device ID]],BOM!$A$3:$B$5,2,FALSE)=0,"",CONCATENATE(VLOOKUP(Tabelle32[[#This Row],[Device ID]],BOM!$A$3:$B$5,2,FALSE),"_",BU3)),"")</calculatedColumnFormula>
    </tableColumn>
    <tableColumn id="3" xr3:uid="{28175CB5-6228-48DD-9F5B-A17F0A0859BB}" name="Creation_x000a_Date" dataDxfId="96"/>
    <tableColumn id="5" xr3:uid="{ACD14E72-3F41-44AC-9093-A80656312231}" name="Change Date_x000a_Stream Name" dataDxfId="95"/>
    <tableColumn id="4" xr3:uid="{91CDA37B-8532-4F6A-A23A-EC444A3CE59B}" name="Change Date_x000a_Stream Data" dataDxfId="94"/>
    <tableColumn id="11" xr3:uid="{65602C90-DBBE-41D6-AF73-6E7E19D2DE83}" name="Attached Device if Gateway" dataDxfId="93">
      <calculatedColumnFormula>IFERROR(VLOOKUP(Tabelle32[[#This Row],[Device ID]],BOM!$A$3:$BO$5,15,FALSE),"")</calculatedColumnFormula>
    </tableColumn>
    <tableColumn id="6" xr3:uid="{73A685FC-A341-47BD-A197-A22DA9BC6D37}" name="Device ID" dataDxfId="92"/>
    <tableColumn id="7" xr3:uid="{F057114B-D361-4435-99EC-56771FE4DF31}" name="Device Label (according to rack layout)" dataDxfId="91">
      <calculatedColumnFormula>IFERROR(VLOOKUP(Tabelle32[[#This Row],[Device ID]],BOM!$A$3:$BO$5,2,FALSE),"")</calculatedColumnFormula>
    </tableColumn>
    <tableColumn id="12" xr3:uid="{7A450DA3-47E3-4329-B824-C6B8627598B0}" name="Functional Group" dataDxfId="90">
      <calculatedColumnFormula>BOM!$O$4</calculatedColumnFormula>
    </tableColumn>
    <tableColumn id="13" xr3:uid="{58CF30AC-896C-446F-943B-D6F2EE381977}" name="Device Location" dataDxfId="89">
      <calculatedColumnFormula>IFERROR(VLOOKUP(Tabelle32[[#This Row],[Device ID]],BOM!$A$3:$BO$5,12,FALSE),"")</calculatedColumnFormula>
    </tableColumn>
    <tableColumn id="8" xr3:uid="{AF540DC9-9425-48E8-B1EE-68CCE9563406}" name="Manufacturer" dataDxfId="88">
      <calculatedColumnFormula>IFERROR(VLOOKUP(Tabelle32[[#This Row],[Device ID]],BOM!$A$3:$BO$5,13,FALSE),"")</calculatedColumnFormula>
    </tableColumn>
    <tableColumn id="14" xr3:uid="{A5EA848D-A63A-4B28-84BB-BD010E793FD8}" name="Device Type  Gateway" dataDxfId="87">
      <calculatedColumnFormula>IFERROR(VLOOKUP(Tabelle32[[#This Row],[Device ID]],BOM!$A$3:$BO$5,14,FALSE),"")</calculatedColumnFormula>
    </tableColumn>
    <tableColumn id="16" xr3:uid="{5030155C-C999-4E53-A5C6-CBAE30BDF370}" name="Workplace (Usage)" dataDxfId="86">
      <calculatedColumnFormula>IFERROR(VLOOKUP(Tabelle32[[#This Row],[Device ID]],BOM!$A$3:$BO$5,16,FALSE),"")</calculatedColumnFormula>
    </tableColumn>
    <tableColumn id="17" xr3:uid="{7D79353D-BC66-498B-A9DA-0E66C5A0A708}" name="Workplace (Room)" dataDxfId="85">
      <calculatedColumnFormula>IFERROR(VLOOKUP(Tabelle32[[#This Row],[Device ID]],BOM!$A$3:$BO$5,17,FALSE),"")</calculatedColumnFormula>
    </tableColumn>
    <tableColumn id="18" xr3:uid="{9B57785A-DDA8-4D43-B21B-E090530F689F}" name="BS0" dataDxfId="84"/>
    <tableColumn id="19" xr3:uid="{93F6C5F8-8022-4BD6-9960-AA362953B035}" name="KSC Acq" dataDxfId="83"/>
    <tableColumn id="20" xr3:uid="{9898FF3D-D530-42FF-B6DE-A04929893B79}" name="KSC Pro" dataDxfId="82"/>
    <tableColumn id="21" xr3:uid="{FC7BA0D1-8BAE-4BC1-B588-C5F87E1424CC}" name="KSC Agg" dataDxfId="81"/>
    <tableColumn id="22" xr3:uid="{036681B8-A10C-4C06-986C-256008FB40A8}" name="Management BFE" dataDxfId="80"/>
    <tableColumn id="23" xr3:uid="{37F9702E-B29E-4D0A-BF31-F6FA4F65C561}" name="Showdesign" dataDxfId="79"/>
    <tableColumn id="24" xr3:uid="{62D4D336-B115-4FDA-9935-D27ABAB8E18E}" name="Responsibility" dataDxfId="78">
      <calculatedColumnFormula>IFERROR(VLOOKUP(Tabelle32[[#This Row],[Device ID]],BOM!$A$3:$BO$5,24,FALSE),"")</calculatedColumnFormula>
    </tableColumn>
    <tableColumn id="25" xr3:uid="{7E63E374-5828-476C-9BE9-240F8746B06E}" name="FQDN Realtime A" dataDxfId="77">
      <calculatedColumnFormula>IFERROR(VLOOKUP(Tabelle32[[#This Row],[Device ID]],BOM!$A$3:$BO$5,25,FALSE),"")</calculatedColumnFormula>
    </tableColumn>
    <tableColumn id="26" xr3:uid="{C666659A-BFD5-4797-824F-6E7FB0D478EC}" name="IP-Address Realtime A" dataDxfId="76">
      <calculatedColumnFormula>IFERROR(VLOOKUP(Tabelle32[[#This Row],[Device ID]],BOM!$A$3:$BO$5,26,FALSE),"")</calculatedColumnFormula>
    </tableColumn>
    <tableColumn id="27" xr3:uid="{DE4CEAFC-71AE-4D27-9536-94AD6F348419}" name="Switch Realtime A" dataDxfId="75">
      <calculatedColumnFormula>IFERROR(VLOOKUP(Tabelle32[[#This Row],[Device ID]],BOM!$A$3:$BO$5,27,FALSE),"")</calculatedColumnFormula>
    </tableColumn>
    <tableColumn id="28" xr3:uid="{BB0C1796-B48C-4C02-AA51-187611C1C76C}" name="Port Realtime A" dataDxfId="74">
      <calculatedColumnFormula>IFERROR(VLOOKUP(Tabelle32[[#This Row],[Device ID]],BOM!$A$3:$BO$5,28,FALSE),"")</calculatedColumnFormula>
    </tableColumn>
    <tableColumn id="29" xr3:uid="{53E13349-B598-4FCB-9468-E604F1BEF5E1}" name="FQDN Realtime B" dataDxfId="73">
      <calculatedColumnFormula>IFERROR(VLOOKUP(Tabelle32[[#This Row],[Device ID]],BOM!$A$3:$BO$5,29,FALSE),"")</calculatedColumnFormula>
    </tableColumn>
    <tableColumn id="30" xr3:uid="{4ED1C839-4F1B-419B-B534-88D5F8B577C7}" name="IP-Address Realtime B" dataDxfId="72">
      <calculatedColumnFormula>IFERROR(VLOOKUP(Tabelle32[[#This Row],[Device ID]],BOM!$A$3:$BO$5,30,FALSE),"")</calculatedColumnFormula>
    </tableColumn>
    <tableColumn id="31" xr3:uid="{25B22A65-C62C-41ED-8A0B-C77A982CBCC5}" name="Switch Realtime B" dataDxfId="71">
      <calculatedColumnFormula>IFERROR(VLOOKUP(Tabelle32[[#This Row],[Device ID]],BOM!$A$3:$BO$5,31,FALSE),"")</calculatedColumnFormula>
    </tableColumn>
    <tableColumn id="32" xr3:uid="{D8464CAC-95AC-4B0C-9FCE-4D7C22F70326}" name="Port Realtime B" dataDxfId="70">
      <calculatedColumnFormula>IFERROR(VLOOKUP(Tabelle32[[#This Row],[Device ID]],BOM!$A$3:$BO$5,32,FALSE),"")</calculatedColumnFormula>
    </tableColumn>
    <tableColumn id="33" xr3:uid="{8083D8EC-1E60-4237-B4E0-6BFC4C83EDA8}" name="FQDN Control A" dataDxfId="69">
      <calculatedColumnFormula>IFERROR(VLOOKUP(Tabelle32[[#This Row],[Device ID]],BOM!$A$3:$BO$5,33,FALSE),"")</calculatedColumnFormula>
    </tableColumn>
    <tableColumn id="34" xr3:uid="{F7D2F794-C2F7-4270-AAB2-D66E9872C72B}" name="IP-Address Control A" dataDxfId="68">
      <calculatedColumnFormula>IFERROR(VLOOKUP(Tabelle32[[#This Row],[Device ID]],BOM!$A$3:$BO$5,34,FALSE),"")</calculatedColumnFormula>
    </tableColumn>
    <tableColumn id="35" xr3:uid="{53BC2172-ADBD-4D7E-9F5F-2AB322C53085}" name="FQDN Control B" dataDxfId="67">
      <calculatedColumnFormula>IFERROR(VLOOKUP(Tabelle32[[#This Row],[Device ID]],BOM!$A$3:$BO$5,35,FALSE),"")</calculatedColumnFormula>
    </tableColumn>
    <tableColumn id="36" xr3:uid="{7D3906BA-3FB7-44C3-B0B8-AB6EA797CED9}" name="IP-Address Control B" dataDxfId="66">
      <calculatedColumnFormula>IFERROR(VLOOKUP(Tabelle32[[#This Row],[Device ID]],BOM!$A$3:$BO$5,36,FALSE),"")</calculatedColumnFormula>
    </tableColumn>
    <tableColumn id="37" xr3:uid="{12DDEC58-4302-4059-996E-CCA62481F30F}" name="Netzwerk Protokoll_x000a_ (TCP/UDP)" dataDxfId="65"/>
    <tableColumn id="38" xr3:uid="{CF14B1CA-C294-4923-9F4F-AE76D8C812A1}" name="Kommunikations Richtung _x000a_(-&gt; BFE, BFE -&gt;)" dataDxfId="64"/>
    <tableColumn id="39" xr3:uid="{AA957C5B-E7C4-463E-A222-62C2CAEDCC36}" name="Protokoll _x000a_(BFE)" dataDxfId="63"/>
    <tableColumn id="40" xr3:uid="{87583E35-3027-4F33-A9D8-18FB584213E1}" name="Portnummer_x000a_(BFE)" dataDxfId="62"/>
    <tableColumn id="41" xr3:uid="{AA5A8A5D-E17F-4ACA-AC8A-1B321261BBFF}" name="Driver " dataDxfId="61">
      <calculatedColumnFormula>IFERROR(VLOOKUP(Tabelle32[[#This Row],[Device ID]],BOM!$A$3:$BO$5,41,FALSE),"")</calculatedColumnFormula>
    </tableColumn>
    <tableColumn id="42" xr3:uid="{C889C014-1D5B-464C-924B-A167C4C0C837}" name="Static Multicasts " dataDxfId="60"/>
    <tableColumn id="43" xr3:uid="{702B9C89-3658-4F3D-94CC-E1A094414FCC}" name="2022-7" dataDxfId="59">
      <calculatedColumnFormula>IFERROR(VLOOKUP(Tabelle32[[#This Row],[Device ID]],BOM!$A$3:$BO$5,43,FALSE),"")</calculatedColumnFormula>
    </tableColumn>
    <tableColumn id="44" xr3:uid="{3A5ED3F2-F722-4652-94AC-98B5A9BD6136}" name="MBB" dataDxfId="58"/>
    <tableColumn id="45" xr3:uid="{3999BCB7-4A68-4113-85E2-455AA62A9A1E}" name="VIP-Description" dataDxfId="57">
      <calculatedColumnFormula>CONCATENATE(
Tabelle32[[#This Row],[Workplace (Room)]],
" | ",#REF!,
" | ",
Tabelle32[[#This Row],[Workplace (Usage)]]
)</calculatedColumnFormula>
    </tableColumn>
    <tableColumn id="47" xr3:uid="{F3688EC7-F761-4107-8D94-7B2325D87466}" name="Type:Vid_1080i50" dataDxfId="56"/>
    <tableColumn id="48" xr3:uid="{9FA517B7-5370-4C2F-B7DB-2B0E701C87F6}" name="Type:Vid_1080p25" dataDxfId="55"/>
    <tableColumn id="49" xr3:uid="{31413FF0-A65B-4A03-B4BE-C551D913DA44}" name="Type:Vid_1080p50" dataDxfId="54"/>
    <tableColumn id="50" xr3:uid="{C2985940-2725-4998-AD6E-3242BB5741AC}" name="Type:Vid_2160p50" dataDxfId="53"/>
    <tableColumn id="51" xr3:uid="{72B55598-55A3-415A-87C8-0C2441B8D7D3}" name="Type:Vid_1080p60" dataDxfId="52"/>
    <tableColumn id="52" xr3:uid="{B895445C-F139-4CA5-8FED-F1B4EC28E42C}" name="Type:Aud_1CH_M" dataDxfId="51"/>
    <tableColumn id="53" xr3:uid="{CF162F72-FA3C-470B-B3BE-A7EB75FEFE97}" name="Type:Aud_1CH_M_LD" dataDxfId="50"/>
    <tableColumn id="54" xr3:uid="{8C643AC9-8504-41E3-BDFB-A59FEFB8C21F}" name="Type:Aud_2CH_DBE" dataDxfId="49"/>
    <tableColumn id="55" xr3:uid="{404BD9C3-6283-41FB-B97B-51BB6C244678}" name="Type:Aud_2CH_LR" dataDxfId="48"/>
    <tableColumn id="56" xr3:uid="{E26F0C71-C988-4312-890B-138C07C9AE89}" name="Type:Aud_2CH_LR_LD" dataDxfId="47"/>
    <tableColumn id="57" xr3:uid="{1E7CE6FE-2320-4A79-9DBE-EA4DB9E5F282}" name="Type:Aud_3CH_LRC" dataDxfId="46"/>
    <tableColumn id="58" xr3:uid="{B0D92E9E-9206-4C80-BCE9-FB28243BE761}" name="Type:Aud_6CH_5.1" dataDxfId="45"/>
    <tableColumn id="59" xr3:uid="{997C8822-9FC6-4693-AF2F-0F369DAF094C}" name="Type:Aud_8CH_RAW" dataDxfId="44"/>
    <tableColumn id="60" xr3:uid="{DF4215AF-BB26-41D1-BC88-919F1CBFD7A4}" name="Type:Aud_8CH_RAW_LD" dataDxfId="43"/>
    <tableColumn id="61" xr3:uid="{5DBD3544-B805-4A0A-BB46-CBFBB0686ABE}" name="Type:Aud_32CH_RAW_LD" dataDxfId="42"/>
    <tableColumn id="62" xr3:uid="{51C33FEE-4EB6-4853-AD62-EA0F2FB7ECE9}" name="Type:Anc_Prot" dataDxfId="41"/>
    <tableColumn id="63" xr3:uid="{72353F6B-ED9D-44C1-9D58-269CE2129940}" name="Converter Function enabled" dataDxfId="40"/>
    <tableColumn id="64" xr3:uid="{65218915-D2BE-48AE-A8C4-01B2641062B8}" name="Use As Endpoint" dataDxfId="39"/>
    <tableColumn id="65" xr3:uid="{AB04B361-25B5-47B7-924D-FB1BC274F907}" name="Tags" dataDxfId="38">
      <calculatedColumnFormula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calculatedColumnFormula>
    </tableColumn>
    <tableColumn id="68" xr3:uid="{70086478-6A10-4AEF-BA1E-BE270C3ED55E}" name="VideoIPath unique ID" dataDxfId="37"/>
    <tableColumn id="69" xr3:uid="{E45BFB5E-E245-42EE-902D-D7C879B3B209}" name="Import Action" dataDxfId="36"/>
    <tableColumn id="74" xr3:uid="{2F8F648C-8D06-49D8-A317-4C0D67234AFA}" name="Gerätegruppe _x000a__x000a_Circuit Manager" dataDxfId="35"/>
    <tableColumn id="73" xr3:uid="{7BF946FD-DAF7-4D02-91BD-E1F75E5D97CB}" name="Gerät_x000a__x000a_Circuit Manager" dataDxfId="34"/>
    <tableColumn id="72" xr3:uid="{A5B2093A-3CD1-440E-B411-33A636BF878A}" name="Family_x000a__x000a_GFX-Unit" dataDxfId="33"/>
    <tableColumn id="71" xr3:uid="{BE7FAAD3-C8A6-4D5B-9B10-F4B65E16B18B}" name="Label 1_x000a__x000a_GFX-Unit" dataDxfId="32"/>
    <tableColumn id="76" xr3:uid="{9F40E607-07DD-4935-946B-827CF6B01FEC}" name="Anzahl Zeichen" dataDxfId="31">
      <calculatedColumnFormula>LEN(Tabelle32[[#This Row],[Label 1
GFX-Unit]])</calculatedColumnFormula>
    </tableColumn>
    <tableColumn id="75" xr3:uid="{F1A2EE94-6EA8-44D6-8F5B-50C2399D08D1}" name="Label 3_x000a_(no Limit)" dataDxfId="30"/>
    <tableColumn id="70" xr3:uid="{D9F5D5B4-9175-4FFC-B15A-7804AD77DCA8}" name="Label 4_x000a_(no Limit)" dataDxfId="29"/>
    <tableColumn id="66" xr3:uid="{423E2D3B-057F-4C1D-B1DA-E445C0B18C24}" name="Signaltyp" dataDxfId="28"/>
    <tableColumn id="9" xr3:uid="{F34038BD-B83B-498F-ACC8-7E0B5223F0BE}" name="Send/Rec" dataDxfId="27"/>
    <tableColumn id="67" xr3:uid="{6D16CF68-137C-4AD3-8301-6BF5DE58AD3F}" name="Streamname" dataDxfId="26"/>
    <tableColumn id="10" xr3:uid="{D0E10E01-81A4-4AD8-B7ED-25CAE66CBB91}" name="Streamcounter" dataDxfId="25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6D1A41-540D-4CF4-AD03-56263EFCF6E2}" name="Tabelle_query__1" displayName="Tabelle_query__1" ref="A1:C13" tableType="queryTable" totalsRowShown="0">
  <autoFilter ref="A1:C13" xr:uid="{7D68FF9E-85DB-4B63-8C5F-BB3FA1FF5375}"/>
  <tableColumns count="3">
    <tableColumn id="1" xr3:uid="{B09DF75A-68FB-4C39-A8C7-D1358F556E8C}" uniqueName="Title" name="Device Type Gateway" queryTableFieldId="1" dataDxfId="24"/>
    <tableColumn id="2" xr3:uid="{D1B36C91-AED5-49B9-B16C-AA1B181EBC4B}" uniqueName="FSObjType" name="Elementtyp" queryTableFieldId="3" dataDxfId="23"/>
    <tableColumn id="3" xr3:uid="{4E924EE2-4BC2-4184-A3A6-99CC5F141E67}" uniqueName="FileDirRef" name="Pfad" queryTableFieldId="2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33494EA-8AA0-4D1C-A75E-AE98129CD549}" name="Tabelle_query__9" displayName="Tabelle_query__9" ref="A1:C4" tableType="queryTable" totalsRowShown="0">
  <autoFilter ref="A1:C4" xr:uid="{930AEB1D-2755-431A-B610-D6236B517904}"/>
  <tableColumns count="3">
    <tableColumn id="1" xr3:uid="{6CA895C3-BC8F-4C9C-B341-CDD3ABCDBFDC}" uniqueName="Title" name="Manufacturer" queryTableFieldId="1" dataDxfId="21"/>
    <tableColumn id="2" xr3:uid="{8C2707E9-F3F5-4F4A-9EA5-D55271B03B82}" uniqueName="FSObjType" name="Elementtyp" queryTableFieldId="3" dataDxfId="20"/>
    <tableColumn id="3" xr3:uid="{23974006-793C-4493-82AE-B87DAC316E86}" uniqueName="FileDirRef" name="Pfad" queryTableFieldId="2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96B389-31B7-4B18-A058-ECE45BF05CB7}" name="Tabelle_query__3" displayName="Tabelle_query__3" ref="A1:C10" tableType="queryTable" totalsRowShown="0">
  <autoFilter ref="A1:C10" xr:uid="{288CC0C6-F528-411F-91C4-D8BEC80E2B62}"/>
  <tableColumns count="3">
    <tableColumn id="1" xr3:uid="{EA27DE2D-B71F-47D0-A8DE-7B975E1716D4}" uniqueName="Title" name="Device Type Gateway" queryTableFieldId="1" dataDxfId="18"/>
    <tableColumn id="2" xr3:uid="{585B64C0-F315-41E5-A650-3B07084E2A21}" uniqueName="FSObjType" name="Elementtyp" queryTableFieldId="3" dataDxfId="17"/>
    <tableColumn id="3" xr3:uid="{E008FCD1-0CB9-4C97-AB59-41CACCDCABA7}" uniqueName="FileDirRef" name="Pfad" queryTableFieldId="2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2245D9-0041-4B42-9F1C-92DC246C74D5}" name="Tabelle_query__2" displayName="Tabelle_query__2" ref="A1:C62" tableType="queryTable" totalsRowShown="0">
  <autoFilter ref="A1:C62" xr:uid="{E4B9085B-942A-45A9-9BE2-7290F394D19D}"/>
  <tableColumns count="3">
    <tableColumn id="1" xr3:uid="{4017964E-0FBF-4DEF-B7B8-9C9828147D8E}" uniqueName="Title" name="Device Location" queryTableFieldId="1" dataDxfId="15"/>
    <tableColumn id="2" xr3:uid="{6F328436-D25A-4401-A4B4-E1CFD91C7252}" uniqueName="FSObjType" name="Elementtyp" queryTableFieldId="3" dataDxfId="14"/>
    <tableColumn id="3" xr3:uid="{30160F83-7D6F-4AD6-9030-DAF7173B2160}" uniqueName="FileDirRef" name="Pfad" queryTableFieldId="2" dataDxfId="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FA5D22-C707-49F4-8480-13B4A3EABA23}" name="Tabelle_query__8" displayName="Tabelle_query__8" ref="A1:C25" tableType="queryTable" totalsRowShown="0">
  <autoFilter ref="A1:C25" xr:uid="{351F62E4-72DF-473F-A03A-0DCA82D7F46E}"/>
  <tableColumns count="3">
    <tableColumn id="1" xr3:uid="{D9CC79D8-0B05-4E8B-8593-E988CC152833}" uniqueName="Title" name="Titel" queryTableFieldId="1" dataDxfId="12"/>
    <tableColumn id="2" xr3:uid="{B46AEF63-23DD-4E9F-A459-FB7C85A1D402}" uniqueName="FSObjType" name="Elementtyp" queryTableFieldId="3" dataDxfId="11"/>
    <tableColumn id="3" xr3:uid="{0B03D657-8EF4-4E7C-ABC0-4BD2D4FDC810}" uniqueName="FileDirRef" name="Pfad" queryTableFieldId="2" dataDxfId="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B5A7614-145C-4550-B8B5-48353A887160}" name="Tabelle_query__7" displayName="Tabelle_query__7" ref="A1:C62" tableType="queryTable" totalsRowShown="0">
  <autoFilter ref="A1:C62" xr:uid="{EF66D351-8BC3-4255-8D39-06881559C04D}"/>
  <tableColumns count="3">
    <tableColumn id="1" xr3:uid="{5D7FA3B1-D089-4AD1-B429-247590FD2CDB}" uniqueName="Title" name="Titel" queryTableFieldId="1" dataDxfId="9"/>
    <tableColumn id="2" xr3:uid="{0DAFCDF8-B55E-41D9-98FA-73112D74B82A}" uniqueName="FSObjType" name="Elementtyp" queryTableFieldId="3" dataDxfId="8"/>
    <tableColumn id="3" xr3:uid="{528BB905-4A89-4309-BDE6-4A5910A9C1EE}" uniqueName="FileDirRef" name="Pfad" queryTableFieldId="2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0F69DE-766D-47DD-AF16-2304E439E472}" name="Tabelle_query__6" displayName="Tabelle_query__6" ref="A1:C3" tableType="queryTable" totalsRowShown="0">
  <autoFilter ref="A1:C3" xr:uid="{3FBBA562-4C17-4E50-A55F-E604287E2463}"/>
  <tableColumns count="3">
    <tableColumn id="1" xr3:uid="{602D5A65-7E6A-4468-B00F-325F079BB691}" uniqueName="Title" name="Titel" queryTableFieldId="1" dataDxfId="6"/>
    <tableColumn id="2" xr3:uid="{8E7938E8-623F-4E11-8FB1-C61E82497AA9}" uniqueName="FSObjType" name="Elementtyp" queryTableFieldId="3" dataDxfId="5"/>
    <tableColumn id="3" xr3:uid="{31AA14E1-99C5-42E1-8989-233221AB74E4}" uniqueName="FileDirRef" name="Pfad" queryTableFieldId="2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7F49-002E-4906-AEB8-8177CB56EB97}">
  <dimension ref="A1:D10"/>
  <sheetViews>
    <sheetView workbookViewId="0">
      <selection activeCell="C7" sqref="C7"/>
    </sheetView>
  </sheetViews>
  <sheetFormatPr defaultColWidth="11.5546875" defaultRowHeight="13.2" x14ac:dyDescent="0.25"/>
  <cols>
    <col min="1" max="1" width="17.88671875" customWidth="1"/>
    <col min="2" max="2" width="35.6640625" customWidth="1"/>
    <col min="3" max="3" width="29.33203125" customWidth="1"/>
    <col min="4" max="4" width="29.109375" customWidth="1"/>
  </cols>
  <sheetData>
    <row r="1" spans="1:4" ht="17.399999999999999" x14ac:dyDescent="0.3">
      <c r="A1" s="12" t="s">
        <v>116</v>
      </c>
    </row>
    <row r="2" spans="1:4" ht="17.399999999999999" x14ac:dyDescent="0.3">
      <c r="A2" s="12"/>
      <c r="C2" t="s">
        <v>126</v>
      </c>
    </row>
    <row r="3" spans="1:4" x14ac:dyDescent="0.25">
      <c r="B3" s="14" t="s">
        <v>125</v>
      </c>
      <c r="C3" s="14" t="s">
        <v>124</v>
      </c>
      <c r="D3" s="14" t="s">
        <v>139</v>
      </c>
    </row>
    <row r="4" spans="1:4" ht="23.25" customHeight="1" x14ac:dyDescent="0.25">
      <c r="A4" s="15" t="s">
        <v>117</v>
      </c>
      <c r="B4" s="51" t="s">
        <v>254</v>
      </c>
      <c r="C4" s="16">
        <v>43776</v>
      </c>
      <c r="D4" s="16"/>
    </row>
    <row r="5" spans="1:4" ht="23.25" customHeight="1" x14ac:dyDescent="0.25">
      <c r="A5" s="15" t="s">
        <v>118</v>
      </c>
      <c r="B5" s="51" t="s">
        <v>254</v>
      </c>
      <c r="C5" s="16">
        <v>43776</v>
      </c>
      <c r="D5" s="13"/>
    </row>
    <row r="6" spans="1:4" ht="23.25" customHeight="1" x14ac:dyDescent="0.25">
      <c r="A6" s="15" t="s">
        <v>119</v>
      </c>
      <c r="B6" s="51" t="s">
        <v>265</v>
      </c>
      <c r="C6" s="57">
        <v>43788</v>
      </c>
      <c r="D6" s="13"/>
    </row>
    <row r="7" spans="1:4" ht="23.25" customHeight="1" x14ac:dyDescent="0.25">
      <c r="A7" s="15" t="s">
        <v>120</v>
      </c>
      <c r="B7" s="13"/>
      <c r="C7" s="13"/>
      <c r="D7" s="13"/>
    </row>
    <row r="8" spans="1:4" ht="23.25" customHeight="1" x14ac:dyDescent="0.25">
      <c r="A8" s="15" t="s">
        <v>121</v>
      </c>
      <c r="B8" s="13"/>
      <c r="C8" s="13"/>
      <c r="D8" s="13"/>
    </row>
    <row r="9" spans="1:4" ht="23.25" customHeight="1" x14ac:dyDescent="0.25">
      <c r="A9" s="15" t="s">
        <v>123</v>
      </c>
      <c r="B9" s="13"/>
      <c r="C9" s="13"/>
      <c r="D9" s="13"/>
    </row>
    <row r="10" spans="1:4" ht="23.25" customHeight="1" x14ac:dyDescent="0.25">
      <c r="A10" s="15" t="s">
        <v>122</v>
      </c>
      <c r="B10" s="13"/>
      <c r="C10" s="13"/>
      <c r="D10" s="13"/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EF97-2EFA-41C5-ACB8-E21062ADDD5B}">
  <sheetPr>
    <tabColor theme="0" tint="-4.9989318521683403E-2"/>
  </sheetPr>
  <dimension ref="A1:C62"/>
  <sheetViews>
    <sheetView workbookViewId="0">
      <selection activeCell="C39" sqref="C39"/>
    </sheetView>
  </sheetViews>
  <sheetFormatPr defaultColWidth="11.5546875" defaultRowHeight="13.2" x14ac:dyDescent="0.25"/>
  <cols>
    <col min="1" max="1" width="23.109375" bestFit="1" customWidth="1"/>
    <col min="2" max="2" width="12.88671875" bestFit="1" customWidth="1"/>
    <col min="3" max="3" width="51" bestFit="1" customWidth="1"/>
  </cols>
  <sheetData>
    <row r="1" spans="1:3" x14ac:dyDescent="0.25">
      <c r="A1" t="s">
        <v>218</v>
      </c>
      <c r="B1" t="s">
        <v>141</v>
      </c>
      <c r="C1" t="s">
        <v>140</v>
      </c>
    </row>
    <row r="2" spans="1:3" x14ac:dyDescent="0.25">
      <c r="A2" s="11" t="s">
        <v>156</v>
      </c>
      <c r="B2" s="11" t="s">
        <v>144</v>
      </c>
      <c r="C2" s="11" t="s">
        <v>243</v>
      </c>
    </row>
    <row r="3" spans="1:3" x14ac:dyDescent="0.25">
      <c r="A3" s="11" t="s">
        <v>158</v>
      </c>
      <c r="B3" s="11" t="s">
        <v>144</v>
      </c>
      <c r="C3" s="11" t="s">
        <v>243</v>
      </c>
    </row>
    <row r="4" spans="1:3" x14ac:dyDescent="0.25">
      <c r="A4" s="11" t="s">
        <v>159</v>
      </c>
      <c r="B4" s="11" t="s">
        <v>144</v>
      </c>
      <c r="C4" s="11" t="s">
        <v>243</v>
      </c>
    </row>
    <row r="5" spans="1:3" x14ac:dyDescent="0.25">
      <c r="A5" s="11" t="s">
        <v>160</v>
      </c>
      <c r="B5" s="11" t="s">
        <v>144</v>
      </c>
      <c r="C5" s="11" t="s">
        <v>243</v>
      </c>
    </row>
    <row r="6" spans="1:3" x14ac:dyDescent="0.25">
      <c r="A6" s="11" t="s">
        <v>161</v>
      </c>
      <c r="B6" s="11" t="s">
        <v>144</v>
      </c>
      <c r="C6" s="11" t="s">
        <v>243</v>
      </c>
    </row>
    <row r="7" spans="1:3" x14ac:dyDescent="0.25">
      <c r="A7" s="11" t="s">
        <v>162</v>
      </c>
      <c r="B7" s="11" t="s">
        <v>144</v>
      </c>
      <c r="C7" s="11" t="s">
        <v>243</v>
      </c>
    </row>
    <row r="8" spans="1:3" x14ac:dyDescent="0.25">
      <c r="A8" s="11" t="s">
        <v>163</v>
      </c>
      <c r="B8" s="11" t="s">
        <v>144</v>
      </c>
      <c r="C8" s="11" t="s">
        <v>243</v>
      </c>
    </row>
    <row r="9" spans="1:3" x14ac:dyDescent="0.25">
      <c r="A9" s="11" t="s">
        <v>164</v>
      </c>
      <c r="B9" s="11" t="s">
        <v>144</v>
      </c>
      <c r="C9" s="11" t="s">
        <v>243</v>
      </c>
    </row>
    <row r="10" spans="1:3" x14ac:dyDescent="0.25">
      <c r="A10" s="11" t="s">
        <v>165</v>
      </c>
      <c r="B10" s="11" t="s">
        <v>144</v>
      </c>
      <c r="C10" s="11" t="s">
        <v>243</v>
      </c>
    </row>
    <row r="11" spans="1:3" x14ac:dyDescent="0.25">
      <c r="A11" s="11" t="s">
        <v>166</v>
      </c>
      <c r="B11" s="11" t="s">
        <v>144</v>
      </c>
      <c r="C11" s="11" t="s">
        <v>243</v>
      </c>
    </row>
    <row r="12" spans="1:3" x14ac:dyDescent="0.25">
      <c r="A12" s="11" t="s">
        <v>167</v>
      </c>
      <c r="B12" s="11" t="s">
        <v>144</v>
      </c>
      <c r="C12" s="11" t="s">
        <v>243</v>
      </c>
    </row>
    <row r="13" spans="1:3" x14ac:dyDescent="0.25">
      <c r="A13" s="11" t="s">
        <v>168</v>
      </c>
      <c r="B13" s="11" t="s">
        <v>144</v>
      </c>
      <c r="C13" s="11" t="s">
        <v>243</v>
      </c>
    </row>
    <row r="14" spans="1:3" x14ac:dyDescent="0.25">
      <c r="A14" s="11" t="s">
        <v>169</v>
      </c>
      <c r="B14" s="11" t="s">
        <v>144</v>
      </c>
      <c r="C14" s="11" t="s">
        <v>243</v>
      </c>
    </row>
    <row r="15" spans="1:3" x14ac:dyDescent="0.25">
      <c r="A15" s="11" t="s">
        <v>170</v>
      </c>
      <c r="B15" s="11" t="s">
        <v>144</v>
      </c>
      <c r="C15" s="11" t="s">
        <v>243</v>
      </c>
    </row>
    <row r="16" spans="1:3" x14ac:dyDescent="0.25">
      <c r="A16" s="11" t="s">
        <v>171</v>
      </c>
      <c r="B16" s="11" t="s">
        <v>144</v>
      </c>
      <c r="C16" s="11" t="s">
        <v>243</v>
      </c>
    </row>
    <row r="17" spans="1:3" x14ac:dyDescent="0.25">
      <c r="A17" s="11" t="s">
        <v>172</v>
      </c>
      <c r="B17" s="11" t="s">
        <v>144</v>
      </c>
      <c r="C17" s="11" t="s">
        <v>243</v>
      </c>
    </row>
    <row r="18" spans="1:3" x14ac:dyDescent="0.25">
      <c r="A18" s="11" t="s">
        <v>173</v>
      </c>
      <c r="B18" s="11" t="s">
        <v>144</v>
      </c>
      <c r="C18" s="11" t="s">
        <v>243</v>
      </c>
    </row>
    <row r="19" spans="1:3" x14ac:dyDescent="0.25">
      <c r="A19" s="11" t="s">
        <v>174</v>
      </c>
      <c r="B19" s="11" t="s">
        <v>144</v>
      </c>
      <c r="C19" s="11" t="s">
        <v>243</v>
      </c>
    </row>
    <row r="20" spans="1:3" x14ac:dyDescent="0.25">
      <c r="A20" s="11" t="s">
        <v>175</v>
      </c>
      <c r="B20" s="11" t="s">
        <v>144</v>
      </c>
      <c r="C20" s="11" t="s">
        <v>243</v>
      </c>
    </row>
    <row r="21" spans="1:3" x14ac:dyDescent="0.25">
      <c r="A21" s="11" t="s">
        <v>176</v>
      </c>
      <c r="B21" s="11" t="s">
        <v>144</v>
      </c>
      <c r="C21" s="11" t="s">
        <v>243</v>
      </c>
    </row>
    <row r="22" spans="1:3" x14ac:dyDescent="0.25">
      <c r="A22" s="11" t="s">
        <v>177</v>
      </c>
      <c r="B22" s="11" t="s">
        <v>144</v>
      </c>
      <c r="C22" s="11" t="s">
        <v>243</v>
      </c>
    </row>
    <row r="23" spans="1:3" x14ac:dyDescent="0.25">
      <c r="A23" s="11" t="s">
        <v>178</v>
      </c>
      <c r="B23" s="11" t="s">
        <v>144</v>
      </c>
      <c r="C23" s="11" t="s">
        <v>243</v>
      </c>
    </row>
    <row r="24" spans="1:3" x14ac:dyDescent="0.25">
      <c r="A24" s="11" t="s">
        <v>179</v>
      </c>
      <c r="B24" s="11" t="s">
        <v>144</v>
      </c>
      <c r="C24" s="11" t="s">
        <v>243</v>
      </c>
    </row>
    <row r="25" spans="1:3" x14ac:dyDescent="0.25">
      <c r="A25" s="11" t="s">
        <v>180</v>
      </c>
      <c r="B25" s="11" t="s">
        <v>144</v>
      </c>
      <c r="C25" s="11" t="s">
        <v>243</v>
      </c>
    </row>
    <row r="26" spans="1:3" x14ac:dyDescent="0.25">
      <c r="A26" s="11" t="s">
        <v>181</v>
      </c>
      <c r="B26" s="11" t="s">
        <v>144</v>
      </c>
      <c r="C26" s="11" t="s">
        <v>243</v>
      </c>
    </row>
    <row r="27" spans="1:3" x14ac:dyDescent="0.25">
      <c r="A27" s="11" t="s">
        <v>182</v>
      </c>
      <c r="B27" s="11" t="s">
        <v>144</v>
      </c>
      <c r="C27" s="11" t="s">
        <v>243</v>
      </c>
    </row>
    <row r="28" spans="1:3" x14ac:dyDescent="0.25">
      <c r="A28" s="11" t="s">
        <v>183</v>
      </c>
      <c r="B28" s="11" t="s">
        <v>144</v>
      </c>
      <c r="C28" s="11" t="s">
        <v>243</v>
      </c>
    </row>
    <row r="29" spans="1:3" x14ac:dyDescent="0.25">
      <c r="A29" s="11" t="s">
        <v>184</v>
      </c>
      <c r="B29" s="11" t="s">
        <v>144</v>
      </c>
      <c r="C29" s="11" t="s">
        <v>243</v>
      </c>
    </row>
    <row r="30" spans="1:3" x14ac:dyDescent="0.25">
      <c r="A30" s="11" t="s">
        <v>185</v>
      </c>
      <c r="B30" s="11" t="s">
        <v>144</v>
      </c>
      <c r="C30" s="11" t="s">
        <v>243</v>
      </c>
    </row>
    <row r="31" spans="1:3" x14ac:dyDescent="0.25">
      <c r="A31" s="11" t="s">
        <v>186</v>
      </c>
      <c r="B31" s="11" t="s">
        <v>144</v>
      </c>
      <c r="C31" s="11" t="s">
        <v>243</v>
      </c>
    </row>
    <row r="32" spans="1:3" x14ac:dyDescent="0.25">
      <c r="A32" s="11" t="s">
        <v>187</v>
      </c>
      <c r="B32" s="11" t="s">
        <v>144</v>
      </c>
      <c r="C32" s="11" t="s">
        <v>243</v>
      </c>
    </row>
    <row r="33" spans="1:3" x14ac:dyDescent="0.25">
      <c r="A33" s="11" t="s">
        <v>188</v>
      </c>
      <c r="B33" s="11" t="s">
        <v>144</v>
      </c>
      <c r="C33" s="11" t="s">
        <v>243</v>
      </c>
    </row>
    <row r="34" spans="1:3" x14ac:dyDescent="0.25">
      <c r="A34" s="11" t="s">
        <v>189</v>
      </c>
      <c r="B34" s="11" t="s">
        <v>144</v>
      </c>
      <c r="C34" s="11" t="s">
        <v>243</v>
      </c>
    </row>
    <row r="35" spans="1:3" x14ac:dyDescent="0.25">
      <c r="A35" s="11" t="s">
        <v>190</v>
      </c>
      <c r="B35" s="11" t="s">
        <v>144</v>
      </c>
      <c r="C35" s="11" t="s">
        <v>243</v>
      </c>
    </row>
    <row r="36" spans="1:3" x14ac:dyDescent="0.25">
      <c r="A36" s="11" t="s">
        <v>191</v>
      </c>
      <c r="B36" s="11" t="s">
        <v>144</v>
      </c>
      <c r="C36" s="11" t="s">
        <v>243</v>
      </c>
    </row>
    <row r="37" spans="1:3" x14ac:dyDescent="0.25">
      <c r="A37" s="11" t="s">
        <v>192</v>
      </c>
      <c r="B37" s="11" t="s">
        <v>144</v>
      </c>
      <c r="C37" s="11" t="s">
        <v>243</v>
      </c>
    </row>
    <row r="38" spans="1:3" x14ac:dyDescent="0.25">
      <c r="A38" s="11" t="s">
        <v>193</v>
      </c>
      <c r="B38" s="11" t="s">
        <v>144</v>
      </c>
      <c r="C38" s="11" t="s">
        <v>243</v>
      </c>
    </row>
    <row r="39" spans="1:3" x14ac:dyDescent="0.25">
      <c r="A39" s="11" t="s">
        <v>194</v>
      </c>
      <c r="B39" s="11" t="s">
        <v>144</v>
      </c>
      <c r="C39" s="11" t="s">
        <v>243</v>
      </c>
    </row>
    <row r="40" spans="1:3" x14ac:dyDescent="0.25">
      <c r="A40" s="11" t="s">
        <v>195</v>
      </c>
      <c r="B40" s="11" t="s">
        <v>144</v>
      </c>
      <c r="C40" s="11" t="s">
        <v>243</v>
      </c>
    </row>
    <row r="41" spans="1:3" x14ac:dyDescent="0.25">
      <c r="A41" s="11" t="s">
        <v>196</v>
      </c>
      <c r="B41" s="11" t="s">
        <v>144</v>
      </c>
      <c r="C41" s="11" t="s">
        <v>243</v>
      </c>
    </row>
    <row r="42" spans="1:3" x14ac:dyDescent="0.25">
      <c r="A42" s="11" t="s">
        <v>197</v>
      </c>
      <c r="B42" s="11" t="s">
        <v>144</v>
      </c>
      <c r="C42" s="11" t="s">
        <v>243</v>
      </c>
    </row>
    <row r="43" spans="1:3" x14ac:dyDescent="0.25">
      <c r="A43" s="11" t="s">
        <v>198</v>
      </c>
      <c r="B43" s="11" t="s">
        <v>144</v>
      </c>
      <c r="C43" s="11" t="s">
        <v>243</v>
      </c>
    </row>
    <row r="44" spans="1:3" x14ac:dyDescent="0.25">
      <c r="A44" s="11" t="s">
        <v>199</v>
      </c>
      <c r="B44" s="11" t="s">
        <v>144</v>
      </c>
      <c r="C44" s="11" t="s">
        <v>243</v>
      </c>
    </row>
    <row r="45" spans="1:3" x14ac:dyDescent="0.25">
      <c r="A45" s="11" t="s">
        <v>200</v>
      </c>
      <c r="B45" s="11" t="s">
        <v>144</v>
      </c>
      <c r="C45" s="11" t="s">
        <v>243</v>
      </c>
    </row>
    <row r="46" spans="1:3" x14ac:dyDescent="0.25">
      <c r="A46" s="11" t="s">
        <v>201</v>
      </c>
      <c r="B46" s="11" t="s">
        <v>144</v>
      </c>
      <c r="C46" s="11" t="s">
        <v>243</v>
      </c>
    </row>
    <row r="47" spans="1:3" x14ac:dyDescent="0.25">
      <c r="A47" s="11" t="s">
        <v>202</v>
      </c>
      <c r="B47" s="11" t="s">
        <v>144</v>
      </c>
      <c r="C47" s="11" t="s">
        <v>243</v>
      </c>
    </row>
    <row r="48" spans="1:3" x14ac:dyDescent="0.25">
      <c r="A48" s="11" t="s">
        <v>203</v>
      </c>
      <c r="B48" s="11" t="s">
        <v>144</v>
      </c>
      <c r="C48" s="11" t="s">
        <v>243</v>
      </c>
    </row>
    <row r="49" spans="1:3" x14ac:dyDescent="0.25">
      <c r="A49" s="11" t="s">
        <v>204</v>
      </c>
      <c r="B49" s="11" t="s">
        <v>144</v>
      </c>
      <c r="C49" s="11" t="s">
        <v>243</v>
      </c>
    </row>
    <row r="50" spans="1:3" x14ac:dyDescent="0.25">
      <c r="A50" s="11" t="s">
        <v>205</v>
      </c>
      <c r="B50" s="11" t="s">
        <v>144</v>
      </c>
      <c r="C50" s="11" t="s">
        <v>243</v>
      </c>
    </row>
    <row r="51" spans="1:3" x14ac:dyDescent="0.25">
      <c r="A51" s="11" t="s">
        <v>206</v>
      </c>
      <c r="B51" s="11" t="s">
        <v>144</v>
      </c>
      <c r="C51" s="11" t="s">
        <v>243</v>
      </c>
    </row>
    <row r="52" spans="1:3" x14ac:dyDescent="0.25">
      <c r="A52" s="11" t="s">
        <v>207</v>
      </c>
      <c r="B52" s="11" t="s">
        <v>144</v>
      </c>
      <c r="C52" s="11" t="s">
        <v>243</v>
      </c>
    </row>
    <row r="53" spans="1:3" x14ac:dyDescent="0.25">
      <c r="A53" s="11" t="s">
        <v>208</v>
      </c>
      <c r="B53" s="11" t="s">
        <v>144</v>
      </c>
      <c r="C53" s="11" t="s">
        <v>243</v>
      </c>
    </row>
    <row r="54" spans="1:3" x14ac:dyDescent="0.25">
      <c r="A54" s="11" t="s">
        <v>209</v>
      </c>
      <c r="B54" s="11" t="s">
        <v>144</v>
      </c>
      <c r="C54" s="11" t="s">
        <v>243</v>
      </c>
    </row>
    <row r="55" spans="1:3" x14ac:dyDescent="0.25">
      <c r="A55" s="11" t="s">
        <v>210</v>
      </c>
      <c r="B55" s="11" t="s">
        <v>144</v>
      </c>
      <c r="C55" s="11" t="s">
        <v>243</v>
      </c>
    </row>
    <row r="56" spans="1:3" x14ac:dyDescent="0.25">
      <c r="A56" s="11" t="s">
        <v>211</v>
      </c>
      <c r="B56" s="11" t="s">
        <v>144</v>
      </c>
      <c r="C56" s="11" t="s">
        <v>243</v>
      </c>
    </row>
    <row r="57" spans="1:3" x14ac:dyDescent="0.25">
      <c r="A57" s="11" t="s">
        <v>212</v>
      </c>
      <c r="B57" s="11" t="s">
        <v>144</v>
      </c>
      <c r="C57" s="11" t="s">
        <v>243</v>
      </c>
    </row>
    <row r="58" spans="1:3" x14ac:dyDescent="0.25">
      <c r="A58" s="11" t="s">
        <v>213</v>
      </c>
      <c r="B58" s="11" t="s">
        <v>144</v>
      </c>
      <c r="C58" s="11" t="s">
        <v>243</v>
      </c>
    </row>
    <row r="59" spans="1:3" x14ac:dyDescent="0.25">
      <c r="A59" s="11" t="s">
        <v>214</v>
      </c>
      <c r="B59" s="11" t="s">
        <v>144</v>
      </c>
      <c r="C59" s="11" t="s">
        <v>243</v>
      </c>
    </row>
    <row r="60" spans="1:3" x14ac:dyDescent="0.25">
      <c r="A60" s="11" t="s">
        <v>215</v>
      </c>
      <c r="B60" s="11" t="s">
        <v>144</v>
      </c>
      <c r="C60" s="11" t="s">
        <v>243</v>
      </c>
    </row>
    <row r="61" spans="1:3" x14ac:dyDescent="0.25">
      <c r="A61" s="11" t="s">
        <v>216</v>
      </c>
      <c r="B61" s="11" t="s">
        <v>144</v>
      </c>
      <c r="C61" s="11" t="s">
        <v>243</v>
      </c>
    </row>
    <row r="62" spans="1:3" x14ac:dyDescent="0.25">
      <c r="A62" s="11" t="s">
        <v>217</v>
      </c>
      <c r="B62" s="11" t="s">
        <v>144</v>
      </c>
      <c r="C62" s="11" t="s">
        <v>243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AB92-CDD4-48EA-AA9B-36DEC02DC9C4}">
  <sheetPr>
    <tabColor theme="0" tint="-4.9989318521683403E-2"/>
  </sheetPr>
  <dimension ref="A1:C3"/>
  <sheetViews>
    <sheetView workbookViewId="0">
      <selection activeCell="C39" sqref="C39"/>
    </sheetView>
  </sheetViews>
  <sheetFormatPr defaultColWidth="11.5546875" defaultRowHeight="13.2" x14ac:dyDescent="0.25"/>
  <cols>
    <col min="1" max="1" width="6.88671875" bestFit="1" customWidth="1"/>
    <col min="2" max="2" width="12.88671875" bestFit="1" customWidth="1"/>
    <col min="3" max="3" width="44.44140625" bestFit="1" customWidth="1"/>
  </cols>
  <sheetData>
    <row r="1" spans="1:3" x14ac:dyDescent="0.25">
      <c r="A1" t="s">
        <v>218</v>
      </c>
      <c r="B1" t="s">
        <v>141</v>
      </c>
      <c r="C1" t="s">
        <v>140</v>
      </c>
    </row>
    <row r="2" spans="1:3" x14ac:dyDescent="0.25">
      <c r="A2" s="11" t="s">
        <v>244</v>
      </c>
      <c r="B2" s="11" t="s">
        <v>144</v>
      </c>
      <c r="C2" s="11" t="s">
        <v>245</v>
      </c>
    </row>
    <row r="3" spans="1:3" x14ac:dyDescent="0.25">
      <c r="A3" s="11" t="s">
        <v>112</v>
      </c>
      <c r="B3" s="11" t="s">
        <v>144</v>
      </c>
      <c r="C3" s="11" t="s">
        <v>245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6633-4CAF-4413-AF21-F250D8C047C0}">
  <sheetPr>
    <tabColor theme="0" tint="-4.9989318521683403E-2"/>
  </sheetPr>
  <dimension ref="A1:D5"/>
  <sheetViews>
    <sheetView workbookViewId="0">
      <selection activeCell="C39" sqref="C39"/>
    </sheetView>
  </sheetViews>
  <sheetFormatPr defaultColWidth="11.5546875" defaultRowHeight="13.2" x14ac:dyDescent="0.25"/>
  <cols>
    <col min="1" max="1" width="25.44140625" bestFit="1" customWidth="1"/>
    <col min="2" max="2" width="12.88671875" bestFit="1" customWidth="1"/>
    <col min="3" max="3" width="41.88671875" bestFit="1" customWidth="1"/>
    <col min="4" max="4" width="16.5546875" bestFit="1" customWidth="1"/>
  </cols>
  <sheetData>
    <row r="1" spans="1:4" x14ac:dyDescent="0.25">
      <c r="A1" t="s">
        <v>218</v>
      </c>
      <c r="B1" t="s">
        <v>141</v>
      </c>
      <c r="C1" t="s">
        <v>140</v>
      </c>
      <c r="D1" t="s">
        <v>246</v>
      </c>
    </row>
    <row r="2" spans="1:4" x14ac:dyDescent="0.25">
      <c r="A2" s="11" t="s">
        <v>111</v>
      </c>
      <c r="B2" s="11" t="s">
        <v>144</v>
      </c>
      <c r="C2" s="11" t="s">
        <v>248</v>
      </c>
      <c r="D2" s="11" t="s">
        <v>247</v>
      </c>
    </row>
    <row r="3" spans="1:4" x14ac:dyDescent="0.25">
      <c r="A3" s="11" t="s">
        <v>152</v>
      </c>
      <c r="B3" s="11" t="s">
        <v>144</v>
      </c>
      <c r="C3" s="11" t="s">
        <v>248</v>
      </c>
      <c r="D3" s="11" t="s">
        <v>249</v>
      </c>
    </row>
    <row r="4" spans="1:4" x14ac:dyDescent="0.25">
      <c r="A4" s="11" t="s">
        <v>250</v>
      </c>
      <c r="B4" s="11" t="s">
        <v>144</v>
      </c>
      <c r="C4" s="11" t="s">
        <v>248</v>
      </c>
      <c r="D4" s="11" t="s">
        <v>251</v>
      </c>
    </row>
    <row r="5" spans="1:4" x14ac:dyDescent="0.25">
      <c r="A5" s="11" t="s">
        <v>252</v>
      </c>
      <c r="B5" s="11" t="s">
        <v>144</v>
      </c>
      <c r="C5" s="11" t="s">
        <v>248</v>
      </c>
      <c r="D5" s="11" t="s">
        <v>253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0DB9-FC02-4FF2-9DA4-9F9BC9432FB3}">
  <sheetPr>
    <tabColor rgb="FF92D050"/>
  </sheetPr>
  <dimension ref="A1:BU5"/>
  <sheetViews>
    <sheetView topLeftCell="K1" workbookViewId="0">
      <selection activeCell="S5" sqref="S5"/>
    </sheetView>
  </sheetViews>
  <sheetFormatPr defaultColWidth="11.5546875" defaultRowHeight="13.2" x14ac:dyDescent="0.25"/>
  <cols>
    <col min="2" max="2" width="24.44140625" customWidth="1"/>
    <col min="3" max="3" width="13.44140625" style="2" customWidth="1"/>
    <col min="4" max="4" width="20.109375" style="2" customWidth="1"/>
    <col min="5" max="10" width="3.33203125" style="5" bestFit="1" customWidth="1"/>
    <col min="11" max="11" width="17.33203125" customWidth="1"/>
    <col min="12" max="12" width="20.88671875" customWidth="1"/>
    <col min="13" max="13" width="28.44140625" customWidth="1"/>
    <col min="14" max="14" width="29.88671875" customWidth="1"/>
    <col min="15" max="16" width="17.5546875" customWidth="1"/>
    <col min="17" max="17" width="20.109375" customWidth="1"/>
    <col min="18" max="18" width="3.33203125" style="5" hidden="1" customWidth="1"/>
    <col min="19" max="21" width="3.33203125" style="5" bestFit="1" customWidth="1"/>
    <col min="22" max="23" width="3.33203125" style="5" hidden="1" customWidth="1"/>
    <col min="24" max="24" width="15.88671875" bestFit="1" customWidth="1"/>
    <col min="25" max="25" width="55.44140625" customWidth="1"/>
    <col min="26" max="26" width="20.88671875" customWidth="1"/>
    <col min="27" max="27" width="16.109375" customWidth="1"/>
    <col min="28" max="28" width="16.33203125" bestFit="1" customWidth="1"/>
    <col min="29" max="29" width="55.44140625" customWidth="1"/>
    <col min="30" max="30" width="20.88671875" customWidth="1"/>
    <col min="31" max="31" width="16.109375" customWidth="1"/>
    <col min="32" max="32" width="16.44140625" bestFit="1" customWidth="1"/>
    <col min="33" max="33" width="55.44140625" customWidth="1"/>
    <col min="34" max="34" width="26.44140625" customWidth="1"/>
    <col min="35" max="35" width="55.44140625" customWidth="1"/>
    <col min="36" max="36" width="26.44140625" customWidth="1"/>
    <col min="37" max="40" width="0" hidden="1" customWidth="1"/>
    <col min="41" max="41" width="32.5546875" customWidth="1"/>
    <col min="42" max="42" width="12.88671875" hidden="1" customWidth="1"/>
    <col min="43" max="43" width="8.33203125" customWidth="1"/>
    <col min="44" max="44" width="0" hidden="1" customWidth="1"/>
    <col min="45" max="45" width="45.88671875" customWidth="1"/>
    <col min="46" max="46" width="22.109375" hidden="1" customWidth="1"/>
    <col min="47" max="60" width="3.33203125" hidden="1" customWidth="1"/>
    <col min="61" max="61" width="5.6640625" hidden="1" customWidth="1"/>
    <col min="62" max="62" width="3.33203125" hidden="1" customWidth="1"/>
    <col min="63" max="63" width="6.5546875" hidden="1" customWidth="1"/>
    <col min="64" max="64" width="6.6640625" hidden="1" customWidth="1"/>
    <col min="65" max="65" width="16" hidden="1" customWidth="1"/>
    <col min="66" max="66" width="20.5546875" hidden="1" customWidth="1"/>
    <col min="67" max="67" width="16" hidden="1" customWidth="1"/>
    <col min="68" max="73" width="0" hidden="1" customWidth="1"/>
  </cols>
  <sheetData>
    <row r="1" spans="1:73" ht="24.6" x14ac:dyDescent="0.4">
      <c r="A1" s="1" t="s">
        <v>0</v>
      </c>
      <c r="D1" s="10" t="s">
        <v>105</v>
      </c>
      <c r="E1" s="8"/>
      <c r="F1" s="9"/>
      <c r="G1" s="9"/>
      <c r="H1" s="9"/>
      <c r="I1" s="9"/>
      <c r="J1" s="9"/>
      <c r="K1" s="9"/>
      <c r="L1" s="9"/>
      <c r="M1" s="9"/>
      <c r="N1" s="9"/>
    </row>
    <row r="2" spans="1:73" s="4" customFormat="1" ht="126.75" customHeight="1" x14ac:dyDescent="0.25">
      <c r="A2" s="29" t="s">
        <v>1</v>
      </c>
      <c r="B2" s="29" t="s">
        <v>2</v>
      </c>
      <c r="C2" s="31" t="s">
        <v>3</v>
      </c>
      <c r="D2" s="31" t="s">
        <v>4</v>
      </c>
      <c r="E2" s="38" t="s">
        <v>5</v>
      </c>
      <c r="F2" s="38" t="s">
        <v>6</v>
      </c>
      <c r="G2" s="38" t="s">
        <v>7</v>
      </c>
      <c r="H2" s="38" t="s">
        <v>8</v>
      </c>
      <c r="I2" s="38" t="s">
        <v>9</v>
      </c>
      <c r="J2" s="38" t="s">
        <v>10</v>
      </c>
      <c r="K2" s="32" t="s">
        <v>11</v>
      </c>
      <c r="L2" s="32" t="s">
        <v>81</v>
      </c>
      <c r="M2" s="32" t="s">
        <v>82</v>
      </c>
      <c r="N2" s="32" t="s">
        <v>83</v>
      </c>
      <c r="O2" s="32" t="s">
        <v>86</v>
      </c>
      <c r="P2" s="32" t="s">
        <v>84</v>
      </c>
      <c r="Q2" s="32" t="s">
        <v>85</v>
      </c>
      <c r="R2" s="33" t="s">
        <v>12</v>
      </c>
      <c r="S2" s="33" t="s">
        <v>60</v>
      </c>
      <c r="T2" s="33" t="s">
        <v>59</v>
      </c>
      <c r="U2" s="33" t="s">
        <v>61</v>
      </c>
      <c r="V2" s="33" t="s">
        <v>13</v>
      </c>
      <c r="W2" s="33" t="s">
        <v>14</v>
      </c>
      <c r="X2" s="34" t="s">
        <v>15</v>
      </c>
      <c r="Y2" s="35" t="s">
        <v>16</v>
      </c>
      <c r="Z2" s="35" t="s">
        <v>17</v>
      </c>
      <c r="AA2" s="35" t="s">
        <v>18</v>
      </c>
      <c r="AB2" s="35" t="s">
        <v>19</v>
      </c>
      <c r="AC2" s="36" t="s">
        <v>20</v>
      </c>
      <c r="AD2" s="36" t="s">
        <v>21</v>
      </c>
      <c r="AE2" s="36" t="s">
        <v>22</v>
      </c>
      <c r="AF2" s="36" t="s">
        <v>23</v>
      </c>
      <c r="AG2" s="35" t="s">
        <v>24</v>
      </c>
      <c r="AH2" s="35" t="s">
        <v>25</v>
      </c>
      <c r="AI2" s="36" t="s">
        <v>26</v>
      </c>
      <c r="AJ2" s="36" t="s">
        <v>27</v>
      </c>
      <c r="AK2" s="3" t="s">
        <v>28</v>
      </c>
      <c r="AL2" s="3" t="s">
        <v>29</v>
      </c>
      <c r="AM2" s="3" t="s">
        <v>30</v>
      </c>
      <c r="AN2" s="3" t="s">
        <v>31</v>
      </c>
      <c r="AO2" s="37" t="s">
        <v>32</v>
      </c>
      <c r="AP2" s="37" t="s">
        <v>33</v>
      </c>
      <c r="AQ2" s="37" t="s">
        <v>34</v>
      </c>
      <c r="AR2" s="37" t="s">
        <v>35</v>
      </c>
      <c r="AS2" s="37" t="s">
        <v>36</v>
      </c>
      <c r="AT2" s="37" t="s">
        <v>37</v>
      </c>
      <c r="AU2" s="38" t="s">
        <v>38</v>
      </c>
      <c r="AV2" s="38" t="s">
        <v>39</v>
      </c>
      <c r="AW2" s="38" t="s">
        <v>40</v>
      </c>
      <c r="AX2" s="38" t="s">
        <v>41</v>
      </c>
      <c r="AY2" s="38" t="s">
        <v>42</v>
      </c>
      <c r="AZ2" s="38" t="s">
        <v>43</v>
      </c>
      <c r="BA2" s="38" t="s">
        <v>44</v>
      </c>
      <c r="BB2" s="38" t="s">
        <v>45</v>
      </c>
      <c r="BC2" s="38" t="s">
        <v>46</v>
      </c>
      <c r="BD2" s="38" t="s">
        <v>47</v>
      </c>
      <c r="BE2" s="38" t="s">
        <v>48</v>
      </c>
      <c r="BF2" s="38" t="s">
        <v>49</v>
      </c>
      <c r="BG2" s="38" t="s">
        <v>50</v>
      </c>
      <c r="BH2" s="38" t="s">
        <v>51</v>
      </c>
      <c r="BI2" s="38" t="s">
        <v>52</v>
      </c>
      <c r="BJ2" s="38" t="s">
        <v>53</v>
      </c>
      <c r="BK2" s="37" t="s">
        <v>54</v>
      </c>
      <c r="BL2" s="39" t="s">
        <v>55</v>
      </c>
      <c r="BM2" s="37" t="s">
        <v>56</v>
      </c>
      <c r="BN2" s="37" t="s">
        <v>57</v>
      </c>
      <c r="BO2" s="37" t="s">
        <v>58</v>
      </c>
      <c r="BP2" s="35" t="s">
        <v>106</v>
      </c>
      <c r="BQ2" s="35" t="s">
        <v>107</v>
      </c>
      <c r="BR2" s="35" t="s">
        <v>108</v>
      </c>
      <c r="BS2" s="35" t="s">
        <v>109</v>
      </c>
      <c r="BT2" s="35" t="s">
        <v>104</v>
      </c>
      <c r="BU2" s="35" t="s">
        <v>110</v>
      </c>
    </row>
    <row r="3" spans="1:73" s="7" customFormat="1" ht="16.5" customHeight="1" x14ac:dyDescent="0.25">
      <c r="A3" s="17">
        <v>9999</v>
      </c>
      <c r="B3" s="17" t="s">
        <v>65</v>
      </c>
      <c r="C3" s="18">
        <v>24838</v>
      </c>
      <c r="D3" s="18">
        <v>31426</v>
      </c>
      <c r="E3" s="19">
        <v>1</v>
      </c>
      <c r="F3" s="19">
        <v>0</v>
      </c>
      <c r="G3" s="19">
        <v>4</v>
      </c>
      <c r="H3" s="19">
        <v>0</v>
      </c>
      <c r="I3" s="19">
        <v>1</v>
      </c>
      <c r="J3" s="19">
        <v>0</v>
      </c>
      <c r="K3" s="17" t="s">
        <v>66</v>
      </c>
      <c r="L3" s="20" t="s">
        <v>63</v>
      </c>
      <c r="M3" s="20" t="s">
        <v>114</v>
      </c>
      <c r="N3" s="20" t="s">
        <v>62</v>
      </c>
      <c r="O3" s="17" t="s">
        <v>67</v>
      </c>
      <c r="P3" s="20" t="s">
        <v>113</v>
      </c>
      <c r="Q3" s="20" t="s">
        <v>64</v>
      </c>
      <c r="R3" s="17"/>
      <c r="S3" s="17" t="str">
        <f t="shared" ref="S3:S5" si="0">S2</f>
        <v>KSC Acq</v>
      </c>
      <c r="T3" s="17" t="s">
        <v>68</v>
      </c>
      <c r="U3" s="17" t="str">
        <f t="shared" ref="U3:U5" si="1">U2</f>
        <v>KSC Agg</v>
      </c>
      <c r="V3" s="17"/>
      <c r="W3" s="17"/>
      <c r="X3" s="17" t="s">
        <v>69</v>
      </c>
      <c r="Y3" s="17" t="s">
        <v>73</v>
      </c>
      <c r="Z3" s="17" t="s">
        <v>70</v>
      </c>
      <c r="AA3" s="17" t="s">
        <v>71</v>
      </c>
      <c r="AB3" s="17" t="s">
        <v>72</v>
      </c>
      <c r="AC3" s="17" t="s">
        <v>74</v>
      </c>
      <c r="AD3" s="17" t="s">
        <v>75</v>
      </c>
      <c r="AE3" s="17" t="s">
        <v>76</v>
      </c>
      <c r="AF3" s="17" t="s">
        <v>72</v>
      </c>
      <c r="AG3" s="17" t="s">
        <v>79</v>
      </c>
      <c r="AH3" s="17" t="s">
        <v>77</v>
      </c>
      <c r="AI3" s="17" t="s">
        <v>80</v>
      </c>
      <c r="AJ3" s="17" t="s">
        <v>78</v>
      </c>
      <c r="AK3" s="17"/>
      <c r="AL3" s="17"/>
      <c r="AM3" s="17"/>
      <c r="AN3" s="17"/>
      <c r="AO3" s="20" t="s">
        <v>111</v>
      </c>
      <c r="AP3" s="17"/>
      <c r="AQ3" s="20" t="s">
        <v>112</v>
      </c>
      <c r="AR3" s="21"/>
      <c r="AS3" s="21" t="str">
        <f>CONCATENATE(
Tabelle3[[#This Row],[Workplace (Room)]],
" | ",
Tabelle3[[#This Row],[Attached Device if Gateway]],
" | ",
Tabelle3[[#This Row],[Workplace (Usage)]]
)</f>
        <v>TC.01.124-MCR-U5 | Mon 1.1 | Produzent</v>
      </c>
      <c r="AT3" s="22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2"/>
      <c r="BL3" s="24"/>
      <c r="BM3" s="22"/>
      <c r="BN3" s="22"/>
      <c r="BO3" s="22"/>
      <c r="BP3" s="22"/>
      <c r="BQ3" s="22"/>
      <c r="BR3" s="22"/>
      <c r="BS3" s="22"/>
      <c r="BT3" s="22"/>
      <c r="BU3" s="22"/>
    </row>
    <row r="4" spans="1:73" x14ac:dyDescent="0.25">
      <c r="A4" s="48">
        <v>539</v>
      </c>
      <c r="B4" s="48" t="s">
        <v>255</v>
      </c>
      <c r="C4" s="49">
        <v>43776</v>
      </c>
      <c r="D4" s="49">
        <v>43776</v>
      </c>
      <c r="E4" s="45">
        <v>1</v>
      </c>
      <c r="F4" s="45"/>
      <c r="G4" s="45">
        <v>4</v>
      </c>
      <c r="H4" s="45"/>
      <c r="I4" s="45">
        <v>1</v>
      </c>
      <c r="J4" s="45"/>
      <c r="K4" s="52" t="s">
        <v>256</v>
      </c>
      <c r="L4" s="48" t="s">
        <v>194</v>
      </c>
      <c r="M4" s="48" t="s">
        <v>114</v>
      </c>
      <c r="N4" s="48" t="s">
        <v>151</v>
      </c>
      <c r="O4" s="48" t="s">
        <v>260</v>
      </c>
      <c r="P4" s="48" t="s">
        <v>223</v>
      </c>
      <c r="Q4" s="48" t="s">
        <v>194</v>
      </c>
      <c r="R4" s="53"/>
      <c r="S4" s="53"/>
      <c r="T4" s="53" t="s">
        <v>262</v>
      </c>
      <c r="U4" s="53"/>
      <c r="V4" s="53"/>
      <c r="W4" s="53">
        <v>3</v>
      </c>
      <c r="X4" s="48" t="s">
        <v>261</v>
      </c>
      <c r="Y4" s="48" t="s">
        <v>257</v>
      </c>
      <c r="Z4" s="48" t="s">
        <v>258</v>
      </c>
      <c r="AA4" s="48" t="s">
        <v>259</v>
      </c>
      <c r="AB4" s="48">
        <v>5</v>
      </c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 t="s">
        <v>111</v>
      </c>
      <c r="AP4" s="48"/>
      <c r="AQ4" s="48" t="s">
        <v>112</v>
      </c>
      <c r="AR4" s="41" t="s">
        <v>115</v>
      </c>
      <c r="AS4" s="41" t="str">
        <f>CONCATENATE(
Tabelle3[[#This Row],[Workplace (Room)]],
" | ",
Tabelle3[[#This Row],[Attached Device if Gateway]],
" | ",
Tabelle3[[#This Row],[Workplace (Usage)]]
)</f>
        <v>TC.04.226 | R441 | MON PRV | Regisseur</v>
      </c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</row>
    <row r="5" spans="1:73" x14ac:dyDescent="0.25">
      <c r="A5" s="44">
        <f>A4</f>
        <v>539</v>
      </c>
      <c r="B5" s="44" t="str">
        <f>CONCATENATE(B4," (SDI02)")</f>
        <v>VGW4226-05 (SDI02)</v>
      </c>
      <c r="C5" s="49">
        <v>43776</v>
      </c>
      <c r="D5" s="49">
        <v>43776</v>
      </c>
      <c r="E5" s="50">
        <v>1</v>
      </c>
      <c r="F5" s="50"/>
      <c r="G5" s="50">
        <v>4</v>
      </c>
      <c r="H5" s="50"/>
      <c r="I5" s="50">
        <v>1</v>
      </c>
      <c r="J5" s="50"/>
      <c r="K5" s="52" t="s">
        <v>256</v>
      </c>
      <c r="L5" s="41" t="str">
        <f>L4</f>
        <v>TC.04.226 | R441</v>
      </c>
      <c r="M5" s="41" t="str">
        <f>M4</f>
        <v>Embrionix</v>
      </c>
      <c r="N5" s="41" t="str">
        <f>N4</f>
        <v>Embrionix IP&gt;2xSDI (HD)</v>
      </c>
      <c r="O5" s="48" t="s">
        <v>260</v>
      </c>
      <c r="P5" s="48" t="s">
        <v>223</v>
      </c>
      <c r="Q5" s="41" t="str">
        <f>Q4</f>
        <v>TC.04.226 | R441</v>
      </c>
      <c r="R5" s="45"/>
      <c r="S5" s="41">
        <f t="shared" si="0"/>
        <v>0</v>
      </c>
      <c r="T5" s="41" t="str">
        <f>T4</f>
        <v>X</v>
      </c>
      <c r="U5" s="41">
        <f t="shared" si="1"/>
        <v>0</v>
      </c>
      <c r="V5" s="45"/>
      <c r="W5" s="45"/>
      <c r="X5" s="41" t="str">
        <f t="shared" ref="X5:AJ5" si="2">X4</f>
        <v>Bernhard Sager</v>
      </c>
      <c r="Y5" s="41" t="str">
        <f t="shared" si="2"/>
        <v>tpco-megw-vgw422605.st-net.media.int</v>
      </c>
      <c r="Z5" s="41" t="str">
        <f t="shared" si="2"/>
        <v>10.120.104.81</v>
      </c>
      <c r="AA5" s="41" t="str">
        <f t="shared" si="2"/>
        <v>V-LeafB05</v>
      </c>
      <c r="AB5" s="41">
        <f t="shared" si="2"/>
        <v>5</v>
      </c>
      <c r="AC5" s="41">
        <f t="shared" si="2"/>
        <v>0</v>
      </c>
      <c r="AD5" s="41">
        <f t="shared" si="2"/>
        <v>0</v>
      </c>
      <c r="AE5" s="41">
        <f t="shared" si="2"/>
        <v>0</v>
      </c>
      <c r="AF5" s="41">
        <f t="shared" si="2"/>
        <v>0</v>
      </c>
      <c r="AG5" s="41">
        <f t="shared" si="2"/>
        <v>0</v>
      </c>
      <c r="AH5" s="41">
        <f t="shared" si="2"/>
        <v>0</v>
      </c>
      <c r="AI5" s="41">
        <f t="shared" si="2"/>
        <v>0</v>
      </c>
      <c r="AJ5" s="41">
        <f t="shared" si="2"/>
        <v>0</v>
      </c>
      <c r="AK5" s="41"/>
      <c r="AL5" s="41"/>
      <c r="AM5" s="41"/>
      <c r="AN5" s="41"/>
      <c r="AO5" s="41" t="str">
        <f>AO4</f>
        <v>Embrionix emBox</v>
      </c>
      <c r="AP5" s="41"/>
      <c r="AQ5" s="41" t="str">
        <f>AQ4</f>
        <v>No</v>
      </c>
      <c r="AR5" s="41"/>
      <c r="AS5" s="41" t="str">
        <f>CONCATENATE(
Tabelle3[[#This Row],[Workplace (Room)]],
" | ",
Tabelle3[[#This Row],[Attached Device if Gateway]],
" | ",
Tabelle3[[#This Row],[Workplace (Usage)]]
)</f>
        <v>TC.04.226 | R441 | MON PRV | Regisseur</v>
      </c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</row>
  </sheetData>
  <sheetProtection sheet="1" objects="1" scenarios="1" formatCells="0" formatColumns="0" sort="0"/>
  <dataValidations count="7">
    <dataValidation type="list" allowBlank="1" showInputMessage="1" showErrorMessage="1" errorTitle="Kein gültiger Wert" error="bitte gültigen Wert in Sharepoint Liste eintragen &gt;_x000a_https://srgssr.sharepoint.com/sites/MetechnoIPOrchestrator/Lists/IOListe%20%20Device%20Location/AllItems.aspx" sqref="L3:L5" xr:uid="{EB04B627-E752-4E5E-A019-7ACF6A941439}">
      <formula1>dev_location</formula1>
    </dataValidation>
    <dataValidation type="list" allowBlank="1" showInputMessage="1" showErrorMessage="1" sqref="M3:M5" xr:uid="{22E6BD73-C227-4E03-867E-214800EA49E4}">
      <formula1>manufacturer</formula1>
    </dataValidation>
    <dataValidation type="list" allowBlank="1" showInputMessage="1" showErrorMessage="1" errorTitle="Error" sqref="P3:P5" xr:uid="{F40706C2-B4AA-4214-AF86-7AA319FE0088}">
      <formula1>workplace_usage</formula1>
    </dataValidation>
    <dataValidation type="list" allowBlank="1" showInputMessage="1" showErrorMessage="1" errorTitle="Error" sqref="Q3:Q4" xr:uid="{D18005DB-BC2D-44A8-BF29-BFB328E657AF}">
      <formula1>workplace_room</formula1>
    </dataValidation>
    <dataValidation type="list" allowBlank="1" showInputMessage="1" showErrorMessage="1" errorTitle="Error" sqref="AO3:AO4" xr:uid="{19DCC1FF-9780-4F96-938E-BAB59AB377B5}">
      <formula1>driver</formula1>
    </dataValidation>
    <dataValidation type="list" allowBlank="1" showInputMessage="1" showErrorMessage="1" errorTitle="Error" sqref="AQ3:AQ4" xr:uid="{2AD70A5D-F6FE-4915-8A59-BF0BBC6F2ECC}">
      <formula1>ST2022_7</formula1>
    </dataValidation>
    <dataValidation allowBlank="1" showInputMessage="1" showErrorMessage="1" errorTitle="Error" sqref="N5 Q5 S5:U5" xr:uid="{AA383CDD-AA4E-47CA-BD37-FEF93ED57B18}"/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xr:uid="{2B38D9BB-7DCE-4094-A661-F39593F544AD}">
          <x14:formula1>
            <xm:f>'SP - Dev. Type GW'!$A:$A</xm:f>
          </x14:formula1>
          <xm:sqref>N3:N4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7612-4D98-48F3-8AA9-C7975A5FC61C}">
  <sheetPr>
    <tabColor rgb="FF00B050"/>
  </sheetPr>
  <dimension ref="A1:BV15"/>
  <sheetViews>
    <sheetView workbookViewId="0">
      <pane xSplit="6" ySplit="3" topLeftCell="N4" activePane="bottomRight" state="frozenSplit"/>
      <selection activeCell="B27" sqref="B27"/>
      <selection pane="topRight" activeCell="B27" sqref="B27"/>
      <selection pane="bottomLeft" activeCell="B27" sqref="B27"/>
      <selection pane="bottomRight" activeCell="E20" sqref="E20"/>
    </sheetView>
  </sheetViews>
  <sheetFormatPr defaultColWidth="11.5546875" defaultRowHeight="13.2" x14ac:dyDescent="0.25"/>
  <cols>
    <col min="2" max="2" width="34.5546875" style="6" customWidth="1"/>
    <col min="3" max="4" width="13.44140625" style="2" customWidth="1"/>
    <col min="5" max="5" width="20.109375" style="2" customWidth="1"/>
    <col min="6" max="8" width="17.33203125" customWidth="1"/>
    <col min="9" max="9" width="20.88671875" customWidth="1"/>
    <col min="10" max="11" width="28.44140625" customWidth="1"/>
    <col min="12" max="12" width="29.88671875" customWidth="1"/>
    <col min="13" max="13" width="17.5546875" customWidth="1"/>
    <col min="14" max="14" width="20.109375" customWidth="1"/>
    <col min="15" max="20" width="3.33203125" style="5" customWidth="1"/>
    <col min="21" max="21" width="20.109375" customWidth="1"/>
    <col min="22" max="22" width="55.44140625" customWidth="1"/>
    <col min="23" max="23" width="20.88671875" customWidth="1"/>
    <col min="24" max="24" width="16.109375" customWidth="1"/>
    <col min="25" max="25" width="16.33203125" customWidth="1"/>
    <col min="26" max="26" width="55.44140625" customWidth="1"/>
    <col min="27" max="27" width="20.88671875" customWidth="1"/>
    <col min="28" max="28" width="16.109375" customWidth="1"/>
    <col min="29" max="29" width="16.44140625" customWidth="1"/>
    <col min="30" max="30" width="55.44140625" customWidth="1"/>
    <col min="31" max="31" width="26.44140625" customWidth="1"/>
    <col min="32" max="32" width="55.44140625" customWidth="1"/>
    <col min="33" max="33" width="26.44140625" customWidth="1"/>
    <col min="34" max="37" width="10.88671875" hidden="1" customWidth="1"/>
    <col min="38" max="38" width="32.5546875" customWidth="1"/>
    <col min="39" max="39" width="12.88671875" customWidth="1"/>
    <col min="40" max="40" width="8.33203125" customWidth="1"/>
    <col min="41" max="41" width="10.88671875" customWidth="1"/>
    <col min="42" max="42" width="45.88671875" customWidth="1"/>
    <col min="43" max="56" width="3.33203125" bestFit="1" customWidth="1"/>
    <col min="57" max="57" width="3.109375" bestFit="1" customWidth="1"/>
    <col min="58" max="58" width="3.33203125" bestFit="1" customWidth="1"/>
    <col min="59" max="59" width="6.5546875" hidden="1" customWidth="1"/>
    <col min="60" max="60" width="6.6640625" customWidth="1"/>
    <col min="61" max="61" width="16.88671875" customWidth="1"/>
    <col min="62" max="63" width="7.109375" hidden="1" customWidth="1"/>
    <col min="64" max="65" width="19.5546875" hidden="1" customWidth="1"/>
    <col min="66" max="68" width="19.5546875" customWidth="1"/>
    <col min="69" max="70" width="19.5546875" hidden="1" customWidth="1"/>
    <col min="71" max="72" width="10.109375" hidden="1" customWidth="1"/>
    <col min="73" max="73" width="25.88671875" customWidth="1"/>
    <col min="74" max="74" width="16" customWidth="1"/>
  </cols>
  <sheetData>
    <row r="1" spans="1:74" ht="15.6" x14ac:dyDescent="0.3">
      <c r="A1" s="1" t="s">
        <v>0</v>
      </c>
      <c r="C1" s="60" t="s">
        <v>105</v>
      </c>
      <c r="D1" s="60"/>
      <c r="E1" s="60"/>
      <c r="F1" s="60"/>
      <c r="G1" s="9"/>
      <c r="H1" s="9"/>
      <c r="I1" s="9"/>
      <c r="J1" s="9"/>
    </row>
    <row r="2" spans="1:74" s="4" customFormat="1" ht="134.1" customHeight="1" x14ac:dyDescent="0.25">
      <c r="A2" s="29" t="s">
        <v>87</v>
      </c>
      <c r="B2" s="30" t="s">
        <v>88</v>
      </c>
      <c r="C2" s="31" t="s">
        <v>3</v>
      </c>
      <c r="D2" s="31" t="s">
        <v>89</v>
      </c>
      <c r="E2" s="31" t="s">
        <v>90</v>
      </c>
      <c r="F2" s="32" t="s">
        <v>86</v>
      </c>
      <c r="G2" s="32" t="s">
        <v>1</v>
      </c>
      <c r="H2" s="32" t="s">
        <v>91</v>
      </c>
      <c r="I2" s="32" t="s">
        <v>11</v>
      </c>
      <c r="J2" s="32" t="s">
        <v>81</v>
      </c>
      <c r="K2" s="32" t="s">
        <v>82</v>
      </c>
      <c r="L2" s="32" t="s">
        <v>83</v>
      </c>
      <c r="M2" s="32" t="s">
        <v>84</v>
      </c>
      <c r="N2" s="32" t="s">
        <v>85</v>
      </c>
      <c r="O2" s="33" t="s">
        <v>12</v>
      </c>
      <c r="P2" s="33" t="s">
        <v>60</v>
      </c>
      <c r="Q2" s="33" t="s">
        <v>59</v>
      </c>
      <c r="R2" s="33" t="s">
        <v>61</v>
      </c>
      <c r="S2" s="33" t="s">
        <v>13</v>
      </c>
      <c r="T2" s="33" t="s">
        <v>14</v>
      </c>
      <c r="U2" s="34" t="s">
        <v>15</v>
      </c>
      <c r="V2" s="35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21</v>
      </c>
      <c r="AB2" s="36" t="s">
        <v>22</v>
      </c>
      <c r="AC2" s="36" t="s">
        <v>23</v>
      </c>
      <c r="AD2" s="35" t="s">
        <v>24</v>
      </c>
      <c r="AE2" s="35" t="s">
        <v>25</v>
      </c>
      <c r="AF2" s="36" t="s">
        <v>26</v>
      </c>
      <c r="AG2" s="36" t="s">
        <v>27</v>
      </c>
      <c r="AH2" s="3" t="s">
        <v>28</v>
      </c>
      <c r="AI2" s="3" t="s">
        <v>29</v>
      </c>
      <c r="AJ2" s="3" t="s">
        <v>30</v>
      </c>
      <c r="AK2" s="3" t="s">
        <v>31</v>
      </c>
      <c r="AL2" s="37" t="s">
        <v>32</v>
      </c>
      <c r="AM2" s="37" t="s">
        <v>33</v>
      </c>
      <c r="AN2" s="37" t="s">
        <v>34</v>
      </c>
      <c r="AO2" s="37" t="s">
        <v>35</v>
      </c>
      <c r="AP2" s="37" t="s">
        <v>36</v>
      </c>
      <c r="AQ2" s="38" t="s">
        <v>38</v>
      </c>
      <c r="AR2" s="38" t="s">
        <v>39</v>
      </c>
      <c r="AS2" s="38" t="s">
        <v>40</v>
      </c>
      <c r="AT2" s="38" t="s">
        <v>41</v>
      </c>
      <c r="AU2" s="38" t="s">
        <v>42</v>
      </c>
      <c r="AV2" s="38" t="s">
        <v>43</v>
      </c>
      <c r="AW2" s="38" t="s">
        <v>44</v>
      </c>
      <c r="AX2" s="38" t="s">
        <v>45</v>
      </c>
      <c r="AY2" s="38" t="s">
        <v>46</v>
      </c>
      <c r="AZ2" s="38" t="s">
        <v>47</v>
      </c>
      <c r="BA2" s="38" t="s">
        <v>48</v>
      </c>
      <c r="BB2" s="38" t="s">
        <v>49</v>
      </c>
      <c r="BC2" s="38" t="s">
        <v>50</v>
      </c>
      <c r="BD2" s="38" t="s">
        <v>51</v>
      </c>
      <c r="BE2" s="38" t="s">
        <v>52</v>
      </c>
      <c r="BF2" s="38" t="s">
        <v>53</v>
      </c>
      <c r="BG2" s="37" t="s">
        <v>54</v>
      </c>
      <c r="BH2" s="39" t="s">
        <v>55</v>
      </c>
      <c r="BI2" s="37" t="s">
        <v>56</v>
      </c>
      <c r="BJ2" s="37" t="s">
        <v>57</v>
      </c>
      <c r="BK2" s="37" t="s">
        <v>97</v>
      </c>
      <c r="BL2" s="40" t="s">
        <v>98</v>
      </c>
      <c r="BM2" s="40" t="s">
        <v>99</v>
      </c>
      <c r="BN2" s="40" t="s">
        <v>100</v>
      </c>
      <c r="BO2" s="40" t="s">
        <v>101</v>
      </c>
      <c r="BP2" s="40" t="s">
        <v>102</v>
      </c>
      <c r="BQ2" s="40" t="s">
        <v>103</v>
      </c>
      <c r="BR2" s="40" t="s">
        <v>104</v>
      </c>
      <c r="BS2" s="37" t="s">
        <v>92</v>
      </c>
      <c r="BT2" s="37" t="s">
        <v>93</v>
      </c>
      <c r="BU2" s="37" t="s">
        <v>94</v>
      </c>
      <c r="BV2" s="37" t="s">
        <v>95</v>
      </c>
    </row>
    <row r="3" spans="1:74" s="7" customFormat="1" ht="16.5" customHeight="1" x14ac:dyDescent="0.25">
      <c r="A3" s="21" t="str">
        <f>IF(Tabelle32[[#This Row],[Device ID]]&gt;0,CONCATENATE(Tabelle32[[#This Row],[Device ID]],".",TEXT(Tabelle32[[#This Row],[Streamcounter]],"####0000")),"")</f>
        <v>9999.0001</v>
      </c>
      <c r="B3" s="25" t="str">
        <f>IFERROR(IF(VLOOKUP(Tabelle32[[#This Row],[Device ID]],BOM!$A$3:$B$5,2,FALSE)=0,"",CONCATENATE(VLOOKUP(Tabelle32[[#This Row],[Device ID]],BOM!$A$3:$B$5,2,FALSE),"_",BU3)),"")</f>
        <v>VGW1099-01_VIDsend_0001</v>
      </c>
      <c r="C3" s="25"/>
      <c r="D3" s="25"/>
      <c r="E3" s="25"/>
      <c r="F3" s="25" t="str">
        <f>IFERROR(VLOOKUP(Tabelle32[[#This Row],[Device ID]],BOM!$A$3:$BO$5,15,FALSE),"")</f>
        <v>Mon 1.1</v>
      </c>
      <c r="G3" s="25">
        <v>9999</v>
      </c>
      <c r="H3" s="26" t="str">
        <f>IFERROR(VLOOKUP(Tabelle32[[#This Row],[Device ID]],BOM!$A$3:$BO$5,2,FALSE),"")</f>
        <v>VGW1099-01</v>
      </c>
      <c r="I3" s="27" t="str">
        <f>BOM!$O$4</f>
        <v>MON PRV</v>
      </c>
      <c r="J3" s="26" t="str">
        <f>IFERROR(VLOOKUP(Tabelle32[[#This Row],[Device ID]],BOM!$A$3:$BO$5,12,FALSE),"")</f>
        <v>TC.01.124-MCR-U2</v>
      </c>
      <c r="K3" s="26" t="str">
        <f>IFERROR(VLOOKUP(Tabelle32[[#This Row],[Device ID]],BOM!$A$3:$BO$5,13,FALSE),"")</f>
        <v>Embrionix</v>
      </c>
      <c r="L3" s="27" t="str">
        <f>IFERROR(VLOOKUP(Tabelle32[[#This Row],[Device ID]],BOM!$A$3:$BO$5,14,FALSE),"")</f>
        <v>Embrionix 2xSDI&gt;IP (HD)</v>
      </c>
      <c r="M3" s="27" t="str">
        <f>IFERROR(VLOOKUP(Tabelle32[[#This Row],[Device ID]],BOM!$A$3:$BO$5,16,FALSE),"")</f>
        <v>Produzent</v>
      </c>
      <c r="N3" s="27" t="str">
        <f>IFERROR(VLOOKUP(Tabelle32[[#This Row],[Device ID]],BOM!$A$3:$BO$5,17,FALSE),"")</f>
        <v>TC.01.124-MCR-U5</v>
      </c>
      <c r="O3" s="26"/>
      <c r="P3" s="26"/>
      <c r="Q3" s="26"/>
      <c r="R3" s="26"/>
      <c r="S3" s="26"/>
      <c r="T3" s="26"/>
      <c r="U3" s="26" t="str">
        <f>IFERROR(VLOOKUP(Tabelle32[[#This Row],[Device ID]],BOM!$A$3:$BO$5,24,FALSE),"")</f>
        <v>Peter Hochueli</v>
      </c>
      <c r="V3" s="26" t="str">
        <f>IFERROR(VLOOKUP(Tabelle32[[#This Row],[Device ID]],BOM!$A$3:$BO$5,25,FALSE),"")</f>
        <v>tpco-megw-vgw109901.rta.st-net.media.int</v>
      </c>
      <c r="W3" s="26" t="str">
        <f>IFERROR(VLOOKUP(Tabelle32[[#This Row],[Device ID]],BOM!$A$3:$BO$5,26,FALSE),"")</f>
        <v>10.120.42.42</v>
      </c>
      <c r="X3" s="26" t="str">
        <f>IFERROR(VLOOKUP(Tabelle32[[#This Row],[Device ID]],BOM!$A$3:$BO$5,27,FALSE),"")</f>
        <v>V-LeafA01</v>
      </c>
      <c r="Y3" s="26" t="str">
        <f>IFERROR(VLOOKUP(Tabelle32[[#This Row],[Device ID]],BOM!$A$3:$BO$5,28,FALSE),"")</f>
        <v>eth1</v>
      </c>
      <c r="Z3" s="26" t="str">
        <f>IFERROR(VLOOKUP(Tabelle32[[#This Row],[Device ID]],BOM!$A$3:$BO$5,29,FALSE),"")</f>
        <v>tpco-megw-vgw109901.rtb.st-net.media.int</v>
      </c>
      <c r="AA3" s="26" t="str">
        <f>IFERROR(VLOOKUP(Tabelle32[[#This Row],[Device ID]],BOM!$A$3:$BO$5,30,FALSE),"")</f>
        <v>10.120.43.42</v>
      </c>
      <c r="AB3" s="26" t="str">
        <f>IFERROR(VLOOKUP(Tabelle32[[#This Row],[Device ID]],BOM!$A$3:$BO$5,31,FALSE),"")</f>
        <v>V-LeafB01</v>
      </c>
      <c r="AC3" s="26" t="str">
        <f>IFERROR(VLOOKUP(Tabelle32[[#This Row],[Device ID]],BOM!$A$3:$BO$5,32,FALSE),"")</f>
        <v>eth1</v>
      </c>
      <c r="AD3" s="26" t="str">
        <f>IFERROR(VLOOKUP(Tabelle32[[#This Row],[Device ID]],BOM!$A$3:$BO$5,33,FALSE),"")</f>
        <v>tpco-megw-vgw109901.cta.st-net.media.int</v>
      </c>
      <c r="AE3" s="26" t="str">
        <f>IFERROR(VLOOKUP(Tabelle32[[#This Row],[Device ID]],BOM!$A$3:$BO$5,34,FALSE),"")</f>
        <v>10.120.24.42</v>
      </c>
      <c r="AF3" s="26" t="str">
        <f>IFERROR(VLOOKUP(Tabelle32[[#This Row],[Device ID]],BOM!$A$3:$BO$5,35,FALSE),"")</f>
        <v>tpco-megw-vgw109901.ctb.st-net.media.int</v>
      </c>
      <c r="AG3" s="26" t="str">
        <f>IFERROR(VLOOKUP(Tabelle32[[#This Row],[Device ID]],BOM!$A$3:$BO$5,36,FALSE),"")</f>
        <v>10.120.25.42</v>
      </c>
      <c r="AH3" s="26"/>
      <c r="AI3" s="26"/>
      <c r="AJ3" s="26"/>
      <c r="AK3" s="26"/>
      <c r="AL3" s="27" t="str">
        <f>IFERROR(VLOOKUP(Tabelle32[[#This Row],[Device ID]],BOM!$A$3:$BO$5,41,FALSE),"")</f>
        <v>Embrionix emBox</v>
      </c>
      <c r="AM3" s="26"/>
      <c r="AN3" s="27" t="str">
        <f>IFERROR(VLOOKUP(Tabelle32[[#This Row],[Device ID]],BOM!$A$3:$BO$5,43,FALSE),"")</f>
        <v>No</v>
      </c>
      <c r="AO3" s="26"/>
      <c r="AP3" s="26" t="str">
        <f>IFERROR(CONCATENATE(Tabelle32[[#This Row],[Family
GFX-Unit]]," | ",Tabelle32[[#This Row],[Label 1
GFX-Unit]]," | ",Tabelle32[[#This Row],[Attached Device if Gateway]]),"")</f>
        <v xml:space="preserve"> |  | Mon 1.1</v>
      </c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26"/>
      <c r="BH3" s="26"/>
      <c r="BI3" s="26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J3" s="26"/>
      <c r="BK3" s="26"/>
      <c r="BL3" s="28"/>
      <c r="BM3" s="28"/>
      <c r="BN3" s="26"/>
      <c r="BO3" s="26"/>
      <c r="BP3" s="25">
        <f>LEN(Tabelle32[[#This Row],[Label 1
GFX-Unit]])</f>
        <v>0</v>
      </c>
      <c r="BQ3" s="25"/>
      <c r="BR3" s="25"/>
      <c r="BS3" s="26"/>
      <c r="BT3" s="26"/>
      <c r="BU3" s="26" t="s">
        <v>96</v>
      </c>
      <c r="BV3" s="26">
        <v>1</v>
      </c>
    </row>
    <row r="4" spans="1:74" x14ac:dyDescent="0.25">
      <c r="A4" s="41" t="str">
        <f>IF(Tabelle32[[#This Row],[Device ID]]&gt;0,CONCATENATE(Tabelle32[[#This Row],[Device ID]],".",TEXT(Tabelle32[[#This Row],[Streamcounter]],"####0000")),"")</f>
        <v>539.1001</v>
      </c>
      <c r="B4" s="42" t="str">
        <f>IFERROR(IF(VLOOKUP(Tabelle32[[#This Row],[Device ID]],BOM!$A$3:$B$5,2,FALSE)=0,"",CONCATENATE(VLOOKUP(Tabelle32[[#This Row],[Device ID]],BOM!$A$3:$B$5,2,FALSE),"_",BU4)),"")</f>
        <v>VGW4226-05_SDI01_VIDrec_0001</v>
      </c>
      <c r="C4" s="43">
        <v>43775</v>
      </c>
      <c r="D4" s="43">
        <v>43775</v>
      </c>
      <c r="E4" s="43">
        <v>43775</v>
      </c>
      <c r="F4" s="41" t="str">
        <f>BOM!$O$4</f>
        <v>MON PRV</v>
      </c>
      <c r="G4" s="48">
        <v>539</v>
      </c>
      <c r="H4" s="41" t="str">
        <f>IFERROR(VLOOKUP(Tabelle32[[#This Row],[Device ID]],BOM!$A$3:$BO$5,2,FALSE),"")</f>
        <v>VGW4226-05</v>
      </c>
      <c r="I4" s="44" t="str">
        <f>BOM!$K$4</f>
        <v>Videomonitor</v>
      </c>
      <c r="J4" s="41" t="str">
        <f>IFERROR(VLOOKUP(Tabelle32[[#This Row],[Device ID]],BOM!$A$3:$BO$5,12,FALSE),"")</f>
        <v>TC.04.226 | R441</v>
      </c>
      <c r="K4" s="41" t="str">
        <f>IFERROR(VLOOKUP(Tabelle32[[#This Row],[Device ID]],BOM!$A$3:$BO$5,13,FALSE),"")</f>
        <v>Embrionix</v>
      </c>
      <c r="L4" s="41" t="str">
        <f>IFERROR(VLOOKUP(Tabelle32[[#This Row],[Device ID]],BOM!$A$3:$BO$5,14,FALSE),"")</f>
        <v>Embrionix IP&gt;2xSDI (HD)</v>
      </c>
      <c r="M4" s="44" t="str">
        <f>BOM!$P$4</f>
        <v>Regisseur</v>
      </c>
      <c r="N4" s="41" t="str">
        <f>IFERROR(VLOOKUP(Tabelle32[[#This Row],[Device ID]],BOM!$A$3:$BO$5,17,FALSE),"")</f>
        <v>TC.04.226 | R441</v>
      </c>
      <c r="O4" s="45"/>
      <c r="P4" s="45"/>
      <c r="Q4" s="45"/>
      <c r="R4" s="45"/>
      <c r="S4" s="45"/>
      <c r="T4" s="45"/>
      <c r="U4" s="41" t="str">
        <f>IFERROR(VLOOKUP(Tabelle32[[#This Row],[Device ID]],BOM!$A$3:$BO$5,24,FALSE),"")</f>
        <v>Bernhard Sager</v>
      </c>
      <c r="V4" s="41" t="str">
        <f>IFERROR(VLOOKUP(Tabelle32[[#This Row],[Device ID]],BOM!$A$3:$BO$5,25,FALSE),"")</f>
        <v>tpco-megw-vgw422605.st-net.media.int</v>
      </c>
      <c r="W4" s="41" t="str">
        <f>IFERROR(VLOOKUP(Tabelle32[[#This Row],[Device ID]],BOM!$A$3:$BO$5,26,FALSE),"")</f>
        <v>10.120.104.81</v>
      </c>
      <c r="X4" s="41" t="str">
        <f>IFERROR(VLOOKUP(Tabelle32[[#This Row],[Device ID]],BOM!$A$3:$BO$5,27,FALSE),"")</f>
        <v>V-LeafB05</v>
      </c>
      <c r="Y4" s="41">
        <f>IFERROR(VLOOKUP(Tabelle32[[#This Row],[Device ID]],BOM!$A$3:$BO$5,28,FALSE),"")</f>
        <v>5</v>
      </c>
      <c r="Z4" s="41">
        <f>IFERROR(VLOOKUP(Tabelle32[[#This Row],[Device ID]],BOM!$A$3:$BO$5,29,FALSE),"")</f>
        <v>0</v>
      </c>
      <c r="AA4" s="41">
        <f>IFERROR(VLOOKUP(Tabelle32[[#This Row],[Device ID]],BOM!$A$3:$BO$5,30,FALSE),"")</f>
        <v>0</v>
      </c>
      <c r="AB4" s="41">
        <f>IFERROR(VLOOKUP(Tabelle32[[#This Row],[Device ID]],BOM!$A$3:$BO$5,31,FALSE),"")</f>
        <v>0</v>
      </c>
      <c r="AC4" s="41">
        <f>IFERROR(VLOOKUP(Tabelle32[[#This Row],[Device ID]],BOM!$A$3:$BO$5,32,FALSE),"")</f>
        <v>0</v>
      </c>
      <c r="AD4" s="41">
        <f>IFERROR(VLOOKUP(Tabelle32[[#This Row],[Device ID]],BOM!$A$3:$BO$5,33,FALSE),"")</f>
        <v>0</v>
      </c>
      <c r="AE4" s="41">
        <f>IFERROR(VLOOKUP(Tabelle32[[#This Row],[Device ID]],BOM!$A$3:$BO$5,34,FALSE),"")</f>
        <v>0</v>
      </c>
      <c r="AF4" s="41">
        <f>IFERROR(VLOOKUP(Tabelle32[[#This Row],[Device ID]],BOM!$A$3:$BO$5,35,FALSE),"")</f>
        <v>0</v>
      </c>
      <c r="AG4" s="41">
        <f>IFERROR(VLOOKUP(Tabelle32[[#This Row],[Device ID]],BOM!$A$3:$BO$5,36,FALSE),"")</f>
        <v>0</v>
      </c>
      <c r="AH4" s="41"/>
      <c r="AI4" s="41"/>
      <c r="AJ4" s="41"/>
      <c r="AK4" s="41"/>
      <c r="AL4" s="41" t="str">
        <f>IFERROR(VLOOKUP(Tabelle32[[#This Row],[Device ID]],BOM!$A$3:$BO$5,41,FALSE),"")</f>
        <v>Embrionix emBox</v>
      </c>
      <c r="AM4" s="41"/>
      <c r="AN4" s="41" t="str">
        <f>IFERROR(VLOOKUP(Tabelle32[[#This Row],[Device ID]],BOM!$A$3:$BO$5,43,FALSE),"")</f>
        <v>No</v>
      </c>
      <c r="AO4" s="41"/>
      <c r="AP4" s="41" t="str">
        <f>IFERROR(CONCATENATE(Tabelle32[[#This Row],[Family
GFX-Unit]]," | ",Tabelle32[[#This Row],[Label 1
GFX-Unit]]," | ",Tabelle32[[#This Row],[Attached Device if Gateway]]),"")</f>
        <v>DISPLAY R441 | PREVIEW | MON PRV</v>
      </c>
      <c r="AQ4" s="48" t="s">
        <v>68</v>
      </c>
      <c r="AR4" s="48" t="s">
        <v>68</v>
      </c>
      <c r="AS4" s="48" t="s">
        <v>68</v>
      </c>
      <c r="AT4" s="48"/>
      <c r="AU4" s="48" t="s">
        <v>68</v>
      </c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6"/>
      <c r="BH4" s="44" t="str">
        <f>IF(COUNTA(Tabelle32[[#This Row],[Type:Vid_1080i50]:[Type:Anc_Prot]])&gt;0,"x","")</f>
        <v>x</v>
      </c>
      <c r="BI4" s="4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Type:Vid_1080i50,Type:Vid_1080p25,Type:Vid_1080p50,Type:Vid_1080p60,#Embrionix emBox</v>
      </c>
      <c r="BJ4" s="41"/>
      <c r="BK4" s="41"/>
      <c r="BL4" s="46"/>
      <c r="BM4" s="46"/>
      <c r="BN4" s="55" t="s">
        <v>263</v>
      </c>
      <c r="BO4" s="56" t="s">
        <v>264</v>
      </c>
      <c r="BP4" s="44">
        <f>LEN(Tabelle32[[#This Row],[Label 1
GFX-Unit]])</f>
        <v>7</v>
      </c>
      <c r="BQ4" s="46"/>
      <c r="BR4" s="46"/>
      <c r="BS4" s="41"/>
      <c r="BT4" s="41"/>
      <c r="BU4" s="41" t="s">
        <v>127</v>
      </c>
      <c r="BV4" s="41">
        <v>1001</v>
      </c>
    </row>
    <row r="5" spans="1:74" x14ac:dyDescent="0.25">
      <c r="A5" s="41" t="str">
        <f>IF(Tabelle32[[#This Row],[Device ID]]&gt;0,CONCATENATE(Tabelle32[[#This Row],[Device ID]],".",TEXT(Tabelle32[[#This Row],[Streamcounter]],"####0000")),"")</f>
        <v>539.1002</v>
      </c>
      <c r="B5" s="42" t="str">
        <f>IFERROR(IF(VLOOKUP(Tabelle32[[#This Row],[Device ID]],BOM!$A$3:$B$5,2,FALSE)=0,"",CONCATENATE(VLOOKUP(Tabelle32[[#This Row],[Device ID]],BOM!$A$3:$B$5,2,FALSE),"_",BU5)),"")</f>
        <v>VGW4226-05_SDI01_AUDrec_0001</v>
      </c>
      <c r="C5" s="43">
        <v>43775</v>
      </c>
      <c r="D5" s="43">
        <v>43775</v>
      </c>
      <c r="E5" s="43">
        <v>43775</v>
      </c>
      <c r="F5" s="41" t="str">
        <f>BOM!$O$4</f>
        <v>MON PRV</v>
      </c>
      <c r="G5" s="44">
        <f>G4</f>
        <v>539</v>
      </c>
      <c r="H5" s="41" t="str">
        <f>IFERROR(VLOOKUP(Tabelle32[[#This Row],[Device ID]],BOM!$A$3:$BO$5,2,FALSE),"")</f>
        <v>VGW4226-05</v>
      </c>
      <c r="I5" s="44" t="str">
        <f>BOM!$K$4</f>
        <v>Videomonitor</v>
      </c>
      <c r="J5" s="41" t="str">
        <f>IFERROR(VLOOKUP(Tabelle32[[#This Row],[Device ID]],BOM!$A$3:$BO$5,12,FALSE),"")</f>
        <v>TC.04.226 | R441</v>
      </c>
      <c r="K5" s="41" t="str">
        <f>IFERROR(VLOOKUP(Tabelle32[[#This Row],[Device ID]],BOM!$A$3:$BO$5,13,FALSE),"")</f>
        <v>Embrionix</v>
      </c>
      <c r="L5" s="41" t="str">
        <f>IFERROR(VLOOKUP(Tabelle32[[#This Row],[Device ID]],BOM!$A$3:$BO$5,14,FALSE),"")</f>
        <v>Embrionix IP&gt;2xSDI (HD)</v>
      </c>
      <c r="M5" s="44" t="str">
        <f>BOM!$P$4</f>
        <v>Regisseur</v>
      </c>
      <c r="N5" s="41" t="str">
        <f>IFERROR(VLOOKUP(Tabelle32[[#This Row],[Device ID]],BOM!$A$3:$BO$5,17,FALSE),"")</f>
        <v>TC.04.226 | R441</v>
      </c>
      <c r="O5" s="45"/>
      <c r="P5" s="45"/>
      <c r="Q5" s="45"/>
      <c r="R5" s="45"/>
      <c r="S5" s="45"/>
      <c r="T5" s="45"/>
      <c r="U5" s="41" t="str">
        <f>IFERROR(VLOOKUP(Tabelle32[[#This Row],[Device ID]],BOM!$A$3:$BO$5,24,FALSE),"")</f>
        <v>Bernhard Sager</v>
      </c>
      <c r="V5" s="41" t="str">
        <f>IFERROR(VLOOKUP(Tabelle32[[#This Row],[Device ID]],BOM!$A$3:$BO$5,25,FALSE),"")</f>
        <v>tpco-megw-vgw422605.st-net.media.int</v>
      </c>
      <c r="W5" s="41" t="str">
        <f>IFERROR(VLOOKUP(Tabelle32[[#This Row],[Device ID]],BOM!$A$3:$BO$5,26,FALSE),"")</f>
        <v>10.120.104.81</v>
      </c>
      <c r="X5" s="41" t="str">
        <f>IFERROR(VLOOKUP(Tabelle32[[#This Row],[Device ID]],BOM!$A$3:$BO$5,27,FALSE),"")</f>
        <v>V-LeafB05</v>
      </c>
      <c r="Y5" s="41">
        <f>IFERROR(VLOOKUP(Tabelle32[[#This Row],[Device ID]],BOM!$A$3:$BO$5,28,FALSE),"")</f>
        <v>5</v>
      </c>
      <c r="Z5" s="41">
        <f>IFERROR(VLOOKUP(Tabelle32[[#This Row],[Device ID]],BOM!$A$3:$BO$5,29,FALSE),"")</f>
        <v>0</v>
      </c>
      <c r="AA5" s="41">
        <f>IFERROR(VLOOKUP(Tabelle32[[#This Row],[Device ID]],BOM!$A$3:$BO$5,30,FALSE),"")</f>
        <v>0</v>
      </c>
      <c r="AB5" s="41">
        <f>IFERROR(VLOOKUP(Tabelle32[[#This Row],[Device ID]],BOM!$A$3:$BO$5,31,FALSE),"")</f>
        <v>0</v>
      </c>
      <c r="AC5" s="41">
        <f>IFERROR(VLOOKUP(Tabelle32[[#This Row],[Device ID]],BOM!$A$3:$BO$5,32,FALSE),"")</f>
        <v>0</v>
      </c>
      <c r="AD5" s="41">
        <f>IFERROR(VLOOKUP(Tabelle32[[#This Row],[Device ID]],BOM!$A$3:$BO$5,33,FALSE),"")</f>
        <v>0</v>
      </c>
      <c r="AE5" s="41">
        <f>IFERROR(VLOOKUP(Tabelle32[[#This Row],[Device ID]],BOM!$A$3:$BO$5,34,FALSE),"")</f>
        <v>0</v>
      </c>
      <c r="AF5" s="41">
        <f>IFERROR(VLOOKUP(Tabelle32[[#This Row],[Device ID]],BOM!$A$3:$BO$5,35,FALSE),"")</f>
        <v>0</v>
      </c>
      <c r="AG5" s="41">
        <f>IFERROR(VLOOKUP(Tabelle32[[#This Row],[Device ID]],BOM!$A$3:$BO$5,36,FALSE),"")</f>
        <v>0</v>
      </c>
      <c r="AH5" s="41"/>
      <c r="AI5" s="41"/>
      <c r="AJ5" s="41"/>
      <c r="AK5" s="41"/>
      <c r="AL5" s="41" t="str">
        <f>IFERROR(VLOOKUP(Tabelle32[[#This Row],[Device ID]],BOM!$A$3:$BO$5,41,FALSE),"")</f>
        <v>Embrionix emBox</v>
      </c>
      <c r="AM5" s="41"/>
      <c r="AN5" s="41" t="str">
        <f>IFERROR(VLOOKUP(Tabelle32[[#This Row],[Device ID]],BOM!$A$3:$BO$5,43,FALSE),"")</f>
        <v>No</v>
      </c>
      <c r="AO5" s="41"/>
      <c r="AP5" s="41" t="str">
        <f>IFERROR(CONCATENATE(Tabelle32[[#This Row],[Family
GFX-Unit]]," | ",Tabelle32[[#This Row],[Label 1
GFX-Unit]]," | ",Tabelle32[[#This Row],[Attached Device if Gateway]]),"")</f>
        <v xml:space="preserve"> |  | MON PRV</v>
      </c>
      <c r="AQ5" s="48"/>
      <c r="AR5" s="48"/>
      <c r="AS5" s="48"/>
      <c r="AT5" s="48"/>
      <c r="AU5" s="48"/>
      <c r="AV5" s="48" t="s">
        <v>68</v>
      </c>
      <c r="AW5" s="48"/>
      <c r="AX5" s="48"/>
      <c r="AY5" s="48" t="s">
        <v>68</v>
      </c>
      <c r="AZ5" s="48"/>
      <c r="BA5" s="48"/>
      <c r="BB5" s="48"/>
      <c r="BC5" s="48"/>
      <c r="BD5" s="48"/>
      <c r="BE5" s="48"/>
      <c r="BF5" s="48"/>
      <c r="BG5" s="46"/>
      <c r="BH5" s="44" t="str">
        <f>IF(COUNTA(Tabelle32[[#This Row],[Type:Vid_1080i50]:[Type:Anc_Prot]])&gt;0,"x","")</f>
        <v>x</v>
      </c>
      <c r="BI5" s="4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Type:Aud_1CH_M,Type:Aud_2CH_LR,#Embrionix emBox</v>
      </c>
      <c r="BJ5" s="41"/>
      <c r="BK5" s="41"/>
      <c r="BL5" s="46"/>
      <c r="BM5" s="46"/>
      <c r="BN5" s="58"/>
      <c r="BO5" s="59"/>
      <c r="BP5" s="44">
        <f>LEN(Tabelle32[[#This Row],[Label 1
GFX-Unit]])</f>
        <v>0</v>
      </c>
      <c r="BQ5" s="46"/>
      <c r="BR5" s="46"/>
      <c r="BS5" s="41"/>
      <c r="BT5" s="41"/>
      <c r="BU5" s="41" t="s">
        <v>128</v>
      </c>
      <c r="BV5" s="41">
        <v>1002</v>
      </c>
    </row>
    <row r="6" spans="1:74" x14ac:dyDescent="0.25">
      <c r="A6" s="41" t="str">
        <f>IF(Tabelle32[[#This Row],[Device ID]]&gt;0,CONCATENATE(Tabelle32[[#This Row],[Device ID]],".",TEXT(Tabelle32[[#This Row],[Streamcounter]],"####0000")),"")</f>
        <v>539.1003</v>
      </c>
      <c r="B6" s="42" t="str">
        <f>IFERROR(IF(VLOOKUP(Tabelle32[[#This Row],[Device ID]],BOM!$A$3:$B$5,2,FALSE)=0,"",CONCATENATE(VLOOKUP(Tabelle32[[#This Row],[Device ID]],BOM!$A$3:$B$5,2,FALSE),"_",BU6)),"")</f>
        <v>VGW4226-05_SDI01_AUDrec_0002</v>
      </c>
      <c r="C6" s="43">
        <v>43775</v>
      </c>
      <c r="D6" s="43">
        <v>43775</v>
      </c>
      <c r="E6" s="43">
        <v>43775</v>
      </c>
      <c r="F6" s="41" t="str">
        <f>BOM!$O$4</f>
        <v>MON PRV</v>
      </c>
      <c r="G6" s="44">
        <f t="shared" ref="G6:G15" si="0">G5</f>
        <v>539</v>
      </c>
      <c r="H6" s="41" t="str">
        <f>IFERROR(VLOOKUP(Tabelle32[[#This Row],[Device ID]],BOM!$A$3:$BO$5,2,FALSE),"")</f>
        <v>VGW4226-05</v>
      </c>
      <c r="I6" s="44" t="str">
        <f>BOM!$K$4</f>
        <v>Videomonitor</v>
      </c>
      <c r="J6" s="41" t="str">
        <f>IFERROR(VLOOKUP(Tabelle32[[#This Row],[Device ID]],BOM!$A$3:$BO$5,12,FALSE),"")</f>
        <v>TC.04.226 | R441</v>
      </c>
      <c r="K6" s="41" t="str">
        <f>IFERROR(VLOOKUP(Tabelle32[[#This Row],[Device ID]],BOM!$A$3:$BO$5,13,FALSE),"")</f>
        <v>Embrionix</v>
      </c>
      <c r="L6" s="41" t="str">
        <f>IFERROR(VLOOKUP(Tabelle32[[#This Row],[Device ID]],BOM!$A$3:$BO$5,14,FALSE),"")</f>
        <v>Embrionix IP&gt;2xSDI (HD)</v>
      </c>
      <c r="M6" s="44" t="str">
        <f>BOM!$P$4</f>
        <v>Regisseur</v>
      </c>
      <c r="N6" s="41" t="str">
        <f>IFERROR(VLOOKUP(Tabelle32[[#This Row],[Device ID]],BOM!$A$3:$BO$5,17,FALSE),"")</f>
        <v>TC.04.226 | R441</v>
      </c>
      <c r="O6" s="45"/>
      <c r="P6" s="45"/>
      <c r="Q6" s="45"/>
      <c r="R6" s="45"/>
      <c r="S6" s="45"/>
      <c r="T6" s="45"/>
      <c r="U6" s="41" t="str">
        <f>IFERROR(VLOOKUP(Tabelle32[[#This Row],[Device ID]],BOM!$A$3:$BO$5,24,FALSE),"")</f>
        <v>Bernhard Sager</v>
      </c>
      <c r="V6" s="41" t="str">
        <f>IFERROR(VLOOKUP(Tabelle32[[#This Row],[Device ID]],BOM!$A$3:$BO$5,25,FALSE),"")</f>
        <v>tpco-megw-vgw422605.st-net.media.int</v>
      </c>
      <c r="W6" s="41" t="str">
        <f>IFERROR(VLOOKUP(Tabelle32[[#This Row],[Device ID]],BOM!$A$3:$BO$5,26,FALSE),"")</f>
        <v>10.120.104.81</v>
      </c>
      <c r="X6" s="41" t="str">
        <f>IFERROR(VLOOKUP(Tabelle32[[#This Row],[Device ID]],BOM!$A$3:$BO$5,27,FALSE),"")</f>
        <v>V-LeafB05</v>
      </c>
      <c r="Y6" s="41">
        <f>IFERROR(VLOOKUP(Tabelle32[[#This Row],[Device ID]],BOM!$A$3:$BO$5,28,FALSE),"")</f>
        <v>5</v>
      </c>
      <c r="Z6" s="41">
        <f>IFERROR(VLOOKUP(Tabelle32[[#This Row],[Device ID]],BOM!$A$3:$BO$5,29,FALSE),"")</f>
        <v>0</v>
      </c>
      <c r="AA6" s="41">
        <f>IFERROR(VLOOKUP(Tabelle32[[#This Row],[Device ID]],BOM!$A$3:$BO$5,30,FALSE),"")</f>
        <v>0</v>
      </c>
      <c r="AB6" s="41">
        <f>IFERROR(VLOOKUP(Tabelle32[[#This Row],[Device ID]],BOM!$A$3:$BO$5,31,FALSE),"")</f>
        <v>0</v>
      </c>
      <c r="AC6" s="41">
        <f>IFERROR(VLOOKUP(Tabelle32[[#This Row],[Device ID]],BOM!$A$3:$BO$5,32,FALSE),"")</f>
        <v>0</v>
      </c>
      <c r="AD6" s="41">
        <f>IFERROR(VLOOKUP(Tabelle32[[#This Row],[Device ID]],BOM!$A$3:$BO$5,33,FALSE),"")</f>
        <v>0</v>
      </c>
      <c r="AE6" s="41">
        <f>IFERROR(VLOOKUP(Tabelle32[[#This Row],[Device ID]],BOM!$A$3:$BO$5,34,FALSE),"")</f>
        <v>0</v>
      </c>
      <c r="AF6" s="41">
        <f>IFERROR(VLOOKUP(Tabelle32[[#This Row],[Device ID]],BOM!$A$3:$BO$5,35,FALSE),"")</f>
        <v>0</v>
      </c>
      <c r="AG6" s="41">
        <f>IFERROR(VLOOKUP(Tabelle32[[#This Row],[Device ID]],BOM!$A$3:$BO$5,36,FALSE),"")</f>
        <v>0</v>
      </c>
      <c r="AH6" s="41"/>
      <c r="AI6" s="41"/>
      <c r="AJ6" s="41"/>
      <c r="AK6" s="41"/>
      <c r="AL6" s="41" t="str">
        <f>IFERROR(VLOOKUP(Tabelle32[[#This Row],[Device ID]],BOM!$A$3:$BO$5,41,FALSE),"")</f>
        <v>Embrionix emBox</v>
      </c>
      <c r="AM6" s="41"/>
      <c r="AN6" s="41" t="str">
        <f>IFERROR(VLOOKUP(Tabelle32[[#This Row],[Device ID]],BOM!$A$3:$BO$5,43,FALSE),"")</f>
        <v>No</v>
      </c>
      <c r="AO6" s="41"/>
      <c r="AP6" s="41" t="str">
        <f>IFERROR(CONCATENATE(Tabelle32[[#This Row],[Family
GFX-Unit]]," | ",Tabelle32[[#This Row],[Label 1
GFX-Unit]]," | ",Tabelle32[[#This Row],[Attached Device if Gateway]]),"")</f>
        <v xml:space="preserve"> |  | MON PRV</v>
      </c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6"/>
      <c r="BH6" s="44" t="str">
        <f>IF(COUNTA(Tabelle32[[#This Row],[Type:Vid_1080i50]:[Type:Anc_Prot]])&gt;0,"x","")</f>
        <v/>
      </c>
      <c r="BI6" s="4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J6" s="41"/>
      <c r="BK6" s="41"/>
      <c r="BL6" s="46"/>
      <c r="BM6" s="46"/>
      <c r="BN6" s="58"/>
      <c r="BO6" s="59"/>
      <c r="BP6" s="44">
        <f>LEN(Tabelle32[[#This Row],[Label 1
GFX-Unit]])</f>
        <v>0</v>
      </c>
      <c r="BQ6" s="46"/>
      <c r="BR6" s="46"/>
      <c r="BS6" s="41"/>
      <c r="BT6" s="41"/>
      <c r="BU6" s="41" t="s">
        <v>129</v>
      </c>
      <c r="BV6" s="41">
        <v>1003</v>
      </c>
    </row>
    <row r="7" spans="1:74" x14ac:dyDescent="0.25">
      <c r="A7" s="41" t="str">
        <f>IF(Tabelle32[[#This Row],[Device ID]]&gt;0,CONCATENATE(Tabelle32[[#This Row],[Device ID]],".",TEXT(Tabelle32[[#This Row],[Streamcounter]],"####0000")),"")</f>
        <v>539.1004</v>
      </c>
      <c r="B7" s="42" t="str">
        <f>IFERROR(IF(VLOOKUP(Tabelle32[[#This Row],[Device ID]],BOM!$A$3:$B$5,2,FALSE)=0,"",CONCATENATE(VLOOKUP(Tabelle32[[#This Row],[Device ID]],BOM!$A$3:$B$5,2,FALSE),"_",BU7)),"")</f>
        <v>VGW4226-05_SDI01_AUDrec_0003</v>
      </c>
      <c r="C7" s="43">
        <v>43775</v>
      </c>
      <c r="D7" s="43">
        <v>43775</v>
      </c>
      <c r="E7" s="43">
        <v>43775</v>
      </c>
      <c r="F7" s="41" t="str">
        <f>BOM!$O$4</f>
        <v>MON PRV</v>
      </c>
      <c r="G7" s="44">
        <f t="shared" si="0"/>
        <v>539</v>
      </c>
      <c r="H7" s="41" t="str">
        <f>IFERROR(VLOOKUP(Tabelle32[[#This Row],[Device ID]],BOM!$A$3:$BO$5,2,FALSE),"")</f>
        <v>VGW4226-05</v>
      </c>
      <c r="I7" s="44" t="str">
        <f>BOM!$K$4</f>
        <v>Videomonitor</v>
      </c>
      <c r="J7" s="41" t="str">
        <f>IFERROR(VLOOKUP(Tabelle32[[#This Row],[Device ID]],BOM!$A$3:$BO$5,12,FALSE),"")</f>
        <v>TC.04.226 | R441</v>
      </c>
      <c r="K7" s="41" t="str">
        <f>IFERROR(VLOOKUP(Tabelle32[[#This Row],[Device ID]],BOM!$A$3:$BO$5,13,FALSE),"")</f>
        <v>Embrionix</v>
      </c>
      <c r="L7" s="41" t="str">
        <f>IFERROR(VLOOKUP(Tabelle32[[#This Row],[Device ID]],BOM!$A$3:$BO$5,14,FALSE),"")</f>
        <v>Embrionix IP&gt;2xSDI (HD)</v>
      </c>
      <c r="M7" s="44" t="str">
        <f>BOM!$P$4</f>
        <v>Regisseur</v>
      </c>
      <c r="N7" s="41" t="str">
        <f>IFERROR(VLOOKUP(Tabelle32[[#This Row],[Device ID]],BOM!$A$3:$BO$5,17,FALSE),"")</f>
        <v>TC.04.226 | R441</v>
      </c>
      <c r="O7" s="45"/>
      <c r="P7" s="45"/>
      <c r="Q7" s="45"/>
      <c r="R7" s="45"/>
      <c r="S7" s="45"/>
      <c r="T7" s="45"/>
      <c r="U7" s="41" t="str">
        <f>IFERROR(VLOOKUP(Tabelle32[[#This Row],[Device ID]],BOM!$A$3:$BO$5,24,FALSE),"")</f>
        <v>Bernhard Sager</v>
      </c>
      <c r="V7" s="41" t="str">
        <f>IFERROR(VLOOKUP(Tabelle32[[#This Row],[Device ID]],BOM!$A$3:$BO$5,25,FALSE),"")</f>
        <v>tpco-megw-vgw422605.st-net.media.int</v>
      </c>
      <c r="W7" s="41" t="str">
        <f>IFERROR(VLOOKUP(Tabelle32[[#This Row],[Device ID]],BOM!$A$3:$BO$5,26,FALSE),"")</f>
        <v>10.120.104.81</v>
      </c>
      <c r="X7" s="41" t="str">
        <f>IFERROR(VLOOKUP(Tabelle32[[#This Row],[Device ID]],BOM!$A$3:$BO$5,27,FALSE),"")</f>
        <v>V-LeafB05</v>
      </c>
      <c r="Y7" s="41">
        <f>IFERROR(VLOOKUP(Tabelle32[[#This Row],[Device ID]],BOM!$A$3:$BO$5,28,FALSE),"")</f>
        <v>5</v>
      </c>
      <c r="Z7" s="41">
        <f>IFERROR(VLOOKUP(Tabelle32[[#This Row],[Device ID]],BOM!$A$3:$BO$5,29,FALSE),"")</f>
        <v>0</v>
      </c>
      <c r="AA7" s="41">
        <f>IFERROR(VLOOKUP(Tabelle32[[#This Row],[Device ID]],BOM!$A$3:$BO$5,30,FALSE),"")</f>
        <v>0</v>
      </c>
      <c r="AB7" s="41">
        <f>IFERROR(VLOOKUP(Tabelle32[[#This Row],[Device ID]],BOM!$A$3:$BO$5,31,FALSE),"")</f>
        <v>0</v>
      </c>
      <c r="AC7" s="41">
        <f>IFERROR(VLOOKUP(Tabelle32[[#This Row],[Device ID]],BOM!$A$3:$BO$5,32,FALSE),"")</f>
        <v>0</v>
      </c>
      <c r="AD7" s="41">
        <f>IFERROR(VLOOKUP(Tabelle32[[#This Row],[Device ID]],BOM!$A$3:$BO$5,33,FALSE),"")</f>
        <v>0</v>
      </c>
      <c r="AE7" s="41">
        <f>IFERROR(VLOOKUP(Tabelle32[[#This Row],[Device ID]],BOM!$A$3:$BO$5,34,FALSE),"")</f>
        <v>0</v>
      </c>
      <c r="AF7" s="41">
        <f>IFERROR(VLOOKUP(Tabelle32[[#This Row],[Device ID]],BOM!$A$3:$BO$5,35,FALSE),"")</f>
        <v>0</v>
      </c>
      <c r="AG7" s="41">
        <f>IFERROR(VLOOKUP(Tabelle32[[#This Row],[Device ID]],BOM!$A$3:$BO$5,36,FALSE),"")</f>
        <v>0</v>
      </c>
      <c r="AH7" s="41"/>
      <c r="AI7" s="41"/>
      <c r="AJ7" s="41"/>
      <c r="AK7" s="41"/>
      <c r="AL7" s="41" t="str">
        <f>IFERROR(VLOOKUP(Tabelle32[[#This Row],[Device ID]],BOM!$A$3:$BO$5,41,FALSE),"")</f>
        <v>Embrionix emBox</v>
      </c>
      <c r="AM7" s="41"/>
      <c r="AN7" s="41" t="str">
        <f>IFERROR(VLOOKUP(Tabelle32[[#This Row],[Device ID]],BOM!$A$3:$BO$5,43,FALSE),"")</f>
        <v>No</v>
      </c>
      <c r="AO7" s="41"/>
      <c r="AP7" s="41" t="str">
        <f>IFERROR(CONCATENATE(Tabelle32[[#This Row],[Family
GFX-Unit]]," | ",Tabelle32[[#This Row],[Label 1
GFX-Unit]]," | ",Tabelle32[[#This Row],[Attached Device if Gateway]]),"")</f>
        <v xml:space="preserve"> |  | MON PRV</v>
      </c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6"/>
      <c r="BH7" s="44" t="str">
        <f>IF(COUNTA(Tabelle32[[#This Row],[Type:Vid_1080i50]:[Type:Anc_Prot]])&gt;0,"x","")</f>
        <v/>
      </c>
      <c r="BI7" s="4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J7" s="41"/>
      <c r="BK7" s="41"/>
      <c r="BL7" s="46"/>
      <c r="BM7" s="46"/>
      <c r="BN7" s="58"/>
      <c r="BO7" s="59"/>
      <c r="BP7" s="44">
        <f>LEN(Tabelle32[[#This Row],[Label 1
GFX-Unit]])</f>
        <v>0</v>
      </c>
      <c r="BQ7" s="46"/>
      <c r="BR7" s="46"/>
      <c r="BS7" s="41"/>
      <c r="BT7" s="41"/>
      <c r="BU7" s="41" t="s">
        <v>130</v>
      </c>
      <c r="BV7" s="41">
        <v>1004</v>
      </c>
    </row>
    <row r="8" spans="1:74" x14ac:dyDescent="0.25">
      <c r="A8" s="41" t="str">
        <f>IF(Tabelle32[[#This Row],[Device ID]]&gt;0,CONCATENATE(Tabelle32[[#This Row],[Device ID]],".",TEXT(Tabelle32[[#This Row],[Streamcounter]],"####0000")),"")</f>
        <v>539.1005</v>
      </c>
      <c r="B8" s="42" t="str">
        <f>IFERROR(IF(VLOOKUP(Tabelle32[[#This Row],[Device ID]],BOM!$A$3:$B$5,2,FALSE)=0,"",CONCATENATE(VLOOKUP(Tabelle32[[#This Row],[Device ID]],BOM!$A$3:$B$5,2,FALSE),"_",BU8)),"")</f>
        <v>VGW4226-05_SDI01_AUDrec_0004</v>
      </c>
      <c r="C8" s="43">
        <v>43775</v>
      </c>
      <c r="D8" s="43">
        <v>43775</v>
      </c>
      <c r="E8" s="43">
        <v>43775</v>
      </c>
      <c r="F8" s="41" t="str">
        <f>BOM!$O$4</f>
        <v>MON PRV</v>
      </c>
      <c r="G8" s="44">
        <f t="shared" si="0"/>
        <v>539</v>
      </c>
      <c r="H8" s="41" t="str">
        <f>IFERROR(VLOOKUP(Tabelle32[[#This Row],[Device ID]],BOM!$A$3:$BO$5,2,FALSE),"")</f>
        <v>VGW4226-05</v>
      </c>
      <c r="I8" s="44" t="str">
        <f>BOM!$K$4</f>
        <v>Videomonitor</v>
      </c>
      <c r="J8" s="41" t="str">
        <f>IFERROR(VLOOKUP(Tabelle32[[#This Row],[Device ID]],BOM!$A$3:$BO$5,12,FALSE),"")</f>
        <v>TC.04.226 | R441</v>
      </c>
      <c r="K8" s="41" t="str">
        <f>IFERROR(VLOOKUP(Tabelle32[[#This Row],[Device ID]],BOM!$A$3:$BO$5,13,FALSE),"")</f>
        <v>Embrionix</v>
      </c>
      <c r="L8" s="41" t="str">
        <f>IFERROR(VLOOKUP(Tabelle32[[#This Row],[Device ID]],BOM!$A$3:$BO$5,14,FALSE),"")</f>
        <v>Embrionix IP&gt;2xSDI (HD)</v>
      </c>
      <c r="M8" s="44" t="str">
        <f>BOM!$P$4</f>
        <v>Regisseur</v>
      </c>
      <c r="N8" s="41" t="str">
        <f>IFERROR(VLOOKUP(Tabelle32[[#This Row],[Device ID]],BOM!$A$3:$BO$5,17,FALSE),"")</f>
        <v>TC.04.226 | R441</v>
      </c>
      <c r="O8" s="45"/>
      <c r="P8" s="45"/>
      <c r="Q8" s="45"/>
      <c r="R8" s="45"/>
      <c r="S8" s="45"/>
      <c r="T8" s="45"/>
      <c r="U8" s="41" t="str">
        <f>IFERROR(VLOOKUP(Tabelle32[[#This Row],[Device ID]],BOM!$A$3:$BO$5,24,FALSE),"")</f>
        <v>Bernhard Sager</v>
      </c>
      <c r="V8" s="41" t="str">
        <f>IFERROR(VLOOKUP(Tabelle32[[#This Row],[Device ID]],BOM!$A$3:$BO$5,25,FALSE),"")</f>
        <v>tpco-megw-vgw422605.st-net.media.int</v>
      </c>
      <c r="W8" s="41" t="str">
        <f>IFERROR(VLOOKUP(Tabelle32[[#This Row],[Device ID]],BOM!$A$3:$BO$5,26,FALSE),"")</f>
        <v>10.120.104.81</v>
      </c>
      <c r="X8" s="41" t="str">
        <f>IFERROR(VLOOKUP(Tabelle32[[#This Row],[Device ID]],BOM!$A$3:$BO$5,27,FALSE),"")</f>
        <v>V-LeafB05</v>
      </c>
      <c r="Y8" s="41">
        <f>IFERROR(VLOOKUP(Tabelle32[[#This Row],[Device ID]],BOM!$A$3:$BO$5,28,FALSE),"")</f>
        <v>5</v>
      </c>
      <c r="Z8" s="41">
        <f>IFERROR(VLOOKUP(Tabelle32[[#This Row],[Device ID]],BOM!$A$3:$BO$5,29,FALSE),"")</f>
        <v>0</v>
      </c>
      <c r="AA8" s="41">
        <f>IFERROR(VLOOKUP(Tabelle32[[#This Row],[Device ID]],BOM!$A$3:$BO$5,30,FALSE),"")</f>
        <v>0</v>
      </c>
      <c r="AB8" s="41">
        <f>IFERROR(VLOOKUP(Tabelle32[[#This Row],[Device ID]],BOM!$A$3:$BO$5,31,FALSE),"")</f>
        <v>0</v>
      </c>
      <c r="AC8" s="41">
        <f>IFERROR(VLOOKUP(Tabelle32[[#This Row],[Device ID]],BOM!$A$3:$BO$5,32,FALSE),"")</f>
        <v>0</v>
      </c>
      <c r="AD8" s="41">
        <f>IFERROR(VLOOKUP(Tabelle32[[#This Row],[Device ID]],BOM!$A$3:$BO$5,33,FALSE),"")</f>
        <v>0</v>
      </c>
      <c r="AE8" s="41">
        <f>IFERROR(VLOOKUP(Tabelle32[[#This Row],[Device ID]],BOM!$A$3:$BO$5,34,FALSE),"")</f>
        <v>0</v>
      </c>
      <c r="AF8" s="41">
        <f>IFERROR(VLOOKUP(Tabelle32[[#This Row],[Device ID]],BOM!$A$3:$BO$5,35,FALSE),"")</f>
        <v>0</v>
      </c>
      <c r="AG8" s="41">
        <f>IFERROR(VLOOKUP(Tabelle32[[#This Row],[Device ID]],BOM!$A$3:$BO$5,36,FALSE),"")</f>
        <v>0</v>
      </c>
      <c r="AH8" s="41"/>
      <c r="AI8" s="41"/>
      <c r="AJ8" s="41"/>
      <c r="AK8" s="41"/>
      <c r="AL8" s="41" t="str">
        <f>IFERROR(VLOOKUP(Tabelle32[[#This Row],[Device ID]],BOM!$A$3:$BO$5,41,FALSE),"")</f>
        <v>Embrionix emBox</v>
      </c>
      <c r="AM8" s="41"/>
      <c r="AN8" s="41" t="str">
        <f>IFERROR(VLOOKUP(Tabelle32[[#This Row],[Device ID]],BOM!$A$3:$BO$5,43,FALSE),"")</f>
        <v>No</v>
      </c>
      <c r="AO8" s="41"/>
      <c r="AP8" s="41" t="str">
        <f>IFERROR(CONCATENATE(Tabelle32[[#This Row],[Family
GFX-Unit]]," | ",Tabelle32[[#This Row],[Label 1
GFX-Unit]]," | ",Tabelle32[[#This Row],[Attached Device if Gateway]]),"")</f>
        <v xml:space="preserve"> |  | MON PRV</v>
      </c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6"/>
      <c r="BH8" s="44" t="str">
        <f>IF(COUNTA(Tabelle32[[#This Row],[Type:Vid_1080i50]:[Type:Anc_Prot]])&gt;0,"x","")</f>
        <v/>
      </c>
      <c r="BI8" s="4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J8" s="41"/>
      <c r="BK8" s="41"/>
      <c r="BL8" s="46"/>
      <c r="BM8" s="46"/>
      <c r="BN8" s="58"/>
      <c r="BO8" s="59"/>
      <c r="BP8" s="44">
        <f>LEN(Tabelle32[[#This Row],[Label 1
GFX-Unit]])</f>
        <v>0</v>
      </c>
      <c r="BQ8" s="46"/>
      <c r="BR8" s="46"/>
      <c r="BS8" s="41"/>
      <c r="BT8" s="41"/>
      <c r="BU8" s="41" t="s">
        <v>131</v>
      </c>
      <c r="BV8" s="41">
        <v>1005</v>
      </c>
    </row>
    <row r="9" spans="1:74" x14ac:dyDescent="0.25">
      <c r="A9" s="41" t="str">
        <f>IF(Tabelle32[[#This Row],[Device ID]]&gt;0,CONCATENATE(Tabelle32[[#This Row],[Device ID]],".",TEXT(Tabelle32[[#This Row],[Streamcounter]],"####0000")),"")</f>
        <v>539.1006</v>
      </c>
      <c r="B9" s="42" t="str">
        <f>IFERROR(IF(VLOOKUP(Tabelle32[[#This Row],[Device ID]],BOM!$A$3:$B$5,2,FALSE)=0,"",CONCATENATE(VLOOKUP(Tabelle32[[#This Row],[Device ID]],BOM!$A$3:$B$5,2,FALSE),"_",BU9)),"")</f>
        <v>VGW4226-05_SDI01_ANCrec_0001</v>
      </c>
      <c r="C9" s="43">
        <v>43775</v>
      </c>
      <c r="D9" s="43">
        <v>43775</v>
      </c>
      <c r="E9" s="43">
        <v>43775</v>
      </c>
      <c r="F9" s="41" t="str">
        <f>BOM!$O$4</f>
        <v>MON PRV</v>
      </c>
      <c r="G9" s="44">
        <f t="shared" si="0"/>
        <v>539</v>
      </c>
      <c r="H9" s="41" t="str">
        <f>IFERROR(VLOOKUP(Tabelle32[[#This Row],[Device ID]],BOM!$A$3:$BO$5,2,FALSE),"")</f>
        <v>VGW4226-05</v>
      </c>
      <c r="I9" s="44" t="str">
        <f>BOM!$K$4</f>
        <v>Videomonitor</v>
      </c>
      <c r="J9" s="41" t="str">
        <f>IFERROR(VLOOKUP(Tabelle32[[#This Row],[Device ID]],BOM!$A$3:$BO$5,12,FALSE),"")</f>
        <v>TC.04.226 | R441</v>
      </c>
      <c r="K9" s="41" t="str">
        <f>IFERROR(VLOOKUP(Tabelle32[[#This Row],[Device ID]],BOM!$A$3:$BO$5,13,FALSE),"")</f>
        <v>Embrionix</v>
      </c>
      <c r="L9" s="41" t="str">
        <f>IFERROR(VLOOKUP(Tabelle32[[#This Row],[Device ID]],BOM!$A$3:$BO$5,14,FALSE),"")</f>
        <v>Embrionix IP&gt;2xSDI (HD)</v>
      </c>
      <c r="M9" s="44" t="str">
        <f>BOM!$P$4</f>
        <v>Regisseur</v>
      </c>
      <c r="N9" s="41" t="str">
        <f>IFERROR(VLOOKUP(Tabelle32[[#This Row],[Device ID]],BOM!$A$3:$BO$5,17,FALSE),"")</f>
        <v>TC.04.226 | R441</v>
      </c>
      <c r="O9" s="45"/>
      <c r="P9" s="45"/>
      <c r="Q9" s="45"/>
      <c r="R9" s="45"/>
      <c r="S9" s="45"/>
      <c r="T9" s="45"/>
      <c r="U9" s="41" t="str">
        <f>IFERROR(VLOOKUP(Tabelle32[[#This Row],[Device ID]],BOM!$A$3:$BO$5,24,FALSE),"")</f>
        <v>Bernhard Sager</v>
      </c>
      <c r="V9" s="41" t="str">
        <f>IFERROR(VLOOKUP(Tabelle32[[#This Row],[Device ID]],BOM!$A$3:$BO$5,25,FALSE),"")</f>
        <v>tpco-megw-vgw422605.st-net.media.int</v>
      </c>
      <c r="W9" s="41" t="str">
        <f>IFERROR(VLOOKUP(Tabelle32[[#This Row],[Device ID]],BOM!$A$3:$BO$5,26,FALSE),"")</f>
        <v>10.120.104.81</v>
      </c>
      <c r="X9" s="41" t="str">
        <f>IFERROR(VLOOKUP(Tabelle32[[#This Row],[Device ID]],BOM!$A$3:$BO$5,27,FALSE),"")</f>
        <v>V-LeafB05</v>
      </c>
      <c r="Y9" s="41">
        <f>IFERROR(VLOOKUP(Tabelle32[[#This Row],[Device ID]],BOM!$A$3:$BO$5,28,FALSE),"")</f>
        <v>5</v>
      </c>
      <c r="Z9" s="41">
        <f>IFERROR(VLOOKUP(Tabelle32[[#This Row],[Device ID]],BOM!$A$3:$BO$5,29,FALSE),"")</f>
        <v>0</v>
      </c>
      <c r="AA9" s="41">
        <f>IFERROR(VLOOKUP(Tabelle32[[#This Row],[Device ID]],BOM!$A$3:$BO$5,30,FALSE),"")</f>
        <v>0</v>
      </c>
      <c r="AB9" s="41">
        <f>IFERROR(VLOOKUP(Tabelle32[[#This Row],[Device ID]],BOM!$A$3:$BO$5,31,FALSE),"")</f>
        <v>0</v>
      </c>
      <c r="AC9" s="41">
        <f>IFERROR(VLOOKUP(Tabelle32[[#This Row],[Device ID]],BOM!$A$3:$BO$5,32,FALSE),"")</f>
        <v>0</v>
      </c>
      <c r="AD9" s="41">
        <f>IFERROR(VLOOKUP(Tabelle32[[#This Row],[Device ID]],BOM!$A$3:$BO$5,33,FALSE),"")</f>
        <v>0</v>
      </c>
      <c r="AE9" s="41">
        <f>IFERROR(VLOOKUP(Tabelle32[[#This Row],[Device ID]],BOM!$A$3:$BO$5,34,FALSE),"")</f>
        <v>0</v>
      </c>
      <c r="AF9" s="41">
        <f>IFERROR(VLOOKUP(Tabelle32[[#This Row],[Device ID]],BOM!$A$3:$BO$5,35,FALSE),"")</f>
        <v>0</v>
      </c>
      <c r="AG9" s="41">
        <f>IFERROR(VLOOKUP(Tabelle32[[#This Row],[Device ID]],BOM!$A$3:$BO$5,36,FALSE),"")</f>
        <v>0</v>
      </c>
      <c r="AH9" s="41"/>
      <c r="AI9" s="41"/>
      <c r="AJ9" s="41"/>
      <c r="AK9" s="41"/>
      <c r="AL9" s="41" t="str">
        <f>IFERROR(VLOOKUP(Tabelle32[[#This Row],[Device ID]],BOM!$A$3:$BO$5,41,FALSE),"")</f>
        <v>Embrionix emBox</v>
      </c>
      <c r="AM9" s="41"/>
      <c r="AN9" s="41" t="str">
        <f>IFERROR(VLOOKUP(Tabelle32[[#This Row],[Device ID]],BOM!$A$3:$BO$5,43,FALSE),"")</f>
        <v>No</v>
      </c>
      <c r="AO9" s="41"/>
      <c r="AP9" s="41" t="str">
        <f>IFERROR(CONCATENATE(Tabelle32[[#This Row],[Family
GFX-Unit]]," | ",Tabelle32[[#This Row],[Label 1
GFX-Unit]]," | ",Tabelle32[[#This Row],[Attached Device if Gateway]]),"")</f>
        <v xml:space="preserve"> |  | MON PRV</v>
      </c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 t="s">
        <v>68</v>
      </c>
      <c r="BG9" s="46"/>
      <c r="BH9" s="44" t="str">
        <f>IF(COUNTA(Tabelle32[[#This Row],[Type:Vid_1080i50]:[Type:Anc_Prot]])&gt;0,"x","")</f>
        <v>x</v>
      </c>
      <c r="BI9" s="4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Type:Anc_Prot,#Embrionix emBox</v>
      </c>
      <c r="BJ9" s="41"/>
      <c r="BK9" s="41"/>
      <c r="BL9" s="46"/>
      <c r="BM9" s="46"/>
      <c r="BN9" s="58"/>
      <c r="BO9" s="59"/>
      <c r="BP9" s="44">
        <f>LEN(Tabelle32[[#This Row],[Label 1
GFX-Unit]])</f>
        <v>0</v>
      </c>
      <c r="BQ9" s="46"/>
      <c r="BR9" s="46"/>
      <c r="BS9" s="41"/>
      <c r="BT9" s="41"/>
      <c r="BU9" s="41" t="s">
        <v>132</v>
      </c>
      <c r="BV9" s="41">
        <v>1006</v>
      </c>
    </row>
    <row r="10" spans="1:74" x14ac:dyDescent="0.25">
      <c r="A10" s="41" t="str">
        <f>IF(Tabelle32[[#This Row],[Device ID]]&gt;0,CONCATENATE(Tabelle32[[#This Row],[Device ID]],".",TEXT(Tabelle32[[#This Row],[Streamcounter]],"####0000")),"")</f>
        <v>539.2001</v>
      </c>
      <c r="B10" s="42" t="str">
        <f>IFERROR(IF(VLOOKUP(Tabelle32[[#This Row],[Device ID]],BOM!$A$3:$B$5,2,FALSE)=0,"",CONCATENATE(VLOOKUP(Tabelle32[[#This Row],[Device ID]],BOM!$A$3:$B$5,2,FALSE),"_",BU10)),"")</f>
        <v>VGW4226-05_SDI02_VIDrec_0001</v>
      </c>
      <c r="C10" s="43">
        <v>43775</v>
      </c>
      <c r="D10" s="43">
        <v>43775</v>
      </c>
      <c r="E10" s="43">
        <v>43775</v>
      </c>
      <c r="F10" s="41" t="str">
        <f>BOM!$O$5</f>
        <v>MON PRV</v>
      </c>
      <c r="G10" s="44">
        <f t="shared" si="0"/>
        <v>539</v>
      </c>
      <c r="H10" s="41" t="str">
        <f>IFERROR(VLOOKUP(Tabelle32[[#This Row],[Device ID]],BOM!$A$3:$BO$5,2,FALSE),"")</f>
        <v>VGW4226-05</v>
      </c>
      <c r="I10" s="44" t="str">
        <f>BOM!$K$5</f>
        <v>Videomonitor</v>
      </c>
      <c r="J10" s="41" t="str">
        <f>IFERROR(VLOOKUP(Tabelle32[[#This Row],[Device ID]],BOM!$A$3:$BO$5,12,FALSE),"")</f>
        <v>TC.04.226 | R441</v>
      </c>
      <c r="K10" s="41" t="str">
        <f>IFERROR(VLOOKUP(Tabelle32[[#This Row],[Device ID]],BOM!$A$3:$BO$5,13,FALSE),"")</f>
        <v>Embrionix</v>
      </c>
      <c r="L10" s="41" t="str">
        <f>IFERROR(VLOOKUP(Tabelle32[[#This Row],[Device ID]],BOM!$A$3:$BO$5,14,FALSE),"")</f>
        <v>Embrionix IP&gt;2xSDI (HD)</v>
      </c>
      <c r="M10" s="44" t="str">
        <f>BOM!$P$5</f>
        <v>Regisseur</v>
      </c>
      <c r="N10" s="41" t="str">
        <f>IFERROR(VLOOKUP(Tabelle32[[#This Row],[Device ID]],BOM!$A$3:$BO$5,17,FALSE),"")</f>
        <v>TC.04.226 | R441</v>
      </c>
      <c r="O10" s="45"/>
      <c r="P10" s="45"/>
      <c r="Q10" s="45"/>
      <c r="R10" s="45"/>
      <c r="S10" s="45"/>
      <c r="T10" s="45"/>
      <c r="U10" s="41" t="str">
        <f>IFERROR(VLOOKUP(Tabelle32[[#This Row],[Device ID]],BOM!$A$3:$BO$5,24,FALSE),"")</f>
        <v>Bernhard Sager</v>
      </c>
      <c r="V10" s="41" t="str">
        <f>IFERROR(VLOOKUP(Tabelle32[[#This Row],[Device ID]],BOM!$A$3:$BO$5,25,FALSE),"")</f>
        <v>tpco-megw-vgw422605.st-net.media.int</v>
      </c>
      <c r="W10" s="41" t="str">
        <f>IFERROR(VLOOKUP(Tabelle32[[#This Row],[Device ID]],BOM!$A$3:$BO$5,26,FALSE),"")</f>
        <v>10.120.104.81</v>
      </c>
      <c r="X10" s="41" t="str">
        <f>IFERROR(VLOOKUP(Tabelle32[[#This Row],[Device ID]],BOM!$A$3:$BO$5,27,FALSE),"")</f>
        <v>V-LeafB05</v>
      </c>
      <c r="Y10" s="41">
        <f>IFERROR(VLOOKUP(Tabelle32[[#This Row],[Device ID]],BOM!$A$3:$BO$5,28,FALSE),"")</f>
        <v>5</v>
      </c>
      <c r="Z10" s="41">
        <f>IFERROR(VLOOKUP(Tabelle32[[#This Row],[Device ID]],BOM!$A$3:$BO$5,29,FALSE),"")</f>
        <v>0</v>
      </c>
      <c r="AA10" s="41">
        <f>IFERROR(VLOOKUP(Tabelle32[[#This Row],[Device ID]],BOM!$A$3:$BO$5,30,FALSE),"")</f>
        <v>0</v>
      </c>
      <c r="AB10" s="41">
        <f>IFERROR(VLOOKUP(Tabelle32[[#This Row],[Device ID]],BOM!$A$3:$BO$5,31,FALSE),"")</f>
        <v>0</v>
      </c>
      <c r="AC10" s="41">
        <f>IFERROR(VLOOKUP(Tabelle32[[#This Row],[Device ID]],BOM!$A$3:$BO$5,32,FALSE),"")</f>
        <v>0</v>
      </c>
      <c r="AD10" s="41">
        <f>IFERROR(VLOOKUP(Tabelle32[[#This Row],[Device ID]],BOM!$A$3:$BO$5,33,FALSE),"")</f>
        <v>0</v>
      </c>
      <c r="AE10" s="41">
        <f>IFERROR(VLOOKUP(Tabelle32[[#This Row],[Device ID]],BOM!$A$3:$BO$5,34,FALSE),"")</f>
        <v>0</v>
      </c>
      <c r="AF10" s="41">
        <f>IFERROR(VLOOKUP(Tabelle32[[#This Row],[Device ID]],BOM!$A$3:$BO$5,35,FALSE),"")</f>
        <v>0</v>
      </c>
      <c r="AG10" s="41">
        <f>IFERROR(VLOOKUP(Tabelle32[[#This Row],[Device ID]],BOM!$A$3:$BO$5,36,FALSE),"")</f>
        <v>0</v>
      </c>
      <c r="AH10" s="41"/>
      <c r="AI10" s="41"/>
      <c r="AJ10" s="41"/>
      <c r="AK10" s="41"/>
      <c r="AL10" s="41" t="str">
        <f>IFERROR(VLOOKUP(Tabelle32[[#This Row],[Device ID]],BOM!$A$3:$BO$5,41,FALSE),"")</f>
        <v>Embrionix emBox</v>
      </c>
      <c r="AM10" s="41"/>
      <c r="AN10" s="41" t="str">
        <f>IFERROR(VLOOKUP(Tabelle32[[#This Row],[Device ID]],BOM!$A$3:$BO$5,43,FALSE),"")</f>
        <v>No</v>
      </c>
      <c r="AO10" s="41"/>
      <c r="AP10" s="41" t="str">
        <f>IFERROR(CONCATENATE(Tabelle32[[#This Row],[Family
GFX-Unit]]," | ",Tabelle32[[#This Row],[Label 1
GFX-Unit]]," | ",Tabelle32[[#This Row],[Attached Device if Gateway]]),"")</f>
        <v>MONITOR R441 | MON TP | MON PRV</v>
      </c>
      <c r="AQ10" s="48" t="s">
        <v>68</v>
      </c>
      <c r="AR10" s="48" t="s">
        <v>68</v>
      </c>
      <c r="AS10" s="48" t="s">
        <v>68</v>
      </c>
      <c r="AT10" s="48"/>
      <c r="AU10" s="48" t="s">
        <v>68</v>
      </c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6"/>
      <c r="BH10" s="44" t="str">
        <f>IF(COUNTA(Tabelle32[[#This Row],[Type:Vid_1080i50]:[Type:Anc_Prot]])&gt;0,"x","")</f>
        <v>x</v>
      </c>
      <c r="BI10" s="4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Type:Vid_1080i50,Type:Vid_1080p25,Type:Vid_1080p50,Type:Vid_1080p60,#Embrionix emBox</v>
      </c>
      <c r="BJ10" s="41"/>
      <c r="BK10" s="41"/>
      <c r="BL10" s="44"/>
      <c r="BM10" s="44"/>
      <c r="BN10" s="55" t="s">
        <v>318</v>
      </c>
      <c r="BO10" s="56" t="s">
        <v>319</v>
      </c>
      <c r="BP10" s="44">
        <f>LEN(Tabelle32[[#This Row],[Label 1
GFX-Unit]])</f>
        <v>6</v>
      </c>
      <c r="BQ10" s="44"/>
      <c r="BR10" s="44"/>
      <c r="BS10" s="41"/>
      <c r="BT10" s="41"/>
      <c r="BU10" s="41" t="s">
        <v>133</v>
      </c>
      <c r="BV10" s="41">
        <v>2001</v>
      </c>
    </row>
    <row r="11" spans="1:74" x14ac:dyDescent="0.25">
      <c r="A11" s="41" t="str">
        <f>IF(Tabelle32[[#This Row],[Device ID]]&gt;0,CONCATENATE(Tabelle32[[#This Row],[Device ID]],".",TEXT(Tabelle32[[#This Row],[Streamcounter]],"####0000")),"")</f>
        <v>539.2002</v>
      </c>
      <c r="B11" s="42" t="str">
        <f>IFERROR(IF(VLOOKUP(Tabelle32[[#This Row],[Device ID]],BOM!$A$3:$B$5,2,FALSE)=0,"",CONCATENATE(VLOOKUP(Tabelle32[[#This Row],[Device ID]],BOM!$A$3:$B$5,2,FALSE),"_",BU11)),"")</f>
        <v>VGW4226-05_SDI02_AUDrec_0001</v>
      </c>
      <c r="C11" s="43">
        <v>43775</v>
      </c>
      <c r="D11" s="43">
        <v>43775</v>
      </c>
      <c r="E11" s="43">
        <v>43775</v>
      </c>
      <c r="F11" s="41" t="str">
        <f>BOM!$O$5</f>
        <v>MON PRV</v>
      </c>
      <c r="G11" s="44">
        <f t="shared" si="0"/>
        <v>539</v>
      </c>
      <c r="H11" s="41" t="str">
        <f>IFERROR(VLOOKUP(Tabelle32[[#This Row],[Device ID]],BOM!$A$3:$BO$5,2,FALSE),"")</f>
        <v>VGW4226-05</v>
      </c>
      <c r="I11" s="44" t="str">
        <f>BOM!$K$5</f>
        <v>Videomonitor</v>
      </c>
      <c r="J11" s="41" t="str">
        <f>IFERROR(VLOOKUP(Tabelle32[[#This Row],[Device ID]],BOM!$A$3:$BO$5,12,FALSE),"")</f>
        <v>TC.04.226 | R441</v>
      </c>
      <c r="K11" s="41" t="str">
        <f>IFERROR(VLOOKUP(Tabelle32[[#This Row],[Device ID]],BOM!$A$3:$BO$5,13,FALSE),"")</f>
        <v>Embrionix</v>
      </c>
      <c r="L11" s="41" t="str">
        <f>IFERROR(VLOOKUP(Tabelle32[[#This Row],[Device ID]],BOM!$A$3:$BO$5,14,FALSE),"")</f>
        <v>Embrionix IP&gt;2xSDI (HD)</v>
      </c>
      <c r="M11" s="44" t="str">
        <f>BOM!$P$5</f>
        <v>Regisseur</v>
      </c>
      <c r="N11" s="41" t="str">
        <f>IFERROR(VLOOKUP(Tabelle32[[#This Row],[Device ID]],BOM!$A$3:$BO$5,17,FALSE),"")</f>
        <v>TC.04.226 | R441</v>
      </c>
      <c r="O11" s="45"/>
      <c r="P11" s="45"/>
      <c r="Q11" s="45"/>
      <c r="R11" s="45"/>
      <c r="S11" s="45"/>
      <c r="T11" s="45"/>
      <c r="U11" s="41" t="str">
        <f>IFERROR(VLOOKUP(Tabelle32[[#This Row],[Device ID]],BOM!$A$3:$BO$5,24,FALSE),"")</f>
        <v>Bernhard Sager</v>
      </c>
      <c r="V11" s="41" t="str">
        <f>IFERROR(VLOOKUP(Tabelle32[[#This Row],[Device ID]],BOM!$A$3:$BO$5,25,FALSE),"")</f>
        <v>tpco-megw-vgw422605.st-net.media.int</v>
      </c>
      <c r="W11" s="41" t="str">
        <f>IFERROR(VLOOKUP(Tabelle32[[#This Row],[Device ID]],BOM!$A$3:$BO$5,26,FALSE),"")</f>
        <v>10.120.104.81</v>
      </c>
      <c r="X11" s="41" t="str">
        <f>IFERROR(VLOOKUP(Tabelle32[[#This Row],[Device ID]],BOM!$A$3:$BO$5,27,FALSE),"")</f>
        <v>V-LeafB05</v>
      </c>
      <c r="Y11" s="41">
        <f>IFERROR(VLOOKUP(Tabelle32[[#This Row],[Device ID]],BOM!$A$3:$BO$5,28,FALSE),"")</f>
        <v>5</v>
      </c>
      <c r="Z11" s="41">
        <f>IFERROR(VLOOKUP(Tabelle32[[#This Row],[Device ID]],BOM!$A$3:$BO$5,29,FALSE),"")</f>
        <v>0</v>
      </c>
      <c r="AA11" s="41">
        <f>IFERROR(VLOOKUP(Tabelle32[[#This Row],[Device ID]],BOM!$A$3:$BO$5,30,FALSE),"")</f>
        <v>0</v>
      </c>
      <c r="AB11" s="41">
        <f>IFERROR(VLOOKUP(Tabelle32[[#This Row],[Device ID]],BOM!$A$3:$BO$5,31,FALSE),"")</f>
        <v>0</v>
      </c>
      <c r="AC11" s="41">
        <f>IFERROR(VLOOKUP(Tabelle32[[#This Row],[Device ID]],BOM!$A$3:$BO$5,32,FALSE),"")</f>
        <v>0</v>
      </c>
      <c r="AD11" s="41">
        <f>IFERROR(VLOOKUP(Tabelle32[[#This Row],[Device ID]],BOM!$A$3:$BO$5,33,FALSE),"")</f>
        <v>0</v>
      </c>
      <c r="AE11" s="41">
        <f>IFERROR(VLOOKUP(Tabelle32[[#This Row],[Device ID]],BOM!$A$3:$BO$5,34,FALSE),"")</f>
        <v>0</v>
      </c>
      <c r="AF11" s="41">
        <f>IFERROR(VLOOKUP(Tabelle32[[#This Row],[Device ID]],BOM!$A$3:$BO$5,35,FALSE),"")</f>
        <v>0</v>
      </c>
      <c r="AG11" s="41">
        <f>IFERROR(VLOOKUP(Tabelle32[[#This Row],[Device ID]],BOM!$A$3:$BO$5,36,FALSE),"")</f>
        <v>0</v>
      </c>
      <c r="AH11" s="41"/>
      <c r="AI11" s="41"/>
      <c r="AJ11" s="41"/>
      <c r="AK11" s="41"/>
      <c r="AL11" s="41" t="str">
        <f>IFERROR(VLOOKUP(Tabelle32[[#This Row],[Device ID]],BOM!$A$3:$BO$5,41,FALSE),"")</f>
        <v>Embrionix emBox</v>
      </c>
      <c r="AM11" s="41"/>
      <c r="AN11" s="41" t="str">
        <f>IFERROR(VLOOKUP(Tabelle32[[#This Row],[Device ID]],BOM!$A$3:$BO$5,43,FALSE),"")</f>
        <v>No</v>
      </c>
      <c r="AO11" s="41"/>
      <c r="AP11" s="41" t="str">
        <f>IFERROR(CONCATENATE(Tabelle32[[#This Row],[Family
GFX-Unit]]," | ",Tabelle32[[#This Row],[Label 1
GFX-Unit]]," | ",Tabelle32[[#This Row],[Attached Device if Gateway]]),"")</f>
        <v xml:space="preserve"> |  | MON PRV</v>
      </c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6"/>
      <c r="BH11" s="44" t="str">
        <f>IF(COUNTA(Tabelle32[[#This Row],[Type:Vid_1080i50]:[Type:Anc_Prot]])&gt;0,"x","")</f>
        <v/>
      </c>
      <c r="BI11" s="4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J11" s="41"/>
      <c r="BK11" s="41"/>
      <c r="BL11" s="44"/>
      <c r="BM11" s="44"/>
      <c r="BN11" s="58"/>
      <c r="BO11" s="59"/>
      <c r="BP11" s="44">
        <f>LEN(Tabelle32[[#This Row],[Label 1
GFX-Unit]])</f>
        <v>0</v>
      </c>
      <c r="BQ11" s="44"/>
      <c r="BR11" s="44"/>
      <c r="BS11" s="41"/>
      <c r="BT11" s="41"/>
      <c r="BU11" s="41" t="s">
        <v>134</v>
      </c>
      <c r="BV11" s="41">
        <v>2002</v>
      </c>
    </row>
    <row r="12" spans="1:74" x14ac:dyDescent="0.25">
      <c r="A12" s="41" t="str">
        <f>IF(Tabelle32[[#This Row],[Device ID]]&gt;0,CONCATENATE(Tabelle32[[#This Row],[Device ID]],".",TEXT(Tabelle32[[#This Row],[Streamcounter]],"####0000")),"")</f>
        <v>539.2003</v>
      </c>
      <c r="B12" s="42" t="str">
        <f>IFERROR(IF(VLOOKUP(Tabelle32[[#This Row],[Device ID]],BOM!$A$3:$B$5,2,FALSE)=0,"",CONCATENATE(VLOOKUP(Tabelle32[[#This Row],[Device ID]],BOM!$A$3:$B$5,2,FALSE),"_",BU12)),"")</f>
        <v>VGW4226-05_SDI02_AUDrec_0002</v>
      </c>
      <c r="C12" s="43">
        <v>43775</v>
      </c>
      <c r="D12" s="43">
        <v>43775</v>
      </c>
      <c r="E12" s="43">
        <v>43775</v>
      </c>
      <c r="F12" s="41" t="str">
        <f>BOM!$O$5</f>
        <v>MON PRV</v>
      </c>
      <c r="G12" s="44">
        <f t="shared" si="0"/>
        <v>539</v>
      </c>
      <c r="H12" s="41" t="str">
        <f>IFERROR(VLOOKUP(Tabelle32[[#This Row],[Device ID]],BOM!$A$3:$BO$5,2,FALSE),"")</f>
        <v>VGW4226-05</v>
      </c>
      <c r="I12" s="44" t="str">
        <f>BOM!$K$5</f>
        <v>Videomonitor</v>
      </c>
      <c r="J12" s="41" t="str">
        <f>IFERROR(VLOOKUP(Tabelle32[[#This Row],[Device ID]],BOM!$A$3:$BO$5,12,FALSE),"")</f>
        <v>TC.04.226 | R441</v>
      </c>
      <c r="K12" s="41" t="str">
        <f>IFERROR(VLOOKUP(Tabelle32[[#This Row],[Device ID]],BOM!$A$3:$BO$5,13,FALSE),"")</f>
        <v>Embrionix</v>
      </c>
      <c r="L12" s="41" t="str">
        <f>IFERROR(VLOOKUP(Tabelle32[[#This Row],[Device ID]],BOM!$A$3:$BO$5,14,FALSE),"")</f>
        <v>Embrionix IP&gt;2xSDI (HD)</v>
      </c>
      <c r="M12" s="44" t="str">
        <f>BOM!$P$5</f>
        <v>Regisseur</v>
      </c>
      <c r="N12" s="41" t="str">
        <f>IFERROR(VLOOKUP(Tabelle32[[#This Row],[Device ID]],BOM!$A$3:$BO$5,17,FALSE),"")</f>
        <v>TC.04.226 | R441</v>
      </c>
      <c r="O12" s="45"/>
      <c r="P12" s="45"/>
      <c r="Q12" s="45"/>
      <c r="R12" s="45"/>
      <c r="S12" s="45"/>
      <c r="T12" s="45"/>
      <c r="U12" s="41" t="str">
        <f>IFERROR(VLOOKUP(Tabelle32[[#This Row],[Device ID]],BOM!$A$3:$BO$5,24,FALSE),"")</f>
        <v>Bernhard Sager</v>
      </c>
      <c r="V12" s="41" t="str">
        <f>IFERROR(VLOOKUP(Tabelle32[[#This Row],[Device ID]],BOM!$A$3:$BO$5,25,FALSE),"")</f>
        <v>tpco-megw-vgw422605.st-net.media.int</v>
      </c>
      <c r="W12" s="41" t="str">
        <f>IFERROR(VLOOKUP(Tabelle32[[#This Row],[Device ID]],BOM!$A$3:$BO$5,26,FALSE),"")</f>
        <v>10.120.104.81</v>
      </c>
      <c r="X12" s="41" t="str">
        <f>IFERROR(VLOOKUP(Tabelle32[[#This Row],[Device ID]],BOM!$A$3:$BO$5,27,FALSE),"")</f>
        <v>V-LeafB05</v>
      </c>
      <c r="Y12" s="41">
        <f>IFERROR(VLOOKUP(Tabelle32[[#This Row],[Device ID]],BOM!$A$3:$BO$5,28,FALSE),"")</f>
        <v>5</v>
      </c>
      <c r="Z12" s="41">
        <f>IFERROR(VLOOKUP(Tabelle32[[#This Row],[Device ID]],BOM!$A$3:$BO$5,29,FALSE),"")</f>
        <v>0</v>
      </c>
      <c r="AA12" s="41">
        <f>IFERROR(VLOOKUP(Tabelle32[[#This Row],[Device ID]],BOM!$A$3:$BO$5,30,FALSE),"")</f>
        <v>0</v>
      </c>
      <c r="AB12" s="41">
        <f>IFERROR(VLOOKUP(Tabelle32[[#This Row],[Device ID]],BOM!$A$3:$BO$5,31,FALSE),"")</f>
        <v>0</v>
      </c>
      <c r="AC12" s="41">
        <f>IFERROR(VLOOKUP(Tabelle32[[#This Row],[Device ID]],BOM!$A$3:$BO$5,32,FALSE),"")</f>
        <v>0</v>
      </c>
      <c r="AD12" s="41">
        <f>IFERROR(VLOOKUP(Tabelle32[[#This Row],[Device ID]],BOM!$A$3:$BO$5,33,FALSE),"")</f>
        <v>0</v>
      </c>
      <c r="AE12" s="41">
        <f>IFERROR(VLOOKUP(Tabelle32[[#This Row],[Device ID]],BOM!$A$3:$BO$5,34,FALSE),"")</f>
        <v>0</v>
      </c>
      <c r="AF12" s="41">
        <f>IFERROR(VLOOKUP(Tabelle32[[#This Row],[Device ID]],BOM!$A$3:$BO$5,35,FALSE),"")</f>
        <v>0</v>
      </c>
      <c r="AG12" s="41">
        <f>IFERROR(VLOOKUP(Tabelle32[[#This Row],[Device ID]],BOM!$A$3:$BO$5,36,FALSE),"")</f>
        <v>0</v>
      </c>
      <c r="AH12" s="41"/>
      <c r="AI12" s="41"/>
      <c r="AJ12" s="41"/>
      <c r="AK12" s="41"/>
      <c r="AL12" s="41" t="str">
        <f>IFERROR(VLOOKUP(Tabelle32[[#This Row],[Device ID]],BOM!$A$3:$BO$5,41,FALSE),"")</f>
        <v>Embrionix emBox</v>
      </c>
      <c r="AM12" s="41"/>
      <c r="AN12" s="41" t="str">
        <f>IFERROR(VLOOKUP(Tabelle32[[#This Row],[Device ID]],BOM!$A$3:$BO$5,43,FALSE),"")</f>
        <v>No</v>
      </c>
      <c r="AO12" s="41"/>
      <c r="AP12" s="41" t="str">
        <f>IFERROR(CONCATENATE(Tabelle32[[#This Row],[Family
GFX-Unit]]," | ",Tabelle32[[#This Row],[Label 1
GFX-Unit]]," | ",Tabelle32[[#This Row],[Attached Device if Gateway]]),"")</f>
        <v xml:space="preserve"> |  | MON PRV</v>
      </c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6"/>
      <c r="BH12" s="44" t="str">
        <f>IF(COUNTA(Tabelle32[[#This Row],[Type:Vid_1080i50]:[Type:Anc_Prot]])&gt;0,"x","")</f>
        <v/>
      </c>
      <c r="BI12" s="4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J12" s="41"/>
      <c r="BK12" s="41"/>
      <c r="BL12" s="44"/>
      <c r="BM12" s="44"/>
      <c r="BN12" s="58"/>
      <c r="BO12" s="59"/>
      <c r="BP12" s="44">
        <f>LEN(Tabelle32[[#This Row],[Label 1
GFX-Unit]])</f>
        <v>0</v>
      </c>
      <c r="BQ12" s="44"/>
      <c r="BR12" s="44"/>
      <c r="BS12" s="41"/>
      <c r="BT12" s="41"/>
      <c r="BU12" s="41" t="s">
        <v>135</v>
      </c>
      <c r="BV12" s="41">
        <v>2003</v>
      </c>
    </row>
    <row r="13" spans="1:74" x14ac:dyDescent="0.25">
      <c r="A13" s="41" t="str">
        <f>IF(Tabelle32[[#This Row],[Device ID]]&gt;0,CONCATENATE(Tabelle32[[#This Row],[Device ID]],".",TEXT(Tabelle32[[#This Row],[Streamcounter]],"####0000")),"")</f>
        <v>539.2004</v>
      </c>
      <c r="B13" s="42" t="str">
        <f>IFERROR(IF(VLOOKUP(Tabelle32[[#This Row],[Device ID]],BOM!$A$3:$B$5,2,FALSE)=0,"",CONCATENATE(VLOOKUP(Tabelle32[[#This Row],[Device ID]],BOM!$A$3:$B$5,2,FALSE),"_",BU13)),"")</f>
        <v>VGW4226-05_SDI02_AUDrec_0003</v>
      </c>
      <c r="C13" s="43">
        <v>43775</v>
      </c>
      <c r="D13" s="43">
        <v>43775</v>
      </c>
      <c r="E13" s="43">
        <v>43775</v>
      </c>
      <c r="F13" s="41" t="str">
        <f>BOM!$O$5</f>
        <v>MON PRV</v>
      </c>
      <c r="G13" s="44">
        <f t="shared" si="0"/>
        <v>539</v>
      </c>
      <c r="H13" s="41" t="str">
        <f>IFERROR(VLOOKUP(Tabelle32[[#This Row],[Device ID]],BOM!$A$3:$BO$5,2,FALSE),"")</f>
        <v>VGW4226-05</v>
      </c>
      <c r="I13" s="44" t="str">
        <f>BOM!$K$5</f>
        <v>Videomonitor</v>
      </c>
      <c r="J13" s="41" t="str">
        <f>IFERROR(VLOOKUP(Tabelle32[[#This Row],[Device ID]],BOM!$A$3:$BO$5,12,FALSE),"")</f>
        <v>TC.04.226 | R441</v>
      </c>
      <c r="K13" s="41" t="str">
        <f>IFERROR(VLOOKUP(Tabelle32[[#This Row],[Device ID]],BOM!$A$3:$BO$5,13,FALSE),"")</f>
        <v>Embrionix</v>
      </c>
      <c r="L13" s="41" t="str">
        <f>IFERROR(VLOOKUP(Tabelle32[[#This Row],[Device ID]],BOM!$A$3:$BO$5,14,FALSE),"")</f>
        <v>Embrionix IP&gt;2xSDI (HD)</v>
      </c>
      <c r="M13" s="44" t="str">
        <f>BOM!$P$5</f>
        <v>Regisseur</v>
      </c>
      <c r="N13" s="41" t="str">
        <f>IFERROR(VLOOKUP(Tabelle32[[#This Row],[Device ID]],BOM!$A$3:$BO$5,17,FALSE),"")</f>
        <v>TC.04.226 | R441</v>
      </c>
      <c r="O13" s="45"/>
      <c r="P13" s="45"/>
      <c r="Q13" s="45"/>
      <c r="R13" s="45"/>
      <c r="S13" s="45"/>
      <c r="T13" s="45"/>
      <c r="U13" s="41" t="str">
        <f>IFERROR(VLOOKUP(Tabelle32[[#This Row],[Device ID]],BOM!$A$3:$BO$5,24,FALSE),"")</f>
        <v>Bernhard Sager</v>
      </c>
      <c r="V13" s="41" t="str">
        <f>IFERROR(VLOOKUP(Tabelle32[[#This Row],[Device ID]],BOM!$A$3:$BO$5,25,FALSE),"")</f>
        <v>tpco-megw-vgw422605.st-net.media.int</v>
      </c>
      <c r="W13" s="41" t="str">
        <f>IFERROR(VLOOKUP(Tabelle32[[#This Row],[Device ID]],BOM!$A$3:$BO$5,26,FALSE),"")</f>
        <v>10.120.104.81</v>
      </c>
      <c r="X13" s="41" t="str">
        <f>IFERROR(VLOOKUP(Tabelle32[[#This Row],[Device ID]],BOM!$A$3:$BO$5,27,FALSE),"")</f>
        <v>V-LeafB05</v>
      </c>
      <c r="Y13" s="41">
        <f>IFERROR(VLOOKUP(Tabelle32[[#This Row],[Device ID]],BOM!$A$3:$BO$5,28,FALSE),"")</f>
        <v>5</v>
      </c>
      <c r="Z13" s="41">
        <f>IFERROR(VLOOKUP(Tabelle32[[#This Row],[Device ID]],BOM!$A$3:$BO$5,29,FALSE),"")</f>
        <v>0</v>
      </c>
      <c r="AA13" s="41">
        <f>IFERROR(VLOOKUP(Tabelle32[[#This Row],[Device ID]],BOM!$A$3:$BO$5,30,FALSE),"")</f>
        <v>0</v>
      </c>
      <c r="AB13" s="41">
        <f>IFERROR(VLOOKUP(Tabelle32[[#This Row],[Device ID]],BOM!$A$3:$BO$5,31,FALSE),"")</f>
        <v>0</v>
      </c>
      <c r="AC13" s="41">
        <f>IFERROR(VLOOKUP(Tabelle32[[#This Row],[Device ID]],BOM!$A$3:$BO$5,32,FALSE),"")</f>
        <v>0</v>
      </c>
      <c r="AD13" s="41">
        <f>IFERROR(VLOOKUP(Tabelle32[[#This Row],[Device ID]],BOM!$A$3:$BO$5,33,FALSE),"")</f>
        <v>0</v>
      </c>
      <c r="AE13" s="41">
        <f>IFERROR(VLOOKUP(Tabelle32[[#This Row],[Device ID]],BOM!$A$3:$BO$5,34,FALSE),"")</f>
        <v>0</v>
      </c>
      <c r="AF13" s="41">
        <f>IFERROR(VLOOKUP(Tabelle32[[#This Row],[Device ID]],BOM!$A$3:$BO$5,35,FALSE),"")</f>
        <v>0</v>
      </c>
      <c r="AG13" s="41">
        <f>IFERROR(VLOOKUP(Tabelle32[[#This Row],[Device ID]],BOM!$A$3:$BO$5,36,FALSE),"")</f>
        <v>0</v>
      </c>
      <c r="AH13" s="41"/>
      <c r="AI13" s="41"/>
      <c r="AJ13" s="41"/>
      <c r="AK13" s="41"/>
      <c r="AL13" s="41" t="str">
        <f>IFERROR(VLOOKUP(Tabelle32[[#This Row],[Device ID]],BOM!$A$3:$BO$5,41,FALSE),"")</f>
        <v>Embrionix emBox</v>
      </c>
      <c r="AM13" s="41"/>
      <c r="AN13" s="41" t="str">
        <f>IFERROR(VLOOKUP(Tabelle32[[#This Row],[Device ID]],BOM!$A$3:$BO$5,43,FALSE),"")</f>
        <v>No</v>
      </c>
      <c r="AO13" s="41"/>
      <c r="AP13" s="41" t="str">
        <f>IFERROR(CONCATENATE(Tabelle32[[#This Row],[Family
GFX-Unit]]," | ",Tabelle32[[#This Row],[Label 1
GFX-Unit]]," | ",Tabelle32[[#This Row],[Attached Device if Gateway]]),"")</f>
        <v xml:space="preserve"> |  | MON PRV</v>
      </c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6"/>
      <c r="BH13" s="44" t="str">
        <f>IF(COUNTA(Tabelle32[[#This Row],[Type:Vid_1080i50]:[Type:Anc_Prot]])&gt;0,"x","")</f>
        <v/>
      </c>
      <c r="BI13" s="4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J13" s="41"/>
      <c r="BK13" s="41"/>
      <c r="BL13" s="44"/>
      <c r="BM13" s="44"/>
      <c r="BN13" s="58"/>
      <c r="BO13" s="59"/>
      <c r="BP13" s="44">
        <f>LEN(Tabelle32[[#This Row],[Label 1
GFX-Unit]])</f>
        <v>0</v>
      </c>
      <c r="BQ13" s="44"/>
      <c r="BR13" s="44"/>
      <c r="BS13" s="41"/>
      <c r="BT13" s="41"/>
      <c r="BU13" s="41" t="s">
        <v>136</v>
      </c>
      <c r="BV13" s="41">
        <v>2004</v>
      </c>
    </row>
    <row r="14" spans="1:74" x14ac:dyDescent="0.25">
      <c r="A14" s="41" t="str">
        <f>IF(Tabelle32[[#This Row],[Device ID]]&gt;0,CONCATENATE(Tabelle32[[#This Row],[Device ID]],".",TEXT(Tabelle32[[#This Row],[Streamcounter]],"####0000")),"")</f>
        <v>539.2005</v>
      </c>
      <c r="B14" s="42" t="str">
        <f>IFERROR(IF(VLOOKUP(Tabelle32[[#This Row],[Device ID]],BOM!$A$3:$B$5,2,FALSE)=0,"",CONCATENATE(VLOOKUP(Tabelle32[[#This Row],[Device ID]],BOM!$A$3:$B$5,2,FALSE),"_",BU14)),"")</f>
        <v>VGW4226-05_SDI02_AUDrec_0004</v>
      </c>
      <c r="C14" s="43">
        <v>43775</v>
      </c>
      <c r="D14" s="43">
        <v>43775</v>
      </c>
      <c r="E14" s="43">
        <v>43775</v>
      </c>
      <c r="F14" s="41" t="str">
        <f>BOM!$O$5</f>
        <v>MON PRV</v>
      </c>
      <c r="G14" s="44">
        <f t="shared" si="0"/>
        <v>539</v>
      </c>
      <c r="H14" s="41" t="str">
        <f>IFERROR(VLOOKUP(Tabelle32[[#This Row],[Device ID]],BOM!$A$3:$BO$5,2,FALSE),"")</f>
        <v>VGW4226-05</v>
      </c>
      <c r="I14" s="44" t="str">
        <f>BOM!$K$5</f>
        <v>Videomonitor</v>
      </c>
      <c r="J14" s="41" t="str">
        <f>IFERROR(VLOOKUP(Tabelle32[[#This Row],[Device ID]],BOM!$A$3:$BO$5,12,FALSE),"")</f>
        <v>TC.04.226 | R441</v>
      </c>
      <c r="K14" s="41" t="str">
        <f>IFERROR(VLOOKUP(Tabelle32[[#This Row],[Device ID]],BOM!$A$3:$BO$5,13,FALSE),"")</f>
        <v>Embrionix</v>
      </c>
      <c r="L14" s="41" t="str">
        <f>IFERROR(VLOOKUP(Tabelle32[[#This Row],[Device ID]],BOM!$A$3:$BO$5,14,FALSE),"")</f>
        <v>Embrionix IP&gt;2xSDI (HD)</v>
      </c>
      <c r="M14" s="44" t="str">
        <f>BOM!$P$5</f>
        <v>Regisseur</v>
      </c>
      <c r="N14" s="41" t="str">
        <f>IFERROR(VLOOKUP(Tabelle32[[#This Row],[Device ID]],BOM!$A$3:$BO$5,17,FALSE),"")</f>
        <v>TC.04.226 | R441</v>
      </c>
      <c r="O14" s="45"/>
      <c r="P14" s="45"/>
      <c r="Q14" s="45"/>
      <c r="R14" s="45"/>
      <c r="S14" s="45"/>
      <c r="T14" s="45"/>
      <c r="U14" s="41" t="str">
        <f>IFERROR(VLOOKUP(Tabelle32[[#This Row],[Device ID]],BOM!$A$3:$BO$5,24,FALSE),"")</f>
        <v>Bernhard Sager</v>
      </c>
      <c r="V14" s="41" t="str">
        <f>IFERROR(VLOOKUP(Tabelle32[[#This Row],[Device ID]],BOM!$A$3:$BO$5,25,FALSE),"")</f>
        <v>tpco-megw-vgw422605.st-net.media.int</v>
      </c>
      <c r="W14" s="41" t="str">
        <f>IFERROR(VLOOKUP(Tabelle32[[#This Row],[Device ID]],BOM!$A$3:$BO$5,26,FALSE),"")</f>
        <v>10.120.104.81</v>
      </c>
      <c r="X14" s="41" t="str">
        <f>IFERROR(VLOOKUP(Tabelle32[[#This Row],[Device ID]],BOM!$A$3:$BO$5,27,FALSE),"")</f>
        <v>V-LeafB05</v>
      </c>
      <c r="Y14" s="41">
        <f>IFERROR(VLOOKUP(Tabelle32[[#This Row],[Device ID]],BOM!$A$3:$BO$5,28,FALSE),"")</f>
        <v>5</v>
      </c>
      <c r="Z14" s="41">
        <f>IFERROR(VLOOKUP(Tabelle32[[#This Row],[Device ID]],BOM!$A$3:$BO$5,29,FALSE),"")</f>
        <v>0</v>
      </c>
      <c r="AA14" s="41">
        <f>IFERROR(VLOOKUP(Tabelle32[[#This Row],[Device ID]],BOM!$A$3:$BO$5,30,FALSE),"")</f>
        <v>0</v>
      </c>
      <c r="AB14" s="41">
        <f>IFERROR(VLOOKUP(Tabelle32[[#This Row],[Device ID]],BOM!$A$3:$BO$5,31,FALSE),"")</f>
        <v>0</v>
      </c>
      <c r="AC14" s="41">
        <f>IFERROR(VLOOKUP(Tabelle32[[#This Row],[Device ID]],BOM!$A$3:$BO$5,32,FALSE),"")</f>
        <v>0</v>
      </c>
      <c r="AD14" s="41">
        <f>IFERROR(VLOOKUP(Tabelle32[[#This Row],[Device ID]],BOM!$A$3:$BO$5,33,FALSE),"")</f>
        <v>0</v>
      </c>
      <c r="AE14" s="41">
        <f>IFERROR(VLOOKUP(Tabelle32[[#This Row],[Device ID]],BOM!$A$3:$BO$5,34,FALSE),"")</f>
        <v>0</v>
      </c>
      <c r="AF14" s="41">
        <f>IFERROR(VLOOKUP(Tabelle32[[#This Row],[Device ID]],BOM!$A$3:$BO$5,35,FALSE),"")</f>
        <v>0</v>
      </c>
      <c r="AG14" s="41">
        <f>IFERROR(VLOOKUP(Tabelle32[[#This Row],[Device ID]],BOM!$A$3:$BO$5,36,FALSE),"")</f>
        <v>0</v>
      </c>
      <c r="AH14" s="41"/>
      <c r="AI14" s="41"/>
      <c r="AJ14" s="41"/>
      <c r="AK14" s="41"/>
      <c r="AL14" s="41" t="str">
        <f>IFERROR(VLOOKUP(Tabelle32[[#This Row],[Device ID]],BOM!$A$3:$BO$5,41,FALSE),"")</f>
        <v>Embrionix emBox</v>
      </c>
      <c r="AM14" s="41"/>
      <c r="AN14" s="41" t="str">
        <f>IFERROR(VLOOKUP(Tabelle32[[#This Row],[Device ID]],BOM!$A$3:$BO$5,43,FALSE),"")</f>
        <v>No</v>
      </c>
      <c r="AO14" s="41"/>
      <c r="AP14" s="41" t="str">
        <f>IFERROR(CONCATENATE(Tabelle32[[#This Row],[Family
GFX-Unit]]," | ",Tabelle32[[#This Row],[Label 1
GFX-Unit]]," | ",Tabelle32[[#This Row],[Attached Device if Gateway]]),"")</f>
        <v xml:space="preserve"> |  | MON PRV</v>
      </c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6"/>
      <c r="BH14" s="44" t="str">
        <f>IF(COUNTA(Tabelle32[[#This Row],[Type:Vid_1080i50]:[Type:Anc_Prot]])&gt;0,"x","")</f>
        <v/>
      </c>
      <c r="BI14" s="4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J14" s="41"/>
      <c r="BK14" s="41"/>
      <c r="BL14" s="44"/>
      <c r="BM14" s="44"/>
      <c r="BN14" s="58"/>
      <c r="BO14" s="59"/>
      <c r="BP14" s="44">
        <f>LEN(Tabelle32[[#This Row],[Label 1
GFX-Unit]])</f>
        <v>0</v>
      </c>
      <c r="BQ14" s="44"/>
      <c r="BR14" s="44"/>
      <c r="BS14" s="41"/>
      <c r="BT14" s="41"/>
      <c r="BU14" s="41" t="s">
        <v>137</v>
      </c>
      <c r="BV14" s="41">
        <v>2005</v>
      </c>
    </row>
    <row r="15" spans="1:74" x14ac:dyDescent="0.25">
      <c r="A15" s="41" t="str">
        <f>IF(Tabelle32[[#This Row],[Device ID]]&gt;0,CONCATENATE(Tabelle32[[#This Row],[Device ID]],".",TEXT(Tabelle32[[#This Row],[Streamcounter]],"####0000")),"")</f>
        <v>539.2006</v>
      </c>
      <c r="B15" s="42" t="str">
        <f>IFERROR(IF(VLOOKUP(Tabelle32[[#This Row],[Device ID]],BOM!$A$3:$B$5,2,FALSE)=0,"",CONCATENATE(VLOOKUP(Tabelle32[[#This Row],[Device ID]],BOM!$A$3:$B$5,2,FALSE),"_",BU15)),"")</f>
        <v>VGW4226-05_SDI02_ANCrec_0001</v>
      </c>
      <c r="C15" s="43">
        <v>43775</v>
      </c>
      <c r="D15" s="43">
        <v>43775</v>
      </c>
      <c r="E15" s="43">
        <v>43775</v>
      </c>
      <c r="F15" s="41" t="str">
        <f>BOM!$O$5</f>
        <v>MON PRV</v>
      </c>
      <c r="G15" s="44">
        <f t="shared" si="0"/>
        <v>539</v>
      </c>
      <c r="H15" s="41" t="str">
        <f>IFERROR(VLOOKUP(Tabelle32[[#This Row],[Device ID]],BOM!$A$3:$BO$5,2,FALSE),"")</f>
        <v>VGW4226-05</v>
      </c>
      <c r="I15" s="44" t="str">
        <f>BOM!$K$5</f>
        <v>Videomonitor</v>
      </c>
      <c r="J15" s="41" t="str">
        <f>IFERROR(VLOOKUP(Tabelle32[[#This Row],[Device ID]],BOM!$A$3:$BO$5,12,FALSE),"")</f>
        <v>TC.04.226 | R441</v>
      </c>
      <c r="K15" s="41" t="str">
        <f>IFERROR(VLOOKUP(Tabelle32[[#This Row],[Device ID]],BOM!$A$3:$BO$5,13,FALSE),"")</f>
        <v>Embrionix</v>
      </c>
      <c r="L15" s="41" t="str">
        <f>IFERROR(VLOOKUP(Tabelle32[[#This Row],[Device ID]],BOM!$A$3:$BO$5,14,FALSE),"")</f>
        <v>Embrionix IP&gt;2xSDI (HD)</v>
      </c>
      <c r="M15" s="44" t="str">
        <f>BOM!$P$5</f>
        <v>Regisseur</v>
      </c>
      <c r="N15" s="41" t="str">
        <f>IFERROR(VLOOKUP(Tabelle32[[#This Row],[Device ID]],BOM!$A$3:$BO$5,17,FALSE),"")</f>
        <v>TC.04.226 | R441</v>
      </c>
      <c r="O15" s="45"/>
      <c r="P15" s="45"/>
      <c r="Q15" s="45"/>
      <c r="R15" s="45"/>
      <c r="S15" s="45"/>
      <c r="T15" s="45"/>
      <c r="U15" s="41" t="str">
        <f>IFERROR(VLOOKUP(Tabelle32[[#This Row],[Device ID]],BOM!$A$3:$BO$5,24,FALSE),"")</f>
        <v>Bernhard Sager</v>
      </c>
      <c r="V15" s="41" t="str">
        <f>IFERROR(VLOOKUP(Tabelle32[[#This Row],[Device ID]],BOM!$A$3:$BO$5,25,FALSE),"")</f>
        <v>tpco-megw-vgw422605.st-net.media.int</v>
      </c>
      <c r="W15" s="41" t="str">
        <f>IFERROR(VLOOKUP(Tabelle32[[#This Row],[Device ID]],BOM!$A$3:$BO$5,26,FALSE),"")</f>
        <v>10.120.104.81</v>
      </c>
      <c r="X15" s="41" t="str">
        <f>IFERROR(VLOOKUP(Tabelle32[[#This Row],[Device ID]],BOM!$A$3:$BO$5,27,FALSE),"")</f>
        <v>V-LeafB05</v>
      </c>
      <c r="Y15" s="41">
        <f>IFERROR(VLOOKUP(Tabelle32[[#This Row],[Device ID]],BOM!$A$3:$BO$5,28,FALSE),"")</f>
        <v>5</v>
      </c>
      <c r="Z15" s="41">
        <f>IFERROR(VLOOKUP(Tabelle32[[#This Row],[Device ID]],BOM!$A$3:$BO$5,29,FALSE),"")</f>
        <v>0</v>
      </c>
      <c r="AA15" s="41">
        <f>IFERROR(VLOOKUP(Tabelle32[[#This Row],[Device ID]],BOM!$A$3:$BO$5,30,FALSE),"")</f>
        <v>0</v>
      </c>
      <c r="AB15" s="41">
        <f>IFERROR(VLOOKUP(Tabelle32[[#This Row],[Device ID]],BOM!$A$3:$BO$5,31,FALSE),"")</f>
        <v>0</v>
      </c>
      <c r="AC15" s="41">
        <f>IFERROR(VLOOKUP(Tabelle32[[#This Row],[Device ID]],BOM!$A$3:$BO$5,32,FALSE),"")</f>
        <v>0</v>
      </c>
      <c r="AD15" s="41">
        <f>IFERROR(VLOOKUP(Tabelle32[[#This Row],[Device ID]],BOM!$A$3:$BO$5,33,FALSE),"")</f>
        <v>0</v>
      </c>
      <c r="AE15" s="41">
        <f>IFERROR(VLOOKUP(Tabelle32[[#This Row],[Device ID]],BOM!$A$3:$BO$5,34,FALSE),"")</f>
        <v>0</v>
      </c>
      <c r="AF15" s="41">
        <f>IFERROR(VLOOKUP(Tabelle32[[#This Row],[Device ID]],BOM!$A$3:$BO$5,35,FALSE),"")</f>
        <v>0</v>
      </c>
      <c r="AG15" s="41">
        <f>IFERROR(VLOOKUP(Tabelle32[[#This Row],[Device ID]],BOM!$A$3:$BO$5,36,FALSE),"")</f>
        <v>0</v>
      </c>
      <c r="AH15" s="41"/>
      <c r="AI15" s="41"/>
      <c r="AJ15" s="41"/>
      <c r="AK15" s="41"/>
      <c r="AL15" s="41" t="str">
        <f>IFERROR(VLOOKUP(Tabelle32[[#This Row],[Device ID]],BOM!$A$3:$BO$5,41,FALSE),"")</f>
        <v>Embrionix emBox</v>
      </c>
      <c r="AM15" s="41"/>
      <c r="AN15" s="41" t="str">
        <f>IFERROR(VLOOKUP(Tabelle32[[#This Row],[Device ID]],BOM!$A$3:$BO$5,43,FALSE),"")</f>
        <v>No</v>
      </c>
      <c r="AO15" s="41"/>
      <c r="AP15" s="41" t="str">
        <f>IFERROR(CONCATENATE(Tabelle32[[#This Row],[Family
GFX-Unit]]," | ",Tabelle32[[#This Row],[Label 1
GFX-Unit]]," | ",Tabelle32[[#This Row],[Attached Device if Gateway]]),"")</f>
        <v xml:space="preserve"> |  | MON PRV</v>
      </c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6"/>
      <c r="BH15" s="44" t="str">
        <f>IF(COUNTA(Tabelle32[[#This Row],[Type:Vid_1080i50]:[Type:Anc_Prot]])&gt;0,"x","")</f>
        <v/>
      </c>
      <c r="BI15" s="4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J15" s="41"/>
      <c r="BK15" s="41"/>
      <c r="BL15" s="44"/>
      <c r="BM15" s="44"/>
      <c r="BN15" s="58"/>
      <c r="BO15" s="59"/>
      <c r="BP15" s="44">
        <f>LEN(Tabelle32[[#This Row],[Label 1
GFX-Unit]])</f>
        <v>0</v>
      </c>
      <c r="BQ15" s="44"/>
      <c r="BR15" s="44"/>
      <c r="BS15" s="41"/>
      <c r="BT15" s="41"/>
      <c r="BU15" s="41" t="s">
        <v>138</v>
      </c>
      <c r="BV15" s="41">
        <v>2006</v>
      </c>
    </row>
  </sheetData>
  <sheetProtection sheet="1" objects="1" scenarios="1" formatCells="0" formatColumns="0" formatRows="0" sort="0"/>
  <mergeCells count="1">
    <mergeCell ref="C1:F1"/>
  </mergeCells>
  <dataValidations disablePrompts="1" count="3">
    <dataValidation type="list" allowBlank="1" showInputMessage="1" showErrorMessage="1" sqref="AN3" xr:uid="{F23EF2BB-C0E7-47C1-B07B-FE9F41B78D58}">
      <formula1>#REF!</formula1>
    </dataValidation>
    <dataValidation type="list" allowBlank="1" showInputMessage="1" sqref="L3 N3 I3 AL3" xr:uid="{65A80E2E-3525-421A-A212-3DADE8A8AEEA}">
      <formula1>#REF!</formula1>
    </dataValidation>
    <dataValidation type="list" allowBlank="1" showInputMessage="1" showErrorMessage="1" errorTitle="Error" error="bitte Daten im Sharepoint erfassen" sqref="M3:M15 I4:I15" xr:uid="{02537CEF-13CE-41EB-B0C3-716555E1E757}">
      <formula1>workplace_usage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576C-7848-42A7-9AE4-9D1B2541F760}">
  <dimension ref="A1:Y13"/>
  <sheetViews>
    <sheetView tabSelected="1" workbookViewId="0">
      <selection activeCell="C19" sqref="C19"/>
    </sheetView>
  </sheetViews>
  <sheetFormatPr defaultColWidth="9.109375" defaultRowHeight="13.2" x14ac:dyDescent="0.25"/>
  <cols>
    <col min="2" max="2" width="31" bestFit="1" customWidth="1"/>
  </cols>
  <sheetData>
    <row r="1" spans="1:25" x14ac:dyDescent="0.25">
      <c r="A1" t="s">
        <v>266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280</v>
      </c>
      <c r="P1" t="s">
        <v>281</v>
      </c>
      <c r="Q1" t="s">
        <v>282</v>
      </c>
      <c r="R1" t="s">
        <v>283</v>
      </c>
      <c r="S1" t="s">
        <v>284</v>
      </c>
      <c r="T1" t="s">
        <v>285</v>
      </c>
      <c r="U1" t="s">
        <v>286</v>
      </c>
      <c r="V1" t="s">
        <v>287</v>
      </c>
      <c r="W1" t="s">
        <v>288</v>
      </c>
      <c r="X1" t="s">
        <v>289</v>
      </c>
      <c r="Y1" t="s">
        <v>290</v>
      </c>
    </row>
    <row r="2" spans="1:25" x14ac:dyDescent="0.25">
      <c r="A2" t="s">
        <v>291</v>
      </c>
      <c r="B2" t="s">
        <v>292</v>
      </c>
      <c r="C2" t="str">
        <f>IFERROR(VLOOKUP(B2,'Sender-Receiver'!$B$3:$BQ$1500,IF('Sender-Receiver'!$AQ$2="Type:Vid_720p50",62,60),FALSE),"")</f>
        <v>Type:Anc_Prot,#Embrionix emBox</v>
      </c>
      <c r="D2" t="str">
        <f>IFERROR(VLOOKUP(B2,'Sender-Receiver'!$B$3:$BP$1500,41,FALSE),"")</f>
        <v xml:space="preserve"> |  | MON PRV</v>
      </c>
      <c r="E2" t="s">
        <v>293</v>
      </c>
      <c r="F2">
        <v>2</v>
      </c>
      <c r="G2" t="s">
        <v>294</v>
      </c>
      <c r="M2" t="str">
        <f>IF(OR(BOM!$AE$4=FALSE,BOM!$AE$4="-"),IF(ISERROR(SEARCH("send",B2)),"",IF(ISERROR(SEARCH("Embrionix",BOM!$M$4)),"pool:TPC",IF(ISERROR(SEARCH("Quadsplit",BOM!$N$4)),"pool:TPC|pool:TPC","pool:TPC"))),IF(ISERROR(SEARCH("send",B2)),"","pool:TPC|pool:TPC"))</f>
        <v/>
      </c>
      <c r="S2" t="str">
        <f>IFERROR(IF(VLOOKUP(B2,'Sender-Receiver'!$B$3:$BS$1259,IF('Sender-Receiver'!$AQ$2="Type:Vid_720p50",61,59),FALSE)="x","true","false"),"false")</f>
        <v>true</v>
      </c>
      <c r="T2" t="str">
        <f>IF(S2="true","full","off")</f>
        <v>full</v>
      </c>
      <c r="Y2" t="str">
        <f>IF(OR(BOM!$AE$4=FALSE,BOM!$AE$4="-"),IF(ISERROR(SEARCH("Embrionix",BOM!$M$4)),"none",IF(ISERROR(SEARCH("Quadsplit",BOM!$N$4)),IF(ISERROR(SEARCH("rec",B2)),IF(ISERROR(SEARCH("send",B2)),"none","split"),"merge"),"none")),IF(ISERROR(SEARCH("rec",B2)),"split","merge"))</f>
        <v>merge</v>
      </c>
    </row>
    <row r="3" spans="1:25" x14ac:dyDescent="0.25">
      <c r="A3" t="s">
        <v>291</v>
      </c>
      <c r="B3" t="s">
        <v>295</v>
      </c>
      <c r="C3" t="str">
        <f>IFERROR(VLOOKUP(B3,'Sender-Receiver'!$B$3:$BQ$1500,IF('Sender-Receiver'!$AQ$2="Type:Vid_720p50",62,60),FALSE),"")</f>
        <v>Type:Aud_1CH_M,Type:Aud_2CH_LR,#Embrionix emBox</v>
      </c>
      <c r="D3" t="str">
        <f>IFERROR(VLOOKUP(B3,'Sender-Receiver'!$B$3:$BP$1500,41,FALSE),"")</f>
        <v xml:space="preserve"> |  | MON PRV</v>
      </c>
      <c r="E3" t="s">
        <v>293</v>
      </c>
      <c r="F3">
        <v>2</v>
      </c>
      <c r="G3" t="s">
        <v>296</v>
      </c>
      <c r="M3" t="str">
        <f>IF(OR(BOM!$AE$4=FALSE,BOM!$AE$4="-"),IF(ISERROR(SEARCH("send",B3)),"",IF(ISERROR(SEARCH("Embrionix",BOM!$M$4)),"pool:TPC",IF(ISERROR(SEARCH("Quadsplit",BOM!$N$4)),"pool:TPC|pool:TPC","pool:TPC"))),IF(ISERROR(SEARCH("send",B3)),"","pool:TPC|pool:TPC"))</f>
        <v/>
      </c>
      <c r="S3" t="str">
        <f>IFERROR(IF(VLOOKUP(B3,'Sender-Receiver'!$B$3:$BS$1259,IF('Sender-Receiver'!$AQ$2="Type:Vid_720p50",61,59),FALSE)="x","true","false"),"false")</f>
        <v>true</v>
      </c>
      <c r="T3" t="str">
        <f t="shared" ref="T3:T13" si="0">IF(S3="true","full","off")</f>
        <v>full</v>
      </c>
      <c r="Y3" t="str">
        <f>IF(OR(BOM!$AE$4=FALSE,BOM!$AE$4="-"),IF(ISERROR(SEARCH("Embrionix",BOM!$M$4)),"none",IF(ISERROR(SEARCH("Quadsplit",BOM!$N$4)),IF(ISERROR(SEARCH("rec",B3)),IF(ISERROR(SEARCH("send",B3)),"none","split"),"merge"),"none")),IF(ISERROR(SEARCH("rec",B3)),"split","merge"))</f>
        <v>merge</v>
      </c>
    </row>
    <row r="4" spans="1:25" x14ac:dyDescent="0.25">
      <c r="A4" t="s">
        <v>291</v>
      </c>
      <c r="B4" t="s">
        <v>297</v>
      </c>
      <c r="C4" t="str">
        <f>IFERROR(VLOOKUP(B4,'Sender-Receiver'!$B$3:$BQ$1500,IF('Sender-Receiver'!$AQ$2="Type:Vid_720p50",62,60),FALSE),"")</f>
        <v>#Embrionix emBox</v>
      </c>
      <c r="D4" t="str">
        <f>IFERROR(VLOOKUP(B4,'Sender-Receiver'!$B$3:$BP$1500,41,FALSE),"")</f>
        <v xml:space="preserve"> |  | MON PRV</v>
      </c>
      <c r="E4" t="s">
        <v>293</v>
      </c>
      <c r="F4">
        <v>2</v>
      </c>
      <c r="G4" t="s">
        <v>298</v>
      </c>
      <c r="M4" t="str">
        <f>IF(OR(BOM!$AE$4=FALSE,BOM!$AE$4="-"),IF(ISERROR(SEARCH("send",B4)),"",IF(ISERROR(SEARCH("Embrionix",BOM!$M$4)),"pool:TPC",IF(ISERROR(SEARCH("Quadsplit",BOM!$N$4)),"pool:TPC|pool:TPC","pool:TPC"))),IF(ISERROR(SEARCH("send",B4)),"","pool:TPC|pool:TPC"))</f>
        <v/>
      </c>
      <c r="S4" t="str">
        <f>IFERROR(IF(VLOOKUP(B4,'Sender-Receiver'!$B$3:$BS$1259,IF('Sender-Receiver'!$AQ$2="Type:Vid_720p50",61,59),FALSE)="x","true","false"),"false")</f>
        <v>false</v>
      </c>
      <c r="T4" t="str">
        <f t="shared" si="0"/>
        <v>off</v>
      </c>
      <c r="Y4" t="str">
        <f>IF(OR(BOM!$AE$4=FALSE,BOM!$AE$4="-"),IF(ISERROR(SEARCH("Embrionix",BOM!$M$4)),"none",IF(ISERROR(SEARCH("Quadsplit",BOM!$N$4)),IF(ISERROR(SEARCH("rec",B4)),IF(ISERROR(SEARCH("send",B4)),"none","split"),"merge"),"none")),IF(ISERROR(SEARCH("rec",B4)),"split","merge"))</f>
        <v>merge</v>
      </c>
    </row>
    <row r="5" spans="1:25" x14ac:dyDescent="0.25">
      <c r="A5" t="s">
        <v>291</v>
      </c>
      <c r="B5" t="s">
        <v>299</v>
      </c>
      <c r="C5" t="str">
        <f>IFERROR(VLOOKUP(B5,'Sender-Receiver'!$B$3:$BQ$1500,IF('Sender-Receiver'!$AQ$2="Type:Vid_720p50",62,60),FALSE),"")</f>
        <v>#Embrionix emBox</v>
      </c>
      <c r="D5" t="str">
        <f>IFERROR(VLOOKUP(B5,'Sender-Receiver'!$B$3:$BP$1500,41,FALSE),"")</f>
        <v xml:space="preserve"> |  | MON PRV</v>
      </c>
      <c r="E5" t="s">
        <v>293</v>
      </c>
      <c r="F5">
        <v>2</v>
      </c>
      <c r="G5" t="s">
        <v>300</v>
      </c>
      <c r="M5" t="str">
        <f>IF(OR(BOM!$AE$4=FALSE,BOM!$AE$4="-"),IF(ISERROR(SEARCH("send",B5)),"",IF(ISERROR(SEARCH("Embrionix",BOM!$M$4)),"pool:TPC",IF(ISERROR(SEARCH("Quadsplit",BOM!$N$4)),"pool:TPC|pool:TPC","pool:TPC"))),IF(ISERROR(SEARCH("send",B5)),"","pool:TPC|pool:TPC"))</f>
        <v/>
      </c>
      <c r="S5" t="str">
        <f>IFERROR(IF(VLOOKUP(B5,'Sender-Receiver'!$B$3:$BS$1259,IF('Sender-Receiver'!$AQ$2="Type:Vid_720p50",61,59),FALSE)="x","true","false"),"false")</f>
        <v>false</v>
      </c>
      <c r="T5" t="str">
        <f t="shared" si="0"/>
        <v>off</v>
      </c>
      <c r="Y5" t="str">
        <f>IF(OR(BOM!$AE$4=FALSE,BOM!$AE$4="-"),IF(ISERROR(SEARCH("Embrionix",BOM!$M$4)),"none",IF(ISERROR(SEARCH("Quadsplit",BOM!$N$4)),IF(ISERROR(SEARCH("rec",B5)),IF(ISERROR(SEARCH("send",B5)),"none","split"),"merge"),"none")),IF(ISERROR(SEARCH("rec",B5)),"split","merge"))</f>
        <v>merge</v>
      </c>
    </row>
    <row r="6" spans="1:25" x14ac:dyDescent="0.25">
      <c r="A6" t="s">
        <v>291</v>
      </c>
      <c r="B6" t="s">
        <v>301</v>
      </c>
      <c r="C6" t="str">
        <f>IFERROR(VLOOKUP(B6,'Sender-Receiver'!$B$3:$BQ$1500,IF('Sender-Receiver'!$AQ$2="Type:Vid_720p50",62,60),FALSE),"")</f>
        <v>#Embrionix emBox</v>
      </c>
      <c r="D6" t="str">
        <f>IFERROR(VLOOKUP(B6,'Sender-Receiver'!$B$3:$BP$1500,41,FALSE),"")</f>
        <v xml:space="preserve"> |  | MON PRV</v>
      </c>
      <c r="E6" t="s">
        <v>293</v>
      </c>
      <c r="F6">
        <v>2</v>
      </c>
      <c r="G6" t="s">
        <v>302</v>
      </c>
      <c r="M6" t="str">
        <f>IF(OR(BOM!$AE$4=FALSE,BOM!$AE$4="-"),IF(ISERROR(SEARCH("send",B6)),"",IF(ISERROR(SEARCH("Embrionix",BOM!$M$4)),"pool:TPC",IF(ISERROR(SEARCH("Quadsplit",BOM!$N$4)),"pool:TPC|pool:TPC","pool:TPC"))),IF(ISERROR(SEARCH("send",B6)),"","pool:TPC|pool:TPC"))</f>
        <v/>
      </c>
      <c r="S6" t="str">
        <f>IFERROR(IF(VLOOKUP(B6,'Sender-Receiver'!$B$3:$BS$1259,IF('Sender-Receiver'!$AQ$2="Type:Vid_720p50",61,59),FALSE)="x","true","false"),"false")</f>
        <v>false</v>
      </c>
      <c r="T6" t="str">
        <f t="shared" si="0"/>
        <v>off</v>
      </c>
      <c r="Y6" t="str">
        <f>IF(OR(BOM!$AE$4=FALSE,BOM!$AE$4="-"),IF(ISERROR(SEARCH("Embrionix",BOM!$M$4)),"none",IF(ISERROR(SEARCH("Quadsplit",BOM!$N$4)),IF(ISERROR(SEARCH("rec",B6)),IF(ISERROR(SEARCH("send",B6)),"none","split"),"merge"),"none")),IF(ISERROR(SEARCH("rec",B6)),"split","merge"))</f>
        <v>merge</v>
      </c>
    </row>
    <row r="7" spans="1:25" x14ac:dyDescent="0.25">
      <c r="A7" t="s">
        <v>291</v>
      </c>
      <c r="B7" t="s">
        <v>303</v>
      </c>
      <c r="C7" t="str">
        <f>IFERROR(VLOOKUP(B7,'Sender-Receiver'!$B$3:$BQ$1500,IF('Sender-Receiver'!$AQ$2="Type:Vid_720p50",62,60),FALSE),"")</f>
        <v>Type:Vid_1080i50,Type:Vid_1080p25,Type:Vid_1080p50,Type:Vid_1080p60,#Embrionix emBox</v>
      </c>
      <c r="D7" t="str">
        <f>IFERROR(VLOOKUP(B7,'Sender-Receiver'!$B$3:$BP$1500,41,FALSE),"")</f>
        <v>DISPLAY R441 | PREVIEW | MON PRV</v>
      </c>
      <c r="E7" t="s">
        <v>293</v>
      </c>
      <c r="F7">
        <v>2</v>
      </c>
      <c r="G7" t="s">
        <v>304</v>
      </c>
      <c r="M7" t="str">
        <f>IF(OR(BOM!$AE$4=FALSE,BOM!$AE$4="-"),IF(ISERROR(SEARCH("send",B7)),"",IF(ISERROR(SEARCH("Embrionix",BOM!$M$4)),"pool:TPC",IF(ISERROR(SEARCH("Quadsplit",BOM!$N$4)),"pool:TPC|pool:TPC","pool:TPC"))),IF(ISERROR(SEARCH("send",B7)),"","pool:TPC|pool:TPC"))</f>
        <v/>
      </c>
      <c r="S7" t="str">
        <f>IFERROR(IF(VLOOKUP(B7,'Sender-Receiver'!$B$3:$BS$1259,IF('Sender-Receiver'!$AQ$2="Type:Vid_720p50",61,59),FALSE)="x","true","false"),"false")</f>
        <v>true</v>
      </c>
      <c r="T7" t="str">
        <f t="shared" si="0"/>
        <v>full</v>
      </c>
      <c r="Y7" t="str">
        <f>IF(OR(BOM!$AE$4=FALSE,BOM!$AE$4="-"),IF(ISERROR(SEARCH("Embrionix",BOM!$M$4)),"none",IF(ISERROR(SEARCH("Quadsplit",BOM!$N$4)),IF(ISERROR(SEARCH("rec",B7)),IF(ISERROR(SEARCH("send",B7)),"none","split"),"merge"),"none")),IF(ISERROR(SEARCH("rec",B7)),"split","merge"))</f>
        <v>merge</v>
      </c>
    </row>
    <row r="8" spans="1:25" x14ac:dyDescent="0.25">
      <c r="A8" t="s">
        <v>291</v>
      </c>
      <c r="B8" t="s">
        <v>305</v>
      </c>
      <c r="C8" t="str">
        <f>IFERROR(VLOOKUP(B8,'Sender-Receiver'!$B$3:$BQ$1500,IF('Sender-Receiver'!$AQ$2="Type:Vid_720p50",62,60),FALSE),"")</f>
        <v>#Embrionix emBox</v>
      </c>
      <c r="D8" t="str">
        <f>IFERROR(VLOOKUP(B8,'Sender-Receiver'!$B$3:$BP$1500,41,FALSE),"")</f>
        <v xml:space="preserve"> |  | MON PRV</v>
      </c>
      <c r="E8" t="s">
        <v>293</v>
      </c>
      <c r="F8">
        <v>2</v>
      </c>
      <c r="G8" t="s">
        <v>306</v>
      </c>
      <c r="M8" t="str">
        <f>IF(OR(BOM!$AE$4=FALSE,BOM!$AE$4="-"),IF(ISERROR(SEARCH("send",B8)),"",IF(ISERROR(SEARCH("Embrionix",BOM!$M$4)),"pool:TPC",IF(ISERROR(SEARCH("Quadsplit",BOM!$N$4)),"pool:TPC|pool:TPC","pool:TPC"))),IF(ISERROR(SEARCH("send",B8)),"","pool:TPC|pool:TPC"))</f>
        <v/>
      </c>
      <c r="S8" t="str">
        <f>IFERROR(IF(VLOOKUP(B8,'Sender-Receiver'!$B$3:$BS$1259,IF('Sender-Receiver'!$AQ$2="Type:Vid_720p50",61,59),FALSE)="x","true","false"),"false")</f>
        <v>false</v>
      </c>
      <c r="T8" t="str">
        <f t="shared" si="0"/>
        <v>off</v>
      </c>
      <c r="Y8" t="str">
        <f>IF(OR(BOM!$AE$4=FALSE,BOM!$AE$4="-"),IF(ISERROR(SEARCH("Embrionix",BOM!$M$4)),"none",IF(ISERROR(SEARCH("Quadsplit",BOM!$N$4)),IF(ISERROR(SEARCH("rec",B8)),IF(ISERROR(SEARCH("send",B8)),"none","split"),"merge"),"none")),IF(ISERROR(SEARCH("rec",B8)),"split","merge"))</f>
        <v>merge</v>
      </c>
    </row>
    <row r="9" spans="1:25" x14ac:dyDescent="0.25">
      <c r="A9" t="s">
        <v>291</v>
      </c>
      <c r="B9" t="s">
        <v>307</v>
      </c>
      <c r="C9" t="str">
        <f>IFERROR(VLOOKUP(B9,'Sender-Receiver'!$B$3:$BQ$1500,IF('Sender-Receiver'!$AQ$2="Type:Vid_720p50",62,60),FALSE),"")</f>
        <v>#Embrionix emBox</v>
      </c>
      <c r="D9" t="str">
        <f>IFERROR(VLOOKUP(B9,'Sender-Receiver'!$B$3:$BP$1500,41,FALSE),"")</f>
        <v xml:space="preserve"> |  | MON PRV</v>
      </c>
      <c r="E9" t="s">
        <v>293</v>
      </c>
      <c r="F9">
        <v>2</v>
      </c>
      <c r="G9" t="s">
        <v>308</v>
      </c>
      <c r="M9" t="str">
        <f>IF(OR(BOM!$AE$4=FALSE,BOM!$AE$4="-"),IF(ISERROR(SEARCH("send",B9)),"",IF(ISERROR(SEARCH("Embrionix",BOM!$M$4)),"pool:TPC",IF(ISERROR(SEARCH("Quadsplit",BOM!$N$4)),"pool:TPC|pool:TPC","pool:TPC"))),IF(ISERROR(SEARCH("send",B9)),"","pool:TPC|pool:TPC"))</f>
        <v/>
      </c>
      <c r="S9" t="str">
        <f>IFERROR(IF(VLOOKUP(B9,'Sender-Receiver'!$B$3:$BS$1259,IF('Sender-Receiver'!$AQ$2="Type:Vid_720p50",61,59),FALSE)="x","true","false"),"false")</f>
        <v>false</v>
      </c>
      <c r="T9" t="str">
        <f t="shared" si="0"/>
        <v>off</v>
      </c>
      <c r="Y9" t="str">
        <f>IF(OR(BOM!$AE$4=FALSE,BOM!$AE$4="-"),IF(ISERROR(SEARCH("Embrionix",BOM!$M$4)),"none",IF(ISERROR(SEARCH("Quadsplit",BOM!$N$4)),IF(ISERROR(SEARCH("rec",B9)),IF(ISERROR(SEARCH("send",B9)),"none","split"),"merge"),"none")),IF(ISERROR(SEARCH("rec",B9)),"split","merge"))</f>
        <v>merge</v>
      </c>
    </row>
    <row r="10" spans="1:25" x14ac:dyDescent="0.25">
      <c r="A10" t="s">
        <v>291</v>
      </c>
      <c r="B10" t="s">
        <v>309</v>
      </c>
      <c r="C10" t="str">
        <f>IFERROR(VLOOKUP(B10,'Sender-Receiver'!$B$3:$BQ$1500,IF('Sender-Receiver'!$AQ$2="Type:Vid_720p50",62,60),FALSE),"")</f>
        <v>#Embrionix emBox</v>
      </c>
      <c r="D10" t="str">
        <f>IFERROR(VLOOKUP(B10,'Sender-Receiver'!$B$3:$BP$1500,41,FALSE),"")</f>
        <v xml:space="preserve"> |  | MON PRV</v>
      </c>
      <c r="E10" t="s">
        <v>293</v>
      </c>
      <c r="F10">
        <v>2</v>
      </c>
      <c r="G10" t="s">
        <v>310</v>
      </c>
      <c r="M10" t="str">
        <f>IF(OR(BOM!$AE$4=FALSE,BOM!$AE$4="-"),IF(ISERROR(SEARCH("send",B10)),"",IF(ISERROR(SEARCH("Embrionix",BOM!$M$4)),"pool:TPC",IF(ISERROR(SEARCH("Quadsplit",BOM!$N$4)),"pool:TPC|pool:TPC","pool:TPC"))),IF(ISERROR(SEARCH("send",B10)),"","pool:TPC|pool:TPC"))</f>
        <v/>
      </c>
      <c r="S10" t="str">
        <f>IFERROR(IF(VLOOKUP(B10,'Sender-Receiver'!$B$3:$BS$1259,IF('Sender-Receiver'!$AQ$2="Type:Vid_720p50",61,59),FALSE)="x","true","false"),"false")</f>
        <v>false</v>
      </c>
      <c r="T10" t="str">
        <f t="shared" si="0"/>
        <v>off</v>
      </c>
      <c r="Y10" t="str">
        <f>IF(OR(BOM!$AE$4=FALSE,BOM!$AE$4="-"),IF(ISERROR(SEARCH("Embrionix",BOM!$M$4)),"none",IF(ISERROR(SEARCH("Quadsplit",BOM!$N$4)),IF(ISERROR(SEARCH("rec",B10)),IF(ISERROR(SEARCH("send",B10)),"none","split"),"merge"),"none")),IF(ISERROR(SEARCH("rec",B10)),"split","merge"))</f>
        <v>merge</v>
      </c>
    </row>
    <row r="11" spans="1:25" x14ac:dyDescent="0.25">
      <c r="A11" t="s">
        <v>291</v>
      </c>
      <c r="B11" t="s">
        <v>311</v>
      </c>
      <c r="C11" t="str">
        <f>IFERROR(VLOOKUP(B11,'Sender-Receiver'!$B$3:$BQ$1500,IF('Sender-Receiver'!$AQ$2="Type:Vid_720p50",62,60),FALSE),"")</f>
        <v>#Embrionix emBox</v>
      </c>
      <c r="D11" t="str">
        <f>IFERROR(VLOOKUP(B11,'Sender-Receiver'!$B$3:$BP$1500,41,FALSE),"")</f>
        <v xml:space="preserve"> |  | MON PRV</v>
      </c>
      <c r="E11" t="s">
        <v>293</v>
      </c>
      <c r="F11">
        <v>2</v>
      </c>
      <c r="G11" t="s">
        <v>312</v>
      </c>
      <c r="M11" t="str">
        <f>IF(OR(BOM!$AE$4=FALSE,BOM!$AE$4="-"),IF(ISERROR(SEARCH("send",B11)),"",IF(ISERROR(SEARCH("Embrionix",BOM!$M$4)),"pool:TPC",IF(ISERROR(SEARCH("Quadsplit",BOM!$N$4)),"pool:TPC|pool:TPC","pool:TPC"))),IF(ISERROR(SEARCH("send",B11)),"","pool:TPC|pool:TPC"))</f>
        <v/>
      </c>
      <c r="S11" t="str">
        <f>IFERROR(IF(VLOOKUP(B11,'Sender-Receiver'!$B$3:$BS$1259,IF('Sender-Receiver'!$AQ$2="Type:Vid_720p50",61,59),FALSE)="x","true","false"),"false")</f>
        <v>false</v>
      </c>
      <c r="T11" t="str">
        <f t="shared" si="0"/>
        <v>off</v>
      </c>
      <c r="Y11" t="str">
        <f>IF(OR(BOM!$AE$4=FALSE,BOM!$AE$4="-"),IF(ISERROR(SEARCH("Embrionix",BOM!$M$4)),"none",IF(ISERROR(SEARCH("Quadsplit",BOM!$N$4)),IF(ISERROR(SEARCH("rec",B11)),IF(ISERROR(SEARCH("send",B11)),"none","split"),"merge"),"none")),IF(ISERROR(SEARCH("rec",B11)),"split","merge"))</f>
        <v>merge</v>
      </c>
    </row>
    <row r="12" spans="1:25" x14ac:dyDescent="0.25">
      <c r="A12" t="s">
        <v>291</v>
      </c>
      <c r="B12" t="s">
        <v>313</v>
      </c>
      <c r="C12" t="str">
        <f>IFERROR(VLOOKUP(B12,'Sender-Receiver'!$B$3:$BQ$1500,IF('Sender-Receiver'!$AQ$2="Type:Vid_720p50",62,60),FALSE),"")</f>
        <v>#Embrionix emBox</v>
      </c>
      <c r="D12" t="str">
        <f>IFERROR(VLOOKUP(B12,'Sender-Receiver'!$B$3:$BP$1500,41,FALSE),"")</f>
        <v xml:space="preserve"> |  | MON PRV</v>
      </c>
      <c r="E12" t="s">
        <v>293</v>
      </c>
      <c r="F12">
        <v>2</v>
      </c>
      <c r="G12" t="s">
        <v>314</v>
      </c>
      <c r="M12" t="str">
        <f>IF(OR(BOM!$AE$4=FALSE,BOM!$AE$4="-"),IF(ISERROR(SEARCH("send",B12)),"",IF(ISERROR(SEARCH("Embrionix",BOM!$M$4)),"pool:TPC",IF(ISERROR(SEARCH("Quadsplit",BOM!$N$4)),"pool:TPC|pool:TPC","pool:TPC"))),IF(ISERROR(SEARCH("send",B12)),"","pool:TPC|pool:TPC"))</f>
        <v/>
      </c>
      <c r="S12" t="str">
        <f>IFERROR(IF(VLOOKUP(B12,'Sender-Receiver'!$B$3:$BS$1259,IF('Sender-Receiver'!$AQ$2="Type:Vid_720p50",61,59),FALSE)="x","true","false"),"false")</f>
        <v>false</v>
      </c>
      <c r="T12" t="str">
        <f t="shared" si="0"/>
        <v>off</v>
      </c>
      <c r="Y12" t="str">
        <f>IF(OR(BOM!$AE$4=FALSE,BOM!$AE$4="-"),IF(ISERROR(SEARCH("Embrionix",BOM!$M$4)),"none",IF(ISERROR(SEARCH("Quadsplit",BOM!$N$4)),IF(ISERROR(SEARCH("rec",B12)),IF(ISERROR(SEARCH("send",B12)),"none","split"),"merge"),"none")),IF(ISERROR(SEARCH("rec",B12)),"split","merge"))</f>
        <v>merge</v>
      </c>
    </row>
    <row r="13" spans="1:25" x14ac:dyDescent="0.25">
      <c r="A13" t="s">
        <v>291</v>
      </c>
      <c r="B13" t="s">
        <v>315</v>
      </c>
      <c r="C13" t="str">
        <f>IFERROR(VLOOKUP(B13,'Sender-Receiver'!$B$3:$BQ$1500,IF('Sender-Receiver'!$AQ$2="Type:Vid_720p50",62,60),FALSE),"")</f>
        <v>Type:Vid_1080i50,Type:Vid_1080p25,Type:Vid_1080p50,Type:Vid_1080p60,#Embrionix emBox</v>
      </c>
      <c r="D13" t="str">
        <f>IFERROR(VLOOKUP(B13,'Sender-Receiver'!$B$3:$BP$1500,41,FALSE),"")</f>
        <v>MONITOR R441 | MON TP | MON PRV</v>
      </c>
      <c r="E13" t="s">
        <v>293</v>
      </c>
      <c r="F13">
        <v>2</v>
      </c>
      <c r="G13" t="s">
        <v>316</v>
      </c>
      <c r="M13" t="str">
        <f>IF(OR(BOM!$AE$4=FALSE,BOM!$AE$4="-"),IF(ISERROR(SEARCH("send",B13)),"",IF(ISERROR(SEARCH("Embrionix",BOM!$M$4)),"pool:TPC",IF(ISERROR(SEARCH("Quadsplit",BOM!$N$4)),"pool:TPC|pool:TPC","pool:TPC"))),IF(ISERROR(SEARCH("send",B13)),"","pool:TPC|pool:TPC"))</f>
        <v/>
      </c>
      <c r="S13" t="str">
        <f>IFERROR(IF(VLOOKUP(B13,'Sender-Receiver'!$B$3:$BS$1259,IF('Sender-Receiver'!$AQ$2="Type:Vid_720p50",61,59),FALSE)="x","true","false"),"false")</f>
        <v>true</v>
      </c>
      <c r="T13" t="str">
        <f t="shared" si="0"/>
        <v>full</v>
      </c>
      <c r="Y13" t="str">
        <f>IF(OR(BOM!$AE$4=FALSE,BOM!$AE$4="-"),IF(ISERROR(SEARCH("Embrionix",BOM!$M$4)),"none",IF(ISERROR(SEARCH("Quadsplit",BOM!$N$4)),IF(ISERROR(SEARCH("rec",B13)),IF(ISERROR(SEARCH("send",B13)),"none","split"),"merge"),"none")),IF(ISERROR(SEARCH("rec",B13)),"split","merge"))</f>
        <v>merge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BA0A-373C-4D55-A580-6D9009BF302E}">
  <sheetPr>
    <tabColor theme="0" tint="-4.9989318521683403E-2"/>
  </sheetPr>
  <dimension ref="A1:C13"/>
  <sheetViews>
    <sheetView workbookViewId="0">
      <selection activeCell="C39" sqref="C39"/>
    </sheetView>
  </sheetViews>
  <sheetFormatPr defaultColWidth="11.5546875" defaultRowHeight="13.2" x14ac:dyDescent="0.25"/>
  <cols>
    <col min="1" max="1" width="26.109375" bestFit="1" customWidth="1"/>
    <col min="2" max="2" width="13.44140625" bestFit="1" customWidth="1"/>
    <col min="3" max="3" width="57.5546875" bestFit="1" customWidth="1"/>
  </cols>
  <sheetData>
    <row r="1" spans="1:3" x14ac:dyDescent="0.25">
      <c r="A1" t="s">
        <v>146</v>
      </c>
      <c r="B1" t="s">
        <v>141</v>
      </c>
      <c r="C1" t="s">
        <v>140</v>
      </c>
    </row>
    <row r="2" spans="1:3" x14ac:dyDescent="0.25">
      <c r="A2" s="11" t="s">
        <v>62</v>
      </c>
      <c r="B2" s="11" t="s">
        <v>144</v>
      </c>
      <c r="C2" s="11" t="s">
        <v>147</v>
      </c>
    </row>
    <row r="3" spans="1:3" x14ac:dyDescent="0.25">
      <c r="A3" s="11" t="s">
        <v>148</v>
      </c>
      <c r="B3" s="11" t="s">
        <v>144</v>
      </c>
      <c r="C3" s="11" t="s">
        <v>147</v>
      </c>
    </row>
    <row r="4" spans="1:3" x14ac:dyDescent="0.25">
      <c r="A4" s="11" t="s">
        <v>149</v>
      </c>
      <c r="B4" s="11" t="s">
        <v>144</v>
      </c>
      <c r="C4" s="11" t="s">
        <v>147</v>
      </c>
    </row>
    <row r="5" spans="1:3" x14ac:dyDescent="0.25">
      <c r="A5" s="11" t="s">
        <v>150</v>
      </c>
      <c r="B5" s="11" t="s">
        <v>144</v>
      </c>
      <c r="C5" s="11" t="s">
        <v>147</v>
      </c>
    </row>
    <row r="6" spans="1:3" x14ac:dyDescent="0.25">
      <c r="A6" s="11" t="s">
        <v>151</v>
      </c>
      <c r="B6" s="11" t="s">
        <v>144</v>
      </c>
      <c r="C6" s="11" t="s">
        <v>147</v>
      </c>
    </row>
    <row r="7" spans="1:3" x14ac:dyDescent="0.25">
      <c r="A7" s="11" t="s">
        <v>152</v>
      </c>
      <c r="B7" s="11" t="s">
        <v>144</v>
      </c>
      <c r="C7" s="11" t="s">
        <v>147</v>
      </c>
    </row>
    <row r="8" spans="1:3" x14ac:dyDescent="0.25">
      <c r="A8" s="11" t="s">
        <v>153</v>
      </c>
      <c r="B8" s="11" t="s">
        <v>144</v>
      </c>
      <c r="C8" s="11" t="s">
        <v>147</v>
      </c>
    </row>
    <row r="9" spans="1:3" x14ac:dyDescent="0.25">
      <c r="A9" s="11" t="s">
        <v>154</v>
      </c>
      <c r="B9" s="11" t="s">
        <v>144</v>
      </c>
      <c r="C9" s="11" t="s">
        <v>147</v>
      </c>
    </row>
    <row r="10" spans="1:3" x14ac:dyDescent="0.25">
      <c r="A10" s="11" t="s">
        <v>155</v>
      </c>
      <c r="B10" s="11" t="s">
        <v>144</v>
      </c>
      <c r="C10" s="11" t="s">
        <v>147</v>
      </c>
    </row>
    <row r="11" spans="1:3" x14ac:dyDescent="0.25">
      <c r="A11" s="11" t="s">
        <v>320</v>
      </c>
      <c r="B11" s="11" t="s">
        <v>144</v>
      </c>
      <c r="C11" s="11" t="s">
        <v>147</v>
      </c>
    </row>
    <row r="12" spans="1:3" x14ac:dyDescent="0.25">
      <c r="A12" s="11" t="s">
        <v>317</v>
      </c>
      <c r="B12" s="11" t="s">
        <v>144</v>
      </c>
      <c r="C12" s="11" t="s">
        <v>147</v>
      </c>
    </row>
    <row r="13" spans="1:3" x14ac:dyDescent="0.25">
      <c r="A13" s="11" t="s">
        <v>321</v>
      </c>
      <c r="B13" s="11" t="s">
        <v>144</v>
      </c>
      <c r="C13" s="11" t="s">
        <v>147</v>
      </c>
    </row>
  </sheetData>
  <dataValidations disablePrompts="1" count="1">
    <dataValidation type="list" allowBlank="1" showInputMessage="1" showErrorMessage="1" sqref="H8" xr:uid="{EA25B99F-F9D9-41C4-B20D-38BE3CA8BC14}">
      <formula1>dev_type_gw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4529-6563-4E3A-8F75-80A490CA0179}">
  <sheetPr>
    <tabColor theme="0" tint="-4.9989318521683403E-2"/>
  </sheetPr>
  <dimension ref="A1:C4"/>
  <sheetViews>
    <sheetView workbookViewId="0">
      <selection activeCell="C39" sqref="C39"/>
    </sheetView>
  </sheetViews>
  <sheetFormatPr defaultColWidth="11.5546875" defaultRowHeight="13.2" x14ac:dyDescent="0.25"/>
  <cols>
    <col min="1" max="1" width="19.44140625" bestFit="1" customWidth="1"/>
    <col min="2" max="2" width="12.88671875" bestFit="1" customWidth="1"/>
    <col min="3" max="3" width="47.6640625" bestFit="1" customWidth="1"/>
  </cols>
  <sheetData>
    <row r="1" spans="1:3" x14ac:dyDescent="0.25">
      <c r="A1" t="s">
        <v>82</v>
      </c>
      <c r="B1" t="s">
        <v>141</v>
      </c>
      <c r="C1" t="s">
        <v>140</v>
      </c>
    </row>
    <row r="2" spans="1:3" x14ac:dyDescent="0.25">
      <c r="A2" s="11" t="s">
        <v>142</v>
      </c>
      <c r="B2" s="11" t="s">
        <v>144</v>
      </c>
      <c r="C2" s="11" t="s">
        <v>143</v>
      </c>
    </row>
    <row r="3" spans="1:3" x14ac:dyDescent="0.25">
      <c r="A3" s="11" t="s">
        <v>114</v>
      </c>
      <c r="B3" s="11" t="s">
        <v>144</v>
      </c>
      <c r="C3" s="11" t="s">
        <v>143</v>
      </c>
    </row>
    <row r="4" spans="1:3" x14ac:dyDescent="0.25">
      <c r="A4" s="11" t="s">
        <v>145</v>
      </c>
      <c r="B4" s="11" t="s">
        <v>144</v>
      </c>
      <c r="C4" s="11" t="s">
        <v>143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3A93E-1E07-4828-8CC4-6E7DA605C419}">
  <sheetPr>
    <tabColor theme="0" tint="-4.9989318521683403E-2"/>
  </sheetPr>
  <dimension ref="A1:C10"/>
  <sheetViews>
    <sheetView workbookViewId="0">
      <selection activeCell="C39" sqref="C39"/>
    </sheetView>
  </sheetViews>
  <sheetFormatPr defaultColWidth="11.5546875" defaultRowHeight="13.2" x14ac:dyDescent="0.25"/>
  <cols>
    <col min="1" max="1" width="24.88671875" bestFit="1" customWidth="1"/>
    <col min="2" max="2" width="12.88671875" bestFit="1" customWidth="1"/>
    <col min="3" max="3" width="55.5546875" bestFit="1" customWidth="1"/>
  </cols>
  <sheetData>
    <row r="1" spans="1:3" x14ac:dyDescent="0.25">
      <c r="A1" t="s">
        <v>146</v>
      </c>
      <c r="B1" t="s">
        <v>141</v>
      </c>
      <c r="C1" t="s">
        <v>140</v>
      </c>
    </row>
    <row r="2" spans="1:3" x14ac:dyDescent="0.25">
      <c r="A2" s="11" t="s">
        <v>62</v>
      </c>
      <c r="B2" s="11" t="s">
        <v>144</v>
      </c>
      <c r="C2" s="11" t="s">
        <v>147</v>
      </c>
    </row>
    <row r="3" spans="1:3" x14ac:dyDescent="0.25">
      <c r="A3" s="11" t="s">
        <v>148</v>
      </c>
      <c r="B3" s="11" t="s">
        <v>144</v>
      </c>
      <c r="C3" s="11" t="s">
        <v>147</v>
      </c>
    </row>
    <row r="4" spans="1:3" x14ac:dyDescent="0.25">
      <c r="A4" s="11" t="s">
        <v>149</v>
      </c>
      <c r="B4" s="11" t="s">
        <v>144</v>
      </c>
      <c r="C4" s="11" t="s">
        <v>147</v>
      </c>
    </row>
    <row r="5" spans="1:3" x14ac:dyDescent="0.25">
      <c r="A5" s="11" t="s">
        <v>150</v>
      </c>
      <c r="B5" s="11" t="s">
        <v>144</v>
      </c>
      <c r="C5" s="11" t="s">
        <v>147</v>
      </c>
    </row>
    <row r="6" spans="1:3" x14ac:dyDescent="0.25">
      <c r="A6" s="11" t="s">
        <v>151</v>
      </c>
      <c r="B6" s="11" t="s">
        <v>144</v>
      </c>
      <c r="C6" s="11" t="s">
        <v>147</v>
      </c>
    </row>
    <row r="7" spans="1:3" x14ac:dyDescent="0.25">
      <c r="A7" s="11" t="s">
        <v>152</v>
      </c>
      <c r="B7" s="11" t="s">
        <v>144</v>
      </c>
      <c r="C7" s="11" t="s">
        <v>147</v>
      </c>
    </row>
    <row r="8" spans="1:3" x14ac:dyDescent="0.25">
      <c r="A8" s="11" t="s">
        <v>153</v>
      </c>
      <c r="B8" s="11" t="s">
        <v>144</v>
      </c>
      <c r="C8" s="11" t="s">
        <v>147</v>
      </c>
    </row>
    <row r="9" spans="1:3" x14ac:dyDescent="0.25">
      <c r="A9" s="11" t="s">
        <v>154</v>
      </c>
      <c r="B9" s="11" t="s">
        <v>144</v>
      </c>
      <c r="C9" s="11" t="s">
        <v>147</v>
      </c>
    </row>
    <row r="10" spans="1:3" x14ac:dyDescent="0.25">
      <c r="A10" s="11" t="s">
        <v>155</v>
      </c>
      <c r="B10" s="11" t="s">
        <v>144</v>
      </c>
      <c r="C10" s="11" t="s">
        <v>147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14CB-4348-4A81-B0DB-C23F9EE7335A}">
  <sheetPr>
    <tabColor theme="0" tint="-4.9989318521683403E-2"/>
  </sheetPr>
  <dimension ref="A1:C62"/>
  <sheetViews>
    <sheetView workbookViewId="0">
      <selection activeCell="C39" sqref="C39"/>
    </sheetView>
  </sheetViews>
  <sheetFormatPr defaultColWidth="11.5546875" defaultRowHeight="13.2" x14ac:dyDescent="0.25"/>
  <cols>
    <col min="1" max="1" width="23.109375" bestFit="1" customWidth="1"/>
    <col min="2" max="2" width="12.88671875" bestFit="1" customWidth="1"/>
    <col min="3" max="3" width="49.88671875" bestFit="1" customWidth="1"/>
  </cols>
  <sheetData>
    <row r="1" spans="1:3" x14ac:dyDescent="0.25">
      <c r="A1" t="s">
        <v>81</v>
      </c>
      <c r="B1" t="s">
        <v>141</v>
      </c>
      <c r="C1" t="s">
        <v>140</v>
      </c>
    </row>
    <row r="2" spans="1:3" x14ac:dyDescent="0.25">
      <c r="A2" s="11" t="s">
        <v>156</v>
      </c>
      <c r="B2" s="11" t="s">
        <v>144</v>
      </c>
      <c r="C2" s="11" t="s">
        <v>157</v>
      </c>
    </row>
    <row r="3" spans="1:3" x14ac:dyDescent="0.25">
      <c r="A3" s="11" t="s">
        <v>158</v>
      </c>
      <c r="B3" s="11" t="s">
        <v>144</v>
      </c>
      <c r="C3" s="11" t="s">
        <v>157</v>
      </c>
    </row>
    <row r="4" spans="1:3" x14ac:dyDescent="0.25">
      <c r="A4" s="11" t="s">
        <v>159</v>
      </c>
      <c r="B4" s="11" t="s">
        <v>144</v>
      </c>
      <c r="C4" s="11" t="s">
        <v>157</v>
      </c>
    </row>
    <row r="5" spans="1:3" x14ac:dyDescent="0.25">
      <c r="A5" s="11" t="s">
        <v>160</v>
      </c>
      <c r="B5" s="11" t="s">
        <v>144</v>
      </c>
      <c r="C5" s="11" t="s">
        <v>157</v>
      </c>
    </row>
    <row r="6" spans="1:3" x14ac:dyDescent="0.25">
      <c r="A6" s="11" t="s">
        <v>161</v>
      </c>
      <c r="B6" s="11" t="s">
        <v>144</v>
      </c>
      <c r="C6" s="11" t="s">
        <v>157</v>
      </c>
    </row>
    <row r="7" spans="1:3" x14ac:dyDescent="0.25">
      <c r="A7" s="11" t="s">
        <v>162</v>
      </c>
      <c r="B7" s="11" t="s">
        <v>144</v>
      </c>
      <c r="C7" s="11" t="s">
        <v>157</v>
      </c>
    </row>
    <row r="8" spans="1:3" x14ac:dyDescent="0.25">
      <c r="A8" s="11" t="s">
        <v>163</v>
      </c>
      <c r="B8" s="11" t="s">
        <v>144</v>
      </c>
      <c r="C8" s="11" t="s">
        <v>157</v>
      </c>
    </row>
    <row r="9" spans="1:3" x14ac:dyDescent="0.25">
      <c r="A9" s="11" t="s">
        <v>164</v>
      </c>
      <c r="B9" s="11" t="s">
        <v>144</v>
      </c>
      <c r="C9" s="11" t="s">
        <v>157</v>
      </c>
    </row>
    <row r="10" spans="1:3" x14ac:dyDescent="0.25">
      <c r="A10" s="11" t="s">
        <v>165</v>
      </c>
      <c r="B10" s="11" t="s">
        <v>144</v>
      </c>
      <c r="C10" s="11" t="s">
        <v>157</v>
      </c>
    </row>
    <row r="11" spans="1:3" x14ac:dyDescent="0.25">
      <c r="A11" s="11" t="s">
        <v>166</v>
      </c>
      <c r="B11" s="11" t="s">
        <v>144</v>
      </c>
      <c r="C11" s="11" t="s">
        <v>157</v>
      </c>
    </row>
    <row r="12" spans="1:3" x14ac:dyDescent="0.25">
      <c r="A12" s="11" t="s">
        <v>167</v>
      </c>
      <c r="B12" s="11" t="s">
        <v>144</v>
      </c>
      <c r="C12" s="11" t="s">
        <v>157</v>
      </c>
    </row>
    <row r="13" spans="1:3" x14ac:dyDescent="0.25">
      <c r="A13" s="11" t="s">
        <v>168</v>
      </c>
      <c r="B13" s="11" t="s">
        <v>144</v>
      </c>
      <c r="C13" s="11" t="s">
        <v>157</v>
      </c>
    </row>
    <row r="14" spans="1:3" x14ac:dyDescent="0.25">
      <c r="A14" s="11" t="s">
        <v>169</v>
      </c>
      <c r="B14" s="11" t="s">
        <v>144</v>
      </c>
      <c r="C14" s="11" t="s">
        <v>157</v>
      </c>
    </row>
    <row r="15" spans="1:3" x14ac:dyDescent="0.25">
      <c r="A15" s="11" t="s">
        <v>170</v>
      </c>
      <c r="B15" s="11" t="s">
        <v>144</v>
      </c>
      <c r="C15" s="11" t="s">
        <v>157</v>
      </c>
    </row>
    <row r="16" spans="1:3" x14ac:dyDescent="0.25">
      <c r="A16" s="11" t="s">
        <v>171</v>
      </c>
      <c r="B16" s="11" t="s">
        <v>144</v>
      </c>
      <c r="C16" s="11" t="s">
        <v>157</v>
      </c>
    </row>
    <row r="17" spans="1:3" x14ac:dyDescent="0.25">
      <c r="A17" s="11" t="s">
        <v>172</v>
      </c>
      <c r="B17" s="11" t="s">
        <v>144</v>
      </c>
      <c r="C17" s="11" t="s">
        <v>157</v>
      </c>
    </row>
    <row r="18" spans="1:3" x14ac:dyDescent="0.25">
      <c r="A18" s="11" t="s">
        <v>173</v>
      </c>
      <c r="B18" s="11" t="s">
        <v>144</v>
      </c>
      <c r="C18" s="11" t="s">
        <v>157</v>
      </c>
    </row>
    <row r="19" spans="1:3" x14ac:dyDescent="0.25">
      <c r="A19" s="11" t="s">
        <v>174</v>
      </c>
      <c r="B19" s="11" t="s">
        <v>144</v>
      </c>
      <c r="C19" s="11" t="s">
        <v>157</v>
      </c>
    </row>
    <row r="20" spans="1:3" x14ac:dyDescent="0.25">
      <c r="A20" s="11" t="s">
        <v>175</v>
      </c>
      <c r="B20" s="11" t="s">
        <v>144</v>
      </c>
      <c r="C20" s="11" t="s">
        <v>157</v>
      </c>
    </row>
    <row r="21" spans="1:3" x14ac:dyDescent="0.25">
      <c r="A21" s="11" t="s">
        <v>176</v>
      </c>
      <c r="B21" s="11" t="s">
        <v>144</v>
      </c>
      <c r="C21" s="11" t="s">
        <v>157</v>
      </c>
    </row>
    <row r="22" spans="1:3" x14ac:dyDescent="0.25">
      <c r="A22" s="11" t="s">
        <v>177</v>
      </c>
      <c r="B22" s="11" t="s">
        <v>144</v>
      </c>
      <c r="C22" s="11" t="s">
        <v>157</v>
      </c>
    </row>
    <row r="23" spans="1:3" x14ac:dyDescent="0.25">
      <c r="A23" s="11" t="s">
        <v>178</v>
      </c>
      <c r="B23" s="11" t="s">
        <v>144</v>
      </c>
      <c r="C23" s="11" t="s">
        <v>157</v>
      </c>
    </row>
    <row r="24" spans="1:3" x14ac:dyDescent="0.25">
      <c r="A24" s="11" t="s">
        <v>179</v>
      </c>
      <c r="B24" s="11" t="s">
        <v>144</v>
      </c>
      <c r="C24" s="11" t="s">
        <v>157</v>
      </c>
    </row>
    <row r="25" spans="1:3" x14ac:dyDescent="0.25">
      <c r="A25" s="11" t="s">
        <v>180</v>
      </c>
      <c r="B25" s="11" t="s">
        <v>144</v>
      </c>
      <c r="C25" s="11" t="s">
        <v>157</v>
      </c>
    </row>
    <row r="26" spans="1:3" x14ac:dyDescent="0.25">
      <c r="A26" s="11" t="s">
        <v>181</v>
      </c>
      <c r="B26" s="11" t="s">
        <v>144</v>
      </c>
      <c r="C26" s="11" t="s">
        <v>157</v>
      </c>
    </row>
    <row r="27" spans="1:3" x14ac:dyDescent="0.25">
      <c r="A27" s="11" t="s">
        <v>182</v>
      </c>
      <c r="B27" s="11" t="s">
        <v>144</v>
      </c>
      <c r="C27" s="11" t="s">
        <v>157</v>
      </c>
    </row>
    <row r="28" spans="1:3" x14ac:dyDescent="0.25">
      <c r="A28" s="11" t="s">
        <v>183</v>
      </c>
      <c r="B28" s="11" t="s">
        <v>144</v>
      </c>
      <c r="C28" s="11" t="s">
        <v>157</v>
      </c>
    </row>
    <row r="29" spans="1:3" x14ac:dyDescent="0.25">
      <c r="A29" s="11" t="s">
        <v>184</v>
      </c>
      <c r="B29" s="11" t="s">
        <v>144</v>
      </c>
      <c r="C29" s="11" t="s">
        <v>157</v>
      </c>
    </row>
    <row r="30" spans="1:3" x14ac:dyDescent="0.25">
      <c r="A30" s="11" t="s">
        <v>185</v>
      </c>
      <c r="B30" s="11" t="s">
        <v>144</v>
      </c>
      <c r="C30" s="11" t="s">
        <v>157</v>
      </c>
    </row>
    <row r="31" spans="1:3" x14ac:dyDescent="0.25">
      <c r="A31" s="11" t="s">
        <v>186</v>
      </c>
      <c r="B31" s="11" t="s">
        <v>144</v>
      </c>
      <c r="C31" s="11" t="s">
        <v>157</v>
      </c>
    </row>
    <row r="32" spans="1:3" x14ac:dyDescent="0.25">
      <c r="A32" s="11" t="s">
        <v>187</v>
      </c>
      <c r="B32" s="11" t="s">
        <v>144</v>
      </c>
      <c r="C32" s="11" t="s">
        <v>157</v>
      </c>
    </row>
    <row r="33" spans="1:3" x14ac:dyDescent="0.25">
      <c r="A33" s="11" t="s">
        <v>188</v>
      </c>
      <c r="B33" s="11" t="s">
        <v>144</v>
      </c>
      <c r="C33" s="11" t="s">
        <v>157</v>
      </c>
    </row>
    <row r="34" spans="1:3" x14ac:dyDescent="0.25">
      <c r="A34" s="11" t="s">
        <v>189</v>
      </c>
      <c r="B34" s="11" t="s">
        <v>144</v>
      </c>
      <c r="C34" s="11" t="s">
        <v>157</v>
      </c>
    </row>
    <row r="35" spans="1:3" x14ac:dyDescent="0.25">
      <c r="A35" s="11" t="s">
        <v>190</v>
      </c>
      <c r="B35" s="11" t="s">
        <v>144</v>
      </c>
      <c r="C35" s="11" t="s">
        <v>157</v>
      </c>
    </row>
    <row r="36" spans="1:3" x14ac:dyDescent="0.25">
      <c r="A36" s="11" t="s">
        <v>191</v>
      </c>
      <c r="B36" s="11" t="s">
        <v>144</v>
      </c>
      <c r="C36" s="11" t="s">
        <v>157</v>
      </c>
    </row>
    <row r="37" spans="1:3" x14ac:dyDescent="0.25">
      <c r="A37" s="11" t="s">
        <v>192</v>
      </c>
      <c r="B37" s="11" t="s">
        <v>144</v>
      </c>
      <c r="C37" s="11" t="s">
        <v>157</v>
      </c>
    </row>
    <row r="38" spans="1:3" x14ac:dyDescent="0.25">
      <c r="A38" s="11" t="s">
        <v>193</v>
      </c>
      <c r="B38" s="11" t="s">
        <v>144</v>
      </c>
      <c r="C38" s="11" t="s">
        <v>157</v>
      </c>
    </row>
    <row r="39" spans="1:3" x14ac:dyDescent="0.25">
      <c r="A39" s="11" t="s">
        <v>194</v>
      </c>
      <c r="B39" s="11" t="s">
        <v>144</v>
      </c>
      <c r="C39" s="11" t="s">
        <v>157</v>
      </c>
    </row>
    <row r="40" spans="1:3" x14ac:dyDescent="0.25">
      <c r="A40" s="11" t="s">
        <v>195</v>
      </c>
      <c r="B40" s="11" t="s">
        <v>144</v>
      </c>
      <c r="C40" s="11" t="s">
        <v>157</v>
      </c>
    </row>
    <row r="41" spans="1:3" x14ac:dyDescent="0.25">
      <c r="A41" s="11" t="s">
        <v>196</v>
      </c>
      <c r="B41" s="11" t="s">
        <v>144</v>
      </c>
      <c r="C41" s="11" t="s">
        <v>157</v>
      </c>
    </row>
    <row r="42" spans="1:3" x14ac:dyDescent="0.25">
      <c r="A42" s="11" t="s">
        <v>197</v>
      </c>
      <c r="B42" s="11" t="s">
        <v>144</v>
      </c>
      <c r="C42" s="11" t="s">
        <v>157</v>
      </c>
    </row>
    <row r="43" spans="1:3" x14ac:dyDescent="0.25">
      <c r="A43" s="11" t="s">
        <v>198</v>
      </c>
      <c r="B43" s="11" t="s">
        <v>144</v>
      </c>
      <c r="C43" s="11" t="s">
        <v>157</v>
      </c>
    </row>
    <row r="44" spans="1:3" x14ac:dyDescent="0.25">
      <c r="A44" s="11" t="s">
        <v>199</v>
      </c>
      <c r="B44" s="11" t="s">
        <v>144</v>
      </c>
      <c r="C44" s="11" t="s">
        <v>157</v>
      </c>
    </row>
    <row r="45" spans="1:3" x14ac:dyDescent="0.25">
      <c r="A45" s="11" t="s">
        <v>200</v>
      </c>
      <c r="B45" s="11" t="s">
        <v>144</v>
      </c>
      <c r="C45" s="11" t="s">
        <v>157</v>
      </c>
    </row>
    <row r="46" spans="1:3" x14ac:dyDescent="0.25">
      <c r="A46" s="11" t="s">
        <v>201</v>
      </c>
      <c r="B46" s="11" t="s">
        <v>144</v>
      </c>
      <c r="C46" s="11" t="s">
        <v>157</v>
      </c>
    </row>
    <row r="47" spans="1:3" x14ac:dyDescent="0.25">
      <c r="A47" s="11" t="s">
        <v>202</v>
      </c>
      <c r="B47" s="11" t="s">
        <v>144</v>
      </c>
      <c r="C47" s="11" t="s">
        <v>157</v>
      </c>
    </row>
    <row r="48" spans="1:3" x14ac:dyDescent="0.25">
      <c r="A48" s="11" t="s">
        <v>203</v>
      </c>
      <c r="B48" s="11" t="s">
        <v>144</v>
      </c>
      <c r="C48" s="11" t="s">
        <v>157</v>
      </c>
    </row>
    <row r="49" spans="1:3" x14ac:dyDescent="0.25">
      <c r="A49" s="11" t="s">
        <v>204</v>
      </c>
      <c r="B49" s="11" t="s">
        <v>144</v>
      </c>
      <c r="C49" s="11" t="s">
        <v>157</v>
      </c>
    </row>
    <row r="50" spans="1:3" x14ac:dyDescent="0.25">
      <c r="A50" s="11" t="s">
        <v>205</v>
      </c>
      <c r="B50" s="11" t="s">
        <v>144</v>
      </c>
      <c r="C50" s="11" t="s">
        <v>157</v>
      </c>
    </row>
    <row r="51" spans="1:3" x14ac:dyDescent="0.25">
      <c r="A51" s="11" t="s">
        <v>206</v>
      </c>
      <c r="B51" s="11" t="s">
        <v>144</v>
      </c>
      <c r="C51" s="11" t="s">
        <v>157</v>
      </c>
    </row>
    <row r="52" spans="1:3" x14ac:dyDescent="0.25">
      <c r="A52" s="11" t="s">
        <v>207</v>
      </c>
      <c r="B52" s="11" t="s">
        <v>144</v>
      </c>
      <c r="C52" s="11" t="s">
        <v>157</v>
      </c>
    </row>
    <row r="53" spans="1:3" x14ac:dyDescent="0.25">
      <c r="A53" s="11" t="s">
        <v>208</v>
      </c>
      <c r="B53" s="11" t="s">
        <v>144</v>
      </c>
      <c r="C53" s="11" t="s">
        <v>157</v>
      </c>
    </row>
    <row r="54" spans="1:3" x14ac:dyDescent="0.25">
      <c r="A54" s="11" t="s">
        <v>209</v>
      </c>
      <c r="B54" s="11" t="s">
        <v>144</v>
      </c>
      <c r="C54" s="11" t="s">
        <v>157</v>
      </c>
    </row>
    <row r="55" spans="1:3" x14ac:dyDescent="0.25">
      <c r="A55" s="11" t="s">
        <v>210</v>
      </c>
      <c r="B55" s="11" t="s">
        <v>144</v>
      </c>
      <c r="C55" s="11" t="s">
        <v>157</v>
      </c>
    </row>
    <row r="56" spans="1:3" x14ac:dyDescent="0.25">
      <c r="A56" s="11" t="s">
        <v>211</v>
      </c>
      <c r="B56" s="11" t="s">
        <v>144</v>
      </c>
      <c r="C56" s="11" t="s">
        <v>157</v>
      </c>
    </row>
    <row r="57" spans="1:3" x14ac:dyDescent="0.25">
      <c r="A57" s="11" t="s">
        <v>212</v>
      </c>
      <c r="B57" s="11" t="s">
        <v>144</v>
      </c>
      <c r="C57" s="11" t="s">
        <v>157</v>
      </c>
    </row>
    <row r="58" spans="1:3" x14ac:dyDescent="0.25">
      <c r="A58" s="11" t="s">
        <v>213</v>
      </c>
      <c r="B58" s="11" t="s">
        <v>144</v>
      </c>
      <c r="C58" s="11" t="s">
        <v>157</v>
      </c>
    </row>
    <row r="59" spans="1:3" x14ac:dyDescent="0.25">
      <c r="A59" s="11" t="s">
        <v>214</v>
      </c>
      <c r="B59" s="11" t="s">
        <v>144</v>
      </c>
      <c r="C59" s="11" t="s">
        <v>157</v>
      </c>
    </row>
    <row r="60" spans="1:3" x14ac:dyDescent="0.25">
      <c r="A60" s="11" t="s">
        <v>215</v>
      </c>
      <c r="B60" s="11" t="s">
        <v>144</v>
      </c>
      <c r="C60" s="11" t="s">
        <v>157</v>
      </c>
    </row>
    <row r="61" spans="1:3" x14ac:dyDescent="0.25">
      <c r="A61" s="11" t="s">
        <v>216</v>
      </c>
      <c r="B61" s="11" t="s">
        <v>144</v>
      </c>
      <c r="C61" s="11" t="s">
        <v>157</v>
      </c>
    </row>
    <row r="62" spans="1:3" x14ac:dyDescent="0.25">
      <c r="A62" s="11" t="s">
        <v>217</v>
      </c>
      <c r="B62" s="11" t="s">
        <v>144</v>
      </c>
      <c r="C62" s="11" t="s">
        <v>157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B973-70CA-4580-B480-4192EB6FDC40}">
  <sheetPr>
    <tabColor theme="0" tint="-4.9989318521683403E-2"/>
  </sheetPr>
  <dimension ref="A1:C25"/>
  <sheetViews>
    <sheetView workbookViewId="0">
      <selection activeCell="C39" sqref="C39"/>
    </sheetView>
  </sheetViews>
  <sheetFormatPr defaultColWidth="11.5546875" defaultRowHeight="13.2" x14ac:dyDescent="0.25"/>
  <cols>
    <col min="1" max="1" width="19.44140625" bestFit="1" customWidth="1"/>
    <col min="2" max="2" width="12.88671875" bestFit="1" customWidth="1"/>
    <col min="3" max="3" width="51.44140625" bestFit="1" customWidth="1"/>
  </cols>
  <sheetData>
    <row r="1" spans="1:3" x14ac:dyDescent="0.25">
      <c r="A1" t="s">
        <v>218</v>
      </c>
      <c r="B1" t="s">
        <v>141</v>
      </c>
      <c r="C1" t="s">
        <v>140</v>
      </c>
    </row>
    <row r="2" spans="1:3" x14ac:dyDescent="0.25">
      <c r="A2" s="11" t="s">
        <v>219</v>
      </c>
      <c r="B2" s="11" t="s">
        <v>144</v>
      </c>
      <c r="C2" s="11" t="s">
        <v>220</v>
      </c>
    </row>
    <row r="3" spans="1:3" x14ac:dyDescent="0.25">
      <c r="A3" s="11" t="s">
        <v>221</v>
      </c>
      <c r="B3" s="11" t="s">
        <v>144</v>
      </c>
      <c r="C3" s="11" t="s">
        <v>220</v>
      </c>
    </row>
    <row r="4" spans="1:3" x14ac:dyDescent="0.25">
      <c r="A4" s="11" t="s">
        <v>222</v>
      </c>
      <c r="B4" s="11" t="s">
        <v>144</v>
      </c>
      <c r="C4" s="11" t="s">
        <v>220</v>
      </c>
    </row>
    <row r="5" spans="1:3" x14ac:dyDescent="0.25">
      <c r="A5" s="11" t="s">
        <v>223</v>
      </c>
      <c r="B5" s="11" t="s">
        <v>144</v>
      </c>
      <c r="C5" s="11" t="s">
        <v>220</v>
      </c>
    </row>
    <row r="6" spans="1:3" x14ac:dyDescent="0.25">
      <c r="A6" s="11" t="s">
        <v>224</v>
      </c>
      <c r="B6" s="11" t="s">
        <v>144</v>
      </c>
      <c r="C6" s="11" t="s">
        <v>220</v>
      </c>
    </row>
    <row r="7" spans="1:3" x14ac:dyDescent="0.25">
      <c r="A7" s="11" t="s">
        <v>225</v>
      </c>
      <c r="B7" s="11" t="s">
        <v>144</v>
      </c>
      <c r="C7" s="11" t="s">
        <v>220</v>
      </c>
    </row>
    <row r="8" spans="1:3" x14ac:dyDescent="0.25">
      <c r="A8" s="11" t="s">
        <v>226</v>
      </c>
      <c r="B8" s="11" t="s">
        <v>144</v>
      </c>
      <c r="C8" s="11" t="s">
        <v>220</v>
      </c>
    </row>
    <row r="9" spans="1:3" x14ac:dyDescent="0.25">
      <c r="A9" s="11" t="s">
        <v>227</v>
      </c>
      <c r="B9" s="11" t="s">
        <v>144</v>
      </c>
      <c r="C9" s="11" t="s">
        <v>220</v>
      </c>
    </row>
    <row r="10" spans="1:3" x14ac:dyDescent="0.25">
      <c r="A10" s="11" t="s">
        <v>228</v>
      </c>
      <c r="B10" s="11" t="s">
        <v>144</v>
      </c>
      <c r="C10" s="11" t="s">
        <v>220</v>
      </c>
    </row>
    <row r="11" spans="1:3" x14ac:dyDescent="0.25">
      <c r="A11" s="11" t="s">
        <v>229</v>
      </c>
      <c r="B11" s="11" t="s">
        <v>144</v>
      </c>
      <c r="C11" s="11" t="s">
        <v>220</v>
      </c>
    </row>
    <row r="12" spans="1:3" x14ac:dyDescent="0.25">
      <c r="A12" s="11" t="s">
        <v>230</v>
      </c>
      <c r="B12" s="11" t="s">
        <v>144</v>
      </c>
      <c r="C12" s="11" t="s">
        <v>220</v>
      </c>
    </row>
    <row r="13" spans="1:3" x14ac:dyDescent="0.25">
      <c r="A13" s="11" t="s">
        <v>231</v>
      </c>
      <c r="B13" s="11" t="s">
        <v>144</v>
      </c>
      <c r="C13" s="11" t="s">
        <v>220</v>
      </c>
    </row>
    <row r="14" spans="1:3" x14ac:dyDescent="0.25">
      <c r="A14" s="11" t="s">
        <v>232</v>
      </c>
      <c r="B14" s="11" t="s">
        <v>144</v>
      </c>
      <c r="C14" s="11" t="s">
        <v>220</v>
      </c>
    </row>
    <row r="15" spans="1:3" x14ac:dyDescent="0.25">
      <c r="A15" s="11" t="s">
        <v>233</v>
      </c>
      <c r="B15" s="11" t="s">
        <v>144</v>
      </c>
      <c r="C15" s="11" t="s">
        <v>220</v>
      </c>
    </row>
    <row r="16" spans="1:3" x14ac:dyDescent="0.25">
      <c r="A16" s="11" t="s">
        <v>234</v>
      </c>
      <c r="B16" s="11" t="s">
        <v>144</v>
      </c>
      <c r="C16" s="11" t="s">
        <v>220</v>
      </c>
    </row>
    <row r="17" spans="1:3" x14ac:dyDescent="0.25">
      <c r="A17" s="11" t="s">
        <v>235</v>
      </c>
      <c r="B17" s="11" t="s">
        <v>144</v>
      </c>
      <c r="C17" s="11" t="s">
        <v>220</v>
      </c>
    </row>
    <row r="18" spans="1:3" x14ac:dyDescent="0.25">
      <c r="A18" s="11" t="s">
        <v>236</v>
      </c>
      <c r="B18" s="11" t="s">
        <v>144</v>
      </c>
      <c r="C18" s="11" t="s">
        <v>220</v>
      </c>
    </row>
    <row r="19" spans="1:3" x14ac:dyDescent="0.25">
      <c r="A19" s="11" t="s">
        <v>237</v>
      </c>
      <c r="B19" s="11" t="s">
        <v>144</v>
      </c>
      <c r="C19" s="11" t="s">
        <v>220</v>
      </c>
    </row>
    <row r="20" spans="1:3" x14ac:dyDescent="0.25">
      <c r="A20" s="11" t="s">
        <v>238</v>
      </c>
      <c r="B20" s="11" t="s">
        <v>144</v>
      </c>
      <c r="C20" s="11" t="s">
        <v>220</v>
      </c>
    </row>
    <row r="21" spans="1:3" x14ac:dyDescent="0.25">
      <c r="A21" s="11" t="s">
        <v>239</v>
      </c>
      <c r="B21" s="11" t="s">
        <v>144</v>
      </c>
      <c r="C21" s="11" t="s">
        <v>220</v>
      </c>
    </row>
    <row r="22" spans="1:3" x14ac:dyDescent="0.25">
      <c r="A22" s="11" t="s">
        <v>240</v>
      </c>
      <c r="B22" s="11" t="s">
        <v>144</v>
      </c>
      <c r="C22" s="11" t="s">
        <v>220</v>
      </c>
    </row>
    <row r="23" spans="1:3" x14ac:dyDescent="0.25">
      <c r="A23" s="11" t="s">
        <v>241</v>
      </c>
      <c r="B23" s="11" t="s">
        <v>144</v>
      </c>
      <c r="C23" s="11" t="s">
        <v>220</v>
      </c>
    </row>
    <row r="24" spans="1:3" x14ac:dyDescent="0.25">
      <c r="A24" s="11" t="s">
        <v>217</v>
      </c>
      <c r="B24" s="11" t="s">
        <v>144</v>
      </c>
      <c r="C24" s="11" t="s">
        <v>220</v>
      </c>
    </row>
    <row r="25" spans="1:3" x14ac:dyDescent="0.25">
      <c r="A25" s="11" t="s">
        <v>242</v>
      </c>
      <c r="B25" s="11" t="s">
        <v>144</v>
      </c>
      <c r="C25" s="11" t="s">
        <v>220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m j t m T 1 x O R D 2 p A A A A + Q A A A B I A H A B D b 2 5 m a W c v U G F j a 2 F n Z S 5 4 b W w g o h g A K K A U A A A A A A A A A A A A A A A A A A A A A A A A A A A A h Y 8 x D o I w G I W v Q r r T l h K r M T 9 l Y H G Q x M T E u D Z Q o R G K o c V y N w e P 5 B U k U d T N 8 b 1 8 L / n e 4 3 a H d G y b 4 K p 6 q z u T o A h T F C h T d K U 2 V Y I G d w p X K B W w k 8 V Z V i q Y Y G P X o 9 U J q p 2 7 r A n x 3 m M f 4 6 6 v C K M 0 I s d 8 u y 9 q 1 c p Q G + u k K R T 6 r M r / K y T g 8 J I R D H O O F / G S 4 4 g z B m T u I d f m y 7 B J G V M g P y V k Q + O G X o l S h d k G y B y B v G + I J 1 B L A w Q U A A I A C A C a O 2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j t m T y i K R 7 g O A A A A E Q A A A B M A H A B G b 3 J t d W x h c y 9 T Z W N 0 a W 9 u M S 5 t I K I Y A C i g F A A A A A A A A A A A A A A A A A A A A A A A A A A A A C t O T S 7 J z M 9 T C I b Q h t Y A U E s B A i 0 A F A A C A A g A m j t m T 1 x O R D 2 p A A A A + Q A A A B I A A A A A A A A A A A A A A A A A A A A A A E N v b m Z p Z y 9 Q Y W N r Y W d l L n h t b F B L A Q I t A B Q A A g A I A J o 7 Z k 8 P y u m r p A A A A O k A A A A T A A A A A A A A A A A A A A A A A P U A A A B b Q 2 9 u d G V u d F 9 U e X B l c 1 0 u e G 1 s U E s B A i 0 A F A A C A A g A m j t m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H k o N y K n v I N I g h H S S Z r L o D I A A A A A A g A A A A A A A 2 Y A A M A A A A A Q A A A A s W g j l Z W m n Y h 5 i 4 F 8 J 0 J R 5 w A A A A A E g A A A o A A A A B A A A A A Y / I z 4 O / z / f s R o x B y Y f K 4 p U A A A A F n N w d p 3 r T v h C A A p j z 7 m r Q N K 2 e v D W d 5 G e P F L V p 5 F j P C q M Y v b w M P U 6 P z I b t K m v 4 B d e w U L E K 6 T u P S k 7 A d U 8 A n t + z 5 g 0 4 u q Z 8 Q D 3 O 2 t I 3 K w 8 t 5 B F A A A A L t J T w a o H q 9 7 t A 3 m I 5 W z L 7 J N 6 G I h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5F203703E46CF459607BAE3D5CD3E9A" ma:contentTypeVersion="12" ma:contentTypeDescription="Ein neues Dokument erstellen." ma:contentTypeScope="" ma:versionID="9d07781c0bd6727cf113ade4ef1e60c6">
  <xsd:schema xmlns:xsd="http://www.w3.org/2001/XMLSchema" xmlns:xs="http://www.w3.org/2001/XMLSchema" xmlns:p="http://schemas.microsoft.com/office/2006/metadata/properties" xmlns:ns2="89cd8dc2-7f1e-4f42-83a0-a70470038d8c" xmlns:ns3="1248aef5-c64b-4b14-b256-1fc60ae2f00c" targetNamespace="http://schemas.microsoft.com/office/2006/metadata/properties" ma:root="true" ma:fieldsID="e591de0cd795033d3212032d82c6e25a" ns2:_="" ns3:_="">
    <xsd:import namespace="89cd8dc2-7f1e-4f42-83a0-a70470038d8c"/>
    <xsd:import namespace="1248aef5-c64b-4b14-b256-1fc60ae2f0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d8dc2-7f1e-4f42-83a0-a70470038d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8aef5-c64b-4b14-b256-1fc60ae2f0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95DC93-DF79-4170-B312-B7F42D5BB34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5A24A9C-5C17-4D31-BC38-BE7B98DB06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3A7F2B-3613-4162-B2B5-421273E94D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cd8dc2-7f1e-4f42-83a0-a70470038d8c"/>
    <ds:schemaRef ds:uri="1248aef5-c64b-4b14-b256-1fc60ae2f0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DD1F228-257D-4753-8250-18430D542849}">
  <ds:schemaRefs>
    <ds:schemaRef ds:uri="http://purl.org/dc/terms/"/>
    <ds:schemaRef ds:uri="http://purl.org/dc/dcmitype/"/>
    <ds:schemaRef ds:uri="http://schemas.microsoft.com/office/2006/documentManagement/types"/>
    <ds:schemaRef ds:uri="1248aef5-c64b-4b14-b256-1fc60ae2f00c"/>
    <ds:schemaRef ds:uri="http://purl.org/dc/elements/1.1/"/>
    <ds:schemaRef ds:uri="89cd8dc2-7f1e-4f42-83a0-a70470038d8c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Changelog</vt:lpstr>
      <vt:lpstr>BOM</vt:lpstr>
      <vt:lpstr>Sender-Receiver</vt:lpstr>
      <vt:lpstr>Nevion</vt:lpstr>
      <vt:lpstr>SP - Device Type Gateway</vt:lpstr>
      <vt:lpstr>SP - Manufacturer</vt:lpstr>
      <vt:lpstr>SP - Dev. Type GW</vt:lpstr>
      <vt:lpstr>SP - Device Location</vt:lpstr>
      <vt:lpstr>SP - Workplace Usage</vt:lpstr>
      <vt:lpstr>SP - Workplace Room</vt:lpstr>
      <vt:lpstr>SP - ST2022-7</vt:lpstr>
      <vt:lpstr>SP - Driver</vt:lpstr>
      <vt:lpstr>dev_location</vt:lpstr>
      <vt:lpstr>dev_type_gw</vt:lpstr>
      <vt:lpstr>driver</vt:lpstr>
      <vt:lpstr>drivertag</vt:lpstr>
      <vt:lpstr>manufacturer</vt:lpstr>
      <vt:lpstr>ST2022_7</vt:lpstr>
      <vt:lpstr>workplace_room</vt:lpstr>
      <vt:lpstr>workplace_usage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Lennartz, Marco (tpc)</dc:creator>
  <cp:lastModifiedBy>Christopher Thonfeld-Guckes</cp:lastModifiedBy>
  <dcterms:created xsi:type="dcterms:W3CDTF">2019-11-05T21:10:34Z</dcterms:created>
  <dcterms:modified xsi:type="dcterms:W3CDTF">2022-05-24T06:01:01Z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0x01010055F203703E46CF459607BAE3D5CD3E9A</vt:lpwstr>
  </property>
</Properties>
</file>