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opy\wamp\www\ume-system\01-Requirement\finance requirement\"/>
    </mc:Choice>
  </mc:AlternateContent>
  <bookViews>
    <workbookView minimized="1" xWindow="120" yWindow="1800" windowWidth="15480" windowHeight="6705" tabRatio="949" activeTab="2"/>
  </bookViews>
  <sheets>
    <sheet name="Sumary 2012-2013" sheetId="184" r:id="rId1"/>
    <sheet name="Summary2013-2014" sheetId="173" r:id="rId2"/>
    <sheet name="Son Visoth" sheetId="115" r:id="rId3"/>
    <sheet name="Marinas Emilyn" sheetId="243" r:id="rId4"/>
    <sheet name="Tonn Saroth" sheetId="246" r:id="rId5"/>
    <sheet name="Pol Sarith" sheetId="245" r:id="rId6"/>
    <sheet name="Ham Hak (MBA)" sheetId="244" r:id="rId7"/>
    <sheet name="Beng Heng " sheetId="174" r:id="rId8"/>
    <sheet name="Kuch Sokheang" sheetId="129" r:id="rId9"/>
    <sheet name="Sim Bunsong" sheetId="106" r:id="rId10"/>
    <sheet name="Sen Sareth" sheetId="22" r:id="rId11"/>
    <sheet name="Katam Sonavan" sheetId="171" r:id="rId12"/>
    <sheet name="Oem Sary" sheetId="94" r:id="rId13"/>
    <sheet name="Soy Sareth" sheetId="116" r:id="rId14"/>
    <sheet name="Lim Heng " sheetId="156" r:id="rId15"/>
    <sheet name="Teap Solin" sheetId="165" r:id="rId16"/>
    <sheet name="Ang Assaravuth" sheetId="175" r:id="rId17"/>
    <sheet name="Chea Bunthan" sheetId="105" r:id="rId18"/>
    <sheet name="Thim Tharith" sheetId="176" r:id="rId19"/>
    <sheet name="Tek Vannara(MBA)" sheetId="180" r:id="rId20"/>
    <sheet name="Sen Sareth (GEP)" sheetId="177" r:id="rId21"/>
    <sheet name="Pascal (GEP)" sheetId="196" r:id="rId22"/>
    <sheet name="Jerry (GEP)" sheetId="197" r:id="rId23"/>
    <sheet name="Shon Run (GEP) " sheetId="182" r:id="rId24"/>
    <sheet name="Srun Sarak(University)" sheetId="188" r:id="rId25"/>
    <sheet name="Dy Chanpiseth" sheetId="186" r:id="rId26"/>
    <sheet name="Shon Run(University)" sheetId="187" r:id="rId27"/>
    <sheet name="Pascal Uiversity" sheetId="181" r:id="rId28"/>
    <sheet name="Jerry University" sheetId="190" r:id="rId29"/>
    <sheet name="Neang Bunthea" sheetId="191" r:id="rId30"/>
    <sheet name="Te Kim lin" sheetId="194" r:id="rId31"/>
    <sheet name="Chan Senvichit(University) " sheetId="189" r:id="rId32"/>
    <sheet name="Som Bony" sheetId="192" r:id="rId33"/>
    <sheet name="Sam Sen" sheetId="101" r:id="rId34"/>
    <sheet name="Leang Sophanna" sheetId="166" r:id="rId35"/>
    <sheet name="Chea Cheurn" sheetId="154" r:id="rId36"/>
    <sheet name="Sam Chamreoun" sheetId="119" r:id="rId37"/>
    <sheet name="Neang Sovat" sheetId="113" r:id="rId38"/>
    <sheet name="Chuon Kosal" sheetId="125" r:id="rId39"/>
    <sheet name="Moeun Tola" sheetId="163" r:id="rId40"/>
    <sheet name="Raymond Leo" sheetId="148" r:id="rId41"/>
    <sheet name="Kong Nimol(MBA)" sheetId="151" r:id="rId42"/>
    <sheet name="Hak Hon" sheetId="152" r:id="rId43"/>
    <sheet name="Chhay Theng" sheetId="153" r:id="rId44"/>
    <sheet name="Phoung Pheakdey" sheetId="158" r:id="rId45"/>
    <sheet name="Houen Sopheang " sheetId="155" r:id="rId46"/>
    <sheet name="Tith Bun chhoeun" sheetId="159" r:id="rId47"/>
    <sheet name="Kong Nimol(University)" sheetId="164" r:id="rId48"/>
    <sheet name="Sim Chandoeun" sheetId="198" r:id="rId49"/>
    <sheet name="Lim Bunheng" sheetId="199" r:id="rId50"/>
    <sheet name="Say Savuth" sheetId="160" r:id="rId51"/>
    <sheet name="San You(MBA)" sheetId="200" r:id="rId52"/>
    <sheet name="Nget chandara" sheetId="201" r:id="rId53"/>
    <sheet name="Sok Chheang" sheetId="202" r:id="rId54"/>
    <sheet name="Nget Kimsan" sheetId="205" r:id="rId55"/>
    <sheet name="Lam Socheat" sheetId="207" r:id="rId56"/>
    <sheet name="Phou Sok" sheetId="206" r:id="rId57"/>
    <sheet name="Hing Sophanarith" sheetId="208" r:id="rId58"/>
    <sheet name="Ler Kimheng" sheetId="212" r:id="rId59"/>
    <sheet name="Ham Hak" sheetId="213" r:id="rId60"/>
    <sheet name="Chea Haing Y" sheetId="215" r:id="rId61"/>
    <sheet name="Long Phanith" sheetId="214" r:id="rId62"/>
    <sheet name="Veun Thy" sheetId="217" r:id="rId63"/>
    <sheet name="No Phearak" sheetId="220" r:id="rId64"/>
    <sheet name="Sok Lika" sheetId="221" r:id="rId65"/>
    <sheet name="Sou Sontara" sheetId="222" r:id="rId66"/>
    <sheet name="Soun Serey" sheetId="223" r:id="rId67"/>
    <sheet name="Mok Phoeurn" sheetId="224" r:id="rId68"/>
    <sheet name="Carl Curran" sheetId="219" r:id="rId69"/>
    <sheet name="Heng Seitha" sheetId="226" r:id="rId70"/>
    <sheet name="Eam Bunthoeun" sheetId="227" r:id="rId71"/>
    <sheet name="Oeu Samath" sheetId="228" r:id="rId72"/>
    <sheet name="Pol Mony" sheetId="231" r:id="rId73"/>
    <sheet name="Seng Theara" sheetId="232" r:id="rId74"/>
    <sheet name="Khim Kemara" sheetId="233" r:id="rId75"/>
    <sheet name="Yuth Kongyu" sheetId="234" r:id="rId76"/>
    <sheet name="Ngoun Sopeap" sheetId="236" r:id="rId77"/>
    <sheet name="Thath Sovanarith" sheetId="237" r:id="rId78"/>
    <sheet name="Leang Sophanna(MBA)" sheetId="229" r:id="rId79"/>
    <sheet name="Tek Veansa(MBA)" sheetId="235" r:id="rId80"/>
    <sheet name="Dorn Phorsanith." sheetId="239" r:id="rId81"/>
    <sheet name="Kum Unique" sheetId="242" r:id="rId82"/>
    <sheet name="Loan Boramy" sheetId="195" r:id="rId83"/>
    <sheet name="H.E Uk Savy" sheetId="225" r:id="rId84"/>
    <sheet name="Sheet3" sheetId="240" r:id="rId85"/>
    <sheet name="Sheet1" sheetId="241" r:id="rId86"/>
  </sheets>
  <externalReferences>
    <externalReference r:id="rId87"/>
  </externalReferences>
  <definedNames>
    <definedName name="_xlnm.Print_Area" localSheetId="0">'Sumary 2012-2013'!$A$1:$J$62</definedName>
  </definedNames>
  <calcPr calcId="152511"/>
</workbook>
</file>

<file path=xl/calcChain.xml><?xml version="1.0" encoding="utf-8"?>
<calcChain xmlns="http://schemas.openxmlformats.org/spreadsheetml/2006/main">
  <c r="E36" i="116" l="1"/>
  <c r="E41" i="22"/>
  <c r="E26" i="235"/>
  <c r="E26" i="229"/>
  <c r="E26" i="228"/>
  <c r="E26" i="224"/>
  <c r="E26" i="222"/>
  <c r="E26" i="221"/>
  <c r="E26" i="220"/>
  <c r="E10" i="234" l="1"/>
  <c r="F73" i="173"/>
  <c r="D73" i="173"/>
  <c r="B73" i="173"/>
  <c r="G36" i="246"/>
  <c r="E29" i="246"/>
  <c r="E15" i="246"/>
  <c r="G13" i="246"/>
  <c r="G12" i="246"/>
  <c r="G11" i="246"/>
  <c r="G10" i="246"/>
  <c r="E10" i="237"/>
  <c r="E18" i="188"/>
  <c r="E21" i="188"/>
  <c r="E20" i="188"/>
  <c r="E19" i="188"/>
  <c r="E14" i="116"/>
  <c r="E10" i="223"/>
  <c r="E23" i="115"/>
  <c r="E20" i="115"/>
  <c r="E16" i="115"/>
  <c r="E18" i="115"/>
  <c r="E19" i="115"/>
  <c r="E17" i="192"/>
  <c r="E18" i="192"/>
  <c r="G15" i="198"/>
  <c r="G16" i="198"/>
  <c r="G12" i="198"/>
  <c r="G18" i="198"/>
  <c r="E22" i="106"/>
  <c r="E17" i="187"/>
  <c r="E15" i="187"/>
  <c r="E10" i="232"/>
  <c r="E21" i="22"/>
  <c r="E19" i="22"/>
  <c r="E18" i="22"/>
  <c r="E13" i="101"/>
  <c r="F72" i="173"/>
  <c r="D72" i="173"/>
  <c r="B72" i="173"/>
  <c r="G11" i="245"/>
  <c r="G12" i="245"/>
  <c r="G13" i="245"/>
  <c r="G14" i="245"/>
  <c r="G10" i="245"/>
  <c r="G17" i="245" s="1"/>
  <c r="E72" i="173" s="1"/>
  <c r="G72" i="173" s="1"/>
  <c r="I72" i="173" s="1"/>
  <c r="G36" i="245"/>
  <c r="E29" i="245"/>
  <c r="E15" i="245"/>
  <c r="C72" i="173" s="1"/>
  <c r="E11" i="220"/>
  <c r="E10" i="220"/>
  <c r="E12" i="220"/>
  <c r="E10" i="236"/>
  <c r="E14" i="113"/>
  <c r="E13" i="113"/>
  <c r="E10" i="224"/>
  <c r="E12" i="224"/>
  <c r="E13" i="224"/>
  <c r="E11" i="224"/>
  <c r="E16" i="166"/>
  <c r="E10" i="242"/>
  <c r="E19" i="129"/>
  <c r="G12" i="233"/>
  <c r="G11" i="233"/>
  <c r="F74" i="173"/>
  <c r="D74" i="173"/>
  <c r="B74" i="173"/>
  <c r="F83" i="173"/>
  <c r="E29" i="244"/>
  <c r="G10" i="244"/>
  <c r="D83" i="173"/>
  <c r="C83" i="173"/>
  <c r="B83" i="173"/>
  <c r="G36" i="244"/>
  <c r="E15" i="244"/>
  <c r="G15" i="244" s="1"/>
  <c r="G17" i="244" s="1"/>
  <c r="E83" i="173" s="1"/>
  <c r="G83" i="173" s="1"/>
  <c r="I83" i="173" s="1"/>
  <c r="G13" i="244"/>
  <c r="G12" i="244"/>
  <c r="G11" i="244"/>
  <c r="G36" i="243"/>
  <c r="E29" i="243"/>
  <c r="G13" i="243"/>
  <c r="G12" i="243"/>
  <c r="G11" i="243"/>
  <c r="G10" i="243"/>
  <c r="E10" i="239"/>
  <c r="G10" i="239" s="1"/>
  <c r="E15" i="154"/>
  <c r="E17" i="189"/>
  <c r="E13" i="105"/>
  <c r="E11" i="219"/>
  <c r="E12" i="219"/>
  <c r="E10" i="219"/>
  <c r="E13" i="219"/>
  <c r="E16" i="219"/>
  <c r="E17" i="174"/>
  <c r="E18" i="166"/>
  <c r="E13" i="116"/>
  <c r="E20" i="22"/>
  <c r="E20" i="129"/>
  <c r="E16" i="189"/>
  <c r="E15" i="189"/>
  <c r="E13" i="227"/>
  <c r="E12" i="227"/>
  <c r="E12" i="226"/>
  <c r="E11" i="226"/>
  <c r="E10" i="226"/>
  <c r="E12" i="187"/>
  <c r="E14" i="188"/>
  <c r="G15" i="245" l="1"/>
  <c r="C73" i="173"/>
  <c r="G15" i="246"/>
  <c r="G17" i="246" s="1"/>
  <c r="G19" i="245"/>
  <c r="G20" i="245" s="1"/>
  <c r="G21" i="245" s="1"/>
  <c r="G22" i="245" s="1"/>
  <c r="G23" i="245" s="1"/>
  <c r="G24" i="245" s="1"/>
  <c r="G25" i="245" s="1"/>
  <c r="G26" i="245" s="1"/>
  <c r="G27" i="245" s="1"/>
  <c r="G28" i="245" s="1"/>
  <c r="G19" i="244"/>
  <c r="G20" i="244" s="1"/>
  <c r="G21" i="244" s="1"/>
  <c r="G22" i="244" s="1"/>
  <c r="G23" i="244" s="1"/>
  <c r="G24" i="244" s="1"/>
  <c r="G25" i="244" s="1"/>
  <c r="G26" i="244" s="1"/>
  <c r="G27" i="244" s="1"/>
  <c r="G28" i="244" s="1"/>
  <c r="E15" i="243"/>
  <c r="E52" i="190"/>
  <c r="G15" i="243" l="1"/>
  <c r="G17" i="243" s="1"/>
  <c r="C74" i="173"/>
  <c r="G19" i="246"/>
  <c r="G20" i="246" s="1"/>
  <c r="G21" i="246" s="1"/>
  <c r="G22" i="246" s="1"/>
  <c r="G23" i="246" s="1"/>
  <c r="G24" i="246" s="1"/>
  <c r="G25" i="246" s="1"/>
  <c r="G26" i="246" s="1"/>
  <c r="G27" i="246" s="1"/>
  <c r="G28" i="246" s="1"/>
  <c r="E73" i="173"/>
  <c r="G73" i="173" s="1"/>
  <c r="I73" i="173" s="1"/>
  <c r="E12" i="190"/>
  <c r="G19" i="243" l="1"/>
  <c r="G20" i="243" s="1"/>
  <c r="G21" i="243" s="1"/>
  <c r="G22" i="243" s="1"/>
  <c r="G23" i="243" s="1"/>
  <c r="G24" i="243" s="1"/>
  <c r="G25" i="243" s="1"/>
  <c r="G26" i="243" s="1"/>
  <c r="G27" i="243" s="1"/>
  <c r="G28" i="243" s="1"/>
  <c r="E74" i="173"/>
  <c r="G74" i="173" s="1"/>
  <c r="I74" i="173" s="1"/>
  <c r="E12" i="181"/>
  <c r="E26" i="239" l="1"/>
  <c r="E32" i="187" l="1"/>
  <c r="E26" i="231"/>
  <c r="E45" i="115"/>
  <c r="E31" i="152" l="1"/>
  <c r="E13" i="190"/>
  <c r="E11" i="190"/>
  <c r="E10" i="190"/>
  <c r="E26" i="186"/>
  <c r="E43" i="188"/>
  <c r="E31" i="105"/>
  <c r="E31" i="165"/>
  <c r="E41" i="129"/>
  <c r="E10" i="174"/>
  <c r="E19" i="174" s="1"/>
  <c r="G19" i="174" s="1"/>
  <c r="G20" i="174" s="1"/>
  <c r="E11" i="174"/>
  <c r="E12" i="174"/>
  <c r="E13" i="174"/>
  <c r="E15" i="174"/>
  <c r="E16" i="174"/>
  <c r="E34" i="174"/>
  <c r="E17" i="115" l="1"/>
  <c r="E13" i="194" l="1"/>
  <c r="G15" i="116"/>
  <c r="G12" i="116"/>
  <c r="G13" i="116"/>
  <c r="G14" i="116"/>
  <c r="G20" i="116"/>
  <c r="E20" i="192"/>
  <c r="E19" i="192"/>
  <c r="E10" i="221"/>
  <c r="E13" i="198"/>
  <c r="E14" i="187"/>
  <c r="E16" i="187"/>
  <c r="F75" i="173"/>
  <c r="D75" i="173"/>
  <c r="B75" i="173"/>
  <c r="G33" i="242"/>
  <c r="E26" i="242"/>
  <c r="G15" i="242"/>
  <c r="G14" i="242"/>
  <c r="G13" i="242"/>
  <c r="G12" i="242"/>
  <c r="G11" i="242"/>
  <c r="E16" i="242"/>
  <c r="C75" i="173" s="1"/>
  <c r="E18" i="129"/>
  <c r="G14" i="154"/>
  <c r="G15" i="154"/>
  <c r="G16" i="154"/>
  <c r="G17" i="154"/>
  <c r="G18" i="154"/>
  <c r="G19" i="154"/>
  <c r="E14" i="105"/>
  <c r="E10" i="229"/>
  <c r="E11" i="228"/>
  <c r="E10" i="228"/>
  <c r="G19" i="129"/>
  <c r="G20" i="129"/>
  <c r="G21" i="129"/>
  <c r="G22" i="129"/>
  <c r="G23" i="129"/>
  <c r="G24" i="129"/>
  <c r="G25" i="129"/>
  <c r="G15" i="189"/>
  <c r="G16" i="189"/>
  <c r="G17" i="189"/>
  <c r="G18" i="189"/>
  <c r="G19" i="189"/>
  <c r="G20" i="189"/>
  <c r="E11" i="227"/>
  <c r="E10" i="227"/>
  <c r="E16" i="226"/>
  <c r="G11" i="226"/>
  <c r="G12" i="226"/>
  <c r="E11" i="165"/>
  <c r="E12" i="165"/>
  <c r="E19" i="106"/>
  <c r="G10" i="242" l="1"/>
  <c r="G17" i="242" s="1"/>
  <c r="E46" i="181"/>
  <c r="G20" i="242" l="1"/>
  <c r="G21" i="242" s="1"/>
  <c r="G22" i="242" s="1"/>
  <c r="G23" i="242" s="1"/>
  <c r="G24" i="242" s="1"/>
  <c r="G25" i="242" s="1"/>
  <c r="E75" i="173"/>
  <c r="G75" i="173" s="1"/>
  <c r="I75" i="173" s="1"/>
  <c r="G12" i="181"/>
  <c r="E10" i="191" l="1"/>
  <c r="G17" i="192" l="1"/>
  <c r="G16" i="192"/>
  <c r="G18" i="192"/>
  <c r="G19" i="192"/>
  <c r="G20" i="192"/>
  <c r="G17" i="188"/>
  <c r="G19" i="188"/>
  <c r="G20" i="188"/>
  <c r="G21" i="188"/>
  <c r="F18" i="188"/>
  <c r="G18" i="188" s="1"/>
  <c r="G11" i="188"/>
  <c r="G14" i="188"/>
  <c r="G10" i="188"/>
  <c r="E10" i="222"/>
  <c r="E22" i="115"/>
  <c r="G23" i="115"/>
  <c r="E21" i="115"/>
  <c r="E10" i="231"/>
  <c r="G13" i="113"/>
  <c r="G14" i="113"/>
  <c r="G15" i="113"/>
  <c r="G16" i="113"/>
  <c r="G17" i="113"/>
  <c r="G18" i="113"/>
  <c r="G12" i="113"/>
  <c r="E10" i="233"/>
  <c r="E16" i="233" s="1"/>
  <c r="D70" i="173"/>
  <c r="B70" i="173"/>
  <c r="E16" i="239"/>
  <c r="C70" i="173" s="1"/>
  <c r="G33" i="239"/>
  <c r="F70" i="173"/>
  <c r="G15" i="239"/>
  <c r="G14" i="239"/>
  <c r="G13" i="239"/>
  <c r="G12" i="239"/>
  <c r="G11" i="239"/>
  <c r="G14" i="105"/>
  <c r="G15" i="105"/>
  <c r="G16" i="105"/>
  <c r="G13" i="105"/>
  <c r="E21" i="219"/>
  <c r="G17" i="174"/>
  <c r="G17" i="239" l="1"/>
  <c r="E70" i="173" s="1"/>
  <c r="G70" i="173" s="1"/>
  <c r="I70" i="173" s="1"/>
  <c r="E14" i="152"/>
  <c r="E13" i="152"/>
  <c r="E20" i="106"/>
  <c r="G20" i="239" l="1"/>
  <c r="G21" i="239" s="1"/>
  <c r="G22" i="239" s="1"/>
  <c r="G23" i="239" s="1"/>
  <c r="G24" i="239" s="1"/>
  <c r="G25" i="239" s="1"/>
  <c r="E10" i="156"/>
  <c r="E42" i="101" l="1"/>
  <c r="G12" i="194" l="1"/>
  <c r="G13" i="194"/>
  <c r="D71" i="173" l="1"/>
  <c r="E26" i="213"/>
  <c r="F54" i="173" s="1"/>
  <c r="G33" i="237"/>
  <c r="B71" i="173" s="1"/>
  <c r="E26" i="237"/>
  <c r="F71" i="173" s="1"/>
  <c r="E16" i="237"/>
  <c r="C71" i="173" s="1"/>
  <c r="G15" i="237"/>
  <c r="G14" i="237"/>
  <c r="G13" i="237"/>
  <c r="G12" i="237"/>
  <c r="G11" i="237"/>
  <c r="G10" i="237"/>
  <c r="D69" i="173"/>
  <c r="G33" i="236"/>
  <c r="B69" i="173" s="1"/>
  <c r="E26" i="236"/>
  <c r="F69" i="173" s="1"/>
  <c r="E16" i="236"/>
  <c r="C69" i="173" s="1"/>
  <c r="G15" i="236"/>
  <c r="G14" i="236"/>
  <c r="G13" i="236"/>
  <c r="G12" i="236"/>
  <c r="G11" i="236"/>
  <c r="G10" i="236"/>
  <c r="G17" i="236" l="1"/>
  <c r="G20" i="236" s="1"/>
  <c r="G21" i="236" s="1"/>
  <c r="G22" i="236" s="1"/>
  <c r="G23" i="236" s="1"/>
  <c r="G24" i="236" s="1"/>
  <c r="G25" i="236" s="1"/>
  <c r="G17" i="237"/>
  <c r="G20" i="237" s="1"/>
  <c r="G21" i="237" s="1"/>
  <c r="G22" i="237" s="1"/>
  <c r="G23" i="237" s="1"/>
  <c r="G24" i="237" s="1"/>
  <c r="G25" i="237" s="1"/>
  <c r="E71" i="173"/>
  <c r="G71" i="173" s="1"/>
  <c r="E33" i="177"/>
  <c r="E11" i="177"/>
  <c r="E12" i="177"/>
  <c r="E69" i="173" l="1"/>
  <c r="G69" i="173" s="1"/>
  <c r="I69" i="173" s="1"/>
  <c r="I71" i="173"/>
  <c r="D82" i="173"/>
  <c r="F82" i="173"/>
  <c r="E16" i="235"/>
  <c r="C82" i="173" s="1"/>
  <c r="G33" i="235"/>
  <c r="B82" i="173" s="1"/>
  <c r="G15" i="235"/>
  <c r="G14" i="235"/>
  <c r="G13" i="235"/>
  <c r="G12" i="235"/>
  <c r="G11" i="235"/>
  <c r="G10" i="235"/>
  <c r="G17" i="235" l="1"/>
  <c r="E82" i="173" s="1"/>
  <c r="G82" i="173" s="1"/>
  <c r="I82" i="173" s="1"/>
  <c r="D60" i="173"/>
  <c r="E10" i="217"/>
  <c r="E10" i="201"/>
  <c r="E11" i="113"/>
  <c r="G11" i="113" s="1"/>
  <c r="E16" i="213"/>
  <c r="E11" i="213"/>
  <c r="E35" i="154"/>
  <c r="E13" i="154"/>
  <c r="G13" i="154" s="1"/>
  <c r="E15" i="22"/>
  <c r="D68" i="173"/>
  <c r="G33" i="234"/>
  <c r="B68" i="173" s="1"/>
  <c r="E26" i="234"/>
  <c r="F68" i="173" s="1"/>
  <c r="E16" i="234"/>
  <c r="C68" i="173" s="1"/>
  <c r="G15" i="234"/>
  <c r="G14" i="234"/>
  <c r="G13" i="234"/>
  <c r="G12" i="234"/>
  <c r="G11" i="234"/>
  <c r="G10" i="234"/>
  <c r="D67" i="173"/>
  <c r="C67" i="173"/>
  <c r="E26" i="233"/>
  <c r="F67" i="173" s="1"/>
  <c r="G33" i="233"/>
  <c r="B67" i="173" s="1"/>
  <c r="G15" i="233"/>
  <c r="G14" i="233"/>
  <c r="G13" i="233"/>
  <c r="G10" i="233"/>
  <c r="G17" i="233" s="1"/>
  <c r="G17" i="234" l="1"/>
  <c r="G20" i="234" s="1"/>
  <c r="G21" i="234" s="1"/>
  <c r="G22" i="234" s="1"/>
  <c r="G23" i="234" s="1"/>
  <c r="G24" i="234" s="1"/>
  <c r="G25" i="234" s="1"/>
  <c r="G20" i="235"/>
  <c r="G21" i="235" s="1"/>
  <c r="G22" i="235" s="1"/>
  <c r="G23" i="235" s="1"/>
  <c r="G24" i="235" s="1"/>
  <c r="G25" i="235" s="1"/>
  <c r="E68" i="173"/>
  <c r="G68" i="173" s="1"/>
  <c r="I68" i="173" s="1"/>
  <c r="E67" i="173"/>
  <c r="G20" i="233"/>
  <c r="G21" i="233" s="1"/>
  <c r="G22" i="233" s="1"/>
  <c r="G23" i="233" s="1"/>
  <c r="G24" i="233" s="1"/>
  <c r="G25" i="233" s="1"/>
  <c r="D66" i="173"/>
  <c r="G33" i="232"/>
  <c r="B66" i="173" s="1"/>
  <c r="E26" i="232"/>
  <c r="F66" i="173" s="1"/>
  <c r="E16" i="232"/>
  <c r="C66" i="173" s="1"/>
  <c r="G15" i="232"/>
  <c r="G14" i="232"/>
  <c r="G13" i="232"/>
  <c r="G12" i="232"/>
  <c r="G11" i="232"/>
  <c r="G10" i="232"/>
  <c r="G16" i="166"/>
  <c r="G17" i="166"/>
  <c r="G18" i="166"/>
  <c r="G19" i="166"/>
  <c r="G15" i="115"/>
  <c r="G16" i="115"/>
  <c r="G17" i="115"/>
  <c r="G18" i="115"/>
  <c r="G19" i="115"/>
  <c r="G20" i="115"/>
  <c r="G21" i="115"/>
  <c r="G22" i="115"/>
  <c r="E16" i="224"/>
  <c r="D65" i="173"/>
  <c r="G33" i="231"/>
  <c r="B65" i="173" s="1"/>
  <c r="F65" i="173"/>
  <c r="E16" i="231"/>
  <c r="C65" i="173" s="1"/>
  <c r="G15" i="231"/>
  <c r="G14" i="231"/>
  <c r="G13" i="231"/>
  <c r="G12" i="231"/>
  <c r="G11" i="231"/>
  <c r="G10" i="231"/>
  <c r="G67" i="173" l="1"/>
  <c r="G17" i="232"/>
  <c r="G17" i="231"/>
  <c r="G19" i="22"/>
  <c r="G20" i="22"/>
  <c r="I67" i="173" l="1"/>
  <c r="G20" i="232"/>
  <c r="G21" i="232" s="1"/>
  <c r="G22" i="232" s="1"/>
  <c r="G23" i="232" s="1"/>
  <c r="G24" i="232" s="1"/>
  <c r="G25" i="232" s="1"/>
  <c r="E66" i="173"/>
  <c r="G66" i="173" s="1"/>
  <c r="I66" i="173" s="1"/>
  <c r="G20" i="231"/>
  <c r="G21" i="231" s="1"/>
  <c r="G22" i="231" s="1"/>
  <c r="G23" i="231" s="1"/>
  <c r="G24" i="231" s="1"/>
  <c r="G25" i="231" s="1"/>
  <c r="E65" i="173"/>
  <c r="G33" i="229"/>
  <c r="B84" i="173" s="1"/>
  <c r="F84" i="173"/>
  <c r="E16" i="229"/>
  <c r="D84" i="173" s="1"/>
  <c r="G15" i="229"/>
  <c r="G14" i="229"/>
  <c r="G13" i="229"/>
  <c r="G12" i="229"/>
  <c r="G11" i="229"/>
  <c r="G10" i="229"/>
  <c r="D64" i="173"/>
  <c r="D63" i="173"/>
  <c r="D62" i="173"/>
  <c r="G20" i="229" l="1"/>
  <c r="G21" i="229" s="1"/>
  <c r="G22" i="229" s="1"/>
  <c r="G23" i="229" s="1"/>
  <c r="G24" i="229" s="1"/>
  <c r="G25" i="229" s="1"/>
  <c r="G17" i="229"/>
  <c r="C84" i="173"/>
  <c r="E84" i="173"/>
  <c r="G84" i="173" s="1"/>
  <c r="I84" i="173" s="1"/>
  <c r="G65" i="173"/>
  <c r="G33" i="228"/>
  <c r="B64" i="173" s="1"/>
  <c r="F64" i="173"/>
  <c r="E16" i="228"/>
  <c r="C64" i="173" s="1"/>
  <c r="G15" i="228"/>
  <c r="G14" i="228"/>
  <c r="G13" i="228"/>
  <c r="G12" i="228"/>
  <c r="G11" i="228"/>
  <c r="G10" i="228"/>
  <c r="G33" i="227"/>
  <c r="B63" i="173" s="1"/>
  <c r="E26" i="227"/>
  <c r="F63" i="173" s="1"/>
  <c r="E16" i="227"/>
  <c r="C63" i="173" s="1"/>
  <c r="G15" i="227"/>
  <c r="G14" i="227"/>
  <c r="G13" i="227"/>
  <c r="G12" i="227"/>
  <c r="G11" i="227"/>
  <c r="G10" i="227"/>
  <c r="E26" i="226"/>
  <c r="F62" i="173" s="1"/>
  <c r="C62" i="173"/>
  <c r="G33" i="226"/>
  <c r="B62" i="173" s="1"/>
  <c r="G15" i="226"/>
  <c r="G14" i="226"/>
  <c r="G13" i="226"/>
  <c r="G10" i="226"/>
  <c r="E15" i="192"/>
  <c r="E15" i="186"/>
  <c r="G17" i="227" l="1"/>
  <c r="G17" i="228"/>
  <c r="G17" i="226"/>
  <c r="G20" i="228"/>
  <c r="G21" i="228" s="1"/>
  <c r="G22" i="228" s="1"/>
  <c r="G23" i="228" s="1"/>
  <c r="G24" i="228" s="1"/>
  <c r="G25" i="228" s="1"/>
  <c r="E64" i="173"/>
  <c r="G64" i="173" s="1"/>
  <c r="I64" i="173" s="1"/>
  <c r="E62" i="173"/>
  <c r="G62" i="173" s="1"/>
  <c r="I62" i="173" s="1"/>
  <c r="I65" i="173"/>
  <c r="G20" i="227" l="1"/>
  <c r="G21" i="227" s="1"/>
  <c r="G22" i="227" s="1"/>
  <c r="G23" i="227" s="1"/>
  <c r="G24" i="227" s="1"/>
  <c r="G25" i="227" s="1"/>
  <c r="E63" i="173"/>
  <c r="G63" i="173" s="1"/>
  <c r="I63" i="173" s="1"/>
  <c r="G20" i="226"/>
  <c r="G21" i="226" s="1"/>
  <c r="G22" i="226" s="1"/>
  <c r="G23" i="226" s="1"/>
  <c r="G24" i="226" s="1"/>
  <c r="G25" i="226" s="1"/>
  <c r="G12" i="225"/>
  <c r="E11" i="225"/>
  <c r="E10" i="225"/>
  <c r="E9" i="225"/>
  <c r="E12" i="225" s="1"/>
  <c r="F12" i="225" l="1"/>
  <c r="E36" i="166" l="1"/>
  <c r="G15" i="166"/>
  <c r="G20" i="166"/>
  <c r="G21" i="166"/>
  <c r="E26" i="199" l="1"/>
  <c r="E26" i="214" l="1"/>
  <c r="E26" i="212"/>
  <c r="F53" i="173" s="1"/>
  <c r="E16" i="212"/>
  <c r="E26" i="201"/>
  <c r="E26" i="208"/>
  <c r="F51" i="173" s="1"/>
  <c r="E26" i="206"/>
  <c r="F49" i="173" s="1"/>
  <c r="E29" i="198"/>
  <c r="E24" i="155"/>
  <c r="G17" i="187"/>
  <c r="E29" i="158"/>
  <c r="E28" i="119"/>
  <c r="G14" i="166"/>
  <c r="E50" i="192"/>
  <c r="E29" i="171"/>
  <c r="G13" i="190" l="1"/>
  <c r="E16" i="190"/>
  <c r="E14" i="115"/>
  <c r="G14" i="115" s="1"/>
  <c r="E13" i="115"/>
  <c r="G13" i="115" s="1"/>
  <c r="E12" i="115"/>
  <c r="G12" i="115" s="1"/>
  <c r="G14" i="195" l="1"/>
  <c r="E16" i="188" l="1"/>
  <c r="G16" i="188" s="1"/>
  <c r="E15" i="188"/>
  <c r="G15" i="188" s="1"/>
  <c r="D61" i="173" l="1"/>
  <c r="F61" i="173"/>
  <c r="C61" i="173"/>
  <c r="G33" i="224"/>
  <c r="B61" i="173" s="1"/>
  <c r="G15" i="224"/>
  <c r="G14" i="224"/>
  <c r="G13" i="224"/>
  <c r="G12" i="224"/>
  <c r="G11" i="224"/>
  <c r="G10" i="224"/>
  <c r="E13" i="188"/>
  <c r="G13" i="188" s="1"/>
  <c r="E12" i="188"/>
  <c r="G15" i="187"/>
  <c r="G16" i="187"/>
  <c r="G18" i="187"/>
  <c r="G19" i="187"/>
  <c r="G20" i="187"/>
  <c r="G14" i="187"/>
  <c r="G15" i="192"/>
  <c r="E14" i="192"/>
  <c r="G14" i="192" s="1"/>
  <c r="E13" i="192"/>
  <c r="G13" i="192" s="1"/>
  <c r="E12" i="192"/>
  <c r="G12" i="192" s="1"/>
  <c r="B60" i="173"/>
  <c r="G33" i="223"/>
  <c r="E26" i="223"/>
  <c r="F60" i="173" s="1"/>
  <c r="E16" i="223"/>
  <c r="G16" i="223" s="1"/>
  <c r="G15" i="223"/>
  <c r="G14" i="223"/>
  <c r="G13" i="223"/>
  <c r="G12" i="223"/>
  <c r="G11" i="223"/>
  <c r="G10" i="223"/>
  <c r="D59" i="173"/>
  <c r="F59" i="173"/>
  <c r="G33" i="222"/>
  <c r="B59" i="173" s="1"/>
  <c r="E16" i="222"/>
  <c r="G16" i="222" s="1"/>
  <c r="G15" i="222"/>
  <c r="G14" i="222"/>
  <c r="G13" i="222"/>
  <c r="G12" i="222"/>
  <c r="G11" i="222"/>
  <c r="G10" i="222"/>
  <c r="G21" i="106"/>
  <c r="G22" i="106"/>
  <c r="G23" i="106"/>
  <c r="G24" i="106"/>
  <c r="G25" i="106"/>
  <c r="G26" i="106"/>
  <c r="G27" i="106"/>
  <c r="G28" i="106"/>
  <c r="G29" i="106"/>
  <c r="G30" i="106"/>
  <c r="G20" i="106"/>
  <c r="G19" i="106"/>
  <c r="E18" i="106"/>
  <c r="G18" i="106" s="1"/>
  <c r="E17" i="106"/>
  <c r="G17" i="106" s="1"/>
  <c r="E16" i="106"/>
  <c r="G16" i="106" s="1"/>
  <c r="D58" i="173"/>
  <c r="E16" i="221"/>
  <c r="C58" i="173" s="1"/>
  <c r="F58" i="173"/>
  <c r="G16" i="221"/>
  <c r="G33" i="221"/>
  <c r="B58" i="173" s="1"/>
  <c r="G15" i="221"/>
  <c r="G14" i="221"/>
  <c r="G13" i="221"/>
  <c r="G12" i="221"/>
  <c r="G11" i="221"/>
  <c r="G10" i="221"/>
  <c r="G18" i="22"/>
  <c r="G21" i="22"/>
  <c r="G23" i="22"/>
  <c r="G17" i="22"/>
  <c r="G22" i="22"/>
  <c r="E16" i="22"/>
  <c r="G16" i="22" s="1"/>
  <c r="G15" i="22"/>
  <c r="E14" i="22"/>
  <c r="G14" i="22" s="1"/>
  <c r="E13" i="22"/>
  <c r="G13" i="22" s="1"/>
  <c r="E12" i="22"/>
  <c r="G12" i="22" s="1"/>
  <c r="E11" i="22"/>
  <c r="G11" i="22" s="1"/>
  <c r="E10" i="22"/>
  <c r="D57" i="173"/>
  <c r="B57" i="173"/>
  <c r="E16" i="220"/>
  <c r="C57" i="173" s="1"/>
  <c r="F57" i="173"/>
  <c r="G33" i="220"/>
  <c r="G15" i="220"/>
  <c r="G14" i="220"/>
  <c r="G13" i="220"/>
  <c r="G12" i="220"/>
  <c r="G11" i="220"/>
  <c r="G10" i="220"/>
  <c r="G17" i="220" s="1"/>
  <c r="G17" i="221" l="1"/>
  <c r="G20" i="221" s="1"/>
  <c r="G21" i="221" s="1"/>
  <c r="G22" i="221" s="1"/>
  <c r="G23" i="221" s="1"/>
  <c r="G24" i="221" s="1"/>
  <c r="G25" i="221" s="1"/>
  <c r="G17" i="224"/>
  <c r="G17" i="222"/>
  <c r="E59" i="173" s="1"/>
  <c r="G59" i="173" s="1"/>
  <c r="I59" i="173" s="1"/>
  <c r="G10" i="22"/>
  <c r="E24" i="22"/>
  <c r="G17" i="223"/>
  <c r="E60" i="173" s="1"/>
  <c r="G12" i="188"/>
  <c r="G27" i="188" s="1"/>
  <c r="E26" i="188"/>
  <c r="G24" i="22"/>
  <c r="G25" i="22" s="1"/>
  <c r="E57" i="173"/>
  <c r="G57" i="173" s="1"/>
  <c r="I57" i="173" s="1"/>
  <c r="E61" i="173"/>
  <c r="G61" i="173" s="1"/>
  <c r="I61" i="173" s="1"/>
  <c r="C60" i="173"/>
  <c r="C59" i="173"/>
  <c r="E58" i="173"/>
  <c r="G58" i="173" s="1"/>
  <c r="I58" i="173" s="1"/>
  <c r="G20" i="224"/>
  <c r="G21" i="224" s="1"/>
  <c r="G22" i="224" s="1"/>
  <c r="G23" i="224" s="1"/>
  <c r="G24" i="224" s="1"/>
  <c r="G25" i="224" s="1"/>
  <c r="G20" i="223" l="1"/>
  <c r="G21" i="223" s="1"/>
  <c r="G22" i="223" s="1"/>
  <c r="G23" i="223" s="1"/>
  <c r="G24" i="223" s="1"/>
  <c r="G25" i="223" s="1"/>
  <c r="G20" i="222"/>
  <c r="G21" i="222" s="1"/>
  <c r="G22" i="222" s="1"/>
  <c r="G23" i="222" s="1"/>
  <c r="G24" i="222" s="1"/>
  <c r="G25" i="222" s="1"/>
  <c r="G60" i="173"/>
  <c r="G20" i="220"/>
  <c r="G21" i="220" s="1"/>
  <c r="G22" i="220" s="1"/>
  <c r="G23" i="220" s="1"/>
  <c r="G24" i="220" s="1"/>
  <c r="G25" i="220" s="1"/>
  <c r="G14" i="174"/>
  <c r="G15" i="174"/>
  <c r="G16" i="174"/>
  <c r="G13" i="174"/>
  <c r="G12" i="174"/>
  <c r="G11" i="174"/>
  <c r="I60" i="173" l="1"/>
  <c r="G17" i="129"/>
  <c r="G18" i="129"/>
  <c r="E16" i="129"/>
  <c r="G16" i="129" s="1"/>
  <c r="E15" i="129"/>
  <c r="G15" i="129" s="1"/>
  <c r="G21" i="219"/>
  <c r="G38" i="219"/>
  <c r="E31" i="219"/>
  <c r="G20" i="219"/>
  <c r="G14" i="219"/>
  <c r="G13" i="219"/>
  <c r="G12" i="219"/>
  <c r="G11" i="219"/>
  <c r="G10" i="219"/>
  <c r="G22" i="219" l="1"/>
  <c r="G25" i="219" s="1"/>
  <c r="G26" i="219" s="1"/>
  <c r="G27" i="219" s="1"/>
  <c r="G28" i="219" s="1"/>
  <c r="G29" i="219" s="1"/>
  <c r="G30" i="219" s="1"/>
  <c r="E11" i="116"/>
  <c r="G11" i="116" s="1"/>
  <c r="E10" i="105"/>
  <c r="E17" i="105" s="1"/>
  <c r="E11" i="105"/>
  <c r="G11" i="105" s="1"/>
  <c r="E10" i="215"/>
  <c r="E11" i="205"/>
  <c r="E11" i="155" l="1"/>
  <c r="E14" i="119"/>
  <c r="G16" i="213"/>
  <c r="E10" i="208"/>
  <c r="E13" i="171"/>
  <c r="E15" i="176"/>
  <c r="E14" i="129"/>
  <c r="G11" i="165" l="1"/>
  <c r="E11" i="152"/>
  <c r="E12" i="152"/>
  <c r="E10" i="152"/>
  <c r="E13" i="153" l="1"/>
  <c r="E12" i="153"/>
  <c r="E11" i="153"/>
  <c r="E10" i="153"/>
  <c r="E14" i="186"/>
  <c r="E46" i="106" l="1"/>
  <c r="E22" i="148" l="1"/>
  <c r="G12" i="190"/>
  <c r="D56" i="173" l="1"/>
  <c r="G10" i="217"/>
  <c r="G33" i="217"/>
  <c r="E26" i="217"/>
  <c r="F56" i="173" s="1"/>
  <c r="E16" i="217"/>
  <c r="C56" i="173" s="1"/>
  <c r="G15" i="217"/>
  <c r="G14" i="217"/>
  <c r="G13" i="217"/>
  <c r="G12" i="217"/>
  <c r="G11" i="217"/>
  <c r="G17" i="217" l="1"/>
  <c r="G20" i="217"/>
  <c r="G21" i="217" s="1"/>
  <c r="G22" i="217" s="1"/>
  <c r="G23" i="217" s="1"/>
  <c r="G24" i="217" s="1"/>
  <c r="G25" i="217" s="1"/>
  <c r="E56" i="173"/>
  <c r="G56" i="173" s="1"/>
  <c r="I56" i="173" s="1"/>
  <c r="G16" i="217"/>
  <c r="F22" i="173" l="1"/>
  <c r="D54" i="173" l="1"/>
  <c r="E11" i="175" l="1"/>
  <c r="E10" i="175"/>
  <c r="E10" i="125"/>
  <c r="E10" i="205"/>
  <c r="E10" i="202"/>
  <c r="E10" i="155"/>
  <c r="E13" i="186"/>
  <c r="E12" i="186"/>
  <c r="D55" i="173" l="1"/>
  <c r="G17" i="215"/>
  <c r="E55" i="173" s="1"/>
  <c r="G33" i="215"/>
  <c r="B55" i="173" s="1"/>
  <c r="E26" i="215"/>
  <c r="F55" i="173" s="1"/>
  <c r="E16" i="215"/>
  <c r="G16" i="215" s="1"/>
  <c r="G15" i="215"/>
  <c r="G14" i="215"/>
  <c r="G13" i="215"/>
  <c r="G12" i="215"/>
  <c r="G11" i="215"/>
  <c r="G10" i="215"/>
  <c r="E10" i="206"/>
  <c r="D81" i="173"/>
  <c r="C81" i="173"/>
  <c r="G33" i="214"/>
  <c r="B81" i="173" s="1"/>
  <c r="F81" i="173"/>
  <c r="G16" i="214"/>
  <c r="E16" i="214"/>
  <c r="G15" i="214"/>
  <c r="G14" i="214"/>
  <c r="G13" i="214"/>
  <c r="G12" i="214"/>
  <c r="G11" i="214"/>
  <c r="G10" i="214"/>
  <c r="E12" i="158"/>
  <c r="E11" i="198"/>
  <c r="E10" i="198"/>
  <c r="E19" i="198" s="1"/>
  <c r="G19" i="198" s="1"/>
  <c r="E10" i="159"/>
  <c r="E12" i="154"/>
  <c r="E11" i="101"/>
  <c r="E10" i="101"/>
  <c r="E16" i="101" s="1"/>
  <c r="C54" i="173"/>
  <c r="B54" i="173"/>
  <c r="G33" i="213"/>
  <c r="G15" i="213"/>
  <c r="G14" i="213"/>
  <c r="G13" i="213"/>
  <c r="G12" i="213"/>
  <c r="G11" i="213"/>
  <c r="G10" i="213"/>
  <c r="D53" i="173"/>
  <c r="G33" i="212"/>
  <c r="B53" i="173" s="1"/>
  <c r="G16" i="212"/>
  <c r="G15" i="212"/>
  <c r="G14" i="212"/>
  <c r="G13" i="212"/>
  <c r="G12" i="212"/>
  <c r="G11" i="212"/>
  <c r="G10" i="212"/>
  <c r="G15" i="208"/>
  <c r="G11" i="208"/>
  <c r="G12" i="208"/>
  <c r="G13" i="208"/>
  <c r="G14" i="208"/>
  <c r="G10" i="208"/>
  <c r="E12" i="171"/>
  <c r="E34" i="176"/>
  <c r="F52" i="173" s="1"/>
  <c r="G16" i="176"/>
  <c r="C55" i="173" l="1"/>
  <c r="G55" i="173"/>
  <c r="I55" i="173" s="1"/>
  <c r="G17" i="212"/>
  <c r="G20" i="212" s="1"/>
  <c r="G21" i="212" s="1"/>
  <c r="G22" i="212" s="1"/>
  <c r="G23" i="212" s="1"/>
  <c r="G24" i="212" s="1"/>
  <c r="G25" i="212" s="1"/>
  <c r="G17" i="213"/>
  <c r="G20" i="213" s="1"/>
  <c r="G21" i="213" s="1"/>
  <c r="G22" i="213" s="1"/>
  <c r="G23" i="213" s="1"/>
  <c r="G24" i="213" s="1"/>
  <c r="G25" i="213" s="1"/>
  <c r="G20" i="215"/>
  <c r="G21" i="215" s="1"/>
  <c r="G22" i="215" s="1"/>
  <c r="G23" i="215" s="1"/>
  <c r="G24" i="215" s="1"/>
  <c r="G25" i="215" s="1"/>
  <c r="C53" i="173"/>
  <c r="E53" i="173"/>
  <c r="G53" i="173" s="1"/>
  <c r="I53" i="173" s="1"/>
  <c r="G17" i="214"/>
  <c r="E26" i="156"/>
  <c r="E33" i="197"/>
  <c r="E26" i="160"/>
  <c r="E26" i="205"/>
  <c r="F48" i="173" s="1"/>
  <c r="E26" i="200"/>
  <c r="E54" i="173" l="1"/>
  <c r="G54" i="173" s="1"/>
  <c r="I54" i="173" s="1"/>
  <c r="G20" i="214"/>
  <c r="G21" i="214" s="1"/>
  <c r="G22" i="214" s="1"/>
  <c r="G23" i="214" s="1"/>
  <c r="G24" i="214" s="1"/>
  <c r="G25" i="214" s="1"/>
  <c r="E81" i="173"/>
  <c r="E26" i="159"/>
  <c r="E29" i="153"/>
  <c r="E34" i="113"/>
  <c r="E38" i="191"/>
  <c r="E33" i="175"/>
  <c r="G81" i="173" l="1"/>
  <c r="E10" i="177"/>
  <c r="E10" i="200"/>
  <c r="I81" i="173" l="1"/>
  <c r="E10" i="199"/>
  <c r="E16" i="199" s="1"/>
  <c r="D51" i="173"/>
  <c r="E16" i="208"/>
  <c r="G16" i="208" s="1"/>
  <c r="G17" i="208" s="1"/>
  <c r="G33" i="208"/>
  <c r="B51" i="173" s="1"/>
  <c r="D50" i="173"/>
  <c r="E16" i="207"/>
  <c r="G16" i="207" s="1"/>
  <c r="G33" i="207"/>
  <c r="B50" i="173" s="1"/>
  <c r="E26" i="207"/>
  <c r="F50" i="173" s="1"/>
  <c r="G15" i="207"/>
  <c r="G14" i="207"/>
  <c r="G13" i="207"/>
  <c r="D49" i="173"/>
  <c r="E16" i="206"/>
  <c r="G16" i="206" s="1"/>
  <c r="G33" i="206"/>
  <c r="B49" i="173" s="1"/>
  <c r="G15" i="206"/>
  <c r="G14" i="206"/>
  <c r="G13" i="206"/>
  <c r="E16" i="201"/>
  <c r="G16" i="201" s="1"/>
  <c r="E16" i="205"/>
  <c r="E11" i="158"/>
  <c r="E12" i="155"/>
  <c r="E14" i="155"/>
  <c r="G14" i="155" s="1"/>
  <c r="G17" i="206" l="1"/>
  <c r="C51" i="173"/>
  <c r="C50" i="173"/>
  <c r="G17" i="207"/>
  <c r="C49" i="173"/>
  <c r="E10" i="113"/>
  <c r="E13" i="119"/>
  <c r="E12" i="119"/>
  <c r="E11" i="119"/>
  <c r="E10" i="119"/>
  <c r="E13" i="166"/>
  <c r="E12" i="166"/>
  <c r="E11" i="166"/>
  <c r="E10" i="166"/>
  <c r="E11" i="192"/>
  <c r="G11" i="192" s="1"/>
  <c r="E10" i="192"/>
  <c r="E38" i="189"/>
  <c r="E13" i="189"/>
  <c r="G13" i="189" s="1"/>
  <c r="E12" i="189"/>
  <c r="G12" i="189" s="1"/>
  <c r="E11" i="189"/>
  <c r="E10" i="189"/>
  <c r="E10" i="194"/>
  <c r="E16" i="171"/>
  <c r="G10" i="192" l="1"/>
  <c r="G25" i="192" s="1"/>
  <c r="E24" i="192"/>
  <c r="E22" i="166"/>
  <c r="G22" i="166" s="1"/>
  <c r="G23" i="166" s="1"/>
  <c r="G15" i="119"/>
  <c r="G16" i="119" s="1"/>
  <c r="E15" i="119"/>
  <c r="G10" i="113"/>
  <c r="E19" i="113"/>
  <c r="G19" i="113" s="1"/>
  <c r="E21" i="189"/>
  <c r="G21" i="189" s="1"/>
  <c r="G22" i="189" s="1"/>
  <c r="G20" i="207"/>
  <c r="G21" i="207" s="1"/>
  <c r="G22" i="207" s="1"/>
  <c r="G23" i="207" s="1"/>
  <c r="G24" i="207" s="1"/>
  <c r="G25" i="207" s="1"/>
  <c r="E50" i="173"/>
  <c r="G50" i="173" s="1"/>
  <c r="I50" i="173" s="1"/>
  <c r="G20" i="208"/>
  <c r="G21" i="208" s="1"/>
  <c r="G22" i="208" s="1"/>
  <c r="G23" i="208" s="1"/>
  <c r="G24" i="208" s="1"/>
  <c r="G25" i="208" s="1"/>
  <c r="E51" i="173"/>
  <c r="G51" i="173" s="1"/>
  <c r="I51" i="173" s="1"/>
  <c r="G20" i="206"/>
  <c r="G21" i="206" s="1"/>
  <c r="G22" i="206" s="1"/>
  <c r="G23" i="206" s="1"/>
  <c r="G24" i="206" s="1"/>
  <c r="G25" i="206" s="1"/>
  <c r="E49" i="173"/>
  <c r="G49" i="173" s="1"/>
  <c r="I49" i="173" s="1"/>
  <c r="E15" i="106"/>
  <c r="E14" i="106"/>
  <c r="E13" i="106"/>
  <c r="E12" i="106"/>
  <c r="E11" i="106"/>
  <c r="E10" i="106"/>
  <c r="E13" i="176"/>
  <c r="E14" i="176"/>
  <c r="E12" i="176"/>
  <c r="E10" i="176"/>
  <c r="E10" i="187"/>
  <c r="E13" i="129"/>
  <c r="E11" i="129"/>
  <c r="E10" i="129"/>
  <c r="E11" i="115"/>
  <c r="E10" i="115"/>
  <c r="E26" i="115" s="1"/>
  <c r="G26" i="115" s="1"/>
  <c r="G28" i="115" s="1"/>
  <c r="E31" i="106" l="1"/>
  <c r="G31" i="106" s="1"/>
  <c r="D48" i="173"/>
  <c r="G33" i="205"/>
  <c r="B48" i="173" s="1"/>
  <c r="G16" i="205"/>
  <c r="G15" i="205"/>
  <c r="G14" i="205"/>
  <c r="G13" i="205"/>
  <c r="D47" i="173"/>
  <c r="B47" i="173"/>
  <c r="E16" i="202"/>
  <c r="G16" i="202" s="1"/>
  <c r="E26" i="202"/>
  <c r="F47" i="173" s="1"/>
  <c r="G15" i="202"/>
  <c r="G14" i="202"/>
  <c r="G13" i="202"/>
  <c r="E25" i="151"/>
  <c r="G17" i="202" l="1"/>
  <c r="E47" i="173" s="1"/>
  <c r="C47" i="173"/>
  <c r="G47" i="173"/>
  <c r="I47" i="173" s="1"/>
  <c r="C48" i="173"/>
  <c r="G17" i="205"/>
  <c r="G20" i="202"/>
  <c r="G21" i="202" s="1"/>
  <c r="G22" i="202" s="1"/>
  <c r="G23" i="202" s="1"/>
  <c r="G24" i="202" s="1"/>
  <c r="G25" i="202" s="1"/>
  <c r="E16" i="152"/>
  <c r="G16" i="152" s="1"/>
  <c r="G17" i="152" s="1"/>
  <c r="E16" i="153"/>
  <c r="G32" i="106" l="1"/>
  <c r="G20" i="205"/>
  <c r="G21" i="205" s="1"/>
  <c r="G22" i="205" s="1"/>
  <c r="G23" i="205" s="1"/>
  <c r="G24" i="205" s="1"/>
  <c r="G25" i="205" s="1"/>
  <c r="E48" i="173"/>
  <c r="G48" i="173" s="1"/>
  <c r="F80" i="173"/>
  <c r="G33" i="201"/>
  <c r="I48" i="173" l="1"/>
  <c r="D46" i="173"/>
  <c r="C46" i="173"/>
  <c r="B46" i="173"/>
  <c r="F46" i="173" l="1"/>
  <c r="G15" i="201"/>
  <c r="G14" i="201"/>
  <c r="G13" i="201"/>
  <c r="G17" i="201" l="1"/>
  <c r="E33" i="196"/>
  <c r="E10" i="196"/>
  <c r="E10" i="197"/>
  <c r="G20" i="201" l="1"/>
  <c r="E46" i="173"/>
  <c r="G46" i="173" s="1"/>
  <c r="I46" i="173" s="1"/>
  <c r="D79" i="173"/>
  <c r="G33" i="200"/>
  <c r="B79" i="173" s="1"/>
  <c r="F79" i="173"/>
  <c r="G15" i="200"/>
  <c r="G14" i="200"/>
  <c r="G13" i="200"/>
  <c r="E16" i="200"/>
  <c r="G16" i="200" s="1"/>
  <c r="E10" i="151"/>
  <c r="G21" i="201" l="1"/>
  <c r="G22" i="201" s="1"/>
  <c r="G23" i="201" s="1"/>
  <c r="G24" i="201" s="1"/>
  <c r="G25" i="201" s="1"/>
  <c r="C79" i="173"/>
  <c r="G17" i="200"/>
  <c r="E11" i="195"/>
  <c r="E10" i="195"/>
  <c r="F10" i="195" s="1"/>
  <c r="E9" i="195"/>
  <c r="E14" i="195" l="1"/>
  <c r="F9" i="195"/>
  <c r="F14" i="195" s="1"/>
  <c r="G20" i="200"/>
  <c r="G21" i="200" s="1"/>
  <c r="E79" i="173"/>
  <c r="G22" i="200" l="1"/>
  <c r="G23" i="200" s="1"/>
  <c r="G24" i="200" s="1"/>
  <c r="G25" i="200" s="1"/>
  <c r="G11" i="177" l="1"/>
  <c r="G12" i="177"/>
  <c r="E33" i="182"/>
  <c r="G79" i="173" l="1"/>
  <c r="I79" i="173" s="1"/>
  <c r="D43" i="173"/>
  <c r="D42" i="173"/>
  <c r="C42" i="173"/>
  <c r="E10" i="164" l="1"/>
  <c r="E16" i="164" s="1"/>
  <c r="G31" i="155" l="1"/>
  <c r="G33" i="199"/>
  <c r="B43" i="173" s="1"/>
  <c r="F43" i="173"/>
  <c r="G15" i="199"/>
  <c r="G14" i="199"/>
  <c r="G13" i="199"/>
  <c r="G12" i="199"/>
  <c r="G36" i="198"/>
  <c r="B42" i="173" s="1"/>
  <c r="F42" i="173"/>
  <c r="G14" i="198"/>
  <c r="G13" i="198"/>
  <c r="G20" i="198" l="1"/>
  <c r="C43" i="173"/>
  <c r="G16" i="199"/>
  <c r="G17" i="199" s="1"/>
  <c r="E11" i="194"/>
  <c r="E17" i="194" s="1"/>
  <c r="G17" i="194" s="1"/>
  <c r="G18" i="194" s="1"/>
  <c r="E10" i="165"/>
  <c r="G10" i="165" s="1"/>
  <c r="G14" i="106"/>
  <c r="E11" i="176"/>
  <c r="E17" i="176" s="1"/>
  <c r="C52" i="173" s="1"/>
  <c r="E11" i="187"/>
  <c r="E12" i="129"/>
  <c r="E26" i="129" s="1"/>
  <c r="G26" i="129" s="1"/>
  <c r="G20" i="199" l="1"/>
  <c r="G21" i="199" s="1"/>
  <c r="G22" i="199" s="1"/>
  <c r="G23" i="199" s="1"/>
  <c r="G24" i="199" s="1"/>
  <c r="G25" i="199" s="1"/>
  <c r="E43" i="173"/>
  <c r="G43" i="173" s="1"/>
  <c r="I43" i="173" s="1"/>
  <c r="G23" i="198"/>
  <c r="E42" i="173"/>
  <c r="G42" i="173" s="1"/>
  <c r="I42" i="173" s="1"/>
  <c r="G24" i="198"/>
  <c r="G25" i="198" s="1"/>
  <c r="G26" i="198" s="1"/>
  <c r="G27" i="198" s="1"/>
  <c r="G28" i="198" s="1"/>
  <c r="E10" i="158" l="1"/>
  <c r="E16" i="158" s="1"/>
  <c r="G16" i="158" s="1"/>
  <c r="E10" i="181" l="1"/>
  <c r="E16" i="181" s="1"/>
  <c r="E11" i="181"/>
  <c r="E10" i="160" l="1"/>
  <c r="D45" i="173" l="1"/>
  <c r="E16" i="160"/>
  <c r="C45" i="173" s="1"/>
  <c r="G33" i="160"/>
  <c r="B45" i="173" s="1"/>
  <c r="D44" i="173"/>
  <c r="C44" i="173"/>
  <c r="E26" i="164"/>
  <c r="F44" i="173" s="1"/>
  <c r="D41" i="173"/>
  <c r="E16" i="159"/>
  <c r="C41" i="173" s="1"/>
  <c r="G10" i="159"/>
  <c r="E11" i="154"/>
  <c r="E10" i="154"/>
  <c r="E20" i="154" s="1"/>
  <c r="G20" i="154" s="1"/>
  <c r="G21" i="154" s="1"/>
  <c r="G16" i="160" l="1"/>
  <c r="E16" i="175"/>
  <c r="E10" i="116"/>
  <c r="G14" i="176"/>
  <c r="G10" i="129"/>
  <c r="G11" i="129"/>
  <c r="G12" i="129"/>
  <c r="G13" i="129"/>
  <c r="G14" i="129"/>
  <c r="E21" i="116" l="1"/>
  <c r="G21" i="116" s="1"/>
  <c r="G10" i="116"/>
  <c r="G22" i="116" s="1"/>
  <c r="G27" i="129"/>
  <c r="E16" i="196"/>
  <c r="G16" i="196" s="1"/>
  <c r="G17" i="196" s="1"/>
  <c r="E16" i="197"/>
  <c r="G16" i="197" s="1"/>
  <c r="G17" i="197" s="1"/>
  <c r="E10" i="180" l="1"/>
  <c r="D40" i="173" l="1"/>
  <c r="C40" i="173"/>
  <c r="B40" i="173"/>
  <c r="F40" i="173"/>
  <c r="C23" i="173"/>
  <c r="F23" i="173"/>
  <c r="D39" i="173"/>
  <c r="C39" i="173"/>
  <c r="D38" i="173"/>
  <c r="F38" i="173"/>
  <c r="C38" i="173"/>
  <c r="G36" i="153"/>
  <c r="B38" i="173" s="1"/>
  <c r="D37" i="173" l="1"/>
  <c r="G38" i="152"/>
  <c r="B37" i="173" s="1"/>
  <c r="C37" i="173"/>
  <c r="E16" i="186"/>
  <c r="G15" i="106"/>
  <c r="G12" i="106"/>
  <c r="G13" i="106"/>
  <c r="E10" i="94" l="1"/>
  <c r="B80" i="173" l="1"/>
  <c r="E15" i="151"/>
  <c r="B10" i="151"/>
  <c r="G15" i="151" l="1"/>
  <c r="G16" i="151" s="1"/>
  <c r="E80" i="173" s="1"/>
  <c r="G80" i="173" s="1"/>
  <c r="I80" i="173" s="1"/>
  <c r="C80" i="173"/>
  <c r="D87" i="173"/>
  <c r="C87" i="173"/>
  <c r="B87" i="173"/>
  <c r="F87" i="173"/>
  <c r="F88" i="173" s="1"/>
  <c r="G11" i="148"/>
  <c r="G10" i="148"/>
  <c r="G12" i="148"/>
  <c r="B10" i="148"/>
  <c r="E87" i="173" l="1"/>
  <c r="E88" i="173" s="1"/>
  <c r="G19" i="151"/>
  <c r="G20" i="151" s="1"/>
  <c r="G21" i="151" s="1"/>
  <c r="G22" i="151" s="1"/>
  <c r="G23" i="151" s="1"/>
  <c r="G24" i="151" s="1"/>
  <c r="G87" i="173" l="1"/>
  <c r="G88" i="173" s="1"/>
  <c r="G16" i="148"/>
  <c r="G17" i="148" s="1"/>
  <c r="G18" i="148" s="1"/>
  <c r="G19" i="148" s="1"/>
  <c r="G20" i="148" s="1"/>
  <c r="G21" i="148" s="1"/>
  <c r="I87" i="173" l="1"/>
  <c r="I88" i="173" s="1"/>
  <c r="E10" i="163"/>
  <c r="C36" i="173" s="1"/>
  <c r="E26" i="163"/>
  <c r="F36" i="173" s="1"/>
  <c r="G15" i="163"/>
  <c r="G14" i="163"/>
  <c r="G13" i="163"/>
  <c r="G12" i="163"/>
  <c r="G11" i="163"/>
  <c r="G10" i="163" l="1"/>
  <c r="E10" i="182"/>
  <c r="E16" i="182" s="1"/>
  <c r="D93" i="173" l="1"/>
  <c r="D92" i="173"/>
  <c r="B35" i="173"/>
  <c r="D33" i="173"/>
  <c r="C33" i="173"/>
  <c r="D32" i="173"/>
  <c r="C32" i="173"/>
  <c r="D31" i="173"/>
  <c r="D30" i="173"/>
  <c r="B30" i="173"/>
  <c r="D29" i="173"/>
  <c r="D28" i="173"/>
  <c r="D27" i="173"/>
  <c r="C27" i="173"/>
  <c r="D26" i="173"/>
  <c r="C26" i="173"/>
  <c r="G11" i="194"/>
  <c r="F24" i="173"/>
  <c r="D25" i="173"/>
  <c r="B25" i="173"/>
  <c r="G11" i="101"/>
  <c r="G12" i="101"/>
  <c r="G13" i="101"/>
  <c r="G14" i="101"/>
  <c r="G15" i="101"/>
  <c r="G10" i="101"/>
  <c r="G11" i="191"/>
  <c r="G12" i="191"/>
  <c r="G13" i="191"/>
  <c r="G14" i="191"/>
  <c r="G15" i="191"/>
  <c r="G16" i="191"/>
  <c r="G17" i="191"/>
  <c r="G10" i="191"/>
  <c r="G10" i="194"/>
  <c r="C93" i="173"/>
  <c r="G40" i="197"/>
  <c r="B93" i="173" s="1"/>
  <c r="F93" i="173"/>
  <c r="G11" i="197"/>
  <c r="G10" i="197"/>
  <c r="G12" i="196"/>
  <c r="G13" i="196"/>
  <c r="G14" i="196"/>
  <c r="G15" i="196"/>
  <c r="C92" i="173"/>
  <c r="G40" i="196"/>
  <c r="B92" i="173" s="1"/>
  <c r="F92" i="173"/>
  <c r="G11" i="196"/>
  <c r="G10" i="196"/>
  <c r="E92" i="173" s="1"/>
  <c r="G15" i="176"/>
  <c r="C35" i="173"/>
  <c r="F33" i="173"/>
  <c r="G11" i="119"/>
  <c r="G12" i="119"/>
  <c r="G13" i="119"/>
  <c r="G14" i="119"/>
  <c r="G10" i="119"/>
  <c r="G35" i="119"/>
  <c r="B33" i="173" s="1"/>
  <c r="G11" i="154"/>
  <c r="G12" i="154"/>
  <c r="G10" i="154"/>
  <c r="C31" i="173"/>
  <c r="G11" i="166"/>
  <c r="G12" i="166"/>
  <c r="G13" i="166"/>
  <c r="G10" i="166"/>
  <c r="G16" i="101"/>
  <c r="G49" i="101"/>
  <c r="C29" i="173"/>
  <c r="G57" i="192"/>
  <c r="B29" i="173" s="1"/>
  <c r="C28" i="173"/>
  <c r="G11" i="189"/>
  <c r="G10" i="189"/>
  <c r="G45" i="194"/>
  <c r="B26" i="173" s="1"/>
  <c r="E38" i="194"/>
  <c r="F26" i="173" s="1"/>
  <c r="E38" i="105"/>
  <c r="G17" i="101" l="1"/>
  <c r="E29" i="173"/>
  <c r="C34" i="173"/>
  <c r="E33" i="173"/>
  <c r="G33" i="173" s="1"/>
  <c r="I33" i="173" s="1"/>
  <c r="E32" i="173"/>
  <c r="E31" i="173"/>
  <c r="C30" i="173"/>
  <c r="E28" i="173"/>
  <c r="G92" i="173"/>
  <c r="I92" i="173" s="1"/>
  <c r="G20" i="196"/>
  <c r="G24" i="154" l="1"/>
  <c r="G25" i="154" s="1"/>
  <c r="G26" i="154" s="1"/>
  <c r="G27" i="154" s="1"/>
  <c r="G28" i="154" s="1"/>
  <c r="G29" i="154" s="1"/>
  <c r="G30" i="154" s="1"/>
  <c r="G31" i="154" s="1"/>
  <c r="G32" i="154" s="1"/>
  <c r="G33" i="154" s="1"/>
  <c r="G34" i="154" s="1"/>
  <c r="G21" i="196"/>
  <c r="G22" i="196" s="1"/>
  <c r="G23" i="196" s="1"/>
  <c r="G24" i="196" s="1"/>
  <c r="G25" i="196" s="1"/>
  <c r="G26" i="196" s="1"/>
  <c r="G27" i="196" s="1"/>
  <c r="G28" i="196" s="1"/>
  <c r="G29" i="196" s="1"/>
  <c r="G30" i="196" s="1"/>
  <c r="G31" i="196" s="1"/>
  <c r="G32" i="196" s="1"/>
  <c r="G20" i="113"/>
  <c r="E34" i="173" s="1"/>
  <c r="E26" i="173"/>
  <c r="G26" i="173" s="1"/>
  <c r="I26" i="173" s="1"/>
  <c r="G21" i="194"/>
  <c r="G22" i="194" s="1"/>
  <c r="G23" i="194" s="1"/>
  <c r="G24" i="194" s="1"/>
  <c r="G25" i="194" s="1"/>
  <c r="G26" i="194" s="1"/>
  <c r="G27" i="194" s="1"/>
  <c r="G28" i="194" s="1"/>
  <c r="G29" i="194" s="1"/>
  <c r="G30" i="194" s="1"/>
  <c r="G31" i="194" s="1"/>
  <c r="G32" i="194" s="1"/>
  <c r="G33" i="194" s="1"/>
  <c r="G34" i="194" s="1"/>
  <c r="G35" i="194" s="1"/>
  <c r="G36" i="194" s="1"/>
  <c r="G37" i="194" s="1"/>
  <c r="G20" i="197"/>
  <c r="G21" i="197" s="1"/>
  <c r="G22" i="197" s="1"/>
  <c r="G23" i="197" s="1"/>
  <c r="G24" i="197" s="1"/>
  <c r="G25" i="197" s="1"/>
  <c r="G26" i="197" s="1"/>
  <c r="G27" i="197" s="1"/>
  <c r="G28" i="197" s="1"/>
  <c r="G29" i="197" s="1"/>
  <c r="G30" i="197" s="1"/>
  <c r="G31" i="197" s="1"/>
  <c r="G32" i="197" s="1"/>
  <c r="E93" i="173"/>
  <c r="G10" i="125"/>
  <c r="B10" i="125"/>
  <c r="F29" i="173"/>
  <c r="G28" i="192"/>
  <c r="G29" i="192" s="1"/>
  <c r="G30" i="192" s="1"/>
  <c r="G31" i="192" s="1"/>
  <c r="G32" i="192" s="1"/>
  <c r="G33" i="192" s="1"/>
  <c r="G34" i="192" s="1"/>
  <c r="G35" i="192" s="1"/>
  <c r="G36" i="192" s="1"/>
  <c r="G37" i="192" s="1"/>
  <c r="G38" i="192" s="1"/>
  <c r="G39" i="192" s="1"/>
  <c r="G40" i="192" s="1"/>
  <c r="G41" i="192" s="1"/>
  <c r="G42" i="192" s="1"/>
  <c r="G43" i="192" s="1"/>
  <c r="G44" i="192" s="1"/>
  <c r="G45" i="192" s="1"/>
  <c r="G46" i="192" s="1"/>
  <c r="G47" i="192" s="1"/>
  <c r="G48" i="192" s="1"/>
  <c r="G49" i="192" s="1"/>
  <c r="G45" i="191"/>
  <c r="B27" i="173" s="1"/>
  <c r="F27" i="173"/>
  <c r="G18" i="191"/>
  <c r="G29" i="173" l="1"/>
  <c r="G93" i="173"/>
  <c r="I93" i="173" s="1"/>
  <c r="G21" i="191"/>
  <c r="G22" i="191" s="1"/>
  <c r="G23" i="191" s="1"/>
  <c r="G24" i="191" s="1"/>
  <c r="G25" i="191" s="1"/>
  <c r="G26" i="191" s="1"/>
  <c r="G27" i="191" s="1"/>
  <c r="G28" i="191" s="1"/>
  <c r="G29" i="191" s="1"/>
  <c r="G30" i="191" s="1"/>
  <c r="G31" i="191" s="1"/>
  <c r="G32" i="191" s="1"/>
  <c r="G33" i="191" s="1"/>
  <c r="G34" i="191" s="1"/>
  <c r="G35" i="191" s="1"/>
  <c r="G36" i="191" s="1"/>
  <c r="G37" i="191" s="1"/>
  <c r="E27" i="173"/>
  <c r="G27" i="173" s="1"/>
  <c r="I27" i="173" s="1"/>
  <c r="D22" i="173"/>
  <c r="D21" i="173"/>
  <c r="G59" i="190"/>
  <c r="B22" i="173" s="1"/>
  <c r="C22" i="173"/>
  <c r="G11" i="190"/>
  <c r="G10" i="190"/>
  <c r="G16" i="190" s="1"/>
  <c r="G17" i="190" s="1"/>
  <c r="G20" i="190" s="1"/>
  <c r="G21" i="190" s="1"/>
  <c r="G22" i="190" s="1"/>
  <c r="G23" i="190" s="1"/>
  <c r="G24" i="190" s="1"/>
  <c r="G25" i="190" s="1"/>
  <c r="G26" i="190" s="1"/>
  <c r="G27" i="190" s="1"/>
  <c r="G28" i="190" s="1"/>
  <c r="G29" i="190" s="1"/>
  <c r="G30" i="190" s="1"/>
  <c r="G31" i="190" s="1"/>
  <c r="G32" i="190" s="1"/>
  <c r="G33" i="190" s="1"/>
  <c r="G34" i="190" s="1"/>
  <c r="G35" i="190" s="1"/>
  <c r="G36" i="190" s="1"/>
  <c r="G37" i="190" s="1"/>
  <c r="G38" i="190" s="1"/>
  <c r="G39" i="190" s="1"/>
  <c r="G40" i="190" s="1"/>
  <c r="G41" i="190" s="1"/>
  <c r="G42" i="190" s="1"/>
  <c r="G43" i="190" s="1"/>
  <c r="G44" i="190" s="1"/>
  <c r="G45" i="190" s="1"/>
  <c r="G46" i="190" s="1"/>
  <c r="C21" i="173"/>
  <c r="G11" i="181"/>
  <c r="G10" i="181"/>
  <c r="G16" i="181" s="1"/>
  <c r="G17" i="181" s="1"/>
  <c r="G20" i="181" s="1"/>
  <c r="G21" i="181" s="1"/>
  <c r="G22" i="181" s="1"/>
  <c r="G23" i="181" s="1"/>
  <c r="G24" i="181" s="1"/>
  <c r="G25" i="181" s="1"/>
  <c r="G26" i="181" s="1"/>
  <c r="G27" i="181" s="1"/>
  <c r="G28" i="181" s="1"/>
  <c r="G29" i="181" s="1"/>
  <c r="G30" i="181" s="1"/>
  <c r="G31" i="181" s="1"/>
  <c r="G32" i="181" s="1"/>
  <c r="G33" i="181" s="1"/>
  <c r="G34" i="181" s="1"/>
  <c r="G35" i="181" s="1"/>
  <c r="G36" i="181" s="1"/>
  <c r="G37" i="181" s="1"/>
  <c r="G38" i="181" s="1"/>
  <c r="G39" i="181" s="1"/>
  <c r="G40" i="181" s="1"/>
  <c r="G41" i="181" s="1"/>
  <c r="G42" i="181" s="1"/>
  <c r="G43" i="181" s="1"/>
  <c r="G44" i="181" s="1"/>
  <c r="G45" i="181" s="1"/>
  <c r="G45" i="189"/>
  <c r="B28" i="173" s="1"/>
  <c r="F28" i="173"/>
  <c r="G28" i="173" s="1"/>
  <c r="I28" i="173" s="1"/>
  <c r="G25" i="189"/>
  <c r="G26" i="189" s="1"/>
  <c r="G27" i="189" s="1"/>
  <c r="G28" i="189" s="1"/>
  <c r="G29" i="189" s="1"/>
  <c r="G30" i="189" s="1"/>
  <c r="G31" i="189" s="1"/>
  <c r="G32" i="189" s="1"/>
  <c r="G33" i="189" s="1"/>
  <c r="G34" i="189" s="1"/>
  <c r="G35" i="189" s="1"/>
  <c r="G36" i="189" s="1"/>
  <c r="G37" i="189" s="1"/>
  <c r="D78" i="173"/>
  <c r="E16" i="180"/>
  <c r="C78" i="173" s="1"/>
  <c r="D91" i="173"/>
  <c r="D90" i="173"/>
  <c r="F90" i="173"/>
  <c r="E16" i="177"/>
  <c r="C90" i="173" s="1"/>
  <c r="G11" i="182"/>
  <c r="G12" i="182"/>
  <c r="G13" i="182"/>
  <c r="G14" i="182"/>
  <c r="G15" i="182"/>
  <c r="G10" i="182"/>
  <c r="C91" i="173"/>
  <c r="D24" i="173"/>
  <c r="C24" i="173"/>
  <c r="D20" i="173"/>
  <c r="C20" i="173"/>
  <c r="C25" i="173"/>
  <c r="D19" i="173"/>
  <c r="C19" i="173"/>
  <c r="D18" i="173"/>
  <c r="E16" i="165"/>
  <c r="C18" i="173" s="1"/>
  <c r="D17" i="173"/>
  <c r="D16" i="173"/>
  <c r="E16" i="156"/>
  <c r="C16" i="173"/>
  <c r="D15" i="173"/>
  <c r="E16" i="94"/>
  <c r="C15" i="173" s="1"/>
  <c r="G47" i="190" l="1"/>
  <c r="G48" i="190" s="1"/>
  <c r="G49" i="190" s="1"/>
  <c r="G50" i="190" s="1"/>
  <c r="G51" i="190"/>
  <c r="I29" i="173"/>
  <c r="G16" i="182"/>
  <c r="G17" i="182" s="1"/>
  <c r="E91" i="173" s="1"/>
  <c r="E21" i="173"/>
  <c r="E22" i="173"/>
  <c r="F31" i="184"/>
  <c r="F9" i="184"/>
  <c r="F15" i="184"/>
  <c r="F10" i="184"/>
  <c r="D14" i="173"/>
  <c r="F14" i="173"/>
  <c r="C14" i="173"/>
  <c r="C13" i="173"/>
  <c r="D12" i="173"/>
  <c r="C12" i="173"/>
  <c r="C11" i="173"/>
  <c r="D10" i="173"/>
  <c r="C10" i="173"/>
  <c r="D9" i="173"/>
  <c r="G30" i="188"/>
  <c r="G31" i="188" s="1"/>
  <c r="G32" i="188" s="1"/>
  <c r="G33" i="188" s="1"/>
  <c r="G34" i="188" s="1"/>
  <c r="G35" i="188" s="1"/>
  <c r="G36" i="188" s="1"/>
  <c r="G37" i="188" s="1"/>
  <c r="G38" i="188" s="1"/>
  <c r="G39" i="188" s="1"/>
  <c r="G40" i="188" s="1"/>
  <c r="G41" i="188" s="1"/>
  <c r="G42" i="188" s="1"/>
  <c r="G50" i="188"/>
  <c r="G10" i="187"/>
  <c r="G11" i="187"/>
  <c r="G12" i="187"/>
  <c r="G21" i="187" s="1"/>
  <c r="G13" i="187"/>
  <c r="F20" i="173"/>
  <c r="G39" i="187"/>
  <c r="G10" i="186"/>
  <c r="G11" i="186"/>
  <c r="G12" i="186"/>
  <c r="G13" i="186"/>
  <c r="G14" i="186"/>
  <c r="G15" i="186"/>
  <c r="G16" i="186"/>
  <c r="G33" i="186"/>
  <c r="G17" i="186" l="1"/>
  <c r="G24" i="187"/>
  <c r="G25" i="187" s="1"/>
  <c r="G26" i="187" s="1"/>
  <c r="G27" i="187" s="1"/>
  <c r="G28" i="187" s="1"/>
  <c r="G29" i="187" s="1"/>
  <c r="G30" i="187" s="1"/>
  <c r="G31" i="187" s="1"/>
  <c r="G22" i="173"/>
  <c r="I22" i="173" s="1"/>
  <c r="E23" i="173"/>
  <c r="E7" i="184"/>
  <c r="F7" i="184"/>
  <c r="E8" i="184"/>
  <c r="F8" i="184"/>
  <c r="E9" i="184"/>
  <c r="G9" i="184" s="1"/>
  <c r="I9" i="184" s="1"/>
  <c r="E10" i="184"/>
  <c r="G10" i="184" s="1"/>
  <c r="I10" i="184" s="1"/>
  <c r="C11" i="184"/>
  <c r="E11" i="184"/>
  <c r="F11" i="184"/>
  <c r="E12" i="184"/>
  <c r="F12" i="184"/>
  <c r="E13" i="184"/>
  <c r="F13" i="184"/>
  <c r="E14" i="184"/>
  <c r="F14" i="184"/>
  <c r="E15" i="184"/>
  <c r="G15" i="184" s="1"/>
  <c r="I15" i="184" s="1"/>
  <c r="C16" i="184"/>
  <c r="E16" i="184"/>
  <c r="F16" i="184"/>
  <c r="E17" i="184"/>
  <c r="F17" i="184"/>
  <c r="E18" i="184"/>
  <c r="F18" i="184"/>
  <c r="C19" i="184"/>
  <c r="E19" i="184"/>
  <c r="F19" i="184"/>
  <c r="E20" i="184"/>
  <c r="F20" i="184"/>
  <c r="E21" i="184"/>
  <c r="F21" i="184"/>
  <c r="E22" i="184"/>
  <c r="F22" i="184"/>
  <c r="E23" i="184"/>
  <c r="F23" i="184"/>
  <c r="E24" i="184"/>
  <c r="F24" i="184"/>
  <c r="E25" i="184"/>
  <c r="G25" i="184" s="1"/>
  <c r="I25" i="184" s="1"/>
  <c r="E26" i="184"/>
  <c r="G26" i="184" s="1"/>
  <c r="I26" i="184" s="1"/>
  <c r="E27" i="184"/>
  <c r="G27" i="184" s="1"/>
  <c r="I27" i="184" s="1"/>
  <c r="E28" i="184"/>
  <c r="G28" i="184" s="1"/>
  <c r="I28" i="184" s="1"/>
  <c r="E29" i="184"/>
  <c r="G29" i="184" s="1"/>
  <c r="I29" i="184" s="1"/>
  <c r="E30" i="184"/>
  <c r="G30" i="184" s="1"/>
  <c r="I30" i="184" s="1"/>
  <c r="E31" i="184"/>
  <c r="G31" i="184" s="1"/>
  <c r="I31" i="184" s="1"/>
  <c r="E32" i="184"/>
  <c r="F32" i="184"/>
  <c r="E33" i="184"/>
  <c r="F33" i="184"/>
  <c r="E34" i="184"/>
  <c r="F34" i="184"/>
  <c r="E35" i="184"/>
  <c r="F35" i="184"/>
  <c r="C36" i="184"/>
  <c r="E36" i="184"/>
  <c r="F36" i="184"/>
  <c r="E37" i="184"/>
  <c r="F37" i="184"/>
  <c r="E38" i="184"/>
  <c r="G38" i="184" s="1"/>
  <c r="I38" i="184" s="1"/>
  <c r="E39" i="184"/>
  <c r="F39" i="184"/>
  <c r="G42" i="184"/>
  <c r="I42" i="184" s="1"/>
  <c r="A43" i="184"/>
  <c r="E43" i="184"/>
  <c r="F43" i="184"/>
  <c r="G44" i="184"/>
  <c r="I44" i="184" s="1"/>
  <c r="A45" i="184"/>
  <c r="E45" i="184"/>
  <c r="G45" i="184" s="1"/>
  <c r="I45" i="184" s="1"/>
  <c r="G46" i="184"/>
  <c r="I46" i="184" s="1"/>
  <c r="A47" i="184"/>
  <c r="G47" i="184"/>
  <c r="I47" i="184" s="1"/>
  <c r="G48" i="184"/>
  <c r="I48" i="184" s="1"/>
  <c r="A49" i="184"/>
  <c r="G49" i="184"/>
  <c r="I49" i="184" s="1"/>
  <c r="G50" i="184"/>
  <c r="I50" i="184" s="1"/>
  <c r="A51" i="184"/>
  <c r="E51" i="184"/>
  <c r="H53" i="184"/>
  <c r="G23" i="184" l="1"/>
  <c r="I23" i="184" s="1"/>
  <c r="E20" i="173"/>
  <c r="E53" i="184"/>
  <c r="G16" i="184"/>
  <c r="I16" i="184" s="1"/>
  <c r="F53" i="184"/>
  <c r="G43" i="184"/>
  <c r="I43" i="184" s="1"/>
  <c r="G39" i="184"/>
  <c r="I39" i="184" s="1"/>
  <c r="G18" i="184"/>
  <c r="I18" i="184" s="1"/>
  <c r="G17" i="184"/>
  <c r="I17" i="184" s="1"/>
  <c r="G12" i="184"/>
  <c r="I12" i="184" s="1"/>
  <c r="G11" i="184"/>
  <c r="I11" i="184" s="1"/>
  <c r="G33" i="184"/>
  <c r="I33" i="184" s="1"/>
  <c r="G32" i="184"/>
  <c r="I32" i="184" s="1"/>
  <c r="G23" i="173"/>
  <c r="I23" i="173" s="1"/>
  <c r="G35" i="184"/>
  <c r="I35" i="184" s="1"/>
  <c r="G34" i="184"/>
  <c r="I34" i="184" s="1"/>
  <c r="G8" i="184"/>
  <c r="I8" i="184" s="1"/>
  <c r="G24" i="184"/>
  <c r="I24" i="184" s="1"/>
  <c r="G20" i="184"/>
  <c r="I20" i="184" s="1"/>
  <c r="G13" i="184"/>
  <c r="I13" i="184" s="1"/>
  <c r="G14" i="184"/>
  <c r="I14" i="184" s="1"/>
  <c r="E24" i="173"/>
  <c r="G20" i="186"/>
  <c r="G21" i="186" s="1"/>
  <c r="G22" i="186" s="1"/>
  <c r="G23" i="186" s="1"/>
  <c r="G24" i="186" s="1"/>
  <c r="G25" i="186" s="1"/>
  <c r="G51" i="184"/>
  <c r="I51" i="184" s="1"/>
  <c r="G37" i="184"/>
  <c r="I37" i="184" s="1"/>
  <c r="G36" i="184"/>
  <c r="I36" i="184" s="1"/>
  <c r="G22" i="184"/>
  <c r="I22" i="184" s="1"/>
  <c r="G21" i="184"/>
  <c r="I21" i="184" s="1"/>
  <c r="G19" i="184"/>
  <c r="I19" i="184" s="1"/>
  <c r="G7" i="184"/>
  <c r="I7" i="184" s="1"/>
  <c r="I52" i="184"/>
  <c r="G20" i="173" l="1"/>
  <c r="I40" i="184"/>
  <c r="I53" i="184" s="1"/>
  <c r="G24" i="173"/>
  <c r="I24" i="173" s="1"/>
  <c r="G53" i="184"/>
  <c r="I20" i="173" l="1"/>
  <c r="G12" i="176"/>
  <c r="G13" i="176"/>
  <c r="E13" i="173" l="1"/>
  <c r="G40" i="182"/>
  <c r="F91" i="173"/>
  <c r="F94" i="173" s="1"/>
  <c r="G53" i="181"/>
  <c r="B21" i="173" s="1"/>
  <c r="F21" i="173"/>
  <c r="G10" i="177"/>
  <c r="G40" i="180"/>
  <c r="E33" i="180"/>
  <c r="F78" i="173" s="1"/>
  <c r="F85" i="173" s="1"/>
  <c r="G11" i="180"/>
  <c r="G16" i="180" s="1"/>
  <c r="G16" i="177" l="1"/>
  <c r="G17" i="177" s="1"/>
  <c r="E90" i="173" s="1"/>
  <c r="G17" i="180"/>
  <c r="G20" i="180" s="1"/>
  <c r="G21" i="180" s="1"/>
  <c r="G22" i="180" s="1"/>
  <c r="G23" i="180" s="1"/>
  <c r="G24" i="180" s="1"/>
  <c r="G25" i="180" s="1"/>
  <c r="G26" i="180" s="1"/>
  <c r="G27" i="180" s="1"/>
  <c r="G28" i="180" s="1"/>
  <c r="G29" i="180" s="1"/>
  <c r="G30" i="180" s="1"/>
  <c r="G31" i="180" s="1"/>
  <c r="G32" i="180" s="1"/>
  <c r="G91" i="173"/>
  <c r="G21" i="173"/>
  <c r="G20" i="182"/>
  <c r="G21" i="182" s="1"/>
  <c r="G22" i="182" s="1"/>
  <c r="G23" i="182" s="1"/>
  <c r="G24" i="182" s="1"/>
  <c r="G25" i="182" s="1"/>
  <c r="G26" i="182" s="1"/>
  <c r="G27" i="182" s="1"/>
  <c r="G28" i="182" s="1"/>
  <c r="G29" i="182" s="1"/>
  <c r="G30" i="182" s="1"/>
  <c r="G31" i="182" s="1"/>
  <c r="G32" i="182" s="1"/>
  <c r="G11" i="176"/>
  <c r="G10" i="176"/>
  <c r="G17" i="176" s="1"/>
  <c r="G18" i="176" s="1"/>
  <c r="G40" i="177"/>
  <c r="G20" i="177"/>
  <c r="G21" i="177" s="1"/>
  <c r="G22" i="177" s="1"/>
  <c r="G23" i="177" s="1"/>
  <c r="G24" i="177" s="1"/>
  <c r="G25" i="177" s="1"/>
  <c r="G26" i="177" s="1"/>
  <c r="G27" i="177" s="1"/>
  <c r="G28" i="177" s="1"/>
  <c r="G29" i="177" s="1"/>
  <c r="G30" i="177" s="1"/>
  <c r="G31" i="177" s="1"/>
  <c r="G32" i="177" s="1"/>
  <c r="G10" i="105"/>
  <c r="G18" i="105" s="1"/>
  <c r="G11" i="175"/>
  <c r="G12" i="175"/>
  <c r="G13" i="175"/>
  <c r="G14" i="175"/>
  <c r="G15" i="175"/>
  <c r="G16" i="175"/>
  <c r="G10" i="175"/>
  <c r="G41" i="176"/>
  <c r="G12" i="165"/>
  <c r="G17" i="165" s="1"/>
  <c r="G13" i="165"/>
  <c r="G14" i="165"/>
  <c r="G15" i="165"/>
  <c r="G16" i="165"/>
  <c r="G10" i="156"/>
  <c r="G11" i="94"/>
  <c r="G12" i="94"/>
  <c r="G13" i="94"/>
  <c r="G14" i="94"/>
  <c r="G15" i="94"/>
  <c r="G10" i="94"/>
  <c r="G40" i="94"/>
  <c r="G40" i="175"/>
  <c r="F19" i="173"/>
  <c r="G11" i="106"/>
  <c r="G10" i="106"/>
  <c r="E94" i="173" l="1"/>
  <c r="G90" i="173"/>
  <c r="E78" i="173"/>
  <c r="G17" i="175"/>
  <c r="G94" i="173"/>
  <c r="I90" i="173"/>
  <c r="G21" i="176"/>
  <c r="G22" i="176" s="1"/>
  <c r="G16" i="94"/>
  <c r="E25" i="173"/>
  <c r="E19" i="173"/>
  <c r="G19" i="173" s="1"/>
  <c r="I19" i="173" s="1"/>
  <c r="I21" i="173"/>
  <c r="G35" i="106"/>
  <c r="G36" i="106" s="1"/>
  <c r="G37" i="106" s="1"/>
  <c r="G38" i="106" s="1"/>
  <c r="G39" i="106" s="1"/>
  <c r="G40" i="106" s="1"/>
  <c r="G41" i="106" s="1"/>
  <c r="G42" i="106" s="1"/>
  <c r="G43" i="106" s="1"/>
  <c r="G44" i="106" s="1"/>
  <c r="G45" i="106" s="1"/>
  <c r="E12" i="173"/>
  <c r="I91" i="173"/>
  <c r="E85" i="173" l="1"/>
  <c r="G78" i="173"/>
  <c r="I94" i="173"/>
  <c r="E15" i="173"/>
  <c r="G17" i="94"/>
  <c r="G20" i="94" s="1"/>
  <c r="G21" i="94" s="1"/>
  <c r="G22" i="94" s="1"/>
  <c r="G23" i="94" s="1"/>
  <c r="G24" i="94" s="1"/>
  <c r="G25" i="94" s="1"/>
  <c r="G26" i="94" s="1"/>
  <c r="G27" i="94" s="1"/>
  <c r="G28" i="94" s="1"/>
  <c r="G29" i="94" s="1"/>
  <c r="G30" i="94" s="1"/>
  <c r="G31" i="94" s="1"/>
  <c r="G32" i="94" s="1"/>
  <c r="E11" i="173"/>
  <c r="G20" i="175"/>
  <c r="G21" i="175" s="1"/>
  <c r="G22" i="175" s="1"/>
  <c r="G23" i="175" s="1"/>
  <c r="G24" i="175" s="1"/>
  <c r="G25" i="175" s="1"/>
  <c r="G26" i="175" s="1"/>
  <c r="G27" i="175" s="1"/>
  <c r="G28" i="175" s="1"/>
  <c r="G29" i="175" s="1"/>
  <c r="G30" i="175" s="1"/>
  <c r="G31" i="175" s="1"/>
  <c r="G32" i="175" s="1"/>
  <c r="E52" i="173"/>
  <c r="G23" i="176"/>
  <c r="G20" i="165"/>
  <c r="G21" i="165" s="1"/>
  <c r="G22" i="165" s="1"/>
  <c r="G23" i="165" s="1"/>
  <c r="G24" i="165" s="1"/>
  <c r="G25" i="165" s="1"/>
  <c r="G26" i="165" s="1"/>
  <c r="G27" i="165" s="1"/>
  <c r="G28" i="165" s="1"/>
  <c r="G29" i="165" s="1"/>
  <c r="G30" i="165" s="1"/>
  <c r="E18" i="173"/>
  <c r="G10" i="174"/>
  <c r="G41" i="174"/>
  <c r="G11" i="115"/>
  <c r="G10" i="115"/>
  <c r="G52" i="115"/>
  <c r="F10" i="173"/>
  <c r="E33" i="94"/>
  <c r="F31" i="173"/>
  <c r="G31" i="173" s="1"/>
  <c r="F18" i="173"/>
  <c r="F45" i="173"/>
  <c r="F41" i="173"/>
  <c r="F39" i="173"/>
  <c r="F16" i="173"/>
  <c r="F12" i="173"/>
  <c r="G12" i="173" s="1"/>
  <c r="G85" i="173" l="1"/>
  <c r="I78" i="173"/>
  <c r="I85" i="173" s="1"/>
  <c r="I31" i="173"/>
  <c r="I12" i="173"/>
  <c r="G18" i="173"/>
  <c r="F15" i="173"/>
  <c r="G15" i="173" s="1"/>
  <c r="I15" i="173" s="1"/>
  <c r="G24" i="176"/>
  <c r="G25" i="176" s="1"/>
  <c r="G26" i="176" s="1"/>
  <c r="G27" i="176" s="1"/>
  <c r="G28" i="176" s="1"/>
  <c r="G29" i="176" s="1"/>
  <c r="G30" i="176" s="1"/>
  <c r="G31" i="176" s="1"/>
  <c r="G32" i="176" s="1"/>
  <c r="G33" i="176" s="1"/>
  <c r="F25" i="173"/>
  <c r="G25" i="173" s="1"/>
  <c r="I25" i="173" s="1"/>
  <c r="G52" i="173"/>
  <c r="C9" i="173"/>
  <c r="G23" i="174"/>
  <c r="G24" i="174" s="1"/>
  <c r="G25" i="174" s="1"/>
  <c r="G26" i="174" s="1"/>
  <c r="E10" i="173"/>
  <c r="G10" i="173" s="1"/>
  <c r="I10" i="173" s="1"/>
  <c r="G10" i="171"/>
  <c r="G11" i="171"/>
  <c r="G12" i="171"/>
  <c r="G13" i="171"/>
  <c r="G14" i="171"/>
  <c r="G15" i="171"/>
  <c r="G16" i="171"/>
  <c r="G17" i="171" l="1"/>
  <c r="I18" i="173"/>
  <c r="G20" i="171"/>
  <c r="G27" i="174"/>
  <c r="G28" i="174" s="1"/>
  <c r="G29" i="174" s="1"/>
  <c r="G30" i="174" s="1"/>
  <c r="G31" i="174" s="1"/>
  <c r="G32" i="174" s="1"/>
  <c r="G33" i="174" s="1"/>
  <c r="I52" i="173"/>
  <c r="E9" i="173"/>
  <c r="G30" i="115"/>
  <c r="G31" i="115" s="1"/>
  <c r="G32" i="115" s="1"/>
  <c r="G33" i="115" s="1"/>
  <c r="G34" i="115" s="1"/>
  <c r="G35" i="115" s="1"/>
  <c r="G36" i="115" s="1"/>
  <c r="G37" i="115" s="1"/>
  <c r="G38" i="115" s="1"/>
  <c r="G39" i="115" s="1"/>
  <c r="G40" i="115" s="1"/>
  <c r="G41" i="115" s="1"/>
  <c r="G42" i="115" s="1"/>
  <c r="G43" i="115" s="1"/>
  <c r="G44" i="115" s="1"/>
  <c r="E14" i="173" l="1"/>
  <c r="G14" i="173" s="1"/>
  <c r="I14" i="173" s="1"/>
  <c r="G21" i="171"/>
  <c r="G22" i="171" s="1"/>
  <c r="G23" i="171" s="1"/>
  <c r="G24" i="171" s="1"/>
  <c r="G25" i="171" s="1"/>
  <c r="G26" i="171" s="1"/>
  <c r="G27" i="171" s="1"/>
  <c r="G28" i="171" s="1"/>
  <c r="F13" i="173"/>
  <c r="F9" i="173"/>
  <c r="G13" i="173" l="1"/>
  <c r="G9" i="173"/>
  <c r="F32" i="173"/>
  <c r="F37" i="173"/>
  <c r="F11" i="173"/>
  <c r="F30" i="173"/>
  <c r="G32" i="173" l="1"/>
  <c r="I32" i="173" s="1"/>
  <c r="I13" i="173"/>
  <c r="G11" i="173"/>
  <c r="I9" i="173"/>
  <c r="G36" i="158"/>
  <c r="B39" i="173" s="1"/>
  <c r="G43" i="166"/>
  <c r="B31" i="173" s="1"/>
  <c r="F34" i="173"/>
  <c r="G34" i="173" s="1"/>
  <c r="F17" i="173"/>
  <c r="E38" i="125"/>
  <c r="F35" i="173" s="1"/>
  <c r="F76" i="173" l="1"/>
  <c r="F95" i="173" s="1"/>
  <c r="I34" i="173"/>
  <c r="I11" i="173"/>
  <c r="E16" i="173"/>
  <c r="G26" i="166"/>
  <c r="G27" i="166" s="1"/>
  <c r="G28" i="166" s="1"/>
  <c r="G29" i="166" s="1"/>
  <c r="G30" i="166" s="1"/>
  <c r="G31" i="166" s="1"/>
  <c r="G32" i="166" s="1"/>
  <c r="G33" i="166" s="1"/>
  <c r="G34" i="166" s="1"/>
  <c r="G35" i="166" s="1"/>
  <c r="G13" i="160"/>
  <c r="G38" i="165"/>
  <c r="G43" i="116"/>
  <c r="G33" i="164"/>
  <c r="B44" i="173" s="1"/>
  <c r="G16" i="164"/>
  <c r="G15" i="164"/>
  <c r="G14" i="164"/>
  <c r="G13" i="164"/>
  <c r="G12" i="164"/>
  <c r="G33" i="163"/>
  <c r="B36" i="173" s="1"/>
  <c r="G16" i="163"/>
  <c r="G17" i="164" l="1"/>
  <c r="E44" i="173" s="1"/>
  <c r="G44" i="173" s="1"/>
  <c r="I44" i="173" s="1"/>
  <c r="G25" i="116"/>
  <c r="G26" i="116" s="1"/>
  <c r="G27" i="116" s="1"/>
  <c r="G28" i="116" s="1"/>
  <c r="G29" i="116" s="1"/>
  <c r="G30" i="116" s="1"/>
  <c r="G31" i="116" s="1"/>
  <c r="G32" i="116" s="1"/>
  <c r="G33" i="116" s="1"/>
  <c r="G34" i="116" s="1"/>
  <c r="G35" i="116" s="1"/>
  <c r="G16" i="173"/>
  <c r="G17" i="163"/>
  <c r="E36" i="173" s="1"/>
  <c r="G36" i="173" s="1"/>
  <c r="I36" i="173" s="1"/>
  <c r="I16" i="173" l="1"/>
  <c r="G20" i="164"/>
  <c r="G21" i="164" s="1"/>
  <c r="G22" i="164" s="1"/>
  <c r="G23" i="164" s="1"/>
  <c r="G24" i="164" s="1"/>
  <c r="G25" i="164" s="1"/>
  <c r="G20" i="163"/>
  <c r="G21" i="163" s="1"/>
  <c r="G22" i="163" s="1"/>
  <c r="G23" i="163" s="1"/>
  <c r="G24" i="163" s="1"/>
  <c r="G25" i="163" s="1"/>
  <c r="G53" i="106" l="1"/>
  <c r="G48" i="22"/>
  <c r="G41" i="113"/>
  <c r="B34" i="173" s="1"/>
  <c r="G42" i="154"/>
  <c r="B32" i="173" s="1"/>
  <c r="G33" i="159"/>
  <c r="B41" i="173" s="1"/>
  <c r="G48" i="129"/>
  <c r="G15" i="160" l="1"/>
  <c r="G14" i="160"/>
  <c r="G17" i="160" s="1"/>
  <c r="G16" i="159"/>
  <c r="G15" i="159"/>
  <c r="G14" i="159"/>
  <c r="G13" i="159"/>
  <c r="G12" i="159"/>
  <c r="G20" i="160" l="1"/>
  <c r="G21" i="160" s="1"/>
  <c r="G22" i="160" s="1"/>
  <c r="G23" i="160" s="1"/>
  <c r="G24" i="160" s="1"/>
  <c r="G25" i="160" s="1"/>
  <c r="E45" i="173"/>
  <c r="G17" i="159"/>
  <c r="G20" i="159" l="1"/>
  <c r="G21" i="159" s="1"/>
  <c r="G22" i="159" s="1"/>
  <c r="G23" i="159" s="1"/>
  <c r="G24" i="159" s="1"/>
  <c r="G25" i="159" s="1"/>
  <c r="E41" i="173"/>
  <c r="G41" i="173" s="1"/>
  <c r="I41" i="173" s="1"/>
  <c r="G45" i="173"/>
  <c r="G15" i="158"/>
  <c r="G14" i="158"/>
  <c r="G13" i="158"/>
  <c r="G12" i="158"/>
  <c r="G11" i="158"/>
  <c r="I45" i="173" l="1"/>
  <c r="G17" i="158"/>
  <c r="E39" i="173" s="1"/>
  <c r="G39" i="173" s="1"/>
  <c r="I39" i="173" s="1"/>
  <c r="G16" i="156"/>
  <c r="G15" i="156"/>
  <c r="G14" i="156"/>
  <c r="G13" i="156"/>
  <c r="G12" i="156"/>
  <c r="G11" i="156"/>
  <c r="G17" i="156" s="1"/>
  <c r="G13" i="155"/>
  <c r="G12" i="155"/>
  <c r="G16" i="153"/>
  <c r="G15" i="153"/>
  <c r="G14" i="153"/>
  <c r="G15" i="155" l="1"/>
  <c r="E40" i="173" s="1"/>
  <c r="G40" i="173" s="1"/>
  <c r="I40" i="173" s="1"/>
  <c r="G17" i="153"/>
  <c r="E38" i="173" s="1"/>
  <c r="G20" i="156"/>
  <c r="G21" i="156" s="1"/>
  <c r="G22" i="156" s="1"/>
  <c r="G23" i="156" s="1"/>
  <c r="G24" i="156" s="1"/>
  <c r="G25" i="156" s="1"/>
  <c r="E17" i="173"/>
  <c r="E37" i="173"/>
  <c r="G20" i="158"/>
  <c r="G21" i="158" s="1"/>
  <c r="G22" i="158" s="1"/>
  <c r="G23" i="158" s="1"/>
  <c r="G24" i="158" s="1"/>
  <c r="G25" i="158" s="1"/>
  <c r="G26" i="158" s="1"/>
  <c r="G27" i="158" s="1"/>
  <c r="G28" i="158" s="1"/>
  <c r="G37" i="173" l="1"/>
  <c r="I37" i="173" s="1"/>
  <c r="G38" i="173"/>
  <c r="G18" i="155"/>
  <c r="G19" i="155" s="1"/>
  <c r="G20" i="155" s="1"/>
  <c r="G21" i="155" s="1"/>
  <c r="G22" i="155" s="1"/>
  <c r="G23" i="155" s="1"/>
  <c r="G20" i="153"/>
  <c r="G21" i="153" s="1"/>
  <c r="G22" i="153" s="1"/>
  <c r="G23" i="153" s="1"/>
  <c r="G24" i="153" s="1"/>
  <c r="G25" i="153" s="1"/>
  <c r="G26" i="153" s="1"/>
  <c r="G27" i="153" s="1"/>
  <c r="G28" i="153" s="1"/>
  <c r="G17" i="173"/>
  <c r="G20" i="152"/>
  <c r="G21" i="152" s="1"/>
  <c r="G22" i="152" s="1"/>
  <c r="G23" i="152" s="1"/>
  <c r="G24" i="152" s="1"/>
  <c r="G25" i="152" s="1"/>
  <c r="G26" i="152" s="1"/>
  <c r="G27" i="152" s="1"/>
  <c r="G28" i="152" s="1"/>
  <c r="G29" i="152" s="1"/>
  <c r="G30" i="152" s="1"/>
  <c r="I38" i="173" l="1"/>
  <c r="I17" i="173"/>
  <c r="G30" i="129"/>
  <c r="G31" i="129" s="1"/>
  <c r="G32" i="129" s="1"/>
  <c r="G33" i="129" s="1"/>
  <c r="G34" i="129" s="1"/>
  <c r="G35" i="129" s="1"/>
  <c r="G36" i="129" s="1"/>
  <c r="G37" i="129" s="1"/>
  <c r="G38" i="129" s="1"/>
  <c r="G39" i="129" s="1"/>
  <c r="G40" i="129" s="1"/>
  <c r="E30" i="173" l="1"/>
  <c r="G30" i="173" l="1"/>
  <c r="G28" i="22"/>
  <c r="G29" i="22" s="1"/>
  <c r="G30" i="22" s="1"/>
  <c r="G31" i="22" s="1"/>
  <c r="G32" i="22" s="1"/>
  <c r="G33" i="22" s="1"/>
  <c r="G34" i="22" s="1"/>
  <c r="G35" i="22" s="1"/>
  <c r="G36" i="22" s="1"/>
  <c r="G37" i="22" s="1"/>
  <c r="G38" i="22" s="1"/>
  <c r="G39" i="22" s="1"/>
  <c r="I30" i="173" l="1"/>
  <c r="G18" i="125"/>
  <c r="G21" i="125" l="1"/>
  <c r="G22" i="125" s="1"/>
  <c r="G23" i="125" s="1"/>
  <c r="G24" i="125" s="1"/>
  <c r="G25" i="125" s="1"/>
  <c r="G26" i="125" s="1"/>
  <c r="G27" i="125" s="1"/>
  <c r="G28" i="125" s="1"/>
  <c r="G29" i="125" s="1"/>
  <c r="G30" i="125" s="1"/>
  <c r="G31" i="125" s="1"/>
  <c r="G32" i="125" s="1"/>
  <c r="G33" i="125" s="1"/>
  <c r="G34" i="125" s="1"/>
  <c r="G35" i="125" s="1"/>
  <c r="G36" i="125" s="1"/>
  <c r="G37" i="125" s="1"/>
  <c r="E35" i="173"/>
  <c r="E76" i="173" s="1"/>
  <c r="G19" i="119"/>
  <c r="G20" i="119" s="1"/>
  <c r="G21" i="119" s="1"/>
  <c r="G22" i="119" s="1"/>
  <c r="G23" i="119" s="1"/>
  <c r="G24" i="119" s="1"/>
  <c r="G25" i="119" s="1"/>
  <c r="G26" i="119" s="1"/>
  <c r="G27" i="119" s="1"/>
  <c r="E95" i="173" l="1"/>
  <c r="G35" i="173"/>
  <c r="G23" i="113"/>
  <c r="G76" i="173" l="1"/>
  <c r="G95" i="173" s="1"/>
  <c r="I35" i="173"/>
  <c r="I76" i="173" s="1"/>
  <c r="G24" i="113"/>
  <c r="G25" i="113" s="1"/>
  <c r="G26" i="113" s="1"/>
  <c r="G27" i="113" s="1"/>
  <c r="G21" i="105"/>
  <c r="G22" i="105" s="1"/>
  <c r="G23" i="105" s="1"/>
  <c r="G24" i="105" s="1"/>
  <c r="G25" i="105" s="1"/>
  <c r="G26" i="105" s="1"/>
  <c r="G27" i="105" s="1"/>
  <c r="G28" i="105" s="1"/>
  <c r="G29" i="105" s="1"/>
  <c r="G30" i="105" s="1"/>
  <c r="I95" i="173" l="1"/>
  <c r="G28" i="113"/>
  <c r="G29" i="113" s="1"/>
  <c r="G30" i="113" s="1"/>
  <c r="G31" i="113" s="1"/>
  <c r="G32" i="113" s="1"/>
  <c r="G33" i="113" s="1"/>
  <c r="G20" i="101"/>
  <c r="G21" i="101" l="1"/>
  <c r="G22" i="101" s="1"/>
  <c r="G23" i="101" s="1"/>
  <c r="G24" i="101" s="1"/>
  <c r="G25" i="101" s="1"/>
  <c r="G26" i="101" s="1"/>
  <c r="G27" i="101" s="1"/>
  <c r="G28" i="101" s="1"/>
  <c r="G29" i="101" s="1"/>
  <c r="G30" i="101" s="1"/>
  <c r="G31" i="101" s="1"/>
  <c r="G32" i="101" s="1"/>
  <c r="G33" i="101" s="1"/>
  <c r="G34" i="101" s="1"/>
  <c r="G35" i="101" s="1"/>
  <c r="G36" i="101" s="1"/>
  <c r="G37" i="101" s="1"/>
  <c r="G38" i="101" s="1"/>
  <c r="G39" i="101" s="1"/>
  <c r="G40" i="101" s="1"/>
  <c r="G41" i="101" s="1"/>
  <c r="G36" i="171"/>
</calcChain>
</file>

<file path=xl/sharedStrings.xml><?xml version="1.0" encoding="utf-8"?>
<sst xmlns="http://schemas.openxmlformats.org/spreadsheetml/2006/main" count="4911" uniqueCount="621">
  <si>
    <t>Balance</t>
  </si>
  <si>
    <t>Kong Nimol</t>
  </si>
  <si>
    <t>Thim Tharith</t>
  </si>
  <si>
    <t>Hak Hon</t>
  </si>
  <si>
    <t>Sen Sareth</t>
  </si>
  <si>
    <t>Ref#</t>
  </si>
  <si>
    <t>Adjust</t>
  </si>
  <si>
    <t>Fee Balance</t>
  </si>
  <si>
    <t>Fee Paid</t>
  </si>
  <si>
    <t>Total Fee</t>
  </si>
  <si>
    <t>Rate</t>
  </si>
  <si>
    <t>Total Hours</t>
  </si>
  <si>
    <t>Lecturer Name</t>
  </si>
  <si>
    <t>No</t>
  </si>
  <si>
    <t>University of Management and Economics</t>
  </si>
  <si>
    <t xml:space="preserve">Prepaired By </t>
  </si>
  <si>
    <t>Total A/P Teaching fee</t>
  </si>
  <si>
    <t>Kampong Cham Province</t>
  </si>
  <si>
    <t>Account Payable of Teacher</t>
  </si>
  <si>
    <t>Name of Lecturer</t>
  </si>
  <si>
    <t>Sex</t>
  </si>
  <si>
    <t>Subject</t>
  </si>
  <si>
    <t>Hours</t>
  </si>
  <si>
    <t xml:space="preserve">Rate </t>
  </si>
  <si>
    <t>Total Amount</t>
  </si>
  <si>
    <t>G</t>
  </si>
  <si>
    <t>Y</t>
  </si>
  <si>
    <t>Pro</t>
  </si>
  <si>
    <t>Time</t>
  </si>
  <si>
    <t xml:space="preserve">Start </t>
  </si>
  <si>
    <t>Finish</t>
  </si>
  <si>
    <t>M</t>
  </si>
  <si>
    <t>Payment to Teacher</t>
  </si>
  <si>
    <t>Date Payament</t>
  </si>
  <si>
    <t>Amount Paid</t>
  </si>
  <si>
    <t>Balance to pay</t>
  </si>
  <si>
    <t>Total Payment</t>
  </si>
  <si>
    <t>Tel:</t>
  </si>
  <si>
    <t>Reviewed by:</t>
  </si>
  <si>
    <t>Prepared by:</t>
  </si>
  <si>
    <t>Srun Saraks, Executive Director</t>
  </si>
  <si>
    <t>Approved by:</t>
  </si>
  <si>
    <t>Weekend</t>
  </si>
  <si>
    <t xml:space="preserve">Tel: </t>
  </si>
  <si>
    <t>Bank Account:</t>
  </si>
  <si>
    <t>Som Bony</t>
  </si>
  <si>
    <t>Sim Bunsong</t>
  </si>
  <si>
    <t>Ang Assaravuth</t>
  </si>
  <si>
    <t>Mao Dung, Branch Director</t>
  </si>
  <si>
    <t>Chan Senvichit</t>
  </si>
  <si>
    <t>017 220 322</t>
  </si>
  <si>
    <t>Chea Haingy</t>
  </si>
  <si>
    <t>Houen Sopheang</t>
  </si>
  <si>
    <t>F</t>
  </si>
  <si>
    <t>Tel: 060 850 714</t>
  </si>
  <si>
    <t>Tel: 088 722 1111</t>
  </si>
  <si>
    <t>Neang Sovat</t>
  </si>
  <si>
    <t>Beng Heng</t>
  </si>
  <si>
    <t>Soy Sareth</t>
  </si>
  <si>
    <t>Tel: 092 770 800</t>
  </si>
  <si>
    <t>Eam Bunthoeun</t>
  </si>
  <si>
    <t>Chhay Theng</t>
  </si>
  <si>
    <t>Kuch Sokheang</t>
  </si>
  <si>
    <t>A</t>
  </si>
  <si>
    <t>C</t>
  </si>
  <si>
    <t xml:space="preserve"> </t>
  </si>
  <si>
    <t>ro</t>
  </si>
  <si>
    <t xml:space="preserve">Meas Nee </t>
  </si>
  <si>
    <t>Chea Cheurn</t>
  </si>
  <si>
    <t>Phou Sok</t>
  </si>
  <si>
    <t>Core English III</t>
  </si>
  <si>
    <t xml:space="preserve">Lim Heng </t>
  </si>
  <si>
    <t>Oeu Samath</t>
  </si>
  <si>
    <t>Am Sokha</t>
  </si>
  <si>
    <t>Mor</t>
  </si>
  <si>
    <t>Eve</t>
  </si>
  <si>
    <t>Business Law</t>
  </si>
  <si>
    <t>No Phearak</t>
  </si>
  <si>
    <t>Seam Sopheakdey</t>
  </si>
  <si>
    <t>Moeun Tola</t>
  </si>
  <si>
    <t>Dy Chanpisith, Academic Head</t>
  </si>
  <si>
    <t>Verified  by:</t>
  </si>
  <si>
    <t>Dy Chanpisith, Aca. Head</t>
  </si>
  <si>
    <t xml:space="preserve">   Dy Chanpisith, Academic Head</t>
  </si>
  <si>
    <t xml:space="preserve">    Dy Chanpisith, Academic Head</t>
  </si>
  <si>
    <t>Chhieu Chhay David</t>
  </si>
  <si>
    <t>Lab</t>
  </si>
  <si>
    <t>Teap Soklin</t>
  </si>
  <si>
    <t>Leang Sophanna</t>
  </si>
  <si>
    <t xml:space="preserve">  </t>
  </si>
  <si>
    <t>Uk Chantha , Accountant</t>
  </si>
  <si>
    <t>Uk Chantha,A.s Accountant</t>
  </si>
  <si>
    <t>Koy Saran</t>
  </si>
  <si>
    <t>Katam Sonavan</t>
  </si>
  <si>
    <t>13EXP00755</t>
  </si>
  <si>
    <t>Son Visoth</t>
  </si>
  <si>
    <t>R</t>
  </si>
  <si>
    <t>Taxation(Mgt&amp;ACC)</t>
  </si>
  <si>
    <t>B</t>
  </si>
  <si>
    <t>Principle of Auditing(ACC)</t>
  </si>
  <si>
    <t>Auditing &amp; Internal Control</t>
  </si>
  <si>
    <t>Core English I</t>
  </si>
  <si>
    <t>D</t>
  </si>
  <si>
    <t>Academic Writing I</t>
  </si>
  <si>
    <t>Academic Writing II</t>
  </si>
  <si>
    <t xml:space="preserve">Technical Writing </t>
  </si>
  <si>
    <t>H</t>
  </si>
  <si>
    <t>E</t>
  </si>
  <si>
    <t>English for University(Mgt &amp; Acc</t>
  </si>
  <si>
    <t>Interpreting &amp; Translation(English)</t>
  </si>
  <si>
    <t>Community Developent</t>
  </si>
  <si>
    <t>Environment</t>
  </si>
  <si>
    <t>Soil  Science</t>
  </si>
  <si>
    <t>Oeam Sary</t>
  </si>
  <si>
    <t>Y-12-13</t>
  </si>
  <si>
    <t>Java Programming(computer)</t>
  </si>
  <si>
    <t>Public International (Law)</t>
  </si>
  <si>
    <t>Quickbooks</t>
  </si>
  <si>
    <t>weekend</t>
  </si>
  <si>
    <t>Service Marketing</t>
  </si>
  <si>
    <t>Business English</t>
  </si>
  <si>
    <t>From Last Year</t>
  </si>
  <si>
    <t>Financial Acc</t>
  </si>
  <si>
    <t>Budgeting&amp;Planning</t>
  </si>
  <si>
    <t>Tek Vannara</t>
  </si>
  <si>
    <t>Development(Rural)</t>
  </si>
  <si>
    <t>MBA</t>
  </si>
  <si>
    <t>Translation</t>
  </si>
  <si>
    <t>GEP</t>
  </si>
  <si>
    <t>Grammer &amp;Core Book</t>
  </si>
  <si>
    <t>Not Yet Completed Contract</t>
  </si>
  <si>
    <t>Not yet complet contract</t>
  </si>
  <si>
    <t>Not Yet complete contract</t>
  </si>
  <si>
    <t>Not Yet complet contract</t>
  </si>
  <si>
    <t>Not yet complete contract</t>
  </si>
  <si>
    <t>Not yet complet comtract</t>
  </si>
  <si>
    <t>Shon Run</t>
  </si>
  <si>
    <t>Seang Somany, Accountant</t>
  </si>
  <si>
    <t xml:space="preserve">Muon Vesna, Managing Director </t>
  </si>
  <si>
    <t>Kampong Cham, June 24, 2013</t>
  </si>
  <si>
    <t>Total</t>
  </si>
  <si>
    <t>Total A/P Vendors</t>
  </si>
  <si>
    <t>Muon Veasna - Loan</t>
  </si>
  <si>
    <t>Mr Sao Horn</t>
  </si>
  <si>
    <t>Mr Yim Chetna</t>
  </si>
  <si>
    <t>Muon Veasna-Loan</t>
  </si>
  <si>
    <t>Mao Dung - Loan</t>
  </si>
  <si>
    <t>Sao Horn</t>
  </si>
  <si>
    <t>Uk Savy</t>
  </si>
  <si>
    <t>UME BTB</t>
  </si>
  <si>
    <t>Aok Veth</t>
  </si>
  <si>
    <t>Vendors</t>
  </si>
  <si>
    <t>13AP000228</t>
  </si>
  <si>
    <t>13AP000227</t>
  </si>
  <si>
    <t>13AP000224</t>
  </si>
  <si>
    <t>Lim Heng</t>
  </si>
  <si>
    <t>13AP000223</t>
  </si>
  <si>
    <t>13AP000222</t>
  </si>
  <si>
    <t xml:space="preserve">Chea cheurn </t>
  </si>
  <si>
    <t>13AP000221</t>
  </si>
  <si>
    <t>Lin Vanda</t>
  </si>
  <si>
    <t>Yoeun Davith</t>
  </si>
  <si>
    <t>13AP000220</t>
  </si>
  <si>
    <t>13AP00219</t>
  </si>
  <si>
    <t>Heng Seiha</t>
  </si>
  <si>
    <t>13AP00216</t>
  </si>
  <si>
    <t>Lam Socheat</t>
  </si>
  <si>
    <t>13AP00215</t>
  </si>
  <si>
    <t xml:space="preserve">Muon Vesna </t>
  </si>
  <si>
    <t>13AP00214</t>
  </si>
  <si>
    <t>12AP00155</t>
  </si>
  <si>
    <t>Yean Kimean</t>
  </si>
  <si>
    <t>12AP00181</t>
  </si>
  <si>
    <t>12AP00170</t>
  </si>
  <si>
    <t>12AP00138</t>
  </si>
  <si>
    <t>12AP00177</t>
  </si>
  <si>
    <t>12AP00169</t>
  </si>
  <si>
    <t>12AP00196</t>
  </si>
  <si>
    <t>He Go to Veatnam</t>
  </si>
  <si>
    <t>12AP00174</t>
  </si>
  <si>
    <t>Khieu Bunna</t>
  </si>
  <si>
    <t>12AP00184</t>
  </si>
  <si>
    <t>12AP00171</t>
  </si>
  <si>
    <t>12AP00191</t>
  </si>
  <si>
    <t>12AP00141</t>
  </si>
  <si>
    <t>Chan Senvichith</t>
  </si>
  <si>
    <t>12AP00180</t>
  </si>
  <si>
    <t>Lecture fee Payable Academic Year 2012-2013 as at 31, July, 2013</t>
  </si>
  <si>
    <t>Tek Vannara(MBA)</t>
  </si>
  <si>
    <t>Sen Sareth(GEP)</t>
  </si>
  <si>
    <t>Shon Run(GEP)</t>
  </si>
  <si>
    <t>Seang Somany , Accountant</t>
  </si>
  <si>
    <t>Ms Excel 2010</t>
  </si>
  <si>
    <t>13EXP00504</t>
  </si>
  <si>
    <t>Computer Network I</t>
  </si>
  <si>
    <t xml:space="preserve">Last Year </t>
  </si>
  <si>
    <t>Dy Chanpiseth</t>
  </si>
  <si>
    <t>Intro. Business</t>
  </si>
  <si>
    <t>III</t>
  </si>
  <si>
    <t>Money &amp; Banking</t>
  </si>
  <si>
    <t>13EXP00784</t>
  </si>
  <si>
    <t>Priciple of Accounting</t>
  </si>
  <si>
    <t>Srun Sarak</t>
  </si>
  <si>
    <t>Shon Run(University)</t>
  </si>
  <si>
    <t>Srun Sarak(University)</t>
  </si>
  <si>
    <t>Dy Chanpiseth(University)</t>
  </si>
  <si>
    <t>For University</t>
  </si>
  <si>
    <t>For MBA</t>
  </si>
  <si>
    <t>For GEP</t>
  </si>
  <si>
    <t xml:space="preserve"> $      5,4</t>
  </si>
  <si>
    <t>$   5,4</t>
  </si>
  <si>
    <t xml:space="preserve">Total </t>
  </si>
  <si>
    <t>Total  all</t>
  </si>
  <si>
    <t>UK Chantha, Accountant</t>
  </si>
  <si>
    <t>13EXP00874</t>
  </si>
  <si>
    <t>13REXP00874</t>
  </si>
  <si>
    <t>Pascal</t>
  </si>
  <si>
    <t>Cultural Studies I</t>
  </si>
  <si>
    <t>Cultural Studies III</t>
  </si>
  <si>
    <t>Literature Studies I</t>
  </si>
  <si>
    <t>Literature Studies III</t>
  </si>
  <si>
    <t>Jerry</t>
  </si>
  <si>
    <t>13EXP00861</t>
  </si>
  <si>
    <t>13EXP00908</t>
  </si>
  <si>
    <t>13EXP00927</t>
  </si>
  <si>
    <t>Chuon Kosal</t>
  </si>
  <si>
    <t>Leadership Skill</t>
  </si>
  <si>
    <t>S-S</t>
  </si>
  <si>
    <t>13EXP00881</t>
  </si>
  <si>
    <t>Transportation paid allredy</t>
  </si>
  <si>
    <t>s</t>
  </si>
  <si>
    <t>Aft</t>
  </si>
  <si>
    <t xml:space="preserve">Aft </t>
  </si>
  <si>
    <t>Business Enlish</t>
  </si>
  <si>
    <t>Asean Community</t>
  </si>
  <si>
    <t>Agricultural Engineeting</t>
  </si>
  <si>
    <t>Chea Bunthan</t>
  </si>
  <si>
    <t>Visual Basic. Net</t>
  </si>
  <si>
    <t>Te Kim Lin</t>
  </si>
  <si>
    <t>Administrative Procedure(law)</t>
  </si>
  <si>
    <t>Neang Bunthea</t>
  </si>
  <si>
    <t>Teaching Methodology</t>
  </si>
  <si>
    <t>Week</t>
  </si>
  <si>
    <t>Marketing Research</t>
  </si>
  <si>
    <t>Sam Sen</t>
  </si>
  <si>
    <t>Civil Law</t>
  </si>
  <si>
    <t>Micro Economics</t>
  </si>
  <si>
    <t>Atf</t>
  </si>
  <si>
    <t>Project Management</t>
  </si>
  <si>
    <t>Business Statistics</t>
  </si>
  <si>
    <t>Sam Chamreoun</t>
  </si>
  <si>
    <t>Copversation</t>
  </si>
  <si>
    <t>Conversation</t>
  </si>
  <si>
    <t>$   8,9</t>
  </si>
  <si>
    <t>Commecil Law</t>
  </si>
  <si>
    <t>Labor Law</t>
  </si>
  <si>
    <t>s-s</t>
  </si>
  <si>
    <t>13EXP001006</t>
  </si>
  <si>
    <t>13EXP00984</t>
  </si>
  <si>
    <t>13EXP001007</t>
  </si>
  <si>
    <t>Marketing  Reserch</t>
  </si>
  <si>
    <t>Payment one subject</t>
  </si>
  <si>
    <t>13EXP00859</t>
  </si>
  <si>
    <t>13EXP001030</t>
  </si>
  <si>
    <t>13REXP001030</t>
  </si>
  <si>
    <t>13EXP001051</t>
  </si>
  <si>
    <t>13EXP001028</t>
  </si>
  <si>
    <t>13EXP001029</t>
  </si>
  <si>
    <t>For PHD</t>
  </si>
  <si>
    <t>Raymond Leo</t>
  </si>
  <si>
    <t>Internatoinal Business law</t>
  </si>
  <si>
    <t>S.S</t>
  </si>
  <si>
    <t>Office</t>
  </si>
  <si>
    <t>Community development</t>
  </si>
  <si>
    <t>13EXP001090</t>
  </si>
  <si>
    <t>13EXP001089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</si>
  <si>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</si>
  <si>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Office Administration</t>
  </si>
  <si>
    <t>Basic Computer</t>
  </si>
  <si>
    <t>Basic Buddhism</t>
  </si>
  <si>
    <t>Principle of Management</t>
  </si>
  <si>
    <t>Phoung Paheakdey</t>
  </si>
  <si>
    <t>Principle of Marketing</t>
  </si>
  <si>
    <t>Principle Accounting</t>
  </si>
  <si>
    <t>Completed Already (two subject)</t>
  </si>
  <si>
    <t>$   7,7.5</t>
  </si>
  <si>
    <t>Supporting English</t>
  </si>
  <si>
    <t>Academic Writing</t>
  </si>
  <si>
    <t>New</t>
  </si>
  <si>
    <t>(This curse is finished)</t>
  </si>
  <si>
    <t>new</t>
  </si>
  <si>
    <t>c++Programming</t>
  </si>
  <si>
    <t>Dataase Mgt System</t>
  </si>
  <si>
    <t>Tith Bun Chhoeun</t>
  </si>
  <si>
    <t>Plan Physiology</t>
  </si>
  <si>
    <t>Laaw</t>
  </si>
  <si>
    <t>Say Savuth</t>
  </si>
  <si>
    <t>13EXP001060</t>
  </si>
  <si>
    <t>13EXP001133</t>
  </si>
  <si>
    <t>13EXP001134</t>
  </si>
  <si>
    <t>13EXP001149</t>
  </si>
  <si>
    <t>13REXP001149</t>
  </si>
  <si>
    <t>Benchmarking</t>
  </si>
  <si>
    <t>Completed transportation for Five Subject</t>
  </si>
  <si>
    <t>13EXP001229</t>
  </si>
  <si>
    <t>13EXP001226</t>
  </si>
  <si>
    <t>13EXP001248</t>
  </si>
  <si>
    <t>13EXP001259</t>
  </si>
  <si>
    <t>After</t>
  </si>
  <si>
    <t>Replace Mr. Oeam Sary 24h only</t>
  </si>
  <si>
    <t>Law</t>
  </si>
  <si>
    <t>Sim Chandoeun</t>
  </si>
  <si>
    <t>Data Structure</t>
  </si>
  <si>
    <t>Lim Bunheng</t>
  </si>
  <si>
    <t>Contract Law</t>
  </si>
  <si>
    <t>Training &amp;Development</t>
  </si>
  <si>
    <t xml:space="preserve">Foundation of </t>
  </si>
  <si>
    <t>c</t>
  </si>
  <si>
    <t>English</t>
  </si>
  <si>
    <t>13EXP001285</t>
  </si>
  <si>
    <t>13EXP001295</t>
  </si>
  <si>
    <t>13EXP001297</t>
  </si>
  <si>
    <t>13REXP001297</t>
  </si>
  <si>
    <t>13EXP001307</t>
  </si>
  <si>
    <t>No.</t>
  </si>
  <si>
    <t>Payment Date</t>
  </si>
  <si>
    <t>Loan Repay</t>
  </si>
  <si>
    <t>Paid</t>
  </si>
  <si>
    <t>Principle</t>
  </si>
  <si>
    <t>Interest</t>
  </si>
  <si>
    <t>Amount</t>
  </si>
  <si>
    <t>LOAN PAYMENT SCHEDULE TO Sath Boramy:</t>
  </si>
  <si>
    <t>WITH PRINCIPLE OF $2,000.00:</t>
  </si>
  <si>
    <t>Deceber,26,13</t>
  </si>
  <si>
    <t>January,26-14</t>
  </si>
  <si>
    <t>San You</t>
  </si>
  <si>
    <t>Management of Change</t>
  </si>
  <si>
    <t>13EXP001219</t>
  </si>
  <si>
    <t>13EXP001319</t>
  </si>
  <si>
    <t>13EXP001356</t>
  </si>
  <si>
    <t>13EXP001350</t>
  </si>
  <si>
    <t>Completed Transportation One Subject</t>
  </si>
  <si>
    <t>Nget Chandara</t>
  </si>
  <si>
    <t>Evening</t>
  </si>
  <si>
    <t>Even</t>
  </si>
  <si>
    <t>Sok Chheang</t>
  </si>
  <si>
    <t xml:space="preserve"> Pienciple of Acc</t>
  </si>
  <si>
    <t>Nget Kimsan</t>
  </si>
  <si>
    <t>not allowed to pay to him (he  not comply with the contract)</t>
  </si>
  <si>
    <t>English for University</t>
  </si>
  <si>
    <t>Cross Culture Mgt</t>
  </si>
  <si>
    <t>International Business</t>
  </si>
  <si>
    <t>Cultural Study</t>
  </si>
  <si>
    <t>Networkking</t>
  </si>
  <si>
    <t>Cambodia Acc Standard</t>
  </si>
  <si>
    <t>Completed Transport already</t>
  </si>
  <si>
    <t>13EXP001347</t>
  </si>
  <si>
    <t>Project Mgt</t>
  </si>
  <si>
    <t>weekemd</t>
  </si>
  <si>
    <t>Intermediate Acc</t>
  </si>
  <si>
    <t>Hing Sophanarith</t>
  </si>
  <si>
    <t>Fish Physiology</t>
  </si>
  <si>
    <t>REPLACE  FROM KONG NIMOL</t>
  </si>
  <si>
    <t>Completed Transportation already three subject</t>
  </si>
  <si>
    <t>13EXP001405</t>
  </si>
  <si>
    <t xml:space="preserve">Completed all transportation </t>
  </si>
  <si>
    <t>Completed Tuiton fee all five subject that amuont $100</t>
  </si>
  <si>
    <t>13EXP001398</t>
  </si>
  <si>
    <t>Completed Transportation alredy  three subject</t>
  </si>
  <si>
    <t>14EXP005</t>
  </si>
  <si>
    <t>14EXP0023</t>
  </si>
  <si>
    <t xml:space="preserve">Payment one subject for new </t>
  </si>
  <si>
    <t>14EXP0024</t>
  </si>
  <si>
    <t>Completed Transportation</t>
  </si>
  <si>
    <t>14EXP0082</t>
  </si>
  <si>
    <t>Completeted transport</t>
  </si>
  <si>
    <t>Completed Transportation One</t>
  </si>
  <si>
    <t>14EXP0080</t>
  </si>
  <si>
    <t>Completed transportation all ($80)</t>
  </si>
  <si>
    <t>14EXP0090</t>
  </si>
  <si>
    <t>14EXP0089</t>
  </si>
  <si>
    <t>Completed transportation One (new)</t>
  </si>
  <si>
    <t>Completed Tranportation two subjects</t>
  </si>
  <si>
    <t>Ler Kimheng</t>
  </si>
  <si>
    <t>Water Management</t>
  </si>
  <si>
    <t>Ham Hak</t>
  </si>
  <si>
    <t>Purchasing and Inventory Mgt</t>
  </si>
  <si>
    <t>Lap</t>
  </si>
  <si>
    <t xml:space="preserve"> PHP and mysql</t>
  </si>
  <si>
    <t>Long Phanith</t>
  </si>
  <si>
    <t>TQM</t>
  </si>
  <si>
    <t>Tel: 012 573 030</t>
  </si>
  <si>
    <t>Tel: 012 890 508</t>
  </si>
  <si>
    <t>Chea Haing Y</t>
  </si>
  <si>
    <t>Data Communication</t>
  </si>
  <si>
    <t>final already</t>
  </si>
  <si>
    <t xml:space="preserve"> +Transport 2 subject 20$ for Review</t>
  </si>
  <si>
    <t xml:space="preserve"> +Transport 10$ for Review 1 subject</t>
  </si>
  <si>
    <t>14EXP00131</t>
  </si>
  <si>
    <t>Advance</t>
  </si>
  <si>
    <t>Advance on 6-Feb-14</t>
  </si>
  <si>
    <t>14EXP00148</t>
  </si>
  <si>
    <t>14EXP00149</t>
  </si>
  <si>
    <t>14EXP00165</t>
  </si>
  <si>
    <t>Academic Writing III</t>
  </si>
  <si>
    <t>Rate 5$</t>
  </si>
  <si>
    <t>Start 27-1-014</t>
  </si>
  <si>
    <t>Start 27-1-015</t>
  </si>
  <si>
    <t>Financial Acc, 2class</t>
  </si>
  <si>
    <t>Rate 8$</t>
  </si>
  <si>
    <t>Start 7-12-013</t>
  </si>
  <si>
    <t>Veun Thy</t>
  </si>
  <si>
    <t>Intermediate Accounting</t>
  </si>
  <si>
    <t>Rate 7$</t>
  </si>
  <si>
    <t>Tel:017 849 463</t>
  </si>
  <si>
    <t>BIDC Bank Account:</t>
  </si>
  <si>
    <t>Managerial Acc, 3 Class</t>
  </si>
  <si>
    <t>Rate 7.5$</t>
  </si>
  <si>
    <t>Start 27-1-14</t>
  </si>
  <si>
    <t>Office Admin</t>
  </si>
  <si>
    <t xml:space="preserve"> Rate 7$</t>
  </si>
  <si>
    <t>Start 10-Feb-014</t>
  </si>
  <si>
    <t>Buddhism</t>
  </si>
  <si>
    <t>Start 8-Feb-014</t>
  </si>
  <si>
    <t>Tel: 079 7669 383</t>
  </si>
  <si>
    <t>14EXP00178</t>
  </si>
  <si>
    <t>14EXP00179</t>
  </si>
  <si>
    <t>14EXP00181</t>
  </si>
  <si>
    <t>Literature Studies II</t>
  </si>
  <si>
    <t xml:space="preserve"> Principle of Mgt</t>
  </si>
  <si>
    <t>Inveastment  Manaement</t>
  </si>
  <si>
    <t>Operation Management</t>
  </si>
  <si>
    <t>Bayon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</si>
  <si>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</si>
  <si>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Carl Curran</t>
  </si>
  <si>
    <t>Cultural Studies II</t>
  </si>
  <si>
    <t>Business English IV</t>
  </si>
  <si>
    <t>Academic Writing IV</t>
  </si>
  <si>
    <t>Semester II</t>
  </si>
  <si>
    <t>For Semester II</t>
  </si>
  <si>
    <t>Core English II</t>
  </si>
  <si>
    <t>Core English  IV</t>
  </si>
  <si>
    <t>Translation&amp;Interpretation</t>
  </si>
  <si>
    <t>Civil Procedure</t>
  </si>
  <si>
    <t>Sok Lika</t>
  </si>
  <si>
    <t>Criminal Procedure (law)</t>
  </si>
  <si>
    <t>General Criminal Law II</t>
  </si>
  <si>
    <t>Sou Sontara</t>
  </si>
  <si>
    <t>Agro Forestry</t>
  </si>
  <si>
    <t>Soun Serey</t>
  </si>
  <si>
    <t>Plant Phathology (Agri)</t>
  </si>
  <si>
    <t>Shipping Management</t>
  </si>
  <si>
    <t>Organization al Behavior</t>
  </si>
  <si>
    <t>Managerial Account</t>
  </si>
  <si>
    <t>Mok Phoeurn</t>
  </si>
  <si>
    <t>Interpreneurship</t>
  </si>
  <si>
    <t>14EXP0030</t>
  </si>
  <si>
    <t>14EXP00198</t>
  </si>
  <si>
    <t>Mao Dung Branch Director</t>
  </si>
  <si>
    <t xml:space="preserve">Uk Chanta, Accountant </t>
  </si>
  <si>
    <t>prepare by:</t>
  </si>
  <si>
    <t>February,28-14</t>
  </si>
  <si>
    <t>Date:</t>
  </si>
  <si>
    <t>Completed transportation for one Subject on 28 feb-14</t>
  </si>
  <si>
    <t>Buablic Speaking</t>
  </si>
  <si>
    <t>14EXP00228</t>
  </si>
  <si>
    <t>14REV00228</t>
  </si>
  <si>
    <t>14EXP00214</t>
  </si>
  <si>
    <t>14EXP00226</t>
  </si>
  <si>
    <t>on 13-March-14</t>
  </si>
  <si>
    <t>14EXP00244</t>
  </si>
  <si>
    <t>Completed 3 subject ( Transportation )on 14-March-14</t>
  </si>
  <si>
    <t>Completed for Four subject on 18-March-14</t>
  </si>
  <si>
    <t>LOAN PAYMENT SCHEDULE TO  H.E. Uk Savy:</t>
  </si>
  <si>
    <t>March,14-14</t>
  </si>
  <si>
    <t>April ,14-14</t>
  </si>
  <si>
    <t>May,14-14</t>
  </si>
  <si>
    <t>14EXP00205</t>
  </si>
  <si>
    <t>Mr. lim heng  get salaies $38 and transportation for review $10</t>
  </si>
  <si>
    <t>Completed transportation for two Subject on 22 March-14</t>
  </si>
  <si>
    <t>14EXP00276</t>
  </si>
  <si>
    <t>14EXP00290</t>
  </si>
  <si>
    <t>14EXP00277</t>
  </si>
  <si>
    <t>Evenig</t>
  </si>
  <si>
    <t>Continue from Dy Chanpisith from time(22.5)</t>
  </si>
  <si>
    <t>Heng Seitha</t>
  </si>
  <si>
    <t>Business Math</t>
  </si>
  <si>
    <t>Morning</t>
  </si>
  <si>
    <t>History of Combodia</t>
  </si>
  <si>
    <t>3.Mar-14</t>
  </si>
  <si>
    <t>Sociology</t>
  </si>
  <si>
    <t>Stock Of Exchang</t>
  </si>
  <si>
    <t>S_S</t>
  </si>
  <si>
    <t>1+2</t>
  </si>
  <si>
    <t>Acaademic Writing IV</t>
  </si>
  <si>
    <t>Eng</t>
  </si>
  <si>
    <t>Gross Cultureal Management</t>
  </si>
  <si>
    <t>weeken</t>
  </si>
  <si>
    <t>Core English  II</t>
  </si>
  <si>
    <t>P. Vihea</t>
  </si>
  <si>
    <t>Pol Mony</t>
  </si>
  <si>
    <t>Forest Management</t>
  </si>
  <si>
    <t>Cooperat Finace</t>
  </si>
  <si>
    <t>Research Methology</t>
  </si>
  <si>
    <t>Money and Babkilng</t>
  </si>
  <si>
    <t>Advance Accounting</t>
  </si>
  <si>
    <t>Cambobiaa Standard for Audting</t>
  </si>
  <si>
    <t>Financial Management</t>
  </si>
  <si>
    <t>Seng Theara</t>
  </si>
  <si>
    <t>Traning&amp;Capacity Building</t>
  </si>
  <si>
    <t>Khim Kemara</t>
  </si>
  <si>
    <t>Operation System &amp; Microprocess</t>
  </si>
  <si>
    <t>Yuth Kongyu</t>
  </si>
  <si>
    <t>Cambodia Standard for Accounting</t>
  </si>
  <si>
    <t>Tek Veasna</t>
  </si>
  <si>
    <t>Cooperation Finance</t>
  </si>
  <si>
    <t>weekent</t>
  </si>
  <si>
    <t>Ngoun Sopeap</t>
  </si>
  <si>
    <t>Farming System Resarch</t>
  </si>
  <si>
    <t>Thath Sovanarith</t>
  </si>
  <si>
    <t>Fisheries Ecology</t>
  </si>
  <si>
    <t>14EXP00298</t>
  </si>
  <si>
    <t>14EXP00299</t>
  </si>
  <si>
    <t>14EXP00321</t>
  </si>
  <si>
    <t>Lecture fee Payable Academic Year 2013-2014 as at 31-Oct-2013</t>
  </si>
  <si>
    <t>Completed transport on subjet MBA</t>
  </si>
  <si>
    <t>Payment one subject for new  Y1</t>
  </si>
  <si>
    <t>Completed transportation for two Subject on 3-April-14</t>
  </si>
  <si>
    <t>14EXP00302</t>
  </si>
  <si>
    <t>Completed transortation two subject</t>
  </si>
  <si>
    <t>Completed one transation</t>
  </si>
  <si>
    <t>14EXP00354</t>
  </si>
  <si>
    <t>14EXP00355</t>
  </si>
  <si>
    <t>14EXP00359</t>
  </si>
  <si>
    <t>14EXP00358</t>
  </si>
  <si>
    <t>14EXP00365</t>
  </si>
  <si>
    <t>14EXP00366</t>
  </si>
  <si>
    <t>14EXP00377</t>
  </si>
  <si>
    <t>Completed Transportation already $20 (14EXP00377)</t>
  </si>
  <si>
    <t>13EXP00377</t>
  </si>
  <si>
    <t>14REV00377</t>
  </si>
  <si>
    <t xml:space="preserve">Completed transporation 3 bubject </t>
  </si>
  <si>
    <t>Completed Transporation three subject</t>
  </si>
  <si>
    <t>Complet transportation one subject</t>
  </si>
  <si>
    <t>14EXP00393</t>
  </si>
  <si>
    <t>Intro.Economic</t>
  </si>
  <si>
    <t xml:space="preserve">Core English </t>
  </si>
  <si>
    <t>Preash Vihea</t>
  </si>
  <si>
    <t>Cultural Studies IV</t>
  </si>
  <si>
    <t>Visual Basic Programming</t>
  </si>
  <si>
    <t>Angkor wat</t>
  </si>
  <si>
    <t>database Mgt</t>
  </si>
  <si>
    <t>Dorn Phorsanith</t>
  </si>
  <si>
    <t>Swicthing and Rouding</t>
  </si>
  <si>
    <t>Married &amp; Family Law</t>
  </si>
  <si>
    <t>International Law</t>
  </si>
  <si>
    <t>Farming Sys. Research</t>
  </si>
  <si>
    <t>Data Structure &amp; AlgoriII</t>
  </si>
  <si>
    <t>Cambobiaa Accounting Standard</t>
  </si>
  <si>
    <t>14EXP00409</t>
  </si>
  <si>
    <t>14EXP00410</t>
  </si>
  <si>
    <t>Completed Transportation two subjects and Review $10=$50</t>
  </si>
  <si>
    <t>Completed Two subject on 3-May-14</t>
  </si>
  <si>
    <t>14EXP00435</t>
  </si>
  <si>
    <t>14EXP00449</t>
  </si>
  <si>
    <t>14EXP00448</t>
  </si>
  <si>
    <t>Pay for Neang Rida Tuition fee for Y1.P11$79 and late $21 also</t>
  </si>
  <si>
    <t>14EXP00429</t>
  </si>
  <si>
    <t>14EXP00476</t>
  </si>
  <si>
    <t>14EXP00477</t>
  </si>
  <si>
    <t>Transportation one subject of Interpreneurship</t>
  </si>
  <si>
    <t>Payment one subject for new  Y2</t>
  </si>
  <si>
    <t>on 25-May-14</t>
  </si>
  <si>
    <t>Sat-Sun</t>
  </si>
  <si>
    <t>Introduction to Business</t>
  </si>
  <si>
    <t>C Programming</t>
  </si>
  <si>
    <t>Mgt of Change</t>
  </si>
  <si>
    <t>Sat-Sut</t>
  </si>
  <si>
    <t>Mkt,Mgt</t>
  </si>
  <si>
    <t>Kum Unique</t>
  </si>
  <si>
    <t>Privat Internal Law</t>
  </si>
  <si>
    <t>Cultural Study II</t>
  </si>
  <si>
    <t>Civil Law II</t>
  </si>
  <si>
    <t>Data Structure &amp; Algo</t>
  </si>
  <si>
    <t>C++Programming</t>
  </si>
  <si>
    <t>lab</t>
  </si>
  <si>
    <t>Advance java</t>
  </si>
  <si>
    <t>Mgt,Acc</t>
  </si>
  <si>
    <t>Patron $80 on 9-May-14</t>
  </si>
  <si>
    <t>Patron two subject completed  all</t>
  </si>
  <si>
    <t>Completed Two subject on 30-April-14</t>
  </si>
  <si>
    <t>14EXP00506</t>
  </si>
  <si>
    <t>14EXP00530</t>
  </si>
  <si>
    <t>3-Jue-14</t>
  </si>
  <si>
    <t>Completed Transportation already five subject</t>
  </si>
  <si>
    <t>14EXP00538</t>
  </si>
  <si>
    <t>14EXP00501</t>
  </si>
  <si>
    <t>14EXP00564</t>
  </si>
  <si>
    <t>14--Jun-14</t>
  </si>
  <si>
    <t>14EXP00574</t>
  </si>
  <si>
    <t xml:space="preserve">Advance </t>
  </si>
  <si>
    <t>Marinas Emilyn</t>
  </si>
  <si>
    <t>Applide Linguistics</t>
  </si>
  <si>
    <t>English Support</t>
  </si>
  <si>
    <t>Economics management</t>
  </si>
  <si>
    <t>Operation System &amp; Microprocess II</t>
  </si>
  <si>
    <t>over 10.5</t>
  </si>
  <si>
    <t>over 3</t>
  </si>
  <si>
    <t>over 9.5</t>
  </si>
  <si>
    <t>Pol Sarith</t>
  </si>
  <si>
    <t>Banking Law</t>
  </si>
  <si>
    <t>over 4.5</t>
  </si>
  <si>
    <t>over 6</t>
  </si>
  <si>
    <t>Analysis IS&amp;Desegn</t>
  </si>
  <si>
    <t>over 15</t>
  </si>
  <si>
    <t>over 12</t>
  </si>
  <si>
    <t>over 13</t>
  </si>
  <si>
    <t>Tonn Saroth</t>
  </si>
  <si>
    <t>Computer Networking</t>
  </si>
  <si>
    <t>Kampong Cham, June-30- 2014</t>
  </si>
  <si>
    <t>Ouk Vannara, Executive Director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</si>
</sst>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0"/>
    <numFmt numFmtId="165" formatCode="[$-409]d\-mmm\-yy;@"/>
    <numFmt numFmtId="166" formatCode="[$-409]mmmm\ d\,\ yyyy;@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u/>
      <sz val="10"/>
      <color theme="10"/>
      <name val="Arial"/>
      <family val="2"/>
    </font>
    <font>
      <sz val="10"/>
      <name val="Century Gothic"/>
      <family val="2"/>
    </font>
    <font>
      <b/>
      <sz val="14"/>
      <name val="Century Gothic"/>
      <family val="2"/>
    </font>
    <font>
      <b/>
      <sz val="12"/>
      <name val="Century Gothic"/>
      <family val="2"/>
    </font>
    <font>
      <sz val="12"/>
      <name val="Century Gothic"/>
      <family val="2"/>
    </font>
    <font>
      <sz val="11"/>
      <name val="Century Gothic"/>
      <family val="2"/>
    </font>
    <font>
      <sz val="11"/>
      <color indexed="10"/>
      <name val="Century Gothic"/>
      <family val="2"/>
    </font>
    <font>
      <u/>
      <sz val="10"/>
      <color theme="10"/>
      <name val="Century Gothic"/>
      <family val="2"/>
    </font>
    <font>
      <b/>
      <sz val="12"/>
      <color indexed="10"/>
      <name val="Century Gothic"/>
      <family val="2"/>
    </font>
    <font>
      <sz val="11"/>
      <color indexed="12"/>
      <name val="Century Gothic"/>
      <family val="2"/>
    </font>
    <font>
      <b/>
      <sz val="14"/>
      <color indexed="48"/>
      <name val="Century Gothic"/>
      <family val="2"/>
    </font>
    <font>
      <b/>
      <sz val="14"/>
      <color indexed="10"/>
      <name val="Century Gothic"/>
      <family val="2"/>
    </font>
    <font>
      <sz val="11"/>
      <color indexed="48"/>
      <name val="Century Gothic"/>
      <family val="2"/>
    </font>
    <font>
      <sz val="12"/>
      <color theme="1"/>
      <name val="Century Gothic"/>
      <family val="2"/>
    </font>
    <font>
      <sz val="12"/>
      <color rgb="FF000000"/>
      <name val="Century Gothic"/>
      <family val="2"/>
    </font>
    <font>
      <sz val="16"/>
      <name val="Century Gothic"/>
      <family val="2"/>
    </font>
    <font>
      <b/>
      <sz val="10"/>
      <name val="Century Gothic"/>
      <family val="2"/>
    </font>
    <font>
      <sz val="11"/>
      <color theme="1"/>
      <name val="Century Gothic"/>
      <family val="2"/>
    </font>
    <font>
      <sz val="10"/>
      <color rgb="FFFF0000"/>
      <name val="Century Gothic"/>
      <family val="2"/>
    </font>
    <font>
      <b/>
      <u val="singleAccounting"/>
      <sz val="10"/>
      <color rgb="FFFF0000"/>
      <name val="Century Gothic"/>
      <family val="2"/>
    </font>
    <font>
      <sz val="18"/>
      <name val="Century Gothic"/>
      <family val="2"/>
    </font>
    <font>
      <sz val="20"/>
      <name val="Century Gothic"/>
      <family val="2"/>
    </font>
    <font>
      <sz val="10"/>
      <color theme="1"/>
      <name val="Century Gothic"/>
      <family val="2"/>
    </font>
    <font>
      <b/>
      <sz val="10"/>
      <color rgb="FFC00000"/>
      <name val="Century Gothic"/>
      <family val="2"/>
    </font>
    <font>
      <b/>
      <sz val="11"/>
      <color theme="1"/>
      <name val="Century Gothic"/>
      <family val="2"/>
    </font>
    <font>
      <sz val="11"/>
      <color rgb="FFFF0000"/>
      <name val="Century Gothic"/>
      <family val="2"/>
    </font>
    <font>
      <b/>
      <sz val="11"/>
      <name val="Century Gothic"/>
      <family val="2"/>
    </font>
    <font>
      <sz val="9"/>
      <name val="Century Gothic"/>
      <family val="2"/>
    </font>
    <font>
      <sz val="9"/>
      <color theme="1"/>
      <name val="Calibri"/>
      <family val="2"/>
      <scheme val="minor"/>
    </font>
    <font>
      <b/>
      <sz val="9"/>
      <name val="Century Gothic"/>
      <family val="2"/>
    </font>
    <font>
      <sz val="9"/>
      <color theme="1"/>
      <name val="Century Gothic"/>
      <family val="2"/>
    </font>
    <font>
      <u val="singleAccounting"/>
      <sz val="9"/>
      <color theme="1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entury Gothic"/>
      <family val="2"/>
    </font>
    <font>
      <sz val="8"/>
      <color theme="1"/>
      <name val="Calibri"/>
      <family val="2"/>
      <scheme val="minor"/>
    </font>
    <font>
      <sz val="11"/>
      <name val="Times New Roman"/>
      <family val="1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-0.249977111117893"/>
        <bgColor indexed="64"/>
      </patternFill>
    </fill>
  </fills>
  <borders count="118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double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 style="medium">
        <color indexed="64"/>
      </bottom>
      <diagonal/>
    </border>
    <border>
      <left style="hair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/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ouble">
        <color indexed="64"/>
      </right>
      <top style="medium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double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hair">
        <color indexed="64"/>
      </left>
      <right style="double">
        <color indexed="64"/>
      </right>
      <top style="medium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double">
        <color indexed="64"/>
      </bottom>
      <diagonal/>
    </border>
    <border>
      <left style="double">
        <color indexed="64"/>
      </left>
      <right style="hair">
        <color indexed="64"/>
      </right>
      <top style="medium">
        <color indexed="64"/>
      </top>
      <bottom style="double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/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2">
    <xf numFmtId="0" fontId="0" fillId="0" borderId="0"/>
    <xf numFmtId="43" fontId="1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/>
  </cellStyleXfs>
  <cellXfs count="1073">
    <xf numFmtId="0" fontId="0" fillId="0" borderId="0" xfId="0"/>
    <xf numFmtId="0" fontId="5" fillId="0" borderId="0" xfId="4" applyFont="1"/>
    <xf numFmtId="0" fontId="9" fillId="0" borderId="26" xfId="4" applyFont="1" applyBorder="1" applyAlignment="1">
      <alignment horizontal="center" vertical="center"/>
    </xf>
    <xf numFmtId="0" fontId="9" fillId="0" borderId="0" xfId="4" applyFont="1" applyAlignment="1">
      <alignment horizontal="center" vertical="center"/>
    </xf>
    <xf numFmtId="0" fontId="9" fillId="0" borderId="11" xfId="4" applyFont="1" applyBorder="1" applyAlignment="1">
      <alignment horizontal="center" vertical="center"/>
    </xf>
    <xf numFmtId="44" fontId="10" fillId="0" borderId="11" xfId="4" applyNumberFormat="1" applyFont="1" applyBorder="1" applyAlignment="1">
      <alignment horizontal="center" vertical="center"/>
    </xf>
    <xf numFmtId="0" fontId="9" fillId="0" borderId="34" xfId="4" applyFont="1" applyBorder="1" applyAlignment="1">
      <alignment horizontal="center" vertical="center"/>
    </xf>
    <xf numFmtId="44" fontId="10" fillId="0" borderId="27" xfId="5" applyFont="1" applyBorder="1" applyAlignment="1">
      <alignment horizontal="center" vertical="center"/>
    </xf>
    <xf numFmtId="0" fontId="9" fillId="0" borderId="27" xfId="4" applyFont="1" applyBorder="1" applyAlignment="1">
      <alignment horizontal="center" vertical="center"/>
    </xf>
    <xf numFmtId="0" fontId="9" fillId="0" borderId="42" xfId="4" applyFont="1" applyBorder="1" applyAlignment="1">
      <alignment horizontal="center" vertical="center"/>
    </xf>
    <xf numFmtId="164" fontId="9" fillId="0" borderId="43" xfId="4" applyNumberFormat="1" applyFont="1" applyBorder="1" applyAlignment="1">
      <alignment horizontal="center" vertical="center"/>
    </xf>
    <xf numFmtId="165" fontId="9" fillId="0" borderId="26" xfId="4" applyNumberFormat="1" applyFont="1" applyBorder="1" applyAlignment="1">
      <alignment horizontal="center" vertical="center"/>
    </xf>
    <xf numFmtId="44" fontId="10" fillId="0" borderId="26" xfId="4" applyNumberFormat="1" applyFont="1" applyBorder="1" applyAlignment="1">
      <alignment horizontal="center" vertical="center"/>
    </xf>
    <xf numFmtId="0" fontId="9" fillId="0" borderId="44" xfId="4" applyFont="1" applyBorder="1" applyAlignment="1">
      <alignment horizontal="center" vertical="center"/>
    </xf>
    <xf numFmtId="164" fontId="9" fillId="0" borderId="36" xfId="4" applyNumberFormat="1" applyFont="1" applyBorder="1" applyAlignment="1">
      <alignment horizontal="center" vertical="center"/>
    </xf>
    <xf numFmtId="165" fontId="9" fillId="0" borderId="11" xfId="4" applyNumberFormat="1" applyFont="1" applyBorder="1" applyAlignment="1">
      <alignment horizontal="center" vertical="center"/>
    </xf>
    <xf numFmtId="164" fontId="9" fillId="0" borderId="33" xfId="4" applyNumberFormat="1" applyFont="1" applyBorder="1" applyAlignment="1">
      <alignment horizontal="center" vertical="center"/>
    </xf>
    <xf numFmtId="165" fontId="9" fillId="0" borderId="12" xfId="4" applyNumberFormat="1" applyFont="1" applyBorder="1" applyAlignment="1">
      <alignment horizontal="center" vertical="center"/>
    </xf>
    <xf numFmtId="0" fontId="9" fillId="0" borderId="12" xfId="4" applyFont="1" applyBorder="1" applyAlignment="1">
      <alignment horizontal="center" vertical="center"/>
    </xf>
    <xf numFmtId="0" fontId="9" fillId="0" borderId="45" xfId="4" applyFont="1" applyBorder="1" applyAlignment="1">
      <alignment horizontal="center" vertical="center"/>
    </xf>
    <xf numFmtId="0" fontId="15" fillId="0" borderId="47" xfId="4" applyFont="1" applyBorder="1" applyAlignment="1">
      <alignment horizontal="center" vertical="center"/>
    </xf>
    <xf numFmtId="0" fontId="6" fillId="0" borderId="47" xfId="4" applyFont="1" applyBorder="1" applyAlignment="1">
      <alignment horizontal="center" vertical="center"/>
    </xf>
    <xf numFmtId="0" fontId="6" fillId="0" borderId="48" xfId="4" applyFont="1" applyBorder="1" applyAlignment="1">
      <alignment horizontal="center" vertical="center"/>
    </xf>
    <xf numFmtId="0" fontId="6" fillId="0" borderId="0" xfId="4" applyFont="1" applyAlignment="1">
      <alignment horizontal="center" vertical="center"/>
    </xf>
    <xf numFmtId="0" fontId="9" fillId="0" borderId="0" xfId="4" applyNumberFormat="1" applyFont="1" applyAlignment="1">
      <alignment horizontal="center" vertical="center"/>
    </xf>
    <xf numFmtId="0" fontId="17" fillId="0" borderId="0" xfId="0" applyFont="1"/>
    <xf numFmtId="0" fontId="8" fillId="0" borderId="0" xfId="4" applyFont="1" applyAlignment="1">
      <alignment horizontal="center" vertical="center"/>
    </xf>
    <xf numFmtId="0" fontId="18" fillId="0" borderId="0" xfId="0" applyFont="1"/>
    <xf numFmtId="0" fontId="17" fillId="0" borderId="0" xfId="0" applyFont="1" applyFill="1"/>
    <xf numFmtId="49" fontId="18" fillId="0" borderId="0" xfId="0" applyNumberFormat="1" applyFont="1" applyAlignment="1">
      <alignment horizontal="left"/>
    </xf>
    <xf numFmtId="0" fontId="9" fillId="0" borderId="0" xfId="4" applyFont="1"/>
    <xf numFmtId="0" fontId="8" fillId="0" borderId="0" xfId="4" applyFont="1"/>
    <xf numFmtId="0" fontId="9" fillId="0" borderId="0" xfId="4" applyNumberFormat="1" applyFont="1"/>
    <xf numFmtId="0" fontId="5" fillId="0" borderId="0" xfId="4" applyNumberFormat="1" applyFont="1"/>
    <xf numFmtId="44" fontId="10" fillId="0" borderId="13" xfId="4" applyNumberFormat="1" applyFont="1" applyBorder="1" applyAlignment="1">
      <alignment horizontal="center" vertical="center"/>
    </xf>
    <xf numFmtId="0" fontId="5" fillId="0" borderId="0" xfId="7" applyFont="1"/>
    <xf numFmtId="0" fontId="20" fillId="0" borderId="5" xfId="7" applyFont="1" applyBorder="1" applyAlignment="1">
      <alignment horizontal="center" vertical="center"/>
    </xf>
    <xf numFmtId="0" fontId="20" fillId="0" borderId="6" xfId="7" applyFont="1" applyBorder="1" applyAlignment="1">
      <alignment horizontal="center" vertical="center"/>
    </xf>
    <xf numFmtId="0" fontId="5" fillId="0" borderId="3" xfId="7" applyFont="1" applyBorder="1"/>
    <xf numFmtId="43" fontId="21" fillId="0" borderId="3" xfId="8" applyFont="1" applyBorder="1"/>
    <xf numFmtId="0" fontId="5" fillId="0" borderId="2" xfId="7" applyFont="1" applyBorder="1" applyAlignment="1">
      <alignment horizontal="center"/>
    </xf>
    <xf numFmtId="0" fontId="5" fillId="2" borderId="3" xfId="7" applyFont="1" applyFill="1" applyBorder="1"/>
    <xf numFmtId="0" fontId="5" fillId="0" borderId="0" xfId="7" applyFont="1" applyAlignment="1"/>
    <xf numFmtId="0" fontId="24" fillId="0" borderId="0" xfId="7" applyFont="1" applyAlignment="1">
      <alignment vertical="center"/>
    </xf>
    <xf numFmtId="0" fontId="19" fillId="0" borderId="0" xfId="7" applyFont="1" applyBorder="1" applyAlignment="1">
      <alignment horizontal="center"/>
    </xf>
    <xf numFmtId="0" fontId="19" fillId="0" borderId="59" xfId="7" applyFont="1" applyBorder="1" applyAlignment="1">
      <alignment horizontal="center"/>
    </xf>
    <xf numFmtId="0" fontId="9" fillId="0" borderId="11" xfId="4" applyFont="1" applyBorder="1" applyAlignment="1">
      <alignment horizontal="center" vertical="center"/>
    </xf>
    <xf numFmtId="0" fontId="9" fillId="0" borderId="26" xfId="4" applyFont="1" applyBorder="1" applyAlignment="1">
      <alignment horizontal="center" vertical="center"/>
    </xf>
    <xf numFmtId="0" fontId="5" fillId="0" borderId="0" xfId="4" applyFont="1" applyFill="1"/>
    <xf numFmtId="0" fontId="7" fillId="0" borderId="31" xfId="4" applyNumberFormat="1" applyFont="1" applyFill="1" applyBorder="1" applyAlignment="1">
      <alignment horizontal="center" vertical="center"/>
    </xf>
    <xf numFmtId="0" fontId="7" fillId="0" borderId="8" xfId="4" applyFont="1" applyFill="1" applyBorder="1" applyAlignment="1">
      <alignment vertical="center"/>
    </xf>
    <xf numFmtId="0" fontId="7" fillId="0" borderId="8" xfId="4" applyFont="1" applyFill="1" applyBorder="1" applyAlignment="1">
      <alignment horizontal="center" vertical="center"/>
    </xf>
    <xf numFmtId="0" fontId="7" fillId="0" borderId="32" xfId="4" applyFont="1" applyFill="1" applyBorder="1" applyAlignment="1">
      <alignment horizontal="center" vertical="center"/>
    </xf>
    <xf numFmtId="0" fontId="5" fillId="0" borderId="26" xfId="4" applyFont="1" applyFill="1" applyBorder="1" applyAlignment="1">
      <alignment horizontal="left" vertical="center"/>
    </xf>
    <xf numFmtId="0" fontId="9" fillId="0" borderId="26" xfId="4" applyFont="1" applyFill="1" applyBorder="1" applyAlignment="1">
      <alignment horizontal="center" vertical="center"/>
    </xf>
    <xf numFmtId="44" fontId="9" fillId="0" borderId="26" xfId="5" applyFont="1" applyFill="1" applyBorder="1" applyAlignment="1">
      <alignment horizontal="center" vertical="center"/>
    </xf>
    <xf numFmtId="44" fontId="10" fillId="0" borderId="26" xfId="5" applyFont="1" applyFill="1" applyBorder="1" applyAlignment="1">
      <alignment horizontal="center" vertical="center"/>
    </xf>
    <xf numFmtId="15" fontId="9" fillId="0" borderId="26" xfId="4" applyNumberFormat="1" applyFont="1" applyFill="1" applyBorder="1" applyAlignment="1">
      <alignment horizontal="center" vertical="center"/>
    </xf>
    <xf numFmtId="15" fontId="9" fillId="0" borderId="44" xfId="4" applyNumberFormat="1" applyFont="1" applyFill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44" fontId="9" fillId="0" borderId="11" xfId="5" applyFont="1" applyFill="1" applyBorder="1" applyAlignment="1">
      <alignment horizontal="center" vertical="center"/>
    </xf>
    <xf numFmtId="44" fontId="10" fillId="0" borderId="11" xfId="4" applyNumberFormat="1" applyFont="1" applyFill="1" applyBorder="1" applyAlignment="1">
      <alignment horizontal="center" vertical="center"/>
    </xf>
    <xf numFmtId="0" fontId="9" fillId="0" borderId="34" xfId="4" applyFont="1" applyFill="1" applyBorder="1" applyAlignment="1">
      <alignment horizontal="center" vertical="center"/>
    </xf>
    <xf numFmtId="44" fontId="10" fillId="0" borderId="16" xfId="4" applyNumberFormat="1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0" fontId="9" fillId="0" borderId="38" xfId="4" applyFont="1" applyFill="1" applyBorder="1" applyAlignment="1">
      <alignment horizontal="center" vertical="center"/>
    </xf>
    <xf numFmtId="0" fontId="6" fillId="0" borderId="57" xfId="4" applyFont="1" applyFill="1" applyBorder="1" applyAlignment="1">
      <alignment vertical="center"/>
    </xf>
    <xf numFmtId="0" fontId="20" fillId="0" borderId="57" xfId="4" applyFont="1" applyFill="1" applyBorder="1" applyAlignment="1">
      <alignment horizontal="left" vertical="center"/>
    </xf>
    <xf numFmtId="0" fontId="20" fillId="0" borderId="57" xfId="4" applyFont="1" applyFill="1" applyBorder="1" applyAlignment="1">
      <alignment vertical="center"/>
    </xf>
    <xf numFmtId="0" fontId="6" fillId="0" borderId="58" xfId="4" applyFont="1" applyFill="1" applyBorder="1" applyAlignment="1">
      <alignment vertical="center"/>
    </xf>
    <xf numFmtId="0" fontId="7" fillId="0" borderId="20" xfId="4" applyFont="1" applyFill="1" applyBorder="1" applyAlignment="1">
      <alignment horizontal="center" vertical="center"/>
    </xf>
    <xf numFmtId="0" fontId="7" fillId="0" borderId="63" xfId="4" applyFont="1" applyFill="1" applyBorder="1" applyAlignment="1">
      <alignment horizontal="center" vertical="center"/>
    </xf>
    <xf numFmtId="44" fontId="9" fillId="0" borderId="16" xfId="5" applyFont="1" applyFill="1" applyBorder="1" applyAlignment="1">
      <alignment horizontal="center" vertical="center"/>
    </xf>
    <xf numFmtId="0" fontId="5" fillId="0" borderId="52" xfId="4" applyFont="1" applyFill="1" applyBorder="1" applyAlignment="1">
      <alignment horizontal="left" vertical="center"/>
    </xf>
    <xf numFmtId="0" fontId="9" fillId="0" borderId="12" xfId="4" applyFont="1" applyFill="1" applyBorder="1" applyAlignment="1">
      <alignment horizontal="center" vertical="center"/>
    </xf>
    <xf numFmtId="44" fontId="9" fillId="0" borderId="12" xfId="5" applyFont="1" applyFill="1" applyBorder="1" applyAlignment="1">
      <alignment horizontal="center" vertical="center"/>
    </xf>
    <xf numFmtId="0" fontId="5" fillId="0" borderId="13" xfId="4" applyFont="1" applyFill="1" applyBorder="1" applyAlignment="1">
      <alignment horizontal="left" vertical="center"/>
    </xf>
    <xf numFmtId="15" fontId="9" fillId="0" borderId="11" xfId="4" applyNumberFormat="1" applyFont="1" applyFill="1" applyBorder="1" applyAlignment="1">
      <alignment horizontal="center" vertical="center"/>
    </xf>
    <xf numFmtId="0" fontId="5" fillId="0" borderId="13" xfId="4" applyFont="1" applyFill="1" applyBorder="1" applyAlignment="1">
      <alignment horizontal="left" vertical="center" wrapText="1"/>
    </xf>
    <xf numFmtId="0" fontId="9" fillId="0" borderId="13" xfId="4" applyFont="1" applyFill="1" applyBorder="1" applyAlignment="1">
      <alignment horizontal="center" vertical="center"/>
    </xf>
    <xf numFmtId="44" fontId="9" fillId="0" borderId="13" xfId="5" applyFont="1" applyFill="1" applyBorder="1" applyAlignment="1">
      <alignment horizontal="center" vertical="center"/>
    </xf>
    <xf numFmtId="44" fontId="10" fillId="0" borderId="13" xfId="5" applyFont="1" applyFill="1" applyBorder="1" applyAlignment="1">
      <alignment horizontal="center" vertical="center"/>
    </xf>
    <xf numFmtId="15" fontId="9" fillId="0" borderId="13" xfId="4" applyNumberFormat="1" applyFont="1" applyFill="1" applyBorder="1" applyAlignment="1">
      <alignment horizontal="center" vertical="center"/>
    </xf>
    <xf numFmtId="15" fontId="9" fillId="0" borderId="54" xfId="4" applyNumberFormat="1" applyFont="1" applyFill="1" applyBorder="1" applyAlignment="1">
      <alignment horizontal="center" vertical="center"/>
    </xf>
    <xf numFmtId="44" fontId="10" fillId="0" borderId="51" xfId="5" applyFont="1" applyFill="1" applyBorder="1" applyAlignment="1">
      <alignment horizontal="center" vertical="center"/>
    </xf>
    <xf numFmtId="0" fontId="9" fillId="0" borderId="27" xfId="4" applyFont="1" applyFill="1" applyBorder="1" applyAlignment="1">
      <alignment horizontal="center" vertical="center"/>
    </xf>
    <xf numFmtId="0" fontId="9" fillId="0" borderId="42" xfId="4" applyFont="1" applyFill="1" applyBorder="1" applyAlignment="1">
      <alignment horizontal="center" vertical="center"/>
    </xf>
    <xf numFmtId="44" fontId="10" fillId="0" borderId="18" xfId="4" applyNumberFormat="1" applyFont="1" applyFill="1" applyBorder="1" applyAlignment="1">
      <alignment horizontal="center" vertical="center"/>
    </xf>
    <xf numFmtId="0" fontId="5" fillId="0" borderId="43" xfId="4" applyFont="1" applyFill="1" applyBorder="1" applyAlignment="1">
      <alignment horizontal="center" vertical="center"/>
    </xf>
    <xf numFmtId="164" fontId="9" fillId="0" borderId="36" xfId="4" applyNumberFormat="1" applyFont="1" applyFill="1" applyBorder="1" applyAlignment="1">
      <alignment horizontal="center" vertical="center"/>
    </xf>
    <xf numFmtId="0" fontId="9" fillId="0" borderId="43" xfId="4" applyFont="1" applyFill="1" applyBorder="1" applyAlignment="1">
      <alignment horizontal="center" vertical="center"/>
    </xf>
    <xf numFmtId="165" fontId="9" fillId="0" borderId="26" xfId="4" applyNumberFormat="1" applyFont="1" applyFill="1" applyBorder="1" applyAlignment="1">
      <alignment horizontal="center" vertical="center"/>
    </xf>
    <xf numFmtId="0" fontId="9" fillId="0" borderId="35" xfId="4" applyFont="1" applyFill="1" applyBorder="1" applyAlignment="1">
      <alignment horizontal="center" vertical="center"/>
    </xf>
    <xf numFmtId="165" fontId="9" fillId="0" borderId="13" xfId="4" applyNumberFormat="1" applyFont="1" applyFill="1" applyBorder="1" applyAlignment="1">
      <alignment horizontal="center" vertical="center"/>
    </xf>
    <xf numFmtId="0" fontId="9" fillId="0" borderId="31" xfId="4" applyFont="1" applyFill="1" applyBorder="1" applyAlignment="1">
      <alignment horizontal="center" vertical="center"/>
    </xf>
    <xf numFmtId="0" fontId="9" fillId="0" borderId="53" xfId="4" applyFont="1" applyFill="1" applyBorder="1" applyAlignment="1">
      <alignment horizontal="center" vertical="center"/>
    </xf>
    <xf numFmtId="0" fontId="9" fillId="0" borderId="11" xfId="4" applyFont="1" applyBorder="1" applyAlignment="1">
      <alignment horizontal="center" vertical="center"/>
    </xf>
    <xf numFmtId="0" fontId="9" fillId="0" borderId="26" xfId="4" applyFont="1" applyBorder="1" applyAlignment="1">
      <alignment horizontal="center" vertical="center"/>
    </xf>
    <xf numFmtId="15" fontId="9" fillId="0" borderId="52" xfId="4" applyNumberFormat="1" applyFont="1" applyFill="1" applyBorder="1" applyAlignment="1">
      <alignment horizontal="center" vertical="center"/>
    </xf>
    <xf numFmtId="0" fontId="5" fillId="0" borderId="53" xfId="4" applyFont="1" applyFill="1" applyBorder="1" applyAlignment="1">
      <alignment horizontal="center" vertical="center"/>
    </xf>
    <xf numFmtId="44" fontId="9" fillId="0" borderId="8" xfId="5" applyFont="1" applyFill="1" applyBorder="1" applyAlignment="1">
      <alignment horizontal="center" vertical="center"/>
    </xf>
    <xf numFmtId="164" fontId="9" fillId="0" borderId="43" xfId="4" applyNumberFormat="1" applyFont="1" applyFill="1" applyBorder="1" applyAlignment="1">
      <alignment horizontal="center" vertical="center"/>
    </xf>
    <xf numFmtId="164" fontId="9" fillId="0" borderId="37" xfId="4" applyNumberFormat="1" applyFont="1" applyFill="1" applyBorder="1" applyAlignment="1">
      <alignment horizontal="center" vertical="center"/>
    </xf>
    <xf numFmtId="0" fontId="9" fillId="0" borderId="26" xfId="4" applyFont="1" applyBorder="1" applyAlignment="1">
      <alignment horizontal="center" vertical="center"/>
    </xf>
    <xf numFmtId="0" fontId="9" fillId="0" borderId="11" xfId="4" applyFont="1" applyBorder="1" applyAlignment="1">
      <alignment horizontal="center" vertical="center"/>
    </xf>
    <xf numFmtId="0" fontId="9" fillId="0" borderId="25" xfId="4" applyFont="1" applyFill="1" applyBorder="1" applyAlignment="1">
      <alignment horizontal="center" vertical="center"/>
    </xf>
    <xf numFmtId="0" fontId="5" fillId="0" borderId="11" xfId="4" applyFont="1" applyFill="1" applyBorder="1" applyAlignment="1">
      <alignment horizontal="left" vertical="center"/>
    </xf>
    <xf numFmtId="0" fontId="9" fillId="0" borderId="26" xfId="4" applyFont="1" applyBorder="1" applyAlignment="1">
      <alignment horizontal="center" vertical="center"/>
    </xf>
    <xf numFmtId="0" fontId="9" fillId="0" borderId="11" xfId="4" applyFont="1" applyBorder="1" applyAlignment="1">
      <alignment horizontal="center" vertical="center"/>
    </xf>
    <xf numFmtId="0" fontId="9" fillId="0" borderId="52" xfId="4" applyFont="1" applyFill="1" applyBorder="1" applyAlignment="1">
      <alignment horizontal="center" vertical="center"/>
    </xf>
    <xf numFmtId="0" fontId="9" fillId="0" borderId="8" xfId="4" applyFont="1" applyFill="1" applyBorder="1" applyAlignment="1">
      <alignment horizontal="center" vertical="center"/>
    </xf>
    <xf numFmtId="0" fontId="5" fillId="0" borderId="12" xfId="4" applyFont="1" applyFill="1" applyBorder="1" applyAlignment="1">
      <alignment horizontal="left" vertical="center"/>
    </xf>
    <xf numFmtId="44" fontId="9" fillId="0" borderId="11" xfId="10" applyFont="1" applyFill="1" applyBorder="1" applyAlignment="1">
      <alignment horizontal="center" vertical="center"/>
    </xf>
    <xf numFmtId="0" fontId="9" fillId="0" borderId="11" xfId="4" applyFont="1" applyBorder="1" applyAlignment="1">
      <alignment horizontal="center" vertical="center"/>
    </xf>
    <xf numFmtId="0" fontId="5" fillId="0" borderId="16" xfId="4" applyFont="1" applyFill="1" applyBorder="1" applyAlignment="1">
      <alignment horizontal="left" vertical="center"/>
    </xf>
    <xf numFmtId="0" fontId="9" fillId="0" borderId="26" xfId="4" applyFont="1" applyBorder="1" applyAlignment="1">
      <alignment horizontal="center" vertical="center"/>
    </xf>
    <xf numFmtId="0" fontId="9" fillId="0" borderId="11" xfId="4" applyFont="1" applyBorder="1" applyAlignment="1">
      <alignment horizontal="center" vertical="center"/>
    </xf>
    <xf numFmtId="0" fontId="9" fillId="0" borderId="8" xfId="4" applyFont="1" applyFill="1" applyBorder="1" applyAlignment="1">
      <alignment horizontal="center" vertical="center"/>
    </xf>
    <xf numFmtId="164" fontId="9" fillId="0" borderId="53" xfId="4" applyNumberFormat="1" applyFont="1" applyFill="1" applyBorder="1" applyAlignment="1">
      <alignment horizontal="center" vertical="center"/>
    </xf>
    <xf numFmtId="15" fontId="9" fillId="0" borderId="8" xfId="4" applyNumberFormat="1" applyFont="1" applyFill="1" applyBorder="1" applyAlignment="1">
      <alignment horizontal="center" vertical="center"/>
    </xf>
    <xf numFmtId="0" fontId="9" fillId="0" borderId="11" xfId="4" applyFont="1" applyBorder="1" applyAlignment="1">
      <alignment horizontal="center" vertical="center"/>
    </xf>
    <xf numFmtId="0" fontId="9" fillId="0" borderId="26" xfId="4" applyFont="1" applyBorder="1" applyAlignment="1">
      <alignment horizontal="center" vertical="center"/>
    </xf>
    <xf numFmtId="0" fontId="9" fillId="0" borderId="11" xfId="4" applyFont="1" applyBorder="1" applyAlignment="1">
      <alignment horizontal="center" vertical="center"/>
    </xf>
    <xf numFmtId="0" fontId="9" fillId="0" borderId="26" xfId="4" applyFont="1" applyBorder="1" applyAlignment="1">
      <alignment horizontal="center" vertical="center"/>
    </xf>
    <xf numFmtId="0" fontId="9" fillId="0" borderId="8" xfId="4" applyFont="1" applyFill="1" applyBorder="1" applyAlignment="1">
      <alignment horizontal="center" vertical="center"/>
    </xf>
    <xf numFmtId="44" fontId="10" fillId="0" borderId="13" xfId="4" applyNumberFormat="1" applyFont="1" applyFill="1" applyBorder="1" applyAlignment="1">
      <alignment horizontal="center" vertical="center"/>
    </xf>
    <xf numFmtId="164" fontId="9" fillId="0" borderId="33" xfId="4" applyNumberFormat="1" applyFont="1" applyFill="1" applyBorder="1" applyAlignment="1">
      <alignment horizontal="center" vertical="center"/>
    </xf>
    <xf numFmtId="0" fontId="9" fillId="0" borderId="11" xfId="4" applyFont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24" xfId="4" applyFont="1" applyBorder="1" applyAlignment="1">
      <alignment horizontal="center" vertical="center"/>
    </xf>
    <xf numFmtId="0" fontId="9" fillId="0" borderId="25" xfId="4" applyFont="1" applyBorder="1" applyAlignment="1">
      <alignment horizontal="center" vertical="center"/>
    </xf>
    <xf numFmtId="0" fontId="9" fillId="0" borderId="14" xfId="4" applyFont="1" applyFill="1" applyBorder="1" applyAlignment="1">
      <alignment horizontal="center" vertical="center"/>
    </xf>
    <xf numFmtId="0" fontId="9" fillId="0" borderId="15" xfId="4" applyFont="1" applyFill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24" xfId="4" applyFont="1" applyBorder="1" applyAlignment="1">
      <alignment horizontal="center" vertical="center"/>
    </xf>
    <xf numFmtId="0" fontId="9" fillId="0" borderId="25" xfId="4" applyFont="1" applyBorder="1" applyAlignment="1">
      <alignment horizontal="center" vertical="center"/>
    </xf>
    <xf numFmtId="0" fontId="9" fillId="0" borderId="14" xfId="4" applyFont="1" applyFill="1" applyBorder="1" applyAlignment="1">
      <alignment horizontal="center" vertical="center"/>
    </xf>
    <xf numFmtId="0" fontId="9" fillId="0" borderId="15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164" fontId="9" fillId="0" borderId="53" xfId="4" applyNumberFormat="1" applyFont="1" applyFill="1" applyBorder="1" applyAlignment="1">
      <alignment horizontal="center" vertical="center"/>
    </xf>
    <xf numFmtId="164" fontId="9" fillId="0" borderId="53" xfId="4" applyNumberFormat="1" applyFont="1" applyFill="1" applyBorder="1" applyAlignment="1">
      <alignment horizontal="center" vertical="center"/>
    </xf>
    <xf numFmtId="0" fontId="9" fillId="0" borderId="60" xfId="4" applyFont="1" applyFill="1" applyBorder="1" applyAlignment="1">
      <alignment horizontal="center" vertical="center"/>
    </xf>
    <xf numFmtId="44" fontId="10" fillId="0" borderId="60" xfId="4" applyNumberFormat="1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17" xfId="4" applyFont="1" applyBorder="1" applyAlignment="1">
      <alignment vertical="center"/>
    </xf>
    <xf numFmtId="0" fontId="9" fillId="0" borderId="25" xfId="4" applyFont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52" xfId="4" applyFont="1" applyFill="1" applyBorder="1" applyAlignment="1">
      <alignment horizontal="center" vertical="center"/>
    </xf>
    <xf numFmtId="0" fontId="9" fillId="0" borderId="66" xfId="4" applyFont="1" applyFill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25" xfId="4" applyFont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25" xfId="4" applyFont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26" xfId="4" applyFont="1" applyBorder="1" applyAlignment="1">
      <alignment horizontal="center" vertical="center"/>
    </xf>
    <xf numFmtId="0" fontId="9" fillId="0" borderId="11" xfId="4" applyFont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43" fontId="21" fillId="2" borderId="3" xfId="8" applyFont="1" applyFill="1" applyBorder="1"/>
    <xf numFmtId="44" fontId="10" fillId="0" borderId="74" xfId="5" applyFont="1" applyBorder="1" applyAlignment="1">
      <alignment horizontal="center" vertical="center"/>
    </xf>
    <xf numFmtId="0" fontId="9" fillId="0" borderId="74" xfId="4" applyFont="1" applyBorder="1" applyAlignment="1">
      <alignment horizontal="center" vertical="center"/>
    </xf>
    <xf numFmtId="0" fontId="9" fillId="0" borderId="75" xfId="4" applyFont="1" applyBorder="1" applyAlignment="1">
      <alignment horizontal="center" vertical="center"/>
    </xf>
    <xf numFmtId="165" fontId="9" fillId="0" borderId="76" xfId="4" applyNumberFormat="1" applyFont="1" applyBorder="1" applyAlignment="1">
      <alignment horizontal="center" vertical="center"/>
    </xf>
    <xf numFmtId="165" fontId="9" fillId="0" borderId="3" xfId="4" applyNumberFormat="1" applyFont="1" applyBorder="1" applyAlignment="1">
      <alignment horizontal="center" vertical="center"/>
    </xf>
    <xf numFmtId="44" fontId="10" fillId="0" borderId="3" xfId="4" applyNumberFormat="1" applyFont="1" applyBorder="1" applyAlignment="1">
      <alignment horizontal="center" vertical="center"/>
    </xf>
    <xf numFmtId="0" fontId="9" fillId="0" borderId="4" xfId="4" applyFont="1" applyBorder="1" applyAlignment="1">
      <alignment horizontal="center" vertical="center"/>
    </xf>
    <xf numFmtId="164" fontId="9" fillId="0" borderId="76" xfId="4" applyNumberFormat="1" applyFont="1" applyBorder="1" applyAlignment="1">
      <alignment horizontal="center" vertical="center"/>
    </xf>
    <xf numFmtId="0" fontId="9" fillId="0" borderId="76" xfId="4" applyFont="1" applyBorder="1" applyAlignment="1">
      <alignment horizontal="center" vertical="center"/>
    </xf>
    <xf numFmtId="0" fontId="15" fillId="0" borderId="71" xfId="4" applyFont="1" applyBorder="1" applyAlignment="1">
      <alignment horizontal="center" vertical="center"/>
    </xf>
    <xf numFmtId="0" fontId="6" fillId="0" borderId="71" xfId="4" applyFont="1" applyBorder="1" applyAlignment="1">
      <alignment horizontal="center" vertical="center"/>
    </xf>
    <xf numFmtId="0" fontId="6" fillId="0" borderId="72" xfId="4" applyFont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8" xfId="4" applyFont="1" applyFill="1" applyBorder="1" applyAlignment="1">
      <alignment horizontal="center" vertical="center"/>
    </xf>
    <xf numFmtId="164" fontId="9" fillId="0" borderId="53" xfId="4" applyNumberFormat="1" applyFont="1" applyFill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0" fontId="9" fillId="0" borderId="78" xfId="4" applyFont="1" applyFill="1" applyBorder="1" applyAlignment="1">
      <alignment horizontal="center" vertical="center"/>
    </xf>
    <xf numFmtId="0" fontId="9" fillId="0" borderId="55" xfId="4" applyFont="1" applyFill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164" fontId="9" fillId="0" borderId="53" xfId="4" applyNumberFormat="1" applyFont="1" applyFill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0" fontId="9" fillId="0" borderId="11" xfId="4" applyFont="1" applyBorder="1" applyAlignment="1">
      <alignment horizontal="center" vertical="center"/>
    </xf>
    <xf numFmtId="164" fontId="9" fillId="0" borderId="53" xfId="4" applyNumberFormat="1" applyFont="1" applyFill="1" applyBorder="1" applyAlignment="1">
      <alignment horizontal="center" vertical="center"/>
    </xf>
    <xf numFmtId="0" fontId="9" fillId="0" borderId="11" xfId="4" applyFont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52" xfId="4" applyFont="1" applyFill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0" fontId="9" fillId="0" borderId="11" xfId="4" applyFont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52" xfId="4" applyFont="1" applyFill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0" fontId="9" fillId="0" borderId="11" xfId="4" applyFont="1" applyBorder="1" applyAlignment="1">
      <alignment horizontal="center" vertical="center"/>
    </xf>
    <xf numFmtId="0" fontId="9" fillId="0" borderId="26" xfId="4" applyFont="1" applyBorder="1" applyAlignment="1">
      <alignment horizontal="center" vertical="center"/>
    </xf>
    <xf numFmtId="0" fontId="9" fillId="0" borderId="49" xfId="4" applyFont="1" applyFill="1" applyBorder="1" applyAlignment="1">
      <alignment horizontal="center" vertical="center"/>
    </xf>
    <xf numFmtId="0" fontId="9" fillId="0" borderId="50" xfId="4" applyFont="1" applyFill="1" applyBorder="1" applyAlignment="1">
      <alignment horizontal="center" vertical="center"/>
    </xf>
    <xf numFmtId="0" fontId="9" fillId="0" borderId="11" xfId="4" applyFont="1" applyBorder="1" applyAlignment="1">
      <alignment horizontal="center" vertical="center"/>
    </xf>
    <xf numFmtId="164" fontId="9" fillId="0" borderId="53" xfId="4" applyNumberFormat="1" applyFont="1" applyFill="1" applyBorder="1" applyAlignment="1">
      <alignment horizontal="center" vertical="center"/>
    </xf>
    <xf numFmtId="0" fontId="9" fillId="0" borderId="52" xfId="4" applyFont="1" applyFill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165" fontId="7" fillId="0" borderId="8" xfId="4" applyNumberFormat="1" applyFont="1" applyFill="1" applyBorder="1" applyAlignment="1">
      <alignment horizontal="center" vertical="center"/>
    </xf>
    <xf numFmtId="44" fontId="10" fillId="0" borderId="52" xfId="5" applyFont="1" applyBorder="1" applyAlignment="1">
      <alignment horizontal="center" vertical="center"/>
    </xf>
    <xf numFmtId="0" fontId="15" fillId="0" borderId="81" xfId="4" applyFont="1" applyBorder="1" applyAlignment="1">
      <alignment horizontal="center" vertical="center"/>
    </xf>
    <xf numFmtId="44" fontId="10" fillId="0" borderId="8" xfId="5" applyFont="1" applyBorder="1" applyAlignment="1">
      <alignment horizontal="center" vertical="center"/>
    </xf>
    <xf numFmtId="165" fontId="9" fillId="0" borderId="74" xfId="4" applyNumberFormat="1" applyFont="1" applyBorder="1" applyAlignment="1">
      <alignment horizontal="center" vertical="center"/>
    </xf>
    <xf numFmtId="165" fontId="6" fillId="0" borderId="71" xfId="4" applyNumberFormat="1" applyFont="1" applyBorder="1" applyAlignment="1">
      <alignment horizontal="center" vertical="center"/>
    </xf>
    <xf numFmtId="165" fontId="9" fillId="0" borderId="0" xfId="4" applyNumberFormat="1" applyFont="1" applyAlignment="1">
      <alignment horizontal="center" vertical="center"/>
    </xf>
    <xf numFmtId="165" fontId="17" fillId="0" borderId="0" xfId="0" applyNumberFormat="1" applyFont="1"/>
    <xf numFmtId="165" fontId="18" fillId="0" borderId="0" xfId="0" applyNumberFormat="1" applyFont="1"/>
    <xf numFmtId="165" fontId="9" fillId="0" borderId="0" xfId="4" applyNumberFormat="1" applyFont="1"/>
    <xf numFmtId="165" fontId="5" fillId="0" borderId="0" xfId="4" applyNumberFormat="1" applyFont="1"/>
    <xf numFmtId="165" fontId="9" fillId="0" borderId="49" xfId="4" applyNumberFormat="1" applyFont="1" applyFill="1" applyBorder="1" applyAlignment="1">
      <alignment vertical="center"/>
    </xf>
    <xf numFmtId="165" fontId="9" fillId="0" borderId="50" xfId="4" applyNumberFormat="1" applyFont="1" applyFill="1" applyBorder="1" applyAlignment="1">
      <alignment vertical="center"/>
    </xf>
    <xf numFmtId="166" fontId="9" fillId="0" borderId="8" xfId="4" applyNumberFormat="1" applyFont="1" applyFill="1" applyBorder="1" applyAlignment="1">
      <alignment horizontal="center" vertical="center"/>
    </xf>
    <xf numFmtId="0" fontId="5" fillId="0" borderId="70" xfId="4" applyFont="1" applyFill="1" applyBorder="1" applyAlignment="1">
      <alignment vertical="center"/>
    </xf>
    <xf numFmtId="0" fontId="5" fillId="0" borderId="0" xfId="4" applyFont="1" applyFill="1" applyAlignment="1">
      <alignment vertical="center"/>
    </xf>
    <xf numFmtId="0" fontId="5" fillId="0" borderId="0" xfId="4" applyFont="1" applyFill="1" applyAlignment="1"/>
    <xf numFmtId="0" fontId="5" fillId="0" borderId="0" xfId="7" applyFont="1" applyAlignment="1">
      <alignment horizontal="center"/>
    </xf>
    <xf numFmtId="0" fontId="17" fillId="0" borderId="0" xfId="0" applyFont="1" applyAlignment="1">
      <alignment horizontal="center"/>
    </xf>
    <xf numFmtId="0" fontId="5" fillId="0" borderId="0" xfId="7" applyFont="1" applyFill="1"/>
    <xf numFmtId="0" fontId="26" fillId="0" borderId="0" xfId="0" applyFont="1" applyAlignment="1"/>
    <xf numFmtId="0" fontId="20" fillId="0" borderId="0" xfId="7" applyFont="1" applyFill="1" applyAlignment="1">
      <alignment horizontal="center"/>
    </xf>
    <xf numFmtId="43" fontId="20" fillId="0" borderId="82" xfId="8" applyFont="1" applyFill="1" applyBorder="1"/>
    <xf numFmtId="43" fontId="20" fillId="2" borderId="83" xfId="8" applyFont="1" applyFill="1" applyBorder="1"/>
    <xf numFmtId="43" fontId="20" fillId="0" borderId="83" xfId="8" applyFont="1" applyBorder="1"/>
    <xf numFmtId="43" fontId="20" fillId="0" borderId="83" xfId="8" applyFont="1" applyBorder="1" applyAlignment="1"/>
    <xf numFmtId="0" fontId="5" fillId="0" borderId="83" xfId="7" applyFont="1" applyBorder="1"/>
    <xf numFmtId="49" fontId="5" fillId="0" borderId="85" xfId="7" applyNumberFormat="1" applyFont="1" applyFill="1" applyBorder="1"/>
    <xf numFmtId="43" fontId="23" fillId="2" borderId="86" xfId="8" applyFont="1" applyFill="1" applyBorder="1"/>
    <xf numFmtId="43" fontId="28" fillId="0" borderId="86" xfId="8" applyFont="1" applyBorder="1"/>
    <xf numFmtId="43" fontId="5" fillId="0" borderId="86" xfId="8" applyFont="1" applyFill="1" applyBorder="1"/>
    <xf numFmtId="0" fontId="5" fillId="0" borderId="86" xfId="7" applyFont="1" applyFill="1" applyBorder="1" applyAlignment="1"/>
    <xf numFmtId="0" fontId="5" fillId="0" borderId="86" xfId="7" applyFont="1" applyFill="1" applyBorder="1"/>
    <xf numFmtId="49" fontId="22" fillId="0" borderId="86" xfId="7" applyNumberFormat="1" applyFont="1" applyBorder="1"/>
    <xf numFmtId="0" fontId="5" fillId="0" borderId="87" xfId="7" applyFont="1" applyBorder="1" applyAlignment="1">
      <alignment horizontal="center"/>
    </xf>
    <xf numFmtId="49" fontId="5" fillId="0" borderId="4" xfId="7" applyNumberFormat="1" applyFont="1" applyFill="1" applyBorder="1"/>
    <xf numFmtId="43" fontId="5" fillId="0" borderId="3" xfId="8" applyFont="1" applyFill="1" applyBorder="1"/>
    <xf numFmtId="43" fontId="5" fillId="0" borderId="3" xfId="1" applyFont="1" applyFill="1" applyBorder="1" applyAlignment="1"/>
    <xf numFmtId="0" fontId="5" fillId="0" borderId="3" xfId="7" applyFont="1" applyFill="1" applyBorder="1"/>
    <xf numFmtId="49" fontId="5" fillId="0" borderId="3" xfId="7" applyNumberFormat="1" applyFont="1" applyFill="1" applyBorder="1"/>
    <xf numFmtId="43" fontId="5" fillId="3" borderId="3" xfId="8" applyFont="1" applyFill="1" applyBorder="1"/>
    <xf numFmtId="0" fontId="5" fillId="3" borderId="3" xfId="7" applyFont="1" applyFill="1" applyBorder="1" applyAlignment="1"/>
    <xf numFmtId="0" fontId="5" fillId="3" borderId="3" xfId="7" applyFont="1" applyFill="1" applyBorder="1"/>
    <xf numFmtId="49" fontId="5" fillId="3" borderId="3" xfId="7" applyNumberFormat="1" applyFont="1" applyFill="1" applyBorder="1"/>
    <xf numFmtId="43" fontId="22" fillId="0" borderId="3" xfId="8" applyFont="1" applyBorder="1"/>
    <xf numFmtId="0" fontId="22" fillId="0" borderId="3" xfId="7" applyFont="1" applyBorder="1" applyAlignment="1"/>
    <xf numFmtId="0" fontId="22" fillId="0" borderId="3" xfId="7" applyFont="1" applyBorder="1"/>
    <xf numFmtId="49" fontId="29" fillId="0" borderId="3" xfId="7" applyNumberFormat="1" applyFont="1" applyBorder="1"/>
    <xf numFmtId="43" fontId="23" fillId="2" borderId="3" xfId="8" applyFont="1" applyFill="1" applyBorder="1"/>
    <xf numFmtId="49" fontId="22" fillId="0" borderId="3" xfId="7" applyNumberFormat="1" applyFont="1" applyBorder="1"/>
    <xf numFmtId="0" fontId="5" fillId="0" borderId="4" xfId="7" applyFont="1" applyFill="1" applyBorder="1" applyAlignment="1">
      <alignment horizontal="center" vertical="center"/>
    </xf>
    <xf numFmtId="44" fontId="5" fillId="0" borderId="3" xfId="7" applyNumberFormat="1" applyFont="1" applyBorder="1" applyAlignment="1"/>
    <xf numFmtId="44" fontId="5" fillId="0" borderId="3" xfId="7" applyNumberFormat="1" applyFont="1" applyBorder="1"/>
    <xf numFmtId="49" fontId="5" fillId="3" borderId="3" xfId="1" applyNumberFormat="1" applyFont="1" applyFill="1" applyBorder="1"/>
    <xf numFmtId="0" fontId="5" fillId="0" borderId="2" xfId="7" applyFont="1" applyBorder="1" applyAlignment="1">
      <alignment horizontal="center" vertical="center"/>
    </xf>
    <xf numFmtId="43" fontId="5" fillId="0" borderId="3" xfId="1" applyFont="1" applyBorder="1" applyAlignment="1"/>
    <xf numFmtId="0" fontId="5" fillId="0" borderId="3" xfId="7" applyFont="1" applyBorder="1" applyAlignment="1"/>
    <xf numFmtId="43" fontId="5" fillId="0" borderId="3" xfId="1" applyFont="1" applyBorder="1"/>
    <xf numFmtId="0" fontId="5" fillId="2" borderId="3" xfId="7" applyFont="1" applyFill="1" applyBorder="1" applyAlignment="1"/>
    <xf numFmtId="43" fontId="5" fillId="2" borderId="3" xfId="1" applyFont="1" applyFill="1" applyBorder="1"/>
    <xf numFmtId="49" fontId="5" fillId="2" borderId="3" xfId="7" applyNumberFormat="1" applyFont="1" applyFill="1" applyBorder="1"/>
    <xf numFmtId="0" fontId="20" fillId="0" borderId="7" xfId="7" applyFont="1" applyFill="1" applyBorder="1" applyAlignment="1">
      <alignment horizontal="center" vertical="center"/>
    </xf>
    <xf numFmtId="0" fontId="20" fillId="0" borderId="6" xfId="7" applyFont="1" applyBorder="1" applyAlignment="1">
      <alignment vertical="center"/>
    </xf>
    <xf numFmtId="0" fontId="19" fillId="0" borderId="0" xfId="7" applyFont="1" applyFill="1" applyBorder="1" applyAlignment="1">
      <alignment horizontal="center"/>
    </xf>
    <xf numFmtId="0" fontId="19" fillId="0" borderId="59" xfId="7" applyFont="1" applyBorder="1" applyAlignment="1"/>
    <xf numFmtId="0" fontId="9" fillId="0" borderId="52" xfId="4" applyFont="1" applyFill="1" applyBorder="1" applyAlignment="1">
      <alignment vertical="center"/>
    </xf>
    <xf numFmtId="0" fontId="9" fillId="0" borderId="8" xfId="4" applyFont="1" applyFill="1" applyBorder="1" applyAlignment="1">
      <alignment vertical="center"/>
    </xf>
    <xf numFmtId="0" fontId="9" fillId="0" borderId="66" xfId="4" applyFont="1" applyFill="1" applyBorder="1" applyAlignment="1">
      <alignment vertical="center"/>
    </xf>
    <xf numFmtId="0" fontId="5" fillId="0" borderId="0" xfId="11" applyFont="1"/>
    <xf numFmtId="0" fontId="5" fillId="0" borderId="0" xfId="11" applyNumberFormat="1" applyFont="1"/>
    <xf numFmtId="0" fontId="9" fillId="0" borderId="0" xfId="11" applyFont="1"/>
    <xf numFmtId="0" fontId="9" fillId="0" borderId="0" xfId="11" applyNumberFormat="1" applyFont="1"/>
    <xf numFmtId="0" fontId="9" fillId="0" borderId="0" xfId="11" applyFont="1" applyAlignment="1">
      <alignment horizontal="center" vertical="center"/>
    </xf>
    <xf numFmtId="0" fontId="8" fillId="0" borderId="0" xfId="11" applyFont="1" applyAlignment="1">
      <alignment horizontal="center" vertical="center"/>
    </xf>
    <xf numFmtId="0" fontId="9" fillId="0" borderId="0" xfId="11" applyNumberFormat="1" applyFont="1" applyAlignment="1">
      <alignment horizontal="center" vertical="center"/>
    </xf>
    <xf numFmtId="0" fontId="6" fillId="0" borderId="0" xfId="11" applyFont="1" applyAlignment="1">
      <alignment horizontal="center" vertical="center"/>
    </xf>
    <xf numFmtId="0" fontId="6" fillId="0" borderId="72" xfId="11" applyFont="1" applyBorder="1" applyAlignment="1">
      <alignment horizontal="center" vertical="center"/>
    </xf>
    <xf numFmtId="0" fontId="6" fillId="0" borderId="71" xfId="11" applyFont="1" applyBorder="1" applyAlignment="1">
      <alignment horizontal="center" vertical="center"/>
    </xf>
    <xf numFmtId="0" fontId="15" fillId="0" borderId="71" xfId="11" applyFont="1" applyBorder="1" applyAlignment="1">
      <alignment horizontal="center" vertical="center"/>
    </xf>
    <xf numFmtId="0" fontId="9" fillId="0" borderId="4" xfId="11" applyFont="1" applyBorder="1" applyAlignment="1">
      <alignment horizontal="center" vertical="center"/>
    </xf>
    <xf numFmtId="0" fontId="9" fillId="0" borderId="3" xfId="11" applyFont="1" applyBorder="1" applyAlignment="1">
      <alignment horizontal="center" vertical="center"/>
    </xf>
    <xf numFmtId="44" fontId="10" fillId="0" borderId="3" xfId="11" applyNumberFormat="1" applyFont="1" applyBorder="1" applyAlignment="1">
      <alignment horizontal="center" vertical="center"/>
    </xf>
    <xf numFmtId="165" fontId="9" fillId="0" borderId="3" xfId="11" applyNumberFormat="1" applyFont="1" applyBorder="1" applyAlignment="1">
      <alignment horizontal="center" vertical="center"/>
    </xf>
    <xf numFmtId="164" fontId="9" fillId="0" borderId="76" xfId="11" applyNumberFormat="1" applyFont="1" applyBorder="1" applyAlignment="1">
      <alignment horizontal="center" vertical="center"/>
    </xf>
    <xf numFmtId="0" fontId="9" fillId="0" borderId="76" xfId="11" applyFont="1" applyBorder="1" applyAlignment="1">
      <alignment horizontal="center" vertical="center"/>
    </xf>
    <xf numFmtId="165" fontId="9" fillId="0" borderId="76" xfId="11" applyNumberFormat="1" applyFont="1" applyBorder="1" applyAlignment="1">
      <alignment horizontal="center" vertical="center"/>
    </xf>
    <xf numFmtId="0" fontId="9" fillId="0" borderId="75" xfId="11" applyFont="1" applyBorder="1" applyAlignment="1">
      <alignment horizontal="center" vertical="center"/>
    </xf>
    <xf numFmtId="0" fontId="9" fillId="0" borderId="74" xfId="11" applyFont="1" applyBorder="1" applyAlignment="1">
      <alignment horizontal="center" vertical="center"/>
    </xf>
    <xf numFmtId="44" fontId="10" fillId="0" borderId="74" xfId="9" applyFont="1" applyBorder="1" applyAlignment="1">
      <alignment horizontal="center" vertical="center"/>
    </xf>
    <xf numFmtId="0" fontId="5" fillId="0" borderId="0" xfId="11" applyFont="1" applyFill="1"/>
    <xf numFmtId="0" fontId="7" fillId="0" borderId="20" xfId="11" applyFont="1" applyFill="1" applyBorder="1" applyAlignment="1">
      <alignment horizontal="center" vertical="center"/>
    </xf>
    <xf numFmtId="0" fontId="7" fillId="0" borderId="63" xfId="11" applyFont="1" applyFill="1" applyBorder="1" applyAlignment="1">
      <alignment horizontal="center" vertical="center"/>
    </xf>
    <xf numFmtId="0" fontId="6" fillId="0" borderId="58" xfId="11" applyFont="1" applyFill="1" applyBorder="1" applyAlignment="1">
      <alignment vertical="center"/>
    </xf>
    <xf numFmtId="0" fontId="20" fillId="0" borderId="57" xfId="11" applyFont="1" applyFill="1" applyBorder="1" applyAlignment="1">
      <alignment vertical="center"/>
    </xf>
    <xf numFmtId="0" fontId="20" fillId="0" borderId="57" xfId="11" applyFont="1" applyFill="1" applyBorder="1" applyAlignment="1">
      <alignment horizontal="left" vertical="center"/>
    </xf>
    <xf numFmtId="0" fontId="6" fillId="0" borderId="57" xfId="11" applyFont="1" applyFill="1" applyBorder="1" applyAlignment="1">
      <alignment vertical="center"/>
    </xf>
    <xf numFmtId="0" fontId="9" fillId="0" borderId="0" xfId="11" applyFont="1" applyFill="1" applyAlignment="1">
      <alignment horizontal="center" vertical="center"/>
    </xf>
    <xf numFmtId="0" fontId="9" fillId="0" borderId="38" xfId="11" applyFont="1" applyFill="1" applyBorder="1" applyAlignment="1">
      <alignment horizontal="center" vertical="center"/>
    </xf>
    <xf numFmtId="0" fontId="9" fillId="0" borderId="16" xfId="11" applyFont="1" applyFill="1" applyBorder="1" applyAlignment="1">
      <alignment horizontal="center" vertical="center"/>
    </xf>
    <xf numFmtId="44" fontId="10" fillId="0" borderId="16" xfId="11" applyNumberFormat="1" applyFont="1" applyFill="1" applyBorder="1" applyAlignment="1">
      <alignment horizontal="center" vertical="center"/>
    </xf>
    <xf numFmtId="0" fontId="9" fillId="0" borderId="34" xfId="11" applyFont="1" applyFill="1" applyBorder="1" applyAlignment="1">
      <alignment horizontal="center" vertical="center"/>
    </xf>
    <xf numFmtId="0" fontId="9" fillId="0" borderId="11" xfId="11" applyFont="1" applyFill="1" applyBorder="1" applyAlignment="1">
      <alignment horizontal="center" vertical="center"/>
    </xf>
    <xf numFmtId="44" fontId="10" fillId="0" borderId="26" xfId="9" applyFont="1" applyFill="1" applyBorder="1" applyAlignment="1">
      <alignment horizontal="center" vertical="center"/>
    </xf>
    <xf numFmtId="44" fontId="9" fillId="0" borderId="12" xfId="9" applyFont="1" applyFill="1" applyBorder="1" applyAlignment="1">
      <alignment horizontal="center" vertical="center"/>
    </xf>
    <xf numFmtId="0" fontId="9" fillId="0" borderId="12" xfId="11" applyFont="1" applyFill="1" applyBorder="1" applyAlignment="1">
      <alignment horizontal="center" vertical="center"/>
    </xf>
    <xf numFmtId="15" fontId="9" fillId="0" borderId="54" xfId="11" applyNumberFormat="1" applyFont="1" applyFill="1" applyBorder="1" applyAlignment="1">
      <alignment horizontal="center" vertical="center"/>
    </xf>
    <xf numFmtId="165" fontId="9" fillId="0" borderId="13" xfId="11" applyNumberFormat="1" applyFont="1" applyFill="1" applyBorder="1" applyAlignment="1">
      <alignment horizontal="center" vertical="center"/>
    </xf>
    <xf numFmtId="0" fontId="9" fillId="0" borderId="13" xfId="11" applyFont="1" applyFill="1" applyBorder="1" applyAlignment="1">
      <alignment horizontal="center" vertical="center"/>
    </xf>
    <xf numFmtId="44" fontId="9" fillId="0" borderId="26" xfId="9" applyFont="1" applyFill="1" applyBorder="1" applyAlignment="1">
      <alignment horizontal="center" vertical="center"/>
    </xf>
    <xf numFmtId="0" fontId="5" fillId="0" borderId="13" xfId="11" applyFont="1" applyFill="1" applyBorder="1" applyAlignment="1">
      <alignment horizontal="left" vertical="center"/>
    </xf>
    <xf numFmtId="0" fontId="9" fillId="0" borderId="35" xfId="11" applyFont="1" applyFill="1" applyBorder="1" applyAlignment="1">
      <alignment horizontal="center" vertical="center"/>
    </xf>
    <xf numFmtId="0" fontId="9" fillId="0" borderId="55" xfId="11" applyFont="1" applyFill="1" applyBorder="1" applyAlignment="1">
      <alignment horizontal="center" vertical="center"/>
    </xf>
    <xf numFmtId="0" fontId="9" fillId="0" borderId="78" xfId="11" applyFont="1" applyFill="1" applyBorder="1" applyAlignment="1">
      <alignment horizontal="center" vertical="center"/>
    </xf>
    <xf numFmtId="15" fontId="9" fillId="0" borderId="44" xfId="11" applyNumberFormat="1" applyFont="1" applyFill="1" applyBorder="1" applyAlignment="1">
      <alignment horizontal="center" vertical="center"/>
    </xf>
    <xf numFmtId="165" fontId="9" fillId="0" borderId="26" xfId="11" applyNumberFormat="1" applyFont="1" applyFill="1" applyBorder="1" applyAlignment="1">
      <alignment horizontal="center" vertical="center"/>
    </xf>
    <xf numFmtId="0" fontId="9" fillId="0" borderId="26" xfId="11" applyFont="1" applyFill="1" applyBorder="1" applyAlignment="1">
      <alignment horizontal="center" vertical="center"/>
    </xf>
    <xf numFmtId="0" fontId="9" fillId="0" borderId="43" xfId="11" applyFont="1" applyFill="1" applyBorder="1" applyAlignment="1">
      <alignment horizontal="center" vertical="center"/>
    </xf>
    <xf numFmtId="0" fontId="7" fillId="0" borderId="32" xfId="11" applyFont="1" applyFill="1" applyBorder="1" applyAlignment="1">
      <alignment horizontal="center" vertical="center"/>
    </xf>
    <xf numFmtId="0" fontId="7" fillId="0" borderId="8" xfId="11" applyFont="1" applyFill="1" applyBorder="1" applyAlignment="1">
      <alignment horizontal="center" vertical="center"/>
    </xf>
    <xf numFmtId="0" fontId="7" fillId="0" borderId="8" xfId="11" applyFont="1" applyFill="1" applyBorder="1" applyAlignment="1">
      <alignment vertical="center"/>
    </xf>
    <xf numFmtId="0" fontId="7" fillId="0" borderId="31" xfId="11" applyNumberFormat="1" applyFont="1" applyFill="1" applyBorder="1" applyAlignment="1">
      <alignment horizontal="center" vertical="center"/>
    </xf>
    <xf numFmtId="0" fontId="9" fillId="0" borderId="52" xfId="11" applyFont="1" applyFill="1" applyBorder="1" applyAlignment="1">
      <alignment vertical="center"/>
    </xf>
    <xf numFmtId="0" fontId="9" fillId="0" borderId="8" xfId="11" applyFont="1" applyFill="1" applyBorder="1" applyAlignment="1">
      <alignment vertical="center"/>
    </xf>
    <xf numFmtId="0" fontId="9" fillId="0" borderId="66" xfId="11" applyFont="1" applyFill="1" applyBorder="1" applyAlignment="1">
      <alignment vertical="center"/>
    </xf>
    <xf numFmtId="0" fontId="0" fillId="0" borderId="8" xfId="0" applyBorder="1" applyAlignment="1"/>
    <xf numFmtId="0" fontId="0" fillId="0" borderId="66" xfId="0" applyBorder="1" applyAlignment="1"/>
    <xf numFmtId="12" fontId="9" fillId="0" borderId="12" xfId="5" applyNumberFormat="1" applyFont="1" applyFill="1" applyBorder="1" applyAlignment="1">
      <alignment horizontal="center" vertical="center"/>
    </xf>
    <xf numFmtId="0" fontId="9" fillId="0" borderId="49" xfId="4" applyFont="1" applyFill="1" applyBorder="1" applyAlignment="1">
      <alignment horizontal="center" vertical="center"/>
    </xf>
    <xf numFmtId="0" fontId="9" fillId="0" borderId="50" xfId="4" applyFont="1" applyFill="1" applyBorder="1" applyAlignment="1">
      <alignment horizontal="center" vertical="center"/>
    </xf>
    <xf numFmtId="0" fontId="9" fillId="0" borderId="26" xfId="4" applyFont="1" applyBorder="1" applyAlignment="1">
      <alignment horizontal="center" vertical="center"/>
    </xf>
    <xf numFmtId="0" fontId="9" fillId="0" borderId="11" xfId="4" applyFont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164" fontId="30" fillId="0" borderId="43" xfId="4" applyNumberFormat="1" applyFont="1" applyBorder="1" applyAlignment="1">
      <alignment horizontal="center" vertical="center"/>
    </xf>
    <xf numFmtId="165" fontId="30" fillId="0" borderId="26" xfId="4" applyNumberFormat="1" applyFont="1" applyBorder="1" applyAlignment="1">
      <alignment horizontal="center" vertical="center"/>
    </xf>
    <xf numFmtId="0" fontId="32" fillId="0" borderId="0" xfId="0" applyFont="1"/>
    <xf numFmtId="0" fontId="32" fillId="0" borderId="0" xfId="0" applyFont="1" applyAlignment="1">
      <alignment horizontal="center"/>
    </xf>
    <xf numFmtId="0" fontId="32" fillId="0" borderId="0" xfId="0" applyFont="1" applyAlignment="1">
      <alignment horizontal="left"/>
    </xf>
    <xf numFmtId="0" fontId="33" fillId="0" borderId="5" xfId="7" applyFont="1" applyBorder="1" applyAlignment="1">
      <alignment horizontal="center" vertical="center"/>
    </xf>
    <xf numFmtId="0" fontId="33" fillId="0" borderId="6" xfId="7" applyFont="1" applyBorder="1" applyAlignment="1">
      <alignment horizontal="left" vertical="center"/>
    </xf>
    <xf numFmtId="0" fontId="33" fillId="0" borderId="6" xfId="7" applyFont="1" applyBorder="1" applyAlignment="1">
      <alignment horizontal="center" vertical="center"/>
    </xf>
    <xf numFmtId="0" fontId="33" fillId="0" borderId="6" xfId="7" applyFont="1" applyBorder="1" applyAlignment="1">
      <alignment vertical="center"/>
    </xf>
    <xf numFmtId="0" fontId="33" fillId="0" borderId="7" xfId="7" applyFont="1" applyFill="1" applyBorder="1" applyAlignment="1">
      <alignment horizontal="center" vertical="center"/>
    </xf>
    <xf numFmtId="0" fontId="33" fillId="0" borderId="88" xfId="7" applyFont="1" applyBorder="1" applyAlignment="1">
      <alignment horizontal="center" vertical="center"/>
    </xf>
    <xf numFmtId="0" fontId="33" fillId="5" borderId="89" xfId="7" applyFont="1" applyFill="1" applyBorder="1" applyAlignment="1">
      <alignment horizontal="center" vertical="center"/>
    </xf>
    <xf numFmtId="0" fontId="33" fillId="0" borderId="89" xfId="7" applyFont="1" applyBorder="1" applyAlignment="1">
      <alignment horizontal="center" vertical="center"/>
    </xf>
    <xf numFmtId="0" fontId="33" fillId="0" borderId="89" xfId="7" applyFont="1" applyBorder="1" applyAlignment="1">
      <alignment vertical="center"/>
    </xf>
    <xf numFmtId="0" fontId="33" fillId="0" borderId="90" xfId="7" applyFont="1" applyFill="1" applyBorder="1" applyAlignment="1">
      <alignment horizontal="center" vertical="center"/>
    </xf>
    <xf numFmtId="0" fontId="32" fillId="0" borderId="94" xfId="0" applyFont="1" applyBorder="1"/>
    <xf numFmtId="44" fontId="32" fillId="0" borderId="94" xfId="0" applyNumberFormat="1" applyFont="1" applyBorder="1"/>
    <xf numFmtId="0" fontId="32" fillId="0" borderId="95" xfId="0" applyFont="1" applyBorder="1"/>
    <xf numFmtId="0" fontId="32" fillId="0" borderId="76" xfId="0" applyFont="1" applyBorder="1" applyAlignment="1">
      <alignment horizontal="center"/>
    </xf>
    <xf numFmtId="0" fontId="32" fillId="0" borderId="3" xfId="0" applyFont="1" applyBorder="1"/>
    <xf numFmtId="44" fontId="32" fillId="0" borderId="3" xfId="0" applyNumberFormat="1" applyFont="1" applyBorder="1"/>
    <xf numFmtId="0" fontId="32" fillId="0" borderId="96" xfId="0" applyFont="1" applyBorder="1"/>
    <xf numFmtId="0" fontId="31" fillId="0" borderId="3" xfId="4" applyFont="1" applyFill="1" applyBorder="1" applyAlignment="1">
      <alignment vertical="center"/>
    </xf>
    <xf numFmtId="44" fontId="35" fillId="0" borderId="3" xfId="0" applyNumberFormat="1" applyFont="1" applyBorder="1"/>
    <xf numFmtId="0" fontId="32" fillId="4" borderId="76" xfId="0" applyFont="1" applyFill="1" applyBorder="1" applyAlignment="1">
      <alignment horizontal="center"/>
    </xf>
    <xf numFmtId="0" fontId="33" fillId="4" borderId="3" xfId="4" applyFont="1" applyFill="1" applyBorder="1" applyAlignment="1">
      <alignment horizontal="left" vertical="center"/>
    </xf>
    <xf numFmtId="0" fontId="32" fillId="4" borderId="3" xfId="0" applyFont="1" applyFill="1" applyBorder="1"/>
    <xf numFmtId="44" fontId="36" fillId="4" borderId="3" xfId="0" applyNumberFormat="1" applyFont="1" applyFill="1" applyBorder="1"/>
    <xf numFmtId="0" fontId="32" fillId="4" borderId="96" xfId="0" applyFont="1" applyFill="1" applyBorder="1"/>
    <xf numFmtId="0" fontId="33" fillId="5" borderId="3" xfId="4" applyFont="1" applyFill="1" applyBorder="1" applyAlignment="1">
      <alignment horizontal="center" vertical="center"/>
    </xf>
    <xf numFmtId="44" fontId="37" fillId="4" borderId="3" xfId="0" applyNumberFormat="1" applyFont="1" applyFill="1" applyBorder="1"/>
    <xf numFmtId="44" fontId="32" fillId="4" borderId="3" xfId="0" applyNumberFormat="1" applyFont="1" applyFill="1" applyBorder="1"/>
    <xf numFmtId="0" fontId="32" fillId="4" borderId="97" xfId="0" applyFont="1" applyFill="1" applyBorder="1" applyAlignment="1">
      <alignment horizontal="center"/>
    </xf>
    <xf numFmtId="0" fontId="33" fillId="4" borderId="98" xfId="4" applyFont="1" applyFill="1" applyBorder="1" applyAlignment="1">
      <alignment horizontal="left" vertical="center"/>
    </xf>
    <xf numFmtId="0" fontId="32" fillId="4" borderId="98" xfId="0" applyFont="1" applyFill="1" applyBorder="1"/>
    <xf numFmtId="44" fontId="37" fillId="4" borderId="98" xfId="0" applyNumberFormat="1" applyFont="1" applyFill="1" applyBorder="1"/>
    <xf numFmtId="0" fontId="32" fillId="4" borderId="99" xfId="0" applyFont="1" applyFill="1" applyBorder="1"/>
    <xf numFmtId="0" fontId="32" fillId="5" borderId="91" xfId="0" applyFont="1" applyFill="1" applyBorder="1" applyAlignment="1">
      <alignment horizontal="center"/>
    </xf>
    <xf numFmtId="0" fontId="33" fillId="5" borderId="100" xfId="4" applyFont="1" applyFill="1" applyBorder="1" applyAlignment="1">
      <alignment horizontal="left" vertical="center"/>
    </xf>
    <xf numFmtId="0" fontId="32" fillId="5" borderId="92" xfId="0" applyFont="1" applyFill="1" applyBorder="1"/>
    <xf numFmtId="0" fontId="32" fillId="5" borderId="93" xfId="0" applyFont="1" applyFill="1" applyBorder="1"/>
    <xf numFmtId="44" fontId="37" fillId="5" borderId="93" xfId="0" applyNumberFormat="1" applyFont="1" applyFill="1" applyBorder="1"/>
    <xf numFmtId="44" fontId="36" fillId="5" borderId="93" xfId="0" applyNumberFormat="1" applyFont="1" applyFill="1" applyBorder="1"/>
    <xf numFmtId="0" fontId="31" fillId="0" borderId="0" xfId="7" applyFont="1"/>
    <xf numFmtId="0" fontId="31" fillId="0" borderId="0" xfId="7" applyFont="1" applyFill="1"/>
    <xf numFmtId="0" fontId="34" fillId="0" borderId="0" xfId="0" applyFont="1" applyAlignment="1">
      <alignment horizontal="center"/>
    </xf>
    <xf numFmtId="0" fontId="31" fillId="0" borderId="0" xfId="7" applyFont="1" applyAlignment="1"/>
    <xf numFmtId="0" fontId="31" fillId="0" borderId="0" xfId="7" applyFont="1" applyAlignment="1">
      <alignment horizontal="center"/>
    </xf>
    <xf numFmtId="0" fontId="34" fillId="0" borderId="0" xfId="0" applyFont="1" applyAlignment="1"/>
    <xf numFmtId="0" fontId="33" fillId="0" borderId="0" xfId="7" applyFont="1" applyFill="1" applyAlignment="1">
      <alignment horizontal="center"/>
    </xf>
    <xf numFmtId="0" fontId="9" fillId="0" borderId="49" xfId="4" applyFont="1" applyFill="1" applyBorder="1" applyAlignment="1">
      <alignment horizontal="center" vertical="center"/>
    </xf>
    <xf numFmtId="0" fontId="9" fillId="0" borderId="50" xfId="4" applyFont="1" applyFill="1" applyBorder="1" applyAlignment="1">
      <alignment horizontal="center" vertical="center"/>
    </xf>
    <xf numFmtId="0" fontId="9" fillId="0" borderId="15" xfId="4" applyFont="1" applyFill="1" applyBorder="1" applyAlignment="1">
      <alignment horizontal="center" vertical="center"/>
    </xf>
    <xf numFmtId="0" fontId="9" fillId="0" borderId="26" xfId="4" applyFont="1" applyBorder="1" applyAlignment="1">
      <alignment horizontal="center" vertical="center"/>
    </xf>
    <xf numFmtId="0" fontId="9" fillId="0" borderId="24" xfId="4" applyFont="1" applyBorder="1" applyAlignment="1">
      <alignment horizontal="center" vertical="center"/>
    </xf>
    <xf numFmtId="0" fontId="9" fillId="0" borderId="25" xfId="4" applyFont="1" applyBorder="1" applyAlignment="1">
      <alignment horizontal="center" vertical="center"/>
    </xf>
    <xf numFmtId="0" fontId="9" fillId="0" borderId="11" xfId="4" applyFont="1" applyBorder="1" applyAlignment="1">
      <alignment horizontal="center" vertical="center"/>
    </xf>
    <xf numFmtId="0" fontId="9" fillId="0" borderId="52" xfId="4" applyFont="1" applyFill="1" applyBorder="1" applyAlignment="1">
      <alignment horizontal="center" vertical="center"/>
    </xf>
    <xf numFmtId="0" fontId="9" fillId="0" borderId="8" xfId="4" applyFont="1" applyFill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0" fontId="9" fillId="3" borderId="26" xfId="11" applyFont="1" applyFill="1" applyBorder="1" applyAlignment="1">
      <alignment horizontal="center" vertical="center"/>
    </xf>
    <xf numFmtId="0" fontId="9" fillId="3" borderId="13" xfId="11" applyFont="1" applyFill="1" applyBorder="1" applyAlignment="1">
      <alignment horizontal="center" vertical="center"/>
    </xf>
    <xf numFmtId="0" fontId="9" fillId="0" borderId="0" xfId="4" applyFont="1" applyFill="1" applyAlignment="1">
      <alignment vertical="center"/>
    </xf>
    <xf numFmtId="0" fontId="9" fillId="0" borderId="14" xfId="4" applyFont="1" applyFill="1" applyBorder="1" applyAlignment="1">
      <alignment vertical="center"/>
    </xf>
    <xf numFmtId="0" fontId="9" fillId="3" borderId="12" xfId="4" applyFont="1" applyFill="1" applyBorder="1" applyAlignment="1">
      <alignment horizontal="center" vertical="center"/>
    </xf>
    <xf numFmtId="0" fontId="32" fillId="0" borderId="101" xfId="0" applyFont="1" applyBorder="1"/>
    <xf numFmtId="44" fontId="32" fillId="0" borderId="101" xfId="0" applyNumberFormat="1" applyFont="1" applyBorder="1"/>
    <xf numFmtId="0" fontId="32" fillId="0" borderId="102" xfId="0" applyFont="1" applyBorder="1"/>
    <xf numFmtId="0" fontId="31" fillId="3" borderId="3" xfId="4" applyFont="1" applyFill="1" applyBorder="1" applyAlignment="1">
      <alignment vertical="center"/>
    </xf>
    <xf numFmtId="165" fontId="7" fillId="2" borderId="8" xfId="4" applyNumberFormat="1" applyFont="1" applyFill="1" applyBorder="1" applyAlignment="1">
      <alignment horizontal="center" vertical="center"/>
    </xf>
    <xf numFmtId="165" fontId="9" fillId="2" borderId="13" xfId="4" applyNumberFormat="1" applyFont="1" applyFill="1" applyBorder="1" applyAlignment="1">
      <alignment horizontal="center" vertical="center"/>
    </xf>
    <xf numFmtId="0" fontId="9" fillId="2" borderId="26" xfId="4" applyFont="1" applyFill="1" applyBorder="1" applyAlignment="1">
      <alignment horizontal="center" vertical="center"/>
    </xf>
    <xf numFmtId="0" fontId="9" fillId="2" borderId="13" xfId="4" applyFont="1" applyFill="1" applyBorder="1" applyAlignment="1">
      <alignment horizontal="center" vertical="center"/>
    </xf>
    <xf numFmtId="0" fontId="5" fillId="0" borderId="26" xfId="11" applyFont="1" applyFill="1" applyBorder="1" applyAlignment="1">
      <alignment horizontal="left" vertical="center"/>
    </xf>
    <xf numFmtId="15" fontId="9" fillId="0" borderId="70" xfId="4" applyNumberFormat="1" applyFont="1" applyFill="1" applyBorder="1" applyAlignment="1">
      <alignment vertical="center"/>
    </xf>
    <xf numFmtId="15" fontId="9" fillId="0" borderId="0" xfId="4" applyNumberFormat="1" applyFont="1" applyFill="1" applyBorder="1" applyAlignment="1">
      <alignment vertical="center"/>
    </xf>
    <xf numFmtId="0" fontId="5" fillId="0" borderId="14" xfId="4" applyFont="1" applyFill="1" applyBorder="1" applyAlignment="1">
      <alignment horizontal="left" vertical="center"/>
    </xf>
    <xf numFmtId="0" fontId="5" fillId="0" borderId="15" xfId="4" applyFont="1" applyFill="1" applyBorder="1" applyAlignment="1">
      <alignment horizontal="left" vertical="center"/>
    </xf>
    <xf numFmtId="0" fontId="32" fillId="3" borderId="76" xfId="0" applyFont="1" applyFill="1" applyBorder="1" applyAlignment="1">
      <alignment horizontal="center"/>
    </xf>
    <xf numFmtId="0" fontId="33" fillId="3" borderId="3" xfId="4" applyFont="1" applyFill="1" applyBorder="1" applyAlignment="1">
      <alignment horizontal="left" vertical="center"/>
    </xf>
    <xf numFmtId="0" fontId="32" fillId="3" borderId="3" xfId="0" applyFont="1" applyFill="1" applyBorder="1"/>
    <xf numFmtId="44" fontId="37" fillId="3" borderId="3" xfId="0" applyNumberFormat="1" applyFont="1" applyFill="1" applyBorder="1"/>
    <xf numFmtId="44" fontId="32" fillId="3" borderId="3" xfId="0" applyNumberFormat="1" applyFont="1" applyFill="1" applyBorder="1"/>
    <xf numFmtId="44" fontId="36" fillId="3" borderId="3" xfId="0" applyNumberFormat="1" applyFont="1" applyFill="1" applyBorder="1"/>
    <xf numFmtId="0" fontId="32" fillId="3" borderId="96" xfId="0" applyFont="1" applyFill="1" applyBorder="1"/>
    <xf numFmtId="44" fontId="32" fillId="0" borderId="0" xfId="0" applyNumberFormat="1" applyFont="1"/>
    <xf numFmtId="0" fontId="31" fillId="3" borderId="101" xfId="4" applyFont="1" applyFill="1" applyBorder="1" applyAlignment="1">
      <alignment vertical="center"/>
    </xf>
    <xf numFmtId="0" fontId="9" fillId="0" borderId="49" xfId="4" applyFont="1" applyFill="1" applyBorder="1" applyAlignment="1">
      <alignment horizontal="center" vertical="center"/>
    </xf>
    <xf numFmtId="0" fontId="9" fillId="0" borderId="50" xfId="4" applyFont="1" applyFill="1" applyBorder="1" applyAlignment="1">
      <alignment horizontal="center" vertical="center"/>
    </xf>
    <xf numFmtId="0" fontId="5" fillId="0" borderId="70" xfId="4" applyFont="1" applyFill="1" applyBorder="1" applyAlignment="1">
      <alignment horizontal="center" vertical="center"/>
    </xf>
    <xf numFmtId="0" fontId="5" fillId="0" borderId="0" xfId="4" applyFont="1" applyFill="1" applyBorder="1" applyAlignment="1">
      <alignment horizontal="center" vertical="center"/>
    </xf>
    <xf numFmtId="0" fontId="9" fillId="0" borderId="52" xfId="4" applyFont="1" applyFill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164" fontId="9" fillId="0" borderId="53" xfId="4" applyNumberFormat="1" applyFont="1" applyFill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164" fontId="9" fillId="0" borderId="53" xfId="4" applyNumberFormat="1" applyFont="1" applyFill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26" xfId="4" applyFont="1" applyBorder="1" applyAlignment="1">
      <alignment horizontal="center" vertical="center"/>
    </xf>
    <xf numFmtId="0" fontId="5" fillId="0" borderId="14" xfId="4" applyFont="1" applyFill="1" applyBorder="1" applyAlignment="1">
      <alignment horizontal="center" vertical="center"/>
    </xf>
    <xf numFmtId="0" fontId="5" fillId="0" borderId="15" xfId="4" applyFont="1" applyFill="1" applyBorder="1" applyAlignment="1">
      <alignment horizontal="center" vertical="center"/>
    </xf>
    <xf numFmtId="0" fontId="32" fillId="3" borderId="0" xfId="0" applyFont="1" applyFill="1" applyBorder="1" applyAlignment="1">
      <alignment horizontal="center"/>
    </xf>
    <xf numFmtId="0" fontId="33" fillId="3" borderId="0" xfId="4" applyFont="1" applyFill="1" applyBorder="1" applyAlignment="1">
      <alignment horizontal="left" vertical="center"/>
    </xf>
    <xf numFmtId="0" fontId="32" fillId="3" borderId="0" xfId="0" applyFont="1" applyFill="1" applyBorder="1"/>
    <xf numFmtId="44" fontId="37" fillId="3" borderId="0" xfId="0" applyNumberFormat="1" applyFont="1" applyFill="1" applyBorder="1"/>
    <xf numFmtId="44" fontId="36" fillId="3" borderId="0" xfId="0" applyNumberFormat="1" applyFont="1" applyFill="1" applyBorder="1"/>
    <xf numFmtId="0" fontId="9" fillId="0" borderId="0" xfId="4" applyFont="1" applyFill="1" applyAlignment="1">
      <alignment horizontal="center" vertical="center"/>
    </xf>
    <xf numFmtId="0" fontId="9" fillId="0" borderId="49" xfId="4" applyFont="1" applyFill="1" applyBorder="1" applyAlignment="1">
      <alignment horizontal="center" vertical="center"/>
    </xf>
    <xf numFmtId="0" fontId="9" fillId="0" borderId="50" xfId="4" applyFont="1" applyFill="1" applyBorder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0" fontId="9" fillId="2" borderId="60" xfId="4" applyFont="1" applyFill="1" applyBorder="1" applyAlignment="1">
      <alignment horizontal="center" vertical="center"/>
    </xf>
    <xf numFmtId="0" fontId="9" fillId="0" borderId="26" xfId="4" applyFont="1" applyBorder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0" fontId="5" fillId="0" borderId="14" xfId="4" applyFont="1" applyFill="1" applyBorder="1" applyAlignment="1">
      <alignment horizontal="center" vertical="center"/>
    </xf>
    <xf numFmtId="0" fontId="5" fillId="0" borderId="15" xfId="4" applyFont="1" applyFill="1" applyBorder="1" applyAlignment="1">
      <alignment horizontal="center" vertical="center"/>
    </xf>
    <xf numFmtId="164" fontId="9" fillId="0" borderId="107" xfId="4" applyNumberFormat="1" applyFont="1" applyBorder="1" applyAlignment="1">
      <alignment horizontal="center" vertical="center"/>
    </xf>
    <xf numFmtId="165" fontId="9" fillId="0" borderId="107" xfId="4" applyNumberFormat="1" applyFont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0" fontId="0" fillId="0" borderId="60" xfId="0" applyBorder="1" applyAlignment="1">
      <alignment horizontal="center"/>
    </xf>
    <xf numFmtId="0" fontId="0" fillId="0" borderId="60" xfId="0" applyBorder="1" applyAlignment="1">
      <alignment horizontal="center" vertical="center"/>
    </xf>
    <xf numFmtId="0" fontId="39" fillId="0" borderId="11" xfId="0" applyFont="1" applyBorder="1" applyAlignment="1">
      <alignment horizontal="center"/>
    </xf>
    <xf numFmtId="44" fontId="39" fillId="0" borderId="11" xfId="10" applyFont="1" applyFill="1" applyBorder="1"/>
    <xf numFmtId="10" fontId="39" fillId="0" borderId="11" xfId="0" applyNumberFormat="1" applyFont="1" applyFill="1" applyBorder="1"/>
    <xf numFmtId="0" fontId="39" fillId="0" borderId="11" xfId="0" applyFont="1" applyFill="1" applyBorder="1" applyAlignment="1">
      <alignment horizontal="center"/>
    </xf>
    <xf numFmtId="166" fontId="39" fillId="0" borderId="11" xfId="0" applyNumberFormat="1" applyFont="1" applyFill="1" applyBorder="1" applyAlignment="1">
      <alignment horizontal="left"/>
    </xf>
    <xf numFmtId="0" fontId="9" fillId="0" borderId="0" xfId="4" applyFont="1" applyFill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0" fontId="31" fillId="3" borderId="94" xfId="4" applyFont="1" applyFill="1" applyBorder="1" applyAlignment="1">
      <alignment horizontal="left" vertical="center"/>
    </xf>
    <xf numFmtId="0" fontId="31" fillId="3" borderId="3" xfId="4" applyFont="1" applyFill="1" applyBorder="1" applyAlignment="1">
      <alignment horizontal="left" vertical="center"/>
    </xf>
    <xf numFmtId="0" fontId="34" fillId="3" borderId="3" xfId="0" applyFont="1" applyFill="1" applyBorder="1" applyAlignment="1">
      <alignment horizontal="left"/>
    </xf>
    <xf numFmtId="0" fontId="31" fillId="3" borderId="3" xfId="11" applyFont="1" applyFill="1" applyBorder="1" applyAlignment="1">
      <alignment vertical="center"/>
    </xf>
    <xf numFmtId="0" fontId="9" fillId="0" borderId="14" xfId="4" applyFont="1" applyFill="1" applyBorder="1" applyAlignment="1">
      <alignment horizontal="center" vertical="center"/>
    </xf>
    <xf numFmtId="0" fontId="9" fillId="0" borderId="15" xfId="4" applyFont="1" applyFill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165" fontId="9" fillId="0" borderId="49" xfId="4" applyNumberFormat="1" applyFont="1" applyFill="1" applyBorder="1" applyAlignment="1">
      <alignment horizontal="center" vertical="center"/>
    </xf>
    <xf numFmtId="165" fontId="9" fillId="0" borderId="50" xfId="4" applyNumberFormat="1" applyFont="1" applyFill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14" fontId="9" fillId="0" borderId="13" xfId="11" applyNumberFormat="1" applyFont="1" applyFill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0" fontId="41" fillId="0" borderId="0" xfId="0" applyFont="1"/>
    <xf numFmtId="0" fontId="9" fillId="2" borderId="11" xfId="4" applyFont="1" applyFill="1" applyBorder="1" applyAlignment="1">
      <alignment horizontal="center" vertical="center"/>
    </xf>
    <xf numFmtId="44" fontId="9" fillId="2" borderId="11" xfId="5" applyFont="1" applyFill="1" applyBorder="1" applyAlignment="1">
      <alignment horizontal="center" vertical="center"/>
    </xf>
    <xf numFmtId="44" fontId="10" fillId="2" borderId="26" xfId="5" applyFont="1" applyFill="1" applyBorder="1" applyAlignment="1">
      <alignment horizontal="center" vertical="center"/>
    </xf>
    <xf numFmtId="0" fontId="9" fillId="2" borderId="78" xfId="4" applyFont="1" applyFill="1" applyBorder="1" applyAlignment="1">
      <alignment horizontal="center" vertical="center"/>
    </xf>
    <xf numFmtId="0" fontId="9" fillId="2" borderId="55" xfId="4" applyFont="1" applyFill="1" applyBorder="1" applyAlignment="1">
      <alignment horizontal="center" vertical="center"/>
    </xf>
    <xf numFmtId="15" fontId="9" fillId="2" borderId="54" xfId="4" applyNumberFormat="1" applyFont="1" applyFill="1" applyBorder="1" applyAlignment="1">
      <alignment horizontal="center" vertical="center"/>
    </xf>
    <xf numFmtId="0" fontId="9" fillId="3" borderId="13" xfId="4" applyFont="1" applyFill="1" applyBorder="1" applyAlignment="1">
      <alignment horizontal="center" vertical="center"/>
    </xf>
    <xf numFmtId="0" fontId="9" fillId="3" borderId="11" xfId="4" applyFont="1" applyFill="1" applyBorder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165" fontId="9" fillId="0" borderId="49" xfId="4" applyNumberFormat="1" applyFont="1" applyFill="1" applyBorder="1" applyAlignment="1">
      <alignment horizontal="center" vertical="center"/>
    </xf>
    <xf numFmtId="165" fontId="9" fillId="0" borderId="50" xfId="4" applyNumberFormat="1" applyFont="1" applyFill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0" fontId="9" fillId="0" borderId="70" xfId="4" applyFont="1" applyFill="1" applyBorder="1" applyAlignment="1">
      <alignment vertical="center"/>
    </xf>
    <xf numFmtId="0" fontId="5" fillId="0" borderId="26" xfId="4" applyFont="1" applyFill="1" applyBorder="1" applyAlignment="1">
      <alignment horizontal="center" vertical="center"/>
    </xf>
    <xf numFmtId="0" fontId="9" fillId="0" borderId="26" xfId="4" applyFont="1" applyBorder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0" fontId="5" fillId="0" borderId="14" xfId="4" applyFont="1" applyFill="1" applyBorder="1" applyAlignment="1">
      <alignment horizontal="center" vertical="center"/>
    </xf>
    <xf numFmtId="0" fontId="5" fillId="0" borderId="15" xfId="4" applyFont="1" applyFill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164" fontId="9" fillId="0" borderId="53" xfId="4" applyNumberFormat="1" applyFont="1" applyFill="1" applyBorder="1" applyAlignment="1">
      <alignment horizontal="center" vertical="center"/>
    </xf>
    <xf numFmtId="0" fontId="9" fillId="0" borderId="8" xfId="4" applyFont="1" applyFill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164" fontId="9" fillId="0" borderId="53" xfId="4" applyNumberFormat="1" applyFont="1" applyFill="1" applyBorder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165" fontId="9" fillId="0" borderId="49" xfId="4" applyNumberFormat="1" applyFont="1" applyFill="1" applyBorder="1" applyAlignment="1">
      <alignment horizontal="center" vertical="center"/>
    </xf>
    <xf numFmtId="165" fontId="9" fillId="0" borderId="50" xfId="4" applyNumberFormat="1" applyFont="1" applyFill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165" fontId="9" fillId="0" borderId="76" xfId="4" applyNumberFormat="1" applyFont="1" applyBorder="1" applyAlignment="1">
      <alignment horizontal="left" vertical="center"/>
    </xf>
    <xf numFmtId="0" fontId="5" fillId="0" borderId="8" xfId="4" applyFont="1" applyFill="1" applyBorder="1" applyAlignment="1">
      <alignment horizontal="left" vertical="center" wrapText="1"/>
    </xf>
    <xf numFmtId="0" fontId="5" fillId="0" borderId="13" xfId="4" applyFont="1" applyFill="1" applyBorder="1" applyAlignment="1">
      <alignment horizontal="center" vertical="center"/>
    </xf>
    <xf numFmtId="164" fontId="9" fillId="0" borderId="31" xfId="4" applyNumberFormat="1" applyFont="1" applyBorder="1" applyAlignment="1">
      <alignment horizontal="center" vertical="center"/>
    </xf>
    <xf numFmtId="165" fontId="9" fillId="0" borderId="52" xfId="4" applyNumberFormat="1" applyFont="1" applyBorder="1" applyAlignment="1">
      <alignment horizontal="center" vertical="center"/>
    </xf>
    <xf numFmtId="0" fontId="9" fillId="0" borderId="8" xfId="4" applyFont="1" applyBorder="1" applyAlignment="1">
      <alignment horizontal="center" vertical="center"/>
    </xf>
    <xf numFmtId="0" fontId="9" fillId="0" borderId="32" xfId="4" applyFont="1" applyBorder="1" applyAlignment="1">
      <alignment horizontal="center" vertical="center"/>
    </xf>
    <xf numFmtId="0" fontId="9" fillId="0" borderId="11" xfId="4" applyFont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165" fontId="9" fillId="0" borderId="49" xfId="4" applyNumberFormat="1" applyFont="1" applyFill="1" applyBorder="1" applyAlignment="1">
      <alignment horizontal="center" vertical="center"/>
    </xf>
    <xf numFmtId="165" fontId="9" fillId="0" borderId="50" xfId="4" applyNumberFormat="1" applyFont="1" applyFill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14" fontId="9" fillId="0" borderId="0" xfId="4" applyNumberFormat="1" applyFont="1" applyFill="1" applyAlignment="1">
      <alignment horizontal="center" vertical="center"/>
    </xf>
    <xf numFmtId="0" fontId="9" fillId="0" borderId="49" xfId="4" applyFont="1" applyFill="1" applyBorder="1" applyAlignment="1">
      <alignment horizontal="center" vertical="center"/>
    </xf>
    <xf numFmtId="0" fontId="5" fillId="0" borderId="61" xfId="4" applyFont="1" applyFill="1" applyBorder="1" applyAlignment="1">
      <alignment horizontal="center" vertical="center"/>
    </xf>
    <xf numFmtId="0" fontId="5" fillId="0" borderId="62" xfId="4" applyFont="1" applyFill="1" applyBorder="1" applyAlignment="1">
      <alignment horizontal="center" vertical="center"/>
    </xf>
    <xf numFmtId="0" fontId="9" fillId="0" borderId="14" xfId="4" applyFont="1" applyFill="1" applyBorder="1" applyAlignment="1">
      <alignment horizontal="center" vertical="center"/>
    </xf>
    <xf numFmtId="0" fontId="9" fillId="0" borderId="15" xfId="4" applyFont="1" applyFill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44" fontId="9" fillId="3" borderId="26" xfId="5" applyFont="1" applyFill="1" applyBorder="1" applyAlignment="1">
      <alignment horizontal="center" vertical="center"/>
    </xf>
    <xf numFmtId="0" fontId="9" fillId="0" borderId="15" xfId="4" applyFont="1" applyFill="1" applyBorder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164" fontId="9" fillId="0" borderId="53" xfId="4" applyNumberFormat="1" applyFont="1" applyFill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165" fontId="9" fillId="0" borderId="49" xfId="4" applyNumberFormat="1" applyFont="1" applyFill="1" applyBorder="1" applyAlignment="1">
      <alignment horizontal="center" vertical="center"/>
    </xf>
    <xf numFmtId="165" fontId="9" fillId="0" borderId="50" xfId="4" applyNumberFormat="1" applyFont="1" applyFill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0" fontId="9" fillId="0" borderId="49" xfId="4" applyFont="1" applyFill="1" applyBorder="1" applyAlignment="1">
      <alignment horizontal="center" vertical="center"/>
    </xf>
    <xf numFmtId="0" fontId="9" fillId="0" borderId="50" xfId="4" applyFont="1" applyFill="1" applyBorder="1" applyAlignment="1">
      <alignment horizontal="center" vertical="center"/>
    </xf>
    <xf numFmtId="0" fontId="9" fillId="0" borderId="14" xfId="4" applyFont="1" applyFill="1" applyBorder="1" applyAlignment="1">
      <alignment horizontal="center" vertical="center"/>
    </xf>
    <xf numFmtId="0" fontId="9" fillId="0" borderId="15" xfId="4" applyFont="1" applyFill="1" applyBorder="1" applyAlignment="1">
      <alignment horizontal="center" vertical="center"/>
    </xf>
    <xf numFmtId="0" fontId="7" fillId="0" borderId="22" xfId="4" applyFont="1" applyFill="1" applyBorder="1" applyAlignment="1">
      <alignment horizontal="center" vertical="center"/>
    </xf>
    <xf numFmtId="0" fontId="9" fillId="0" borderId="52" xfId="4" applyFont="1" applyFill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164" fontId="9" fillId="0" borderId="53" xfId="4" applyNumberFormat="1" applyFont="1" applyFill="1" applyBorder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165" fontId="9" fillId="0" borderId="49" xfId="4" applyNumberFormat="1" applyFont="1" applyFill="1" applyBorder="1" applyAlignment="1">
      <alignment horizontal="center" vertical="center"/>
    </xf>
    <xf numFmtId="165" fontId="9" fillId="0" borderId="50" xfId="4" applyNumberFormat="1" applyFont="1" applyFill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0" fontId="9" fillId="0" borderId="0" xfId="4" applyFont="1" applyFill="1" applyBorder="1" applyAlignment="1">
      <alignment horizontal="center" vertical="center"/>
    </xf>
    <xf numFmtId="15" fontId="9" fillId="0" borderId="0" xfId="11" applyNumberFormat="1" applyFont="1" applyFill="1" applyBorder="1" applyAlignment="1">
      <alignment horizontal="center" vertical="center"/>
    </xf>
    <xf numFmtId="0" fontId="9" fillId="0" borderId="11" xfId="4" applyFont="1" applyBorder="1" applyAlignment="1">
      <alignment horizontal="center" vertical="center"/>
    </xf>
    <xf numFmtId="0" fontId="5" fillId="0" borderId="0" xfId="4" applyFont="1" applyFill="1" applyBorder="1" applyAlignment="1">
      <alignment vertical="center"/>
    </xf>
    <xf numFmtId="0" fontId="7" fillId="0" borderId="9" xfId="4" applyFont="1" applyFill="1" applyBorder="1" applyAlignment="1">
      <alignment vertical="center"/>
    </xf>
    <xf numFmtId="165" fontId="9" fillId="0" borderId="49" xfId="4" applyNumberFormat="1" applyFont="1" applyBorder="1" applyAlignment="1">
      <alignment horizontal="center" vertical="center"/>
    </xf>
    <xf numFmtId="165" fontId="9" fillId="0" borderId="14" xfId="4" applyNumberFormat="1" applyFont="1" applyBorder="1" applyAlignment="1">
      <alignment horizontal="center" vertical="center"/>
    </xf>
    <xf numFmtId="0" fontId="7" fillId="0" borderId="10" xfId="4" applyFont="1" applyFill="1" applyBorder="1" applyAlignment="1">
      <alignment horizontal="center" vertical="center"/>
    </xf>
    <xf numFmtId="0" fontId="5" fillId="0" borderId="50" xfId="4" applyFont="1" applyFill="1" applyBorder="1" applyAlignment="1">
      <alignment horizontal="left" vertical="center"/>
    </xf>
    <xf numFmtId="0" fontId="5" fillId="0" borderId="10" xfId="4" applyFont="1" applyFill="1" applyBorder="1" applyAlignment="1">
      <alignment horizontal="left" vertical="center"/>
    </xf>
    <xf numFmtId="0" fontId="7" fillId="0" borderId="0" xfId="4" applyFont="1" applyFill="1" applyBorder="1" applyAlignment="1">
      <alignment horizontal="center" vertical="center"/>
    </xf>
    <xf numFmtId="0" fontId="9" fillId="0" borderId="0" xfId="4" applyFont="1" applyBorder="1" applyAlignment="1">
      <alignment horizontal="center" vertical="center"/>
    </xf>
    <xf numFmtId="0" fontId="17" fillId="0" borderId="0" xfId="0" applyFont="1" applyBorder="1"/>
    <xf numFmtId="0" fontId="9" fillId="0" borderId="0" xfId="4" applyFont="1" applyBorder="1"/>
    <xf numFmtId="0" fontId="5" fillId="0" borderId="0" xfId="4" applyFont="1" applyBorder="1"/>
    <xf numFmtId="0" fontId="9" fillId="3" borderId="26" xfId="4" applyFont="1" applyFill="1" applyBorder="1" applyAlignment="1">
      <alignment horizontal="center" vertical="center"/>
    </xf>
    <xf numFmtId="165" fontId="9" fillId="3" borderId="13" xfId="4" applyNumberFormat="1" applyFont="1" applyFill="1" applyBorder="1" applyAlignment="1">
      <alignment horizontal="center" vertical="center"/>
    </xf>
    <xf numFmtId="164" fontId="9" fillId="0" borderId="31" xfId="4" applyNumberFormat="1" applyFont="1" applyFill="1" applyBorder="1" applyAlignment="1">
      <alignment horizontal="center" vertical="center"/>
    </xf>
    <xf numFmtId="0" fontId="9" fillId="2" borderId="35" xfId="11" applyFont="1" applyFill="1" applyBorder="1" applyAlignment="1">
      <alignment horizontal="center" vertical="center"/>
    </xf>
    <xf numFmtId="0" fontId="0" fillId="2" borderId="8" xfId="0" applyFill="1" applyBorder="1" applyAlignment="1"/>
    <xf numFmtId="0" fontId="5" fillId="2" borderId="13" xfId="11" applyFont="1" applyFill="1" applyBorder="1" applyAlignment="1">
      <alignment horizontal="left" vertical="center"/>
    </xf>
    <xf numFmtId="0" fontId="9" fillId="2" borderId="13" xfId="11" applyFont="1" applyFill="1" applyBorder="1" applyAlignment="1">
      <alignment horizontal="center" vertical="center"/>
    </xf>
    <xf numFmtId="44" fontId="9" fillId="2" borderId="26" xfId="9" applyFont="1" applyFill="1" applyBorder="1" applyAlignment="1">
      <alignment horizontal="center" vertical="center"/>
    </xf>
    <xf numFmtId="44" fontId="10" fillId="2" borderId="26" xfId="9" applyFont="1" applyFill="1" applyBorder="1" applyAlignment="1">
      <alignment horizontal="center" vertical="center"/>
    </xf>
    <xf numFmtId="0" fontId="9" fillId="2" borderId="78" xfId="11" applyFont="1" applyFill="1" applyBorder="1" applyAlignment="1">
      <alignment horizontal="center" vertical="center"/>
    </xf>
    <xf numFmtId="0" fontId="9" fillId="2" borderId="55" xfId="11" applyFont="1" applyFill="1" applyBorder="1" applyAlignment="1">
      <alignment horizontal="center" vertical="center"/>
    </xf>
    <xf numFmtId="165" fontId="9" fillId="2" borderId="13" xfId="11" applyNumberFormat="1" applyFont="1" applyFill="1" applyBorder="1" applyAlignment="1">
      <alignment horizontal="center" vertical="center"/>
    </xf>
    <xf numFmtId="15" fontId="9" fillId="2" borderId="54" xfId="11" applyNumberFormat="1" applyFont="1" applyFill="1" applyBorder="1" applyAlignment="1">
      <alignment horizontal="center" vertical="center"/>
    </xf>
    <xf numFmtId="0" fontId="20" fillId="0" borderId="13" xfId="11" applyFont="1" applyFill="1" applyBorder="1" applyAlignment="1">
      <alignment horizontal="left" vertical="center"/>
    </xf>
    <xf numFmtId="0" fontId="9" fillId="2" borderId="8" xfId="11" applyFont="1" applyFill="1" applyBorder="1" applyAlignment="1">
      <alignment vertical="center"/>
    </xf>
    <xf numFmtId="0" fontId="5" fillId="2" borderId="26" xfId="4" applyFont="1" applyFill="1" applyBorder="1" applyAlignment="1">
      <alignment horizontal="left" vertical="center"/>
    </xf>
    <xf numFmtId="44" fontId="9" fillId="2" borderId="26" xfId="5" applyFont="1" applyFill="1" applyBorder="1" applyAlignment="1">
      <alignment horizontal="center" vertical="center"/>
    </xf>
    <xf numFmtId="0" fontId="9" fillId="2" borderId="49" xfId="4" applyFont="1" applyFill="1" applyBorder="1" applyAlignment="1">
      <alignment horizontal="center" vertical="center"/>
    </xf>
    <xf numFmtId="0" fontId="9" fillId="2" borderId="50" xfId="4" applyFont="1" applyFill="1" applyBorder="1" applyAlignment="1">
      <alignment horizontal="center" vertical="center"/>
    </xf>
    <xf numFmtId="165" fontId="9" fillId="2" borderId="26" xfId="4" applyNumberFormat="1" applyFont="1" applyFill="1" applyBorder="1" applyAlignment="1">
      <alignment horizontal="center" vertical="center"/>
    </xf>
    <xf numFmtId="165" fontId="30" fillId="0" borderId="13" xfId="4" applyNumberFormat="1" applyFont="1" applyBorder="1" applyAlignment="1">
      <alignment horizontal="center" vertical="center"/>
    </xf>
    <xf numFmtId="0" fontId="0" fillId="0" borderId="60" xfId="0" applyBorder="1"/>
    <xf numFmtId="44" fontId="0" fillId="0" borderId="0" xfId="0" applyNumberFormat="1"/>
    <xf numFmtId="0" fontId="39" fillId="0" borderId="116" xfId="0" applyFont="1" applyFill="1" applyBorder="1" applyAlignment="1">
      <alignment horizontal="center"/>
    </xf>
    <xf numFmtId="44" fontId="39" fillId="0" borderId="116" xfId="10" applyFont="1" applyFill="1" applyBorder="1"/>
    <xf numFmtId="10" fontId="39" fillId="0" borderId="116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1" xfId="0" applyFill="1" applyBorder="1"/>
    <xf numFmtId="166" fontId="39" fillId="0" borderId="116" xfId="0" applyNumberFormat="1" applyFont="1" applyFill="1" applyBorder="1" applyAlignment="1">
      <alignment horizontal="left"/>
    </xf>
    <xf numFmtId="0" fontId="9" fillId="0" borderId="52" xfId="4" applyFont="1" applyFill="1" applyBorder="1" applyAlignment="1">
      <alignment horizontal="center" vertical="center"/>
    </xf>
    <xf numFmtId="164" fontId="9" fillId="0" borderId="53" xfId="4" applyNumberFormat="1" applyFont="1" applyFill="1" applyBorder="1" applyAlignment="1">
      <alignment horizontal="center" vertical="center"/>
    </xf>
    <xf numFmtId="0" fontId="9" fillId="0" borderId="11" xfId="4" applyFont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26" xfId="4" applyFont="1" applyBorder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0" fontId="9" fillId="0" borderId="3" xfId="11" applyFont="1" applyBorder="1" applyAlignment="1">
      <alignment horizontal="center" vertical="center"/>
    </xf>
    <xf numFmtId="0" fontId="5" fillId="0" borderId="14" xfId="4" applyFont="1" applyFill="1" applyBorder="1" applyAlignment="1">
      <alignment horizontal="center" vertical="center"/>
    </xf>
    <xf numFmtId="0" fontId="5" fillId="0" borderId="15" xfId="4" applyFont="1" applyFill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0" fontId="0" fillId="0" borderId="0" xfId="0" applyAlignment="1">
      <alignment horizontal="left"/>
    </xf>
    <xf numFmtId="0" fontId="0" fillId="0" borderId="60" xfId="0" applyBorder="1" applyAlignment="1">
      <alignment horizontal="center" vertical="center"/>
    </xf>
    <xf numFmtId="0" fontId="0" fillId="0" borderId="0" xfId="0" applyAlignment="1">
      <alignment horizontal="center"/>
    </xf>
    <xf numFmtId="44" fontId="1" fillId="0" borderId="116" xfId="10" applyFont="1" applyFill="1" applyBorder="1"/>
    <xf numFmtId="0" fontId="9" fillId="0" borderId="11" xfId="4" applyFont="1" applyBorder="1" applyAlignment="1">
      <alignment horizontal="center" vertical="center"/>
    </xf>
    <xf numFmtId="0" fontId="9" fillId="0" borderId="70" xfId="4" applyFont="1" applyBorder="1" applyAlignment="1">
      <alignment vertical="center"/>
    </xf>
    <xf numFmtId="0" fontId="9" fillId="0" borderId="0" xfId="4" applyFont="1" applyAlignment="1">
      <alignment vertical="center"/>
    </xf>
    <xf numFmtId="165" fontId="30" fillId="0" borderId="52" xfId="4" applyNumberFormat="1" applyFont="1" applyBorder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165" fontId="9" fillId="0" borderId="49" xfId="4" applyNumberFormat="1" applyFont="1" applyFill="1" applyBorder="1" applyAlignment="1">
      <alignment horizontal="center" vertical="center"/>
    </xf>
    <xf numFmtId="165" fontId="9" fillId="0" borderId="50" xfId="4" applyNumberFormat="1" applyFont="1" applyFill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165" fontId="9" fillId="0" borderId="49" xfId="4" applyNumberFormat="1" applyFont="1" applyFill="1" applyBorder="1" applyAlignment="1">
      <alignment horizontal="center" vertical="center"/>
    </xf>
    <xf numFmtId="165" fontId="9" fillId="0" borderId="50" xfId="4" applyNumberFormat="1" applyFont="1" applyFill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0" fontId="9" fillId="0" borderId="11" xfId="4" applyFont="1" applyBorder="1" applyAlignment="1">
      <alignment horizontal="center" vertical="center"/>
    </xf>
    <xf numFmtId="165" fontId="7" fillId="3" borderId="12" xfId="4" applyNumberFormat="1" applyFont="1" applyFill="1" applyBorder="1" applyAlignment="1">
      <alignment vertical="center"/>
    </xf>
    <xf numFmtId="165" fontId="7" fillId="3" borderId="13" xfId="4" applyNumberFormat="1" applyFont="1" applyFill="1" applyBorder="1" applyAlignment="1">
      <alignment vertical="center"/>
    </xf>
    <xf numFmtId="0" fontId="5" fillId="0" borderId="0" xfId="4" applyFont="1" applyFill="1" applyBorder="1" applyAlignment="1">
      <alignment horizontal="center" vertical="center"/>
    </xf>
    <xf numFmtId="0" fontId="9" fillId="0" borderId="52" xfId="4" applyFont="1" applyFill="1" applyBorder="1" applyAlignment="1">
      <alignment horizontal="center" vertical="center"/>
    </xf>
    <xf numFmtId="0" fontId="9" fillId="0" borderId="112" xfId="4" applyFont="1" applyFill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164" fontId="9" fillId="0" borderId="53" xfId="4" applyNumberFormat="1" applyFont="1" applyFill="1" applyBorder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165" fontId="9" fillId="0" borderId="49" xfId="4" applyNumberFormat="1" applyFont="1" applyFill="1" applyBorder="1" applyAlignment="1">
      <alignment horizontal="center" vertical="center"/>
    </xf>
    <xf numFmtId="165" fontId="9" fillId="0" borderId="50" xfId="4" applyNumberFormat="1" applyFont="1" applyFill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165" fontId="9" fillId="0" borderId="49" xfId="4" applyNumberFormat="1" applyFont="1" applyFill="1" applyBorder="1" applyAlignment="1">
      <alignment horizontal="center" vertical="center"/>
    </xf>
    <xf numFmtId="165" fontId="9" fillId="0" borderId="50" xfId="4" applyNumberFormat="1" applyFont="1" applyFill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0" fontId="9" fillId="0" borderId="117" xfId="4" applyFont="1" applyFill="1" applyBorder="1" applyAlignment="1">
      <alignment horizontal="center" vertical="center"/>
    </xf>
    <xf numFmtId="164" fontId="9" fillId="0" borderId="35" xfId="4" applyNumberFormat="1" applyFont="1" applyFill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165" fontId="9" fillId="0" borderId="49" xfId="4" applyNumberFormat="1" applyFont="1" applyFill="1" applyBorder="1" applyAlignment="1">
      <alignment horizontal="center" vertical="center"/>
    </xf>
    <xf numFmtId="165" fontId="9" fillId="0" borderId="50" xfId="4" applyNumberFormat="1" applyFont="1" applyFill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165" fontId="9" fillId="0" borderId="49" xfId="4" applyNumberFormat="1" applyFont="1" applyFill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165" fontId="9" fillId="0" borderId="49" xfId="4" applyNumberFormat="1" applyFont="1" applyFill="1" applyBorder="1" applyAlignment="1">
      <alignment horizontal="center" vertical="center"/>
    </xf>
    <xf numFmtId="165" fontId="9" fillId="0" borderId="50" xfId="4" applyNumberFormat="1" applyFont="1" applyFill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0" fontId="9" fillId="0" borderId="26" xfId="4" applyFont="1" applyBorder="1" applyAlignment="1">
      <alignment horizontal="center" vertical="center"/>
    </xf>
    <xf numFmtId="0" fontId="9" fillId="0" borderId="11" xfId="4" applyFont="1" applyBorder="1" applyAlignment="1">
      <alignment horizontal="center" vertical="center"/>
    </xf>
    <xf numFmtId="0" fontId="5" fillId="0" borderId="14" xfId="4" applyFont="1" applyFill="1" applyBorder="1" applyAlignment="1">
      <alignment horizontal="center" vertical="center"/>
    </xf>
    <xf numFmtId="0" fontId="5" fillId="0" borderId="15" xfId="4" applyFont="1" applyFill="1" applyBorder="1" applyAlignment="1">
      <alignment horizontal="center" vertical="center"/>
    </xf>
    <xf numFmtId="0" fontId="9" fillId="0" borderId="0" xfId="4" applyFont="1" applyAlignment="1">
      <alignment horizontal="center" vertical="center"/>
    </xf>
    <xf numFmtId="0" fontId="9" fillId="0" borderId="14" xfId="4" applyFont="1" applyFill="1" applyBorder="1" applyAlignment="1">
      <alignment horizontal="center" vertical="center"/>
    </xf>
    <xf numFmtId="0" fontId="9" fillId="0" borderId="15" xfId="4" applyFont="1" applyFill="1" applyBorder="1" applyAlignment="1">
      <alignment horizontal="center" vertical="center"/>
    </xf>
    <xf numFmtId="0" fontId="9" fillId="0" borderId="52" xfId="4" applyFont="1" applyFill="1" applyBorder="1" applyAlignment="1">
      <alignment horizontal="center" vertical="center"/>
    </xf>
    <xf numFmtId="0" fontId="9" fillId="0" borderId="8" xfId="4" applyFont="1" applyFill="1" applyBorder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164" fontId="9" fillId="0" borderId="53" xfId="4" applyNumberFormat="1" applyFont="1" applyFill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0" fontId="9" fillId="0" borderId="0" xfId="4" applyFont="1" applyAlignment="1">
      <alignment horizontal="center" vertical="center"/>
    </xf>
    <xf numFmtId="165" fontId="9" fillId="0" borderId="49" xfId="4" applyNumberFormat="1" applyFont="1" applyFill="1" applyBorder="1" applyAlignment="1">
      <alignment horizontal="center" vertical="center"/>
    </xf>
    <xf numFmtId="165" fontId="9" fillId="0" borderId="50" xfId="4" applyNumberFormat="1" applyFont="1" applyFill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0" fontId="9" fillId="0" borderId="11" xfId="4" applyFont="1" applyBorder="1" applyAlignment="1">
      <alignment horizontal="center" vertical="center"/>
    </xf>
    <xf numFmtId="0" fontId="9" fillId="0" borderId="0" xfId="4" applyFont="1" applyAlignment="1">
      <alignment horizontal="center" vertical="center"/>
    </xf>
    <xf numFmtId="15" fontId="9" fillId="3" borderId="54" xfId="4" applyNumberFormat="1" applyFont="1" applyFill="1" applyBorder="1" applyAlignment="1">
      <alignment horizontal="center" vertical="center"/>
    </xf>
    <xf numFmtId="0" fontId="9" fillId="3" borderId="0" xfId="4" applyFont="1" applyFill="1" applyAlignment="1">
      <alignment horizontal="center" vertical="center"/>
    </xf>
    <xf numFmtId="0" fontId="9" fillId="0" borderId="26" xfId="4" applyFont="1" applyBorder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0" fontId="9" fillId="0" borderId="0" xfId="4" applyFont="1" applyAlignment="1">
      <alignment horizontal="center" vertical="center"/>
    </xf>
    <xf numFmtId="164" fontId="9" fillId="9" borderId="36" xfId="4" applyNumberFormat="1" applyFont="1" applyFill="1" applyBorder="1" applyAlignment="1">
      <alignment horizontal="center" vertical="center"/>
    </xf>
    <xf numFmtId="165" fontId="30" fillId="9" borderId="26" xfId="4" applyNumberFormat="1" applyFont="1" applyFill="1" applyBorder="1" applyAlignment="1">
      <alignment horizontal="center" vertical="center"/>
    </xf>
    <xf numFmtId="44" fontId="10" fillId="9" borderId="13" xfId="4" applyNumberFormat="1" applyFont="1" applyFill="1" applyBorder="1" applyAlignment="1">
      <alignment horizontal="center" vertical="center"/>
    </xf>
    <xf numFmtId="0" fontId="9" fillId="9" borderId="11" xfId="4" applyFont="1" applyFill="1" applyBorder="1" applyAlignment="1">
      <alignment horizontal="center" vertical="center"/>
    </xf>
    <xf numFmtId="0" fontId="9" fillId="9" borderId="34" xfId="4" applyFont="1" applyFill="1" applyBorder="1" applyAlignment="1">
      <alignment horizontal="center" vertical="center"/>
    </xf>
    <xf numFmtId="0" fontId="31" fillId="2" borderId="3" xfId="4" applyFont="1" applyFill="1" applyBorder="1" applyAlignment="1">
      <alignment vertical="center"/>
    </xf>
    <xf numFmtId="0" fontId="32" fillId="2" borderId="3" xfId="0" applyFont="1" applyFill="1" applyBorder="1"/>
    <xf numFmtId="44" fontId="32" fillId="2" borderId="3" xfId="0" applyNumberFormat="1" applyFont="1" applyFill="1" applyBorder="1"/>
    <xf numFmtId="0" fontId="9" fillId="0" borderId="11" xfId="4" applyFont="1" applyBorder="1" applyAlignment="1">
      <alignment horizontal="center" vertical="center"/>
    </xf>
    <xf numFmtId="0" fontId="9" fillId="0" borderId="0" xfId="4" applyFont="1" applyAlignment="1">
      <alignment horizontal="center" vertical="center"/>
    </xf>
    <xf numFmtId="165" fontId="9" fillId="0" borderId="8" xfId="4" applyNumberFormat="1" applyFont="1" applyBorder="1" applyAlignment="1">
      <alignment horizontal="center" vertical="center"/>
    </xf>
    <xf numFmtId="0" fontId="9" fillId="0" borderId="112" xfId="4" applyFont="1" applyBorder="1" applyAlignment="1">
      <alignment horizontal="center" vertical="center" wrapText="1"/>
    </xf>
    <xf numFmtId="0" fontId="9" fillId="0" borderId="117" xfId="4" applyFont="1" applyBorder="1" applyAlignment="1">
      <alignment horizontal="center" vertical="center" wrapText="1"/>
    </xf>
    <xf numFmtId="0" fontId="9" fillId="0" borderId="0" xfId="4" applyFont="1" applyFill="1" applyAlignment="1">
      <alignment horizontal="center" vertical="center"/>
    </xf>
    <xf numFmtId="0" fontId="9" fillId="0" borderId="14" xfId="4" applyFont="1" applyFill="1" applyBorder="1" applyAlignment="1">
      <alignment horizontal="center" vertical="center"/>
    </xf>
    <xf numFmtId="0" fontId="9" fillId="0" borderId="15" xfId="4" applyFont="1" applyFill="1" applyBorder="1" applyAlignment="1">
      <alignment horizontal="center" vertical="center"/>
    </xf>
    <xf numFmtId="0" fontId="9" fillId="0" borderId="52" xfId="4" applyFont="1" applyFill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0" fontId="9" fillId="0" borderId="0" xfId="4" applyFont="1" applyAlignment="1">
      <alignment horizontal="center" vertical="center"/>
    </xf>
    <xf numFmtId="165" fontId="9" fillId="0" borderId="49" xfId="4" applyNumberFormat="1" applyFont="1" applyFill="1" applyBorder="1" applyAlignment="1">
      <alignment horizontal="center" vertical="center"/>
    </xf>
    <xf numFmtId="165" fontId="9" fillId="0" borderId="50" xfId="4" applyNumberFormat="1" applyFont="1" applyFill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0" fontId="9" fillId="0" borderId="3" xfId="11" applyFont="1" applyBorder="1" applyAlignment="1">
      <alignment horizontal="center" vertical="center"/>
    </xf>
    <xf numFmtId="0" fontId="9" fillId="0" borderId="103" xfId="11" applyFont="1" applyBorder="1" applyAlignment="1">
      <alignment horizontal="center" vertical="center"/>
    </xf>
    <xf numFmtId="164" fontId="9" fillId="0" borderId="108" xfId="4" applyNumberFormat="1" applyFont="1" applyBorder="1" applyAlignment="1">
      <alignment horizontal="center" vertical="center"/>
    </xf>
    <xf numFmtId="165" fontId="9" fillId="0" borderId="108" xfId="4" applyNumberFormat="1" applyFont="1" applyBorder="1" applyAlignment="1">
      <alignment horizontal="center" vertical="center"/>
    </xf>
    <xf numFmtId="0" fontId="9" fillId="0" borderId="108" xfId="11" applyFont="1" applyBorder="1" applyAlignment="1">
      <alignment horizontal="center" vertical="center"/>
    </xf>
    <xf numFmtId="0" fontId="9" fillId="0" borderId="112" xfId="4" applyFont="1" applyBorder="1" applyAlignment="1">
      <alignment horizontal="center" vertical="center"/>
    </xf>
    <xf numFmtId="0" fontId="9" fillId="0" borderId="117" xfId="4" applyFont="1" applyBorder="1" applyAlignment="1">
      <alignment horizontal="center" vertical="center"/>
    </xf>
    <xf numFmtId="44" fontId="10" fillId="0" borderId="52" xfId="4" applyNumberFormat="1" applyFont="1" applyBorder="1" applyAlignment="1">
      <alignment horizontal="center" vertical="center"/>
    </xf>
    <xf numFmtId="0" fontId="40" fillId="0" borderId="26" xfId="4" applyFont="1" applyFill="1" applyBorder="1" applyAlignment="1">
      <alignment horizontal="left" vertical="center"/>
    </xf>
    <xf numFmtId="165" fontId="42" fillId="0" borderId="8" xfId="4" applyNumberFormat="1" applyFont="1" applyFill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0" fontId="9" fillId="0" borderId="0" xfId="4" applyFont="1" applyAlignment="1">
      <alignment horizontal="center" vertical="center"/>
    </xf>
    <xf numFmtId="44" fontId="10" fillId="2" borderId="26" xfId="4" applyNumberFormat="1" applyFont="1" applyFill="1" applyBorder="1" applyAlignment="1">
      <alignment horizontal="center" vertical="center"/>
    </xf>
    <xf numFmtId="0" fontId="9" fillId="2" borderId="34" xfId="4" applyFont="1" applyFill="1" applyBorder="1" applyAlignment="1">
      <alignment horizontal="center" vertical="center"/>
    </xf>
    <xf numFmtId="0" fontId="9" fillId="2" borderId="0" xfId="4" applyFont="1" applyFill="1" applyAlignment="1">
      <alignment horizontal="center" vertical="center"/>
    </xf>
    <xf numFmtId="0" fontId="9" fillId="0" borderId="26" xfId="4" applyFont="1" applyBorder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0" fontId="9" fillId="0" borderId="11" xfId="4" applyFont="1" applyBorder="1" applyAlignment="1">
      <alignment horizontal="center" vertical="center"/>
    </xf>
    <xf numFmtId="0" fontId="9" fillId="0" borderId="0" xfId="4" applyFont="1" applyAlignment="1">
      <alignment horizontal="center" vertical="center"/>
    </xf>
    <xf numFmtId="0" fontId="9" fillId="0" borderId="3" xfId="11" applyFont="1" applyBorder="1" applyAlignment="1">
      <alignment horizontal="center" vertical="center"/>
    </xf>
    <xf numFmtId="0" fontId="9" fillId="0" borderId="0" xfId="4" applyFont="1" applyAlignment="1">
      <alignment horizontal="center" vertical="center"/>
    </xf>
    <xf numFmtId="0" fontId="9" fillId="0" borderId="26" xfId="4" applyFont="1" applyBorder="1" applyAlignment="1">
      <alignment horizontal="center" vertical="center"/>
    </xf>
    <xf numFmtId="0" fontId="9" fillId="0" borderId="8" xfId="4" applyFont="1" applyFill="1" applyBorder="1" applyAlignment="1">
      <alignment horizontal="center" vertical="center"/>
    </xf>
    <xf numFmtId="164" fontId="9" fillId="0" borderId="53" xfId="4" applyNumberFormat="1" applyFont="1" applyFill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0" fontId="9" fillId="0" borderId="11" xfId="4" applyFont="1" applyBorder="1" applyAlignment="1">
      <alignment horizontal="center" vertical="center"/>
    </xf>
    <xf numFmtId="0" fontId="9" fillId="0" borderId="0" xfId="4" applyFont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0" fontId="6" fillId="0" borderId="0" xfId="4" applyFont="1" applyFill="1" applyBorder="1" applyAlignment="1">
      <alignment vertical="center"/>
    </xf>
    <xf numFmtId="0" fontId="20" fillId="0" borderId="0" xfId="4" applyFont="1" applyFill="1" applyBorder="1" applyAlignment="1">
      <alignment horizontal="left" vertical="center"/>
    </xf>
    <xf numFmtId="165" fontId="9" fillId="0" borderId="11" xfId="4" applyNumberFormat="1" applyFont="1" applyFill="1" applyBorder="1" applyAlignment="1">
      <alignment horizontal="center" vertical="center"/>
    </xf>
    <xf numFmtId="0" fontId="26" fillId="0" borderId="0" xfId="0" applyFont="1" applyAlignment="1">
      <alignment horizontal="center"/>
    </xf>
    <xf numFmtId="0" fontId="25" fillId="0" borderId="0" xfId="7" applyFont="1" applyAlignment="1">
      <alignment horizontal="center" vertical="center"/>
    </xf>
    <xf numFmtId="0" fontId="25" fillId="0" borderId="0" xfId="7" applyFont="1" applyBorder="1" applyAlignment="1">
      <alignment horizontal="center" vertical="center"/>
    </xf>
    <xf numFmtId="0" fontId="6" fillId="0" borderId="0" xfId="7" applyFont="1" applyAlignment="1">
      <alignment horizontal="center"/>
    </xf>
    <xf numFmtId="0" fontId="17" fillId="0" borderId="0" xfId="0" applyFont="1" applyAlignment="1">
      <alignment horizontal="center"/>
    </xf>
    <xf numFmtId="0" fontId="5" fillId="0" borderId="0" xfId="7" applyFont="1" applyAlignment="1">
      <alignment horizontal="center"/>
    </xf>
    <xf numFmtId="0" fontId="27" fillId="0" borderId="84" xfId="7" applyFont="1" applyBorder="1" applyAlignment="1">
      <alignment horizontal="center"/>
    </xf>
    <xf numFmtId="0" fontId="27" fillId="0" borderId="83" xfId="7" applyFont="1" applyBorder="1" applyAlignment="1">
      <alignment horizontal="center"/>
    </xf>
    <xf numFmtId="0" fontId="31" fillId="0" borderId="0" xfId="7" applyFont="1" applyAlignment="1">
      <alignment horizontal="center" vertical="center"/>
    </xf>
    <xf numFmtId="0" fontId="31" fillId="0" borderId="0" xfId="7" applyFont="1" applyBorder="1" applyAlignment="1">
      <alignment horizontal="center" vertical="center"/>
    </xf>
    <xf numFmtId="0" fontId="33" fillId="0" borderId="0" xfId="7" applyFont="1" applyAlignment="1">
      <alignment horizontal="center"/>
    </xf>
    <xf numFmtId="0" fontId="34" fillId="0" borderId="0" xfId="0" applyFont="1" applyAlignment="1">
      <alignment horizontal="center"/>
    </xf>
    <xf numFmtId="0" fontId="31" fillId="0" borderId="0" xfId="7" applyFont="1" applyAlignment="1">
      <alignment horizontal="center"/>
    </xf>
    <xf numFmtId="0" fontId="40" fillId="2" borderId="14" xfId="4" applyFont="1" applyFill="1" applyBorder="1" applyAlignment="1">
      <alignment horizontal="left" vertical="center" wrapText="1"/>
    </xf>
    <xf numFmtId="0" fontId="40" fillId="2" borderId="108" xfId="4" applyFont="1" applyFill="1" applyBorder="1" applyAlignment="1">
      <alignment horizontal="left" vertical="center"/>
    </xf>
    <xf numFmtId="0" fontId="40" fillId="2" borderId="109" xfId="4" applyFont="1" applyFill="1" applyBorder="1" applyAlignment="1">
      <alignment horizontal="left" vertical="center"/>
    </xf>
    <xf numFmtId="0" fontId="9" fillId="0" borderId="26" xfId="4" applyFont="1" applyBorder="1" applyAlignment="1">
      <alignment horizontal="center" vertical="center"/>
    </xf>
    <xf numFmtId="44" fontId="13" fillId="0" borderId="14" xfId="5" applyFont="1" applyFill="1" applyBorder="1" applyAlignment="1">
      <alignment horizontal="center" vertical="center"/>
    </xf>
    <xf numFmtId="44" fontId="13" fillId="0" borderId="15" xfId="5" applyFont="1" applyFill="1" applyBorder="1" applyAlignment="1">
      <alignment horizontal="center" vertical="center"/>
    </xf>
    <xf numFmtId="0" fontId="16" fillId="0" borderId="0" xfId="4" applyFont="1" applyAlignment="1">
      <alignment horizontal="center" vertical="center"/>
    </xf>
    <xf numFmtId="44" fontId="13" fillId="0" borderId="14" xfId="5" applyFont="1" applyBorder="1" applyAlignment="1">
      <alignment horizontal="center" vertical="center"/>
    </xf>
    <xf numFmtId="44" fontId="13" fillId="0" borderId="15" xfId="5" applyFont="1" applyBorder="1" applyAlignment="1">
      <alignment horizontal="center" vertical="center"/>
    </xf>
    <xf numFmtId="0" fontId="9" fillId="0" borderId="24" xfId="4" applyFont="1" applyBorder="1" applyAlignment="1">
      <alignment horizontal="center" vertical="center"/>
    </xf>
    <xf numFmtId="0" fontId="9" fillId="0" borderId="25" xfId="4" applyFont="1" applyBorder="1" applyAlignment="1">
      <alignment horizontal="center" vertical="center"/>
    </xf>
    <xf numFmtId="44" fontId="13" fillId="0" borderId="17" xfId="5" applyFont="1" applyBorder="1" applyAlignment="1">
      <alignment horizontal="center" vertical="center"/>
    </xf>
    <xf numFmtId="44" fontId="13" fillId="0" borderId="18" xfId="5" applyFont="1" applyBorder="1" applyAlignment="1">
      <alignment horizontal="center" vertical="center"/>
    </xf>
    <xf numFmtId="0" fontId="6" fillId="0" borderId="46" xfId="4" applyNumberFormat="1" applyFont="1" applyBorder="1" applyAlignment="1">
      <alignment horizontal="center" vertical="center"/>
    </xf>
    <xf numFmtId="0" fontId="6" fillId="0" borderId="47" xfId="4" applyNumberFormat="1" applyFont="1" applyBorder="1" applyAlignment="1">
      <alignment horizontal="center" vertical="center"/>
    </xf>
    <xf numFmtId="44" fontId="14" fillId="0" borderId="47" xfId="4" applyNumberFormat="1" applyFont="1" applyBorder="1" applyAlignment="1">
      <alignment horizontal="center" vertical="center"/>
    </xf>
    <xf numFmtId="0" fontId="14" fillId="0" borderId="47" xfId="4" applyFont="1" applyBorder="1" applyAlignment="1">
      <alignment horizontal="center" vertical="center"/>
    </xf>
    <xf numFmtId="44" fontId="13" fillId="0" borderId="26" xfId="5" applyFont="1" applyBorder="1" applyAlignment="1">
      <alignment horizontal="center" vertical="center"/>
    </xf>
    <xf numFmtId="44" fontId="13" fillId="0" borderId="11" xfId="5" applyFont="1" applyBorder="1" applyAlignment="1">
      <alignment horizontal="center" vertical="center"/>
    </xf>
    <xf numFmtId="0" fontId="7" fillId="0" borderId="1" xfId="4" applyFont="1" applyFill="1" applyBorder="1" applyAlignment="1">
      <alignment horizontal="center" vertical="center"/>
    </xf>
    <xf numFmtId="0" fontId="7" fillId="0" borderId="21" xfId="4" applyFont="1" applyFill="1" applyBorder="1" applyAlignment="1">
      <alignment horizontal="center" vertical="center"/>
    </xf>
    <xf numFmtId="0" fontId="9" fillId="0" borderId="17" xfId="4" applyFont="1" applyFill="1" applyBorder="1" applyAlignment="1">
      <alignment horizontal="center" vertical="center"/>
    </xf>
    <xf numFmtId="0" fontId="9" fillId="0" borderId="18" xfId="4" applyFont="1" applyFill="1" applyBorder="1" applyAlignment="1">
      <alignment horizontal="center" vertical="center"/>
    </xf>
    <xf numFmtId="164" fontId="12" fillId="0" borderId="41" xfId="4" applyNumberFormat="1" applyFont="1" applyBorder="1" applyAlignment="1">
      <alignment horizontal="center" vertical="center"/>
    </xf>
    <xf numFmtId="164" fontId="12" fillId="0" borderId="27" xfId="4" applyNumberFormat="1" applyFont="1" applyBorder="1" applyAlignment="1">
      <alignment horizontal="center" vertical="center"/>
    </xf>
    <xf numFmtId="0" fontId="7" fillId="0" borderId="22" xfId="4" applyFont="1" applyFill="1" applyBorder="1" applyAlignment="1">
      <alignment horizontal="center" vertical="center"/>
    </xf>
    <xf numFmtId="0" fontId="9" fillId="0" borderId="65" xfId="4" applyNumberFormat="1" applyFont="1" applyFill="1" applyBorder="1" applyAlignment="1">
      <alignment horizontal="center" vertical="center"/>
    </xf>
    <xf numFmtId="0" fontId="9" fillId="0" borderId="66" xfId="4" applyNumberFormat="1" applyFont="1" applyFill="1" applyBorder="1" applyAlignment="1">
      <alignment horizontal="center" vertical="center"/>
    </xf>
    <xf numFmtId="0" fontId="5" fillId="0" borderId="0" xfId="4" applyNumberFormat="1" applyFont="1" applyAlignment="1">
      <alignment horizontal="center"/>
    </xf>
    <xf numFmtId="0" fontId="6" fillId="0" borderId="28" xfId="4" applyFont="1" applyFill="1" applyBorder="1" applyAlignment="1">
      <alignment horizontal="center" vertical="center"/>
    </xf>
    <xf numFmtId="0" fontId="6" fillId="0" borderId="29" xfId="4" applyFont="1" applyFill="1" applyBorder="1" applyAlignment="1">
      <alignment horizontal="center" vertical="center"/>
    </xf>
    <xf numFmtId="0" fontId="6" fillId="0" borderId="30" xfId="4" applyFont="1" applyFill="1" applyBorder="1" applyAlignment="1">
      <alignment horizontal="center" vertical="center"/>
    </xf>
    <xf numFmtId="0" fontId="7" fillId="0" borderId="9" xfId="4" applyFont="1" applyFill="1" applyBorder="1" applyAlignment="1">
      <alignment horizontal="center" vertical="center"/>
    </xf>
    <xf numFmtId="0" fontId="8" fillId="0" borderId="10" xfId="4" applyFont="1" applyFill="1" applyBorder="1" applyAlignment="1">
      <alignment horizontal="center" vertical="center"/>
    </xf>
    <xf numFmtId="0" fontId="9" fillId="0" borderId="61" xfId="4" applyFont="1" applyFill="1" applyBorder="1" applyAlignment="1">
      <alignment horizontal="center" vertical="center"/>
    </xf>
    <xf numFmtId="0" fontId="9" fillId="0" borderId="62" xfId="4" applyFont="1" applyFill="1" applyBorder="1" applyAlignment="1">
      <alignment horizontal="center" vertical="center"/>
    </xf>
    <xf numFmtId="164" fontId="9" fillId="0" borderId="67" xfId="4" applyNumberFormat="1" applyFont="1" applyFill="1" applyBorder="1" applyAlignment="1">
      <alignment horizontal="center" vertical="center"/>
    </xf>
    <xf numFmtId="164" fontId="9" fillId="0" borderId="60" xfId="4" applyNumberFormat="1" applyFont="1" applyFill="1" applyBorder="1" applyAlignment="1">
      <alignment horizontal="center" vertical="center"/>
    </xf>
    <xf numFmtId="0" fontId="9" fillId="0" borderId="14" xfId="4" applyFont="1" applyFill="1" applyBorder="1" applyAlignment="1">
      <alignment horizontal="center" vertical="center"/>
    </xf>
    <xf numFmtId="0" fontId="9" fillId="0" borderId="15" xfId="4" applyFont="1" applyFill="1" applyBorder="1" applyAlignment="1">
      <alignment horizontal="center" vertical="center"/>
    </xf>
    <xf numFmtId="0" fontId="9" fillId="0" borderId="49" xfId="4" applyFont="1" applyFill="1" applyBorder="1" applyAlignment="1">
      <alignment horizontal="center" vertical="center"/>
    </xf>
    <xf numFmtId="0" fontId="9" fillId="0" borderId="50" xfId="4" applyFont="1" applyFill="1" applyBorder="1" applyAlignment="1">
      <alignment horizontal="center" vertical="center"/>
    </xf>
    <xf numFmtId="0" fontId="5" fillId="0" borderId="105" xfId="4" applyFont="1" applyFill="1" applyBorder="1" applyAlignment="1">
      <alignment horizontal="center" vertical="center"/>
    </xf>
    <xf numFmtId="0" fontId="5" fillId="0" borderId="106" xfId="4" applyFont="1" applyFill="1" applyBorder="1" applyAlignment="1">
      <alignment horizontal="center" vertical="center"/>
    </xf>
    <xf numFmtId="0" fontId="5" fillId="0" borderId="70" xfId="4" applyFont="1" applyFill="1" applyBorder="1" applyAlignment="1">
      <alignment horizontal="center" vertical="center"/>
    </xf>
    <xf numFmtId="0" fontId="5" fillId="0" borderId="0" xfId="4" applyFont="1" applyFill="1" applyBorder="1" applyAlignment="1">
      <alignment horizontal="center" vertical="center"/>
    </xf>
    <xf numFmtId="0" fontId="11" fillId="0" borderId="23" xfId="6" applyFont="1" applyFill="1" applyBorder="1" applyAlignment="1" applyProtection="1">
      <alignment horizontal="center" vertical="center"/>
    </xf>
    <xf numFmtId="0" fontId="7" fillId="0" borderId="40" xfId="4" applyFont="1" applyFill="1" applyBorder="1" applyAlignment="1">
      <alignment horizontal="center" vertical="center"/>
    </xf>
    <xf numFmtId="44" fontId="13" fillId="0" borderId="49" xfId="5" applyFont="1" applyBorder="1" applyAlignment="1">
      <alignment horizontal="center" vertical="center"/>
    </xf>
    <xf numFmtId="44" fontId="13" fillId="0" borderId="50" xfId="5" applyFont="1" applyBorder="1" applyAlignment="1">
      <alignment horizontal="center" vertical="center"/>
    </xf>
    <xf numFmtId="0" fontId="9" fillId="0" borderId="61" xfId="4" applyFont="1" applyBorder="1" applyAlignment="1">
      <alignment horizontal="center" vertical="center"/>
    </xf>
    <xf numFmtId="0" fontId="9" fillId="0" borderId="62" xfId="4" applyFont="1" applyBorder="1" applyAlignment="1">
      <alignment horizontal="center" vertical="center"/>
    </xf>
    <xf numFmtId="0" fontId="9" fillId="0" borderId="52" xfId="4" applyFont="1" applyFill="1" applyBorder="1" applyAlignment="1">
      <alignment horizontal="center" vertical="center"/>
    </xf>
    <xf numFmtId="0" fontId="9" fillId="0" borderId="8" xfId="4" applyFont="1" applyFill="1" applyBorder="1" applyAlignment="1">
      <alignment horizontal="center" vertical="center"/>
    </xf>
    <xf numFmtId="0" fontId="9" fillId="0" borderId="66" xfId="4" applyFont="1" applyFill="1" applyBorder="1" applyAlignment="1">
      <alignment horizontal="center" vertical="center"/>
    </xf>
    <xf numFmtId="0" fontId="9" fillId="0" borderId="14" xfId="4" applyFont="1" applyBorder="1" applyAlignment="1">
      <alignment horizontal="center" vertical="center"/>
    </xf>
    <xf numFmtId="0" fontId="9" fillId="0" borderId="15" xfId="4" applyFont="1" applyBorder="1" applyAlignment="1">
      <alignment horizontal="center" vertical="center"/>
    </xf>
    <xf numFmtId="0" fontId="9" fillId="0" borderId="49" xfId="4" applyFont="1" applyFill="1" applyBorder="1" applyAlignment="1">
      <alignment horizontal="left" vertical="center"/>
    </xf>
    <xf numFmtId="0" fontId="9" fillId="0" borderId="50" xfId="4" applyFont="1" applyFill="1" applyBorder="1" applyAlignment="1">
      <alignment horizontal="left" vertical="center"/>
    </xf>
    <xf numFmtId="0" fontId="9" fillId="0" borderId="67" xfId="4" applyNumberFormat="1" applyFont="1" applyFill="1" applyBorder="1" applyAlignment="1">
      <alignment horizontal="center" vertical="center"/>
    </xf>
    <xf numFmtId="0" fontId="9" fillId="0" borderId="60" xfId="4" applyNumberFormat="1" applyFont="1" applyFill="1" applyBorder="1" applyAlignment="1">
      <alignment horizontal="center" vertical="center"/>
    </xf>
    <xf numFmtId="0" fontId="6" fillId="0" borderId="56" xfId="4" applyFont="1" applyFill="1" applyBorder="1" applyAlignment="1">
      <alignment horizontal="center" vertical="center"/>
    </xf>
    <xf numFmtId="0" fontId="6" fillId="0" borderId="57" xfId="4" applyFont="1" applyFill="1" applyBorder="1" applyAlignment="1">
      <alignment horizontal="center" vertical="center"/>
    </xf>
    <xf numFmtId="0" fontId="11" fillId="0" borderId="68" xfId="6" applyFont="1" applyFill="1" applyBorder="1" applyAlignment="1" applyProtection="1">
      <alignment horizontal="center" vertical="center"/>
    </xf>
    <xf numFmtId="0" fontId="7" fillId="0" borderId="69" xfId="4" applyFont="1" applyFill="1" applyBorder="1" applyAlignment="1">
      <alignment horizontal="center" vertical="center"/>
    </xf>
    <xf numFmtId="0" fontId="9" fillId="2" borderId="70" xfId="4" applyFont="1" applyFill="1" applyBorder="1" applyAlignment="1">
      <alignment horizontal="center" vertical="center"/>
    </xf>
    <xf numFmtId="0" fontId="9" fillId="2" borderId="0" xfId="4" applyFont="1" applyFill="1" applyBorder="1" applyAlignment="1">
      <alignment horizontal="center" vertical="center"/>
    </xf>
    <xf numFmtId="0" fontId="9" fillId="0" borderId="49" xfId="4" applyFont="1" applyBorder="1" applyAlignment="1">
      <alignment horizontal="center" vertical="center"/>
    </xf>
    <xf numFmtId="0" fontId="9" fillId="0" borderId="50" xfId="4" applyFont="1" applyBorder="1" applyAlignment="1">
      <alignment horizontal="center" vertical="center"/>
    </xf>
    <xf numFmtId="44" fontId="13" fillId="0" borderId="24" xfId="5" applyFont="1" applyBorder="1" applyAlignment="1">
      <alignment horizontal="center" vertical="center"/>
    </xf>
    <xf numFmtId="44" fontId="13" fillId="0" borderId="25" xfId="5" applyFont="1" applyBorder="1" applyAlignment="1">
      <alignment horizontal="center" vertical="center"/>
    </xf>
    <xf numFmtId="0" fontId="9" fillId="0" borderId="112" xfId="4" applyFont="1" applyFill="1" applyBorder="1" applyAlignment="1">
      <alignment horizontal="center" vertical="center"/>
    </xf>
    <xf numFmtId="0" fontId="9" fillId="0" borderId="9" xfId="4" applyFont="1" applyFill="1" applyBorder="1" applyAlignment="1">
      <alignment horizontal="center" vertical="center"/>
    </xf>
    <xf numFmtId="0" fontId="9" fillId="0" borderId="79" xfId="4" applyFont="1" applyFill="1" applyBorder="1" applyAlignment="1">
      <alignment horizontal="center" vertical="center"/>
    </xf>
    <xf numFmtId="0" fontId="9" fillId="0" borderId="0" xfId="4" applyFont="1" applyFill="1" applyBorder="1" applyAlignment="1">
      <alignment horizontal="center" vertical="center"/>
    </xf>
    <xf numFmtId="0" fontId="9" fillId="0" borderId="113" xfId="4" applyFont="1" applyFill="1" applyBorder="1" applyAlignment="1">
      <alignment horizontal="center" vertical="center"/>
    </xf>
    <xf numFmtId="0" fontId="6" fillId="0" borderId="77" xfId="4" applyNumberFormat="1" applyFont="1" applyBorder="1" applyAlignment="1">
      <alignment horizontal="center" vertical="center"/>
    </xf>
    <xf numFmtId="0" fontId="6" fillId="0" borderId="71" xfId="4" applyNumberFormat="1" applyFont="1" applyBorder="1" applyAlignment="1">
      <alignment horizontal="center" vertical="center"/>
    </xf>
    <xf numFmtId="44" fontId="14" fillId="0" borderId="71" xfId="4" applyNumberFormat="1" applyFont="1" applyBorder="1" applyAlignment="1">
      <alignment horizontal="center" vertical="center"/>
    </xf>
    <xf numFmtId="0" fontId="14" fillId="0" borderId="71" xfId="4" applyFont="1" applyBorder="1" applyAlignment="1">
      <alignment horizontal="center" vertical="center"/>
    </xf>
    <xf numFmtId="44" fontId="13" fillId="0" borderId="3" xfId="5" applyFont="1" applyBorder="1" applyAlignment="1">
      <alignment horizontal="center" vertical="center"/>
    </xf>
    <xf numFmtId="44" fontId="13" fillId="0" borderId="3" xfId="5" applyFont="1" applyFill="1" applyBorder="1" applyAlignment="1">
      <alignment horizontal="center" vertical="center"/>
    </xf>
    <xf numFmtId="44" fontId="13" fillId="0" borderId="103" xfId="5" applyFont="1" applyBorder="1" applyAlignment="1">
      <alignment horizontal="center" vertical="center"/>
    </xf>
    <xf numFmtId="44" fontId="13" fillId="0" borderId="104" xfId="5" applyFont="1" applyBorder="1" applyAlignment="1">
      <alignment horizontal="center" vertical="center"/>
    </xf>
    <xf numFmtId="164" fontId="12" fillId="0" borderId="73" xfId="4" applyNumberFormat="1" applyFont="1" applyBorder="1" applyAlignment="1">
      <alignment horizontal="center" vertical="center"/>
    </xf>
    <xf numFmtId="164" fontId="12" fillId="0" borderId="74" xfId="4" applyNumberFormat="1" applyFont="1" applyBorder="1" applyAlignment="1">
      <alignment horizontal="center" vertical="center"/>
    </xf>
    <xf numFmtId="0" fontId="9" fillId="0" borderId="3" xfId="4" applyFont="1" applyBorder="1" applyAlignment="1">
      <alignment horizontal="center" vertical="center"/>
    </xf>
    <xf numFmtId="164" fontId="9" fillId="0" borderId="53" xfId="4" applyNumberFormat="1" applyFont="1" applyFill="1" applyBorder="1" applyAlignment="1">
      <alignment horizontal="center" vertical="center"/>
    </xf>
    <xf numFmtId="164" fontId="9" fillId="0" borderId="52" xfId="4" applyNumberFormat="1" applyFont="1" applyFill="1" applyBorder="1" applyAlignment="1">
      <alignment horizontal="center" vertical="center"/>
    </xf>
    <xf numFmtId="0" fontId="9" fillId="0" borderId="43" xfId="4" applyNumberFormat="1" applyFont="1" applyFill="1" applyBorder="1" applyAlignment="1">
      <alignment horizontal="center" vertical="center"/>
    </xf>
    <xf numFmtId="0" fontId="9" fillId="0" borderId="26" xfId="4" applyNumberFormat="1" applyFont="1" applyFill="1" applyBorder="1" applyAlignment="1">
      <alignment horizontal="center" vertical="center"/>
    </xf>
    <xf numFmtId="0" fontId="6" fillId="0" borderId="70" xfId="4" applyFont="1" applyFill="1" applyBorder="1" applyAlignment="1">
      <alignment horizontal="center" vertical="center"/>
    </xf>
    <xf numFmtId="0" fontId="6" fillId="0" borderId="0" xfId="4" applyFont="1" applyFill="1" applyBorder="1" applyAlignment="1">
      <alignment horizontal="center" vertical="center"/>
    </xf>
    <xf numFmtId="0" fontId="9" fillId="0" borderId="70" xfId="4" applyFont="1" applyFill="1" applyBorder="1" applyAlignment="1">
      <alignment horizontal="center" vertical="center"/>
    </xf>
    <xf numFmtId="0" fontId="9" fillId="0" borderId="0" xfId="4" applyFont="1" applyFill="1" applyAlignment="1">
      <alignment horizontal="center" vertical="center"/>
    </xf>
    <xf numFmtId="0" fontId="9" fillId="0" borderId="11" xfId="4" applyFont="1" applyBorder="1" applyAlignment="1">
      <alignment horizontal="center" vertical="center" wrapText="1"/>
    </xf>
    <xf numFmtId="0" fontId="9" fillId="0" borderId="11" xfId="4" applyFont="1" applyBorder="1" applyAlignment="1">
      <alignment horizontal="center" vertical="center"/>
    </xf>
    <xf numFmtId="0" fontId="9" fillId="0" borderId="14" xfId="4" applyFont="1" applyFill="1" applyBorder="1" applyAlignment="1">
      <alignment horizontal="center" vertical="center" wrapText="1"/>
    </xf>
    <xf numFmtId="0" fontId="9" fillId="0" borderId="14" xfId="4" applyFont="1" applyBorder="1" applyAlignment="1">
      <alignment horizontal="center" vertical="center" wrapText="1"/>
    </xf>
    <xf numFmtId="0" fontId="9" fillId="0" borderId="108" xfId="4" applyFont="1" applyBorder="1" applyAlignment="1">
      <alignment horizontal="center" vertical="center"/>
    </xf>
    <xf numFmtId="0" fontId="9" fillId="0" borderId="109" xfId="4" applyFont="1" applyBorder="1" applyAlignment="1">
      <alignment horizontal="center" vertical="center"/>
    </xf>
    <xf numFmtId="0" fontId="9" fillId="0" borderId="15" xfId="4" applyFont="1" applyFill="1" applyBorder="1" applyAlignment="1">
      <alignment horizontal="center" vertical="center" wrapText="1"/>
    </xf>
    <xf numFmtId="0" fontId="7" fillId="0" borderId="79" xfId="4" applyFont="1" applyFill="1" applyBorder="1" applyAlignment="1">
      <alignment horizontal="center" vertical="center"/>
    </xf>
    <xf numFmtId="0" fontId="7" fillId="0" borderId="80" xfId="4" applyFont="1" applyFill="1" applyBorder="1" applyAlignment="1">
      <alignment horizontal="center" vertical="center"/>
    </xf>
    <xf numFmtId="0" fontId="9" fillId="0" borderId="70" xfId="4" applyFont="1" applyBorder="1" applyAlignment="1">
      <alignment horizontal="center" vertical="center"/>
    </xf>
    <xf numFmtId="0" fontId="9" fillId="0" borderId="0" xfId="4" applyFont="1" applyAlignment="1">
      <alignment horizontal="center" vertical="center"/>
    </xf>
    <xf numFmtId="0" fontId="9" fillId="0" borderId="103" xfId="4" applyFont="1" applyBorder="1" applyAlignment="1">
      <alignment horizontal="center" vertical="center"/>
    </xf>
    <xf numFmtId="0" fontId="9" fillId="0" borderId="3" xfId="4" applyFont="1" applyFill="1" applyBorder="1" applyAlignment="1">
      <alignment horizontal="center" vertical="center"/>
    </xf>
    <xf numFmtId="165" fontId="7" fillId="0" borderId="9" xfId="4" applyNumberFormat="1" applyFont="1" applyFill="1" applyBorder="1" applyAlignment="1">
      <alignment horizontal="center" vertical="center"/>
    </xf>
    <xf numFmtId="165" fontId="8" fillId="0" borderId="10" xfId="4" applyNumberFormat="1" applyFont="1" applyFill="1" applyBorder="1" applyAlignment="1">
      <alignment horizontal="center" vertical="center"/>
    </xf>
    <xf numFmtId="165" fontId="9" fillId="0" borderId="49" xfId="4" applyNumberFormat="1" applyFont="1" applyFill="1" applyBorder="1" applyAlignment="1">
      <alignment horizontal="center" vertical="center"/>
    </xf>
    <xf numFmtId="165" fontId="9" fillId="0" borderId="50" xfId="4" applyNumberFormat="1" applyFont="1" applyFill="1" applyBorder="1" applyAlignment="1">
      <alignment horizontal="center" vertical="center"/>
    </xf>
    <xf numFmtId="165" fontId="9" fillId="0" borderId="14" xfId="4" applyNumberFormat="1" applyFont="1" applyFill="1" applyBorder="1" applyAlignment="1">
      <alignment horizontal="center" vertical="center"/>
    </xf>
    <xf numFmtId="165" fontId="9" fillId="0" borderId="15" xfId="4" applyNumberFormat="1" applyFont="1" applyFill="1" applyBorder="1" applyAlignment="1">
      <alignment horizontal="center" vertical="center"/>
    </xf>
    <xf numFmtId="165" fontId="9" fillId="0" borderId="17" xfId="4" applyNumberFormat="1" applyFont="1" applyFill="1" applyBorder="1" applyAlignment="1">
      <alignment horizontal="center" vertical="center"/>
    </xf>
    <xf numFmtId="165" fontId="9" fillId="0" borderId="18" xfId="4" applyNumberFormat="1" applyFont="1" applyFill="1" applyBorder="1" applyAlignment="1">
      <alignment horizontal="center" vertical="center"/>
    </xf>
    <xf numFmtId="0" fontId="20" fillId="0" borderId="110" xfId="4" applyFont="1" applyFill="1" applyBorder="1" applyAlignment="1">
      <alignment horizontal="center" vertical="center"/>
    </xf>
    <xf numFmtId="1" fontId="20" fillId="0" borderId="110" xfId="4" applyNumberFormat="1" applyFont="1" applyFill="1" applyBorder="1" applyAlignment="1">
      <alignment horizontal="center" vertical="center"/>
    </xf>
    <xf numFmtId="1" fontId="20" fillId="0" borderId="111" xfId="4" applyNumberFormat="1" applyFont="1" applyFill="1" applyBorder="1" applyAlignment="1">
      <alignment horizontal="center" vertical="center"/>
    </xf>
    <xf numFmtId="165" fontId="7" fillId="0" borderId="22" xfId="4" applyNumberFormat="1" applyFont="1" applyFill="1" applyBorder="1" applyAlignment="1">
      <alignment horizontal="center" vertical="center"/>
    </xf>
    <xf numFmtId="165" fontId="7" fillId="0" borderId="1" xfId="4" applyNumberFormat="1" applyFont="1" applyFill="1" applyBorder="1" applyAlignment="1">
      <alignment horizontal="center" vertical="center"/>
    </xf>
    <xf numFmtId="44" fontId="13" fillId="2" borderId="14" xfId="5" applyFont="1" applyFill="1" applyBorder="1" applyAlignment="1">
      <alignment horizontal="center" vertical="center"/>
    </xf>
    <xf numFmtId="44" fontId="13" fillId="2" borderId="15" xfId="5" applyFont="1" applyFill="1" applyBorder="1" applyAlignment="1">
      <alignment horizontal="center" vertical="center"/>
    </xf>
    <xf numFmtId="164" fontId="9" fillId="0" borderId="63" xfId="4" applyNumberFormat="1" applyFont="1" applyFill="1" applyBorder="1" applyAlignment="1">
      <alignment horizontal="center" vertical="center"/>
    </xf>
    <xf numFmtId="164" fontId="9" fillId="0" borderId="20" xfId="4" applyNumberFormat="1" applyFont="1" applyFill="1" applyBorder="1" applyAlignment="1">
      <alignment horizontal="center" vertical="center"/>
    </xf>
    <xf numFmtId="164" fontId="9" fillId="0" borderId="64" xfId="4" applyNumberFormat="1" applyFont="1" applyFill="1" applyBorder="1" applyAlignment="1">
      <alignment horizontal="center" vertical="center"/>
    </xf>
    <xf numFmtId="0" fontId="9" fillId="0" borderId="26" xfId="4" applyFont="1" applyFill="1" applyBorder="1" applyAlignment="1">
      <alignment horizontal="center" vertical="center"/>
    </xf>
    <xf numFmtId="0" fontId="9" fillId="0" borderId="11" xfId="4" applyFont="1" applyFill="1" applyBorder="1" applyAlignment="1">
      <alignment horizontal="center" vertical="center"/>
    </xf>
    <xf numFmtId="0" fontId="9" fillId="0" borderId="12" xfId="4" applyFont="1" applyFill="1" applyBorder="1" applyAlignment="1">
      <alignment horizontal="center" vertical="center"/>
    </xf>
    <xf numFmtId="0" fontId="9" fillId="0" borderId="16" xfId="4" applyFont="1" applyFill="1" applyBorder="1" applyAlignment="1">
      <alignment horizontal="center" vertical="center"/>
    </xf>
    <xf numFmtId="0" fontId="9" fillId="7" borderId="70" xfId="4" applyFont="1" applyFill="1" applyBorder="1" applyAlignment="1">
      <alignment horizontal="center" vertical="center"/>
    </xf>
    <xf numFmtId="0" fontId="9" fillId="7" borderId="0" xfId="4" applyFont="1" applyFill="1" applyBorder="1" applyAlignment="1">
      <alignment horizontal="center" vertical="center"/>
    </xf>
    <xf numFmtId="0" fontId="9" fillId="8" borderId="70" xfId="4" applyFont="1" applyFill="1" applyBorder="1" applyAlignment="1">
      <alignment horizontal="center" vertical="center"/>
    </xf>
    <xf numFmtId="0" fontId="9" fillId="8" borderId="0" xfId="4" applyFont="1" applyFill="1" applyAlignment="1">
      <alignment horizontal="center" vertical="center"/>
    </xf>
    <xf numFmtId="0" fontId="9" fillId="0" borderId="39" xfId="4" applyNumberFormat="1" applyFont="1" applyFill="1" applyBorder="1" applyAlignment="1">
      <alignment horizontal="center" vertical="center"/>
    </xf>
    <xf numFmtId="0" fontId="9" fillId="0" borderId="19" xfId="4" applyNumberFormat="1" applyFont="1" applyFill="1" applyBorder="1" applyAlignment="1">
      <alignment horizontal="center" vertical="center"/>
    </xf>
    <xf numFmtId="0" fontId="9" fillId="0" borderId="20" xfId="4" applyNumberFormat="1" applyFont="1" applyFill="1" applyBorder="1" applyAlignment="1">
      <alignment horizontal="center" vertical="center"/>
    </xf>
    <xf numFmtId="0" fontId="9" fillId="0" borderId="64" xfId="4" applyNumberFormat="1" applyFont="1" applyFill="1" applyBorder="1" applyAlignment="1">
      <alignment horizontal="center" vertical="center"/>
    </xf>
    <xf numFmtId="0" fontId="5" fillId="0" borderId="61" xfId="4" applyFont="1" applyFill="1" applyBorder="1" applyAlignment="1">
      <alignment horizontal="center" vertical="center"/>
    </xf>
    <xf numFmtId="0" fontId="5" fillId="0" borderId="62" xfId="4" applyFont="1" applyFill="1" applyBorder="1" applyAlignment="1">
      <alignment horizontal="center" vertical="center"/>
    </xf>
    <xf numFmtId="0" fontId="6" fillId="0" borderId="77" xfId="11" applyNumberFormat="1" applyFont="1" applyBorder="1" applyAlignment="1">
      <alignment horizontal="center" vertical="center"/>
    </xf>
    <xf numFmtId="0" fontId="6" fillId="0" borderId="71" xfId="11" applyNumberFormat="1" applyFont="1" applyBorder="1" applyAlignment="1">
      <alignment horizontal="center" vertical="center"/>
    </xf>
    <xf numFmtId="44" fontId="14" fillId="0" borderId="71" xfId="11" applyNumberFormat="1" applyFont="1" applyBorder="1" applyAlignment="1">
      <alignment horizontal="center" vertical="center"/>
    </xf>
    <xf numFmtId="0" fontId="14" fillId="0" borderId="71" xfId="11" applyFont="1" applyBorder="1" applyAlignment="1">
      <alignment horizontal="center" vertical="center"/>
    </xf>
    <xf numFmtId="0" fontId="16" fillId="0" borderId="0" xfId="11" applyFont="1" applyAlignment="1">
      <alignment horizontal="center" vertical="center"/>
    </xf>
    <xf numFmtId="0" fontId="9" fillId="0" borderId="14" xfId="11" applyFont="1" applyBorder="1" applyAlignment="1">
      <alignment horizontal="center" vertical="center"/>
    </xf>
    <xf numFmtId="0" fontId="9" fillId="0" borderId="103" xfId="11" applyFont="1" applyBorder="1" applyAlignment="1">
      <alignment horizontal="center" vertical="center"/>
    </xf>
    <xf numFmtId="44" fontId="13" fillId="0" borderId="3" xfId="9" applyFont="1" applyBorder="1" applyAlignment="1">
      <alignment horizontal="center" vertical="center"/>
    </xf>
    <xf numFmtId="0" fontId="9" fillId="0" borderId="3" xfId="11" applyFont="1" applyFill="1" applyBorder="1" applyAlignment="1">
      <alignment horizontal="center" vertical="center"/>
    </xf>
    <xf numFmtId="44" fontId="13" fillId="0" borderId="3" xfId="9" applyFont="1" applyFill="1" applyBorder="1" applyAlignment="1">
      <alignment horizontal="center" vertical="center"/>
    </xf>
    <xf numFmtId="44" fontId="13" fillId="0" borderId="104" xfId="9" applyFont="1" applyBorder="1" applyAlignment="1">
      <alignment horizontal="center" vertical="center"/>
    </xf>
    <xf numFmtId="44" fontId="13" fillId="0" borderId="103" xfId="9" applyFont="1" applyBorder="1" applyAlignment="1">
      <alignment horizontal="center" vertical="center"/>
    </xf>
    <xf numFmtId="0" fontId="7" fillId="0" borderId="69" xfId="11" applyFont="1" applyFill="1" applyBorder="1" applyAlignment="1">
      <alignment horizontal="center" vertical="center"/>
    </xf>
    <xf numFmtId="164" fontId="12" fillId="0" borderId="73" xfId="11" applyNumberFormat="1" applyFont="1" applyBorder="1" applyAlignment="1">
      <alignment horizontal="center" vertical="center"/>
    </xf>
    <xf numFmtId="164" fontId="12" fillId="0" borderId="74" xfId="11" applyNumberFormat="1" applyFont="1" applyBorder="1" applyAlignment="1">
      <alignment horizontal="center" vertical="center"/>
    </xf>
    <xf numFmtId="0" fontId="9" fillId="0" borderId="3" xfId="11" applyFont="1" applyBorder="1" applyAlignment="1">
      <alignment horizontal="center" vertical="center"/>
    </xf>
    <xf numFmtId="0" fontId="7" fillId="0" borderId="1" xfId="11" applyFont="1" applyFill="1" applyBorder="1" applyAlignment="1">
      <alignment horizontal="center" vertical="center"/>
    </xf>
    <xf numFmtId="0" fontId="7" fillId="0" borderId="21" xfId="11" applyFont="1" applyFill="1" applyBorder="1" applyAlignment="1">
      <alignment horizontal="center" vertical="center"/>
    </xf>
    <xf numFmtId="0" fontId="7" fillId="0" borderId="22" xfId="11" applyFont="1" applyFill="1" applyBorder="1" applyAlignment="1">
      <alignment horizontal="center" vertical="center"/>
    </xf>
    <xf numFmtId="0" fontId="5" fillId="0" borderId="0" xfId="11" applyNumberFormat="1" applyFont="1" applyAlignment="1">
      <alignment horizontal="center"/>
    </xf>
    <xf numFmtId="0" fontId="6" fillId="0" borderId="28" xfId="11" applyFont="1" applyFill="1" applyBorder="1" applyAlignment="1">
      <alignment horizontal="center" vertical="center"/>
    </xf>
    <xf numFmtId="0" fontId="6" fillId="0" borderId="29" xfId="11" applyFont="1" applyFill="1" applyBorder="1" applyAlignment="1">
      <alignment horizontal="center" vertical="center"/>
    </xf>
    <xf numFmtId="0" fontId="6" fillId="0" borderId="30" xfId="11" applyFont="1" applyFill="1" applyBorder="1" applyAlignment="1">
      <alignment horizontal="center" vertical="center"/>
    </xf>
    <xf numFmtId="0" fontId="7" fillId="0" borderId="9" xfId="11" applyFont="1" applyFill="1" applyBorder="1" applyAlignment="1">
      <alignment horizontal="center" vertical="center"/>
    </xf>
    <xf numFmtId="0" fontId="8" fillId="0" borderId="10" xfId="11" applyFont="1" applyFill="1" applyBorder="1" applyAlignment="1">
      <alignment horizontal="center" vertical="center"/>
    </xf>
    <xf numFmtId="0" fontId="9" fillId="0" borderId="52" xfId="11" applyFont="1" applyFill="1" applyBorder="1" applyAlignment="1">
      <alignment horizontal="center" vertical="center"/>
    </xf>
    <xf numFmtId="0" fontId="9" fillId="0" borderId="8" xfId="11" applyFont="1" applyFill="1" applyBorder="1" applyAlignment="1">
      <alignment horizontal="center" vertical="center"/>
    </xf>
    <xf numFmtId="0" fontId="9" fillId="0" borderId="49" xfId="11" applyFont="1" applyFill="1" applyBorder="1" applyAlignment="1">
      <alignment horizontal="center" vertical="center"/>
    </xf>
    <xf numFmtId="0" fontId="9" fillId="0" borderId="50" xfId="11" applyFont="1" applyFill="1" applyBorder="1" applyAlignment="1">
      <alignment horizontal="center" vertical="center"/>
    </xf>
    <xf numFmtId="0" fontId="9" fillId="0" borderId="14" xfId="11" applyFont="1" applyFill="1" applyBorder="1" applyAlignment="1">
      <alignment horizontal="center" vertical="center"/>
    </xf>
    <xf numFmtId="0" fontId="9" fillId="0" borderId="15" xfId="11" applyFont="1" applyFill="1" applyBorder="1" applyAlignment="1">
      <alignment horizontal="center" vertical="center"/>
    </xf>
    <xf numFmtId="15" fontId="9" fillId="0" borderId="70" xfId="11" applyNumberFormat="1" applyFont="1" applyFill="1" applyBorder="1" applyAlignment="1">
      <alignment horizontal="center" vertical="center"/>
    </xf>
    <xf numFmtId="15" fontId="9" fillId="0" borderId="0" xfId="11" applyNumberFormat="1" applyFont="1" applyFill="1" applyBorder="1" applyAlignment="1">
      <alignment horizontal="center" vertical="center"/>
    </xf>
    <xf numFmtId="0" fontId="9" fillId="0" borderId="43" xfId="11" applyNumberFormat="1" applyFont="1" applyFill="1" applyBorder="1" applyAlignment="1">
      <alignment horizontal="center" vertical="center"/>
    </xf>
    <xf numFmtId="0" fontId="9" fillId="0" borderId="26" xfId="11" applyNumberFormat="1" applyFont="1" applyFill="1" applyBorder="1" applyAlignment="1">
      <alignment horizontal="center" vertical="center"/>
    </xf>
    <xf numFmtId="0" fontId="9" fillId="0" borderId="17" xfId="11" applyFont="1" applyFill="1" applyBorder="1" applyAlignment="1">
      <alignment horizontal="center" vertical="center"/>
    </xf>
    <xf numFmtId="0" fontId="9" fillId="0" borderId="18" xfId="11" applyFont="1" applyFill="1" applyBorder="1" applyAlignment="1">
      <alignment horizontal="center" vertical="center"/>
    </xf>
    <xf numFmtId="0" fontId="6" fillId="0" borderId="70" xfId="11" applyFont="1" applyFill="1" applyBorder="1" applyAlignment="1">
      <alignment horizontal="center" vertical="center"/>
    </xf>
    <xf numFmtId="0" fontId="6" fillId="0" borderId="0" xfId="11" applyFont="1" applyFill="1" applyBorder="1" applyAlignment="1">
      <alignment horizontal="center" vertical="center"/>
    </xf>
    <xf numFmtId="0" fontId="6" fillId="0" borderId="57" xfId="11" applyFont="1" applyFill="1" applyBorder="1" applyAlignment="1">
      <alignment horizontal="center" vertical="center"/>
    </xf>
    <xf numFmtId="164" fontId="9" fillId="0" borderId="53" xfId="11" applyNumberFormat="1" applyFont="1" applyFill="1" applyBorder="1" applyAlignment="1">
      <alignment horizontal="center" vertical="center"/>
    </xf>
    <xf numFmtId="164" fontId="9" fillId="0" borderId="52" xfId="11" applyNumberFormat="1" applyFont="1" applyFill="1" applyBorder="1" applyAlignment="1">
      <alignment horizontal="center" vertical="center"/>
    </xf>
    <xf numFmtId="0" fontId="9" fillId="0" borderId="14" xfId="11" applyFont="1" applyFill="1" applyBorder="1" applyAlignment="1">
      <alignment horizontal="left" vertical="center"/>
    </xf>
    <xf numFmtId="0" fontId="9" fillId="0" borderId="15" xfId="11" applyFont="1" applyFill="1" applyBorder="1" applyAlignment="1">
      <alignment horizontal="left" vertical="center"/>
    </xf>
    <xf numFmtId="0" fontId="5" fillId="0" borderId="14" xfId="11" applyFont="1" applyFill="1" applyBorder="1" applyAlignment="1">
      <alignment horizontal="center" vertical="center"/>
    </xf>
    <xf numFmtId="0" fontId="5" fillId="0" borderId="15" xfId="11" applyFont="1" applyFill="1" applyBorder="1" applyAlignment="1">
      <alignment horizontal="center" vertical="center"/>
    </xf>
    <xf numFmtId="44" fontId="13" fillId="0" borderId="14" xfId="9" applyFont="1" applyBorder="1" applyAlignment="1">
      <alignment horizontal="center" vertical="center"/>
    </xf>
    <xf numFmtId="0" fontId="9" fillId="0" borderId="15" xfId="4" applyFont="1" applyBorder="1" applyAlignment="1">
      <alignment horizontal="center" vertical="center" wrapText="1"/>
    </xf>
    <xf numFmtId="44" fontId="14" fillId="0" borderId="114" xfId="4" applyNumberFormat="1" applyFont="1" applyBorder="1" applyAlignment="1">
      <alignment horizontal="center" vertical="center"/>
    </xf>
    <xf numFmtId="44" fontId="14" fillId="0" borderId="115" xfId="4" applyNumberFormat="1" applyFont="1" applyBorder="1" applyAlignment="1">
      <alignment horizontal="center" vertical="center"/>
    </xf>
    <xf numFmtId="44" fontId="13" fillId="0" borderId="9" xfId="5" applyFont="1" applyBorder="1" applyAlignment="1">
      <alignment horizontal="center" vertical="center"/>
    </xf>
    <xf numFmtId="44" fontId="13" fillId="0" borderId="10" xfId="5" applyFont="1" applyBorder="1" applyAlignment="1">
      <alignment horizontal="center" vertical="center"/>
    </xf>
    <xf numFmtId="0" fontId="9" fillId="0" borderId="61" xfId="4" applyFont="1" applyBorder="1" applyAlignment="1">
      <alignment horizontal="center" vertical="center" wrapText="1"/>
    </xf>
    <xf numFmtId="0" fontId="9" fillId="0" borderId="62" xfId="4" applyFont="1" applyBorder="1" applyAlignment="1">
      <alignment horizontal="center" vertical="center" wrapText="1"/>
    </xf>
    <xf numFmtId="44" fontId="13" fillId="0" borderId="11" xfId="5" applyNumberFormat="1" applyFont="1" applyBorder="1" applyAlignment="1">
      <alignment horizontal="center" vertical="center"/>
    </xf>
    <xf numFmtId="44" fontId="13" fillId="0" borderId="26" xfId="5" applyNumberFormat="1" applyFont="1" applyBorder="1" applyAlignment="1">
      <alignment horizontal="center" vertical="center"/>
    </xf>
    <xf numFmtId="44" fontId="13" fillId="0" borderId="14" xfId="5" applyNumberFormat="1" applyFont="1" applyBorder="1" applyAlignment="1">
      <alignment horizontal="center" vertical="center"/>
    </xf>
    <xf numFmtId="44" fontId="13" fillId="0" borderId="15" xfId="5" applyNumberFormat="1" applyFont="1" applyBorder="1" applyAlignment="1">
      <alignment horizontal="center" vertical="center"/>
    </xf>
    <xf numFmtId="44" fontId="13" fillId="0" borderId="14" xfId="5" applyNumberFormat="1" applyFont="1" applyFill="1" applyBorder="1" applyAlignment="1">
      <alignment horizontal="center" vertical="center"/>
    </xf>
    <xf numFmtId="44" fontId="13" fillId="0" borderId="15" xfId="5" applyNumberFormat="1" applyFont="1" applyFill="1" applyBorder="1" applyAlignment="1">
      <alignment horizontal="center" vertical="center"/>
    </xf>
    <xf numFmtId="0" fontId="9" fillId="0" borderId="17" xfId="4" applyFont="1" applyBorder="1" applyAlignment="1">
      <alignment horizontal="center" vertical="center" wrapText="1"/>
    </xf>
    <xf numFmtId="0" fontId="9" fillId="0" borderId="18" xfId="4" applyFont="1" applyBorder="1" applyAlignment="1">
      <alignment horizontal="center" vertical="center" wrapText="1"/>
    </xf>
    <xf numFmtId="0" fontId="5" fillId="0" borderId="49" xfId="4" applyFont="1" applyFill="1" applyBorder="1" applyAlignment="1">
      <alignment horizontal="center" vertical="center"/>
    </xf>
    <xf numFmtId="0" fontId="5" fillId="0" borderId="50" xfId="4" applyFont="1" applyFill="1" applyBorder="1" applyAlignment="1">
      <alignment horizontal="center" vertical="center"/>
    </xf>
    <xf numFmtId="164" fontId="12" fillId="0" borderId="41" xfId="4" applyNumberFormat="1" applyFont="1" applyFill="1" applyBorder="1" applyAlignment="1">
      <alignment horizontal="center" vertical="center"/>
    </xf>
    <xf numFmtId="164" fontId="12" fillId="0" borderId="27" xfId="4" applyNumberFormat="1" applyFont="1" applyFill="1" applyBorder="1" applyAlignment="1">
      <alignment horizontal="center" vertical="center"/>
    </xf>
    <xf numFmtId="0" fontId="9" fillId="6" borderId="70" xfId="4" applyFont="1" applyFill="1" applyBorder="1" applyAlignment="1">
      <alignment horizontal="center" vertical="center"/>
    </xf>
    <xf numFmtId="0" fontId="9" fillId="6" borderId="0" xfId="4" applyFont="1" applyFill="1" applyBorder="1" applyAlignment="1">
      <alignment horizontal="center" vertical="center"/>
    </xf>
    <xf numFmtId="0" fontId="9" fillId="0" borderId="17" xfId="4" applyFont="1" applyBorder="1" applyAlignment="1">
      <alignment horizontal="center" vertical="center"/>
    </xf>
    <xf numFmtId="0" fontId="9" fillId="0" borderId="18" xfId="4" applyFont="1" applyBorder="1" applyAlignment="1">
      <alignment horizontal="center" vertical="center"/>
    </xf>
    <xf numFmtId="0" fontId="9" fillId="0" borderId="9" xfId="4" applyFont="1" applyBorder="1" applyAlignment="1">
      <alignment horizontal="center" vertical="center"/>
    </xf>
    <xf numFmtId="0" fontId="9" fillId="0" borderId="10" xfId="4" applyFont="1" applyBorder="1" applyAlignment="1">
      <alignment horizontal="center" vertical="center"/>
    </xf>
    <xf numFmtId="0" fontId="5" fillId="0" borderId="14" xfId="4" applyFont="1" applyFill="1" applyBorder="1" applyAlignment="1">
      <alignment horizontal="center" vertical="center"/>
    </xf>
    <xf numFmtId="0" fontId="5" fillId="0" borderId="15" xfId="4" applyFont="1" applyFill="1" applyBorder="1" applyAlignment="1">
      <alignment horizontal="center" vertical="center"/>
    </xf>
    <xf numFmtId="0" fontId="5" fillId="0" borderId="52" xfId="4" applyFont="1" applyFill="1" applyBorder="1" applyAlignment="1">
      <alignment horizontal="center" vertical="center"/>
    </xf>
    <xf numFmtId="0" fontId="5" fillId="0" borderId="8" xfId="4" applyFont="1" applyFill="1" applyBorder="1" applyAlignment="1">
      <alignment horizontal="center" vertical="center"/>
    </xf>
    <xf numFmtId="0" fontId="5" fillId="0" borderId="66" xfId="4" applyFont="1" applyFill="1" applyBorder="1" applyAlignment="1">
      <alignment horizontal="center" vertical="center"/>
    </xf>
    <xf numFmtId="0" fontId="9" fillId="9" borderId="70" xfId="4" applyFont="1" applyFill="1" applyBorder="1" applyAlignment="1">
      <alignment horizontal="center" vertical="center"/>
    </xf>
    <xf numFmtId="0" fontId="9" fillId="9" borderId="0" xfId="4" applyFont="1" applyFill="1" applyAlignment="1">
      <alignment horizontal="center" vertical="center"/>
    </xf>
    <xf numFmtId="0" fontId="9" fillId="9" borderId="11" xfId="4" applyFont="1" applyFill="1" applyBorder="1" applyAlignment="1">
      <alignment horizontal="center" vertical="center"/>
    </xf>
    <xf numFmtId="44" fontId="13" fillId="9" borderId="11" xfId="5" applyFont="1" applyFill="1" applyBorder="1" applyAlignment="1">
      <alignment horizontal="center" vertical="center"/>
    </xf>
    <xf numFmtId="0" fontId="9" fillId="0" borderId="104" xfId="11" applyFont="1" applyBorder="1" applyAlignment="1">
      <alignment horizontal="center" vertical="center"/>
    </xf>
    <xf numFmtId="44" fontId="13" fillId="0" borderId="104" xfId="5" applyFont="1" applyFill="1" applyBorder="1" applyAlignment="1">
      <alignment horizontal="center" vertical="center"/>
    </xf>
    <xf numFmtId="44" fontId="13" fillId="0" borderId="103" xfId="5" applyFont="1" applyFill="1" applyBorder="1" applyAlignment="1">
      <alignment horizontal="center" vertical="center"/>
    </xf>
    <xf numFmtId="0" fontId="9" fillId="0" borderId="80" xfId="4" applyFont="1" applyFill="1" applyBorder="1" applyAlignment="1">
      <alignment horizontal="center" vertical="center"/>
    </xf>
    <xf numFmtId="0" fontId="9" fillId="0" borderId="10" xfId="4" applyFont="1" applyFill="1" applyBorder="1" applyAlignment="1">
      <alignment horizontal="center" vertical="center"/>
    </xf>
    <xf numFmtId="0" fontId="4" fillId="0" borderId="68" xfId="6" applyFill="1" applyBorder="1" applyAlignment="1" applyProtection="1">
      <alignment horizontal="center" vertical="center"/>
    </xf>
    <xf numFmtId="0" fontId="9" fillId="0" borderId="104" xfId="4" applyFont="1" applyBorder="1" applyAlignment="1">
      <alignment horizontal="center" vertical="center"/>
    </xf>
    <xf numFmtId="0" fontId="9" fillId="0" borderId="9" xfId="4" applyFont="1" applyFill="1" applyBorder="1" applyAlignment="1">
      <alignment horizontal="left" vertical="center"/>
    </xf>
    <xf numFmtId="0" fontId="9" fillId="0" borderId="0" xfId="4" applyFont="1" applyFill="1" applyAlignment="1">
      <alignment horizontal="left" vertical="center"/>
    </xf>
    <xf numFmtId="0" fontId="0" fillId="0" borderId="0" xfId="0" applyAlignment="1">
      <alignment horizontal="left"/>
    </xf>
    <xf numFmtId="0" fontId="38" fillId="0" borderId="0" xfId="0" applyFont="1" applyAlignment="1">
      <alignment horizontal="center"/>
    </xf>
    <xf numFmtId="8" fontId="38" fillId="0" borderId="0" xfId="0" applyNumberFormat="1" applyFont="1" applyAlignment="1">
      <alignment horizontal="center"/>
    </xf>
    <xf numFmtId="0" fontId="0" fillId="0" borderId="60" xfId="0" applyBorder="1" applyAlignment="1">
      <alignment horizontal="center" vertical="center"/>
    </xf>
    <xf numFmtId="0" fontId="0" fillId="0" borderId="0" xfId="0" applyAlignment="1">
      <alignment horizontal="center"/>
    </xf>
  </cellXfs>
  <cellStyles count="12">
    <cellStyle name="Comma" xfId="1" builtinId="3"/>
    <cellStyle name="Comma 2" xfId="3"/>
    <cellStyle name="Comma 2 2" xfId="8"/>
    <cellStyle name="Currency" xfId="10" builtinId="4"/>
    <cellStyle name="Currency 2" xfId="5"/>
    <cellStyle name="Currency 2 2" xfId="9"/>
    <cellStyle name="Hyperlink" xfId="6" builtinId="8"/>
    <cellStyle name="Normal" xfId="0" builtinId="0"/>
    <cellStyle name="Normal 2" xfId="2"/>
    <cellStyle name="Normal 2 2" xfId="7"/>
    <cellStyle name="Normal 3" xfId="4"/>
    <cellStyle name="Normal 3 2" xfId="1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tyles" Target="style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sharedStrings" Target="sharedStrings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theme" Target="theme/theme1.xml"/><Relationship Id="rId9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externalLink" Target="externalLinks/externalLink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0</xdr:rowOff>
    </xdr:from>
    <xdr:to>
      <xdr:col>1</xdr:col>
      <xdr:colOff>895350</xdr:colOff>
      <xdr:row>3</xdr:row>
      <xdr:rowOff>0</xdr:rowOff>
    </xdr:to>
    <xdr:pic>
      <xdr:nvPicPr>
        <xdr:cNvPr id="2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47650" y="0"/>
          <a:ext cx="971550" cy="57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941745</xdr:colOff>
      <xdr:row>0</xdr:row>
      <xdr:rowOff>15363</xdr:rowOff>
    </xdr:from>
    <xdr:to>
      <xdr:col>2</xdr:col>
      <xdr:colOff>84495</xdr:colOff>
      <xdr:row>4</xdr:row>
      <xdr:rowOff>122904</xdr:rowOff>
    </xdr:to>
    <xdr:pic>
      <xdr:nvPicPr>
        <xdr:cNvPr id="2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56685" y="15363"/>
          <a:ext cx="771217" cy="7911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547461" y="807720"/>
          <a:ext cx="5301615" cy="32766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760696" y="104775"/>
          <a:ext cx="6516529" cy="3562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476024" y="489585"/>
          <a:ext cx="5337334" cy="31813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5" name="Text Box 2"/>
        <xdr:cNvSpPr txBox="1">
          <a:spLocks noChangeArrowheads="1"/>
        </xdr:cNvSpPr>
      </xdr:nvSpPr>
      <xdr:spPr bwMode="auto">
        <a:xfrm>
          <a:off x="2547461" y="807720"/>
          <a:ext cx="5301615" cy="32766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6" name="Text Box 3"/>
        <xdr:cNvSpPr txBox="1">
          <a:spLocks noChangeArrowheads="1"/>
        </xdr:cNvSpPr>
      </xdr:nvSpPr>
      <xdr:spPr bwMode="auto">
        <a:xfrm>
          <a:off x="1760696" y="104775"/>
          <a:ext cx="6516529" cy="3562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7" name="Text Box 4"/>
        <xdr:cNvSpPr txBox="1">
          <a:spLocks noChangeArrowheads="1"/>
        </xdr:cNvSpPr>
      </xdr:nvSpPr>
      <xdr:spPr bwMode="auto">
        <a:xfrm>
          <a:off x="2476024" y="489585"/>
          <a:ext cx="5337334" cy="31813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345282</xdr:colOff>
      <xdr:row>0</xdr:row>
      <xdr:rowOff>0</xdr:rowOff>
    </xdr:from>
    <xdr:to>
      <xdr:col>1</xdr:col>
      <xdr:colOff>419100</xdr:colOff>
      <xdr:row>6</xdr:row>
      <xdr:rowOff>22290</xdr:rowOff>
    </xdr:to>
    <xdr:pic>
      <xdr:nvPicPr>
        <xdr:cNvPr id="8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5282" y="0"/>
          <a:ext cx="1146333" cy="11195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69381" y="838200"/>
          <a:ext cx="62103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916906" y="104775"/>
          <a:ext cx="7389019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597944" y="504825"/>
          <a:ext cx="625554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5" name="Text Box 2"/>
        <xdr:cNvSpPr txBox="1">
          <a:spLocks noChangeArrowheads="1"/>
        </xdr:cNvSpPr>
      </xdr:nvSpPr>
      <xdr:spPr bwMode="auto">
        <a:xfrm>
          <a:off x="2669381" y="838200"/>
          <a:ext cx="62103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6" name="Text Box 3"/>
        <xdr:cNvSpPr txBox="1">
          <a:spLocks noChangeArrowheads="1"/>
        </xdr:cNvSpPr>
      </xdr:nvSpPr>
      <xdr:spPr bwMode="auto">
        <a:xfrm>
          <a:off x="1916906" y="104775"/>
          <a:ext cx="7389019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7" name="Text Box 4"/>
        <xdr:cNvSpPr txBox="1">
          <a:spLocks noChangeArrowheads="1"/>
        </xdr:cNvSpPr>
      </xdr:nvSpPr>
      <xdr:spPr bwMode="auto">
        <a:xfrm>
          <a:off x="2597944" y="504825"/>
          <a:ext cx="625554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345282</xdr:colOff>
      <xdr:row>0</xdr:row>
      <xdr:rowOff>0</xdr:rowOff>
    </xdr:from>
    <xdr:to>
      <xdr:col>1</xdr:col>
      <xdr:colOff>419100</xdr:colOff>
      <xdr:row>6</xdr:row>
      <xdr:rowOff>22290</xdr:rowOff>
    </xdr:to>
    <xdr:pic>
      <xdr:nvPicPr>
        <xdr:cNvPr id="8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5282" y="0"/>
          <a:ext cx="1121568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69381" y="838200"/>
          <a:ext cx="62103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916906" y="104775"/>
          <a:ext cx="7389019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597944" y="504825"/>
          <a:ext cx="625554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5" name="Text Box 2"/>
        <xdr:cNvSpPr txBox="1">
          <a:spLocks noChangeArrowheads="1"/>
        </xdr:cNvSpPr>
      </xdr:nvSpPr>
      <xdr:spPr bwMode="auto">
        <a:xfrm>
          <a:off x="2669381" y="838200"/>
          <a:ext cx="62103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6" name="Text Box 3"/>
        <xdr:cNvSpPr txBox="1">
          <a:spLocks noChangeArrowheads="1"/>
        </xdr:cNvSpPr>
      </xdr:nvSpPr>
      <xdr:spPr bwMode="auto">
        <a:xfrm>
          <a:off x="1916906" y="104775"/>
          <a:ext cx="7389019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7" name="Text Box 4"/>
        <xdr:cNvSpPr txBox="1">
          <a:spLocks noChangeArrowheads="1"/>
        </xdr:cNvSpPr>
      </xdr:nvSpPr>
      <xdr:spPr bwMode="auto">
        <a:xfrm>
          <a:off x="2597944" y="504825"/>
          <a:ext cx="625554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345282</xdr:colOff>
      <xdr:row>0</xdr:row>
      <xdr:rowOff>0</xdr:rowOff>
    </xdr:from>
    <xdr:to>
      <xdr:col>1</xdr:col>
      <xdr:colOff>419100</xdr:colOff>
      <xdr:row>6</xdr:row>
      <xdr:rowOff>22290</xdr:rowOff>
    </xdr:to>
    <xdr:pic>
      <xdr:nvPicPr>
        <xdr:cNvPr id="8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5282" y="0"/>
          <a:ext cx="1121568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69381" y="838200"/>
          <a:ext cx="62103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916906" y="104775"/>
          <a:ext cx="7389019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597944" y="504825"/>
          <a:ext cx="625554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5" name="Text Box 2"/>
        <xdr:cNvSpPr txBox="1">
          <a:spLocks noChangeArrowheads="1"/>
        </xdr:cNvSpPr>
      </xdr:nvSpPr>
      <xdr:spPr bwMode="auto">
        <a:xfrm>
          <a:off x="2669381" y="838200"/>
          <a:ext cx="62103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6" name="Text Box 3"/>
        <xdr:cNvSpPr txBox="1">
          <a:spLocks noChangeArrowheads="1"/>
        </xdr:cNvSpPr>
      </xdr:nvSpPr>
      <xdr:spPr bwMode="auto">
        <a:xfrm>
          <a:off x="1916906" y="104775"/>
          <a:ext cx="7389019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7" name="Text Box 4"/>
        <xdr:cNvSpPr txBox="1">
          <a:spLocks noChangeArrowheads="1"/>
        </xdr:cNvSpPr>
      </xdr:nvSpPr>
      <xdr:spPr bwMode="auto">
        <a:xfrm>
          <a:off x="2597944" y="504825"/>
          <a:ext cx="625554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345282</xdr:colOff>
      <xdr:row>0</xdr:row>
      <xdr:rowOff>0</xdr:rowOff>
    </xdr:from>
    <xdr:to>
      <xdr:col>1</xdr:col>
      <xdr:colOff>419100</xdr:colOff>
      <xdr:row>6</xdr:row>
      <xdr:rowOff>22290</xdr:rowOff>
    </xdr:to>
    <xdr:pic>
      <xdr:nvPicPr>
        <xdr:cNvPr id="8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5282" y="0"/>
          <a:ext cx="1121568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69381" y="838200"/>
          <a:ext cx="62103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916906" y="104775"/>
          <a:ext cx="7389019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597944" y="504825"/>
          <a:ext cx="625554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5" name="Text Box 2"/>
        <xdr:cNvSpPr txBox="1">
          <a:spLocks noChangeArrowheads="1"/>
        </xdr:cNvSpPr>
      </xdr:nvSpPr>
      <xdr:spPr bwMode="auto">
        <a:xfrm>
          <a:off x="2669381" y="838200"/>
          <a:ext cx="62103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6" name="Text Box 3"/>
        <xdr:cNvSpPr txBox="1">
          <a:spLocks noChangeArrowheads="1"/>
        </xdr:cNvSpPr>
      </xdr:nvSpPr>
      <xdr:spPr bwMode="auto">
        <a:xfrm>
          <a:off x="1916906" y="104775"/>
          <a:ext cx="7389019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7" name="Text Box 4"/>
        <xdr:cNvSpPr txBox="1">
          <a:spLocks noChangeArrowheads="1"/>
        </xdr:cNvSpPr>
      </xdr:nvSpPr>
      <xdr:spPr bwMode="auto">
        <a:xfrm>
          <a:off x="2597944" y="504825"/>
          <a:ext cx="625554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345282</xdr:colOff>
      <xdr:row>0</xdr:row>
      <xdr:rowOff>0</xdr:rowOff>
    </xdr:from>
    <xdr:to>
      <xdr:col>1</xdr:col>
      <xdr:colOff>419100</xdr:colOff>
      <xdr:row>6</xdr:row>
      <xdr:rowOff>22290</xdr:rowOff>
    </xdr:to>
    <xdr:pic>
      <xdr:nvPicPr>
        <xdr:cNvPr id="8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5282" y="0"/>
          <a:ext cx="1121568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488406" y="838200"/>
          <a:ext cx="49530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735931" y="104775"/>
          <a:ext cx="6131719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416969" y="504825"/>
          <a:ext cx="499824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5" name="Text Box 2"/>
        <xdr:cNvSpPr txBox="1">
          <a:spLocks noChangeArrowheads="1"/>
        </xdr:cNvSpPr>
      </xdr:nvSpPr>
      <xdr:spPr bwMode="auto">
        <a:xfrm>
          <a:off x="2488406" y="838200"/>
          <a:ext cx="49530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6" name="Text Box 3"/>
        <xdr:cNvSpPr txBox="1">
          <a:spLocks noChangeArrowheads="1"/>
        </xdr:cNvSpPr>
      </xdr:nvSpPr>
      <xdr:spPr bwMode="auto">
        <a:xfrm>
          <a:off x="1735931" y="104775"/>
          <a:ext cx="6131719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7" name="Text Box 4"/>
        <xdr:cNvSpPr txBox="1">
          <a:spLocks noChangeArrowheads="1"/>
        </xdr:cNvSpPr>
      </xdr:nvSpPr>
      <xdr:spPr bwMode="auto">
        <a:xfrm>
          <a:off x="2416969" y="504825"/>
          <a:ext cx="499824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345282</xdr:colOff>
      <xdr:row>0</xdr:row>
      <xdr:rowOff>0</xdr:rowOff>
    </xdr:from>
    <xdr:to>
      <xdr:col>1</xdr:col>
      <xdr:colOff>390525</xdr:colOff>
      <xdr:row>6</xdr:row>
      <xdr:rowOff>22290</xdr:rowOff>
    </xdr:to>
    <xdr:pic>
      <xdr:nvPicPr>
        <xdr:cNvPr id="8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5282" y="0"/>
          <a:ext cx="1121568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516981" y="807720"/>
          <a:ext cx="5301615" cy="32766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730216" y="104775"/>
          <a:ext cx="6577489" cy="3562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445544" y="489585"/>
          <a:ext cx="5337334" cy="31813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297657</xdr:colOff>
      <xdr:row>0</xdr:row>
      <xdr:rowOff>0</xdr:rowOff>
    </xdr:from>
    <xdr:to>
      <xdr:col>1</xdr:col>
      <xdr:colOff>226218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7657" y="0"/>
          <a:ext cx="1122996" cy="11195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577941" y="807720"/>
          <a:ext cx="5301615" cy="32766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791176" y="104775"/>
          <a:ext cx="6577489" cy="3562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506504" y="489585"/>
          <a:ext cx="5337334" cy="31813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357188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57188" y="0"/>
          <a:ext cx="1124425" cy="11195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431256" y="838200"/>
          <a:ext cx="5153025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964406</xdr:colOff>
      <xdr:row>0</xdr:row>
      <xdr:rowOff>104775</xdr:rowOff>
    </xdr:from>
    <xdr:to>
      <xdr:col>12</xdr:col>
      <xdr:colOff>23812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905000" y="104775"/>
          <a:ext cx="7191375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359819" y="504825"/>
          <a:ext cx="518874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357188</xdr:colOff>
      <xdr:row>0</xdr:row>
      <xdr:rowOff>0</xdr:rowOff>
    </xdr:from>
    <xdr:to>
      <xdr:col>1</xdr:col>
      <xdr:colOff>511968</xdr:colOff>
      <xdr:row>6</xdr:row>
      <xdr:rowOff>22290</xdr:rowOff>
    </xdr:to>
    <xdr:pic>
      <xdr:nvPicPr>
        <xdr:cNvPr id="6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57188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764631" y="838200"/>
          <a:ext cx="51054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6398419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93194" y="504825"/>
          <a:ext cx="514111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547461" y="807720"/>
          <a:ext cx="5301615" cy="32766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760696" y="104775"/>
          <a:ext cx="6531769" cy="3562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476024" y="489585"/>
          <a:ext cx="5337334" cy="31813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345282</xdr:colOff>
      <xdr:row>0</xdr:row>
      <xdr:rowOff>0</xdr:rowOff>
    </xdr:from>
    <xdr:to>
      <xdr:col>1</xdr:col>
      <xdr:colOff>500062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5282" y="0"/>
          <a:ext cx="1117758" cy="11195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577941" y="807720"/>
          <a:ext cx="5301615" cy="32766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791176" y="104775"/>
          <a:ext cx="6577489" cy="3562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506504" y="489585"/>
          <a:ext cx="5337334" cy="31813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357188</xdr:colOff>
      <xdr:row>0</xdr:row>
      <xdr:rowOff>0</xdr:rowOff>
    </xdr:from>
    <xdr:to>
      <xdr:col>1</xdr:col>
      <xdr:colOff>476249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57188" y="0"/>
          <a:ext cx="1124425" cy="11195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21756" y="838200"/>
          <a:ext cx="54864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67127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550319" y="504825"/>
          <a:ext cx="552211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869406" y="838200"/>
          <a:ext cx="54864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696039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797969" y="504825"/>
          <a:ext cx="552211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412206" y="838200"/>
          <a:ext cx="5172075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12131" y="104775"/>
          <a:ext cx="619839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340769" y="504825"/>
          <a:ext cx="523636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345282</xdr:colOff>
      <xdr:row>0</xdr:row>
      <xdr:rowOff>0</xdr:rowOff>
    </xdr:from>
    <xdr:to>
      <xdr:col>1</xdr:col>
      <xdr:colOff>309562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5282" y="0"/>
          <a:ext cx="1097755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524601" y="807720"/>
          <a:ext cx="5301615" cy="32766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737836" y="104775"/>
          <a:ext cx="6577489" cy="3562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453164" y="489585"/>
          <a:ext cx="5337334" cy="31813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309563</xdr:colOff>
      <xdr:row>0</xdr:row>
      <xdr:rowOff>0</xdr:rowOff>
    </xdr:from>
    <xdr:to>
      <xdr:col>1</xdr:col>
      <xdr:colOff>333374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09563" y="0"/>
          <a:ext cx="1118710" cy="11195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412206" y="838200"/>
          <a:ext cx="5172075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12131" y="104775"/>
          <a:ext cx="619839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340769" y="504825"/>
          <a:ext cx="523636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345282</xdr:colOff>
      <xdr:row>0</xdr:row>
      <xdr:rowOff>0</xdr:rowOff>
    </xdr:from>
    <xdr:to>
      <xdr:col>1</xdr:col>
      <xdr:colOff>404812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5282" y="0"/>
          <a:ext cx="1097755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412206" y="838200"/>
          <a:ext cx="5172075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12131" y="104775"/>
          <a:ext cx="619839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340769" y="504825"/>
          <a:ext cx="523636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345282</xdr:colOff>
      <xdr:row>0</xdr:row>
      <xdr:rowOff>0</xdr:rowOff>
    </xdr:from>
    <xdr:to>
      <xdr:col>1</xdr:col>
      <xdr:colOff>500062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5282" y="0"/>
          <a:ext cx="1097755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412206" y="838200"/>
          <a:ext cx="5172075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12131" y="104775"/>
          <a:ext cx="619839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340769" y="504825"/>
          <a:ext cx="523636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345282</xdr:colOff>
      <xdr:row>0</xdr:row>
      <xdr:rowOff>0</xdr:rowOff>
    </xdr:from>
    <xdr:to>
      <xdr:col>1</xdr:col>
      <xdr:colOff>500062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5282" y="0"/>
          <a:ext cx="1097755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5172075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12131" y="104775"/>
          <a:ext cx="6226969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523636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345282</xdr:colOff>
      <xdr:row>0</xdr:row>
      <xdr:rowOff>0</xdr:rowOff>
    </xdr:from>
    <xdr:to>
      <xdr:col>1</xdr:col>
      <xdr:colOff>357187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5282" y="0"/>
          <a:ext cx="1097755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56007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12131" y="104775"/>
          <a:ext cx="6893719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566499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345282</xdr:colOff>
      <xdr:row>0</xdr:row>
      <xdr:rowOff>0</xdr:rowOff>
    </xdr:from>
    <xdr:to>
      <xdr:col>1</xdr:col>
      <xdr:colOff>297656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5282" y="0"/>
          <a:ext cx="1097755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412206" y="838200"/>
          <a:ext cx="5172075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12131" y="104775"/>
          <a:ext cx="619839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340769" y="504825"/>
          <a:ext cx="523636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345282</xdr:colOff>
      <xdr:row>0</xdr:row>
      <xdr:rowOff>0</xdr:rowOff>
    </xdr:from>
    <xdr:to>
      <xdr:col>1</xdr:col>
      <xdr:colOff>500062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5282" y="0"/>
          <a:ext cx="1097755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1564481" y="838200"/>
          <a:ext cx="5019675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221581" y="104775"/>
          <a:ext cx="59126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1493044" y="504825"/>
          <a:ext cx="505539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704849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1564481" y="838200"/>
          <a:ext cx="5019675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221581" y="104775"/>
          <a:ext cx="59126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1493044" y="504825"/>
          <a:ext cx="505539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704849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1564481" y="838200"/>
          <a:ext cx="5019675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221581" y="104775"/>
          <a:ext cx="59126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1493044" y="504825"/>
          <a:ext cx="505539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704849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412206" y="838200"/>
          <a:ext cx="5172075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12131" y="104775"/>
          <a:ext cx="619839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340769" y="504825"/>
          <a:ext cx="523636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345282</xdr:colOff>
      <xdr:row>0</xdr:row>
      <xdr:rowOff>0</xdr:rowOff>
    </xdr:from>
    <xdr:to>
      <xdr:col>1</xdr:col>
      <xdr:colOff>452437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5282" y="0"/>
          <a:ext cx="1097755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56007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12131" y="104775"/>
          <a:ext cx="6893719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566499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345282</xdr:colOff>
      <xdr:row>0</xdr:row>
      <xdr:rowOff>0</xdr:rowOff>
    </xdr:from>
    <xdr:to>
      <xdr:col>1</xdr:col>
      <xdr:colOff>321468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5282" y="0"/>
          <a:ext cx="1097755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278856" y="838200"/>
          <a:ext cx="5229225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716881" y="104775"/>
          <a:ext cx="6455569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207419" y="504825"/>
          <a:ext cx="526494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309563</xdr:colOff>
      <xdr:row>0</xdr:row>
      <xdr:rowOff>1</xdr:rowOff>
    </xdr:from>
    <xdr:to>
      <xdr:col>1</xdr:col>
      <xdr:colOff>166687</xdr:colOff>
      <xdr:row>6</xdr:row>
      <xdr:rowOff>22291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09563" y="1"/>
          <a:ext cx="1097755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278856" y="838200"/>
          <a:ext cx="5229225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716881" y="104775"/>
          <a:ext cx="6455569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207419" y="504825"/>
          <a:ext cx="526494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309563</xdr:colOff>
      <xdr:row>0</xdr:row>
      <xdr:rowOff>1</xdr:rowOff>
    </xdr:from>
    <xdr:to>
      <xdr:col>1</xdr:col>
      <xdr:colOff>404812</xdr:colOff>
      <xdr:row>6</xdr:row>
      <xdr:rowOff>22291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09563" y="1"/>
          <a:ext cx="1097755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5172075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12131" y="104775"/>
          <a:ext cx="646509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523636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345282</xdr:colOff>
      <xdr:row>0</xdr:row>
      <xdr:rowOff>0</xdr:rowOff>
    </xdr:from>
    <xdr:to>
      <xdr:col>1</xdr:col>
      <xdr:colOff>309562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5282" y="0"/>
          <a:ext cx="1097755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450306" y="838200"/>
          <a:ext cx="4943475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716881" y="104775"/>
          <a:ext cx="61031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397919" y="504825"/>
          <a:ext cx="496966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309563</xdr:colOff>
      <xdr:row>0</xdr:row>
      <xdr:rowOff>1</xdr:rowOff>
    </xdr:from>
    <xdr:to>
      <xdr:col>1</xdr:col>
      <xdr:colOff>360233</xdr:colOff>
      <xdr:row>6</xdr:row>
      <xdr:rowOff>22291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09563" y="1"/>
          <a:ext cx="1097755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524601" y="807720"/>
          <a:ext cx="5225415" cy="32766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737836" y="104775"/>
          <a:ext cx="6440329" cy="3562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453164" y="489585"/>
          <a:ext cx="5261134" cy="31813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309563</xdr:colOff>
      <xdr:row>0</xdr:row>
      <xdr:rowOff>1</xdr:rowOff>
    </xdr:from>
    <xdr:to>
      <xdr:col>1</xdr:col>
      <xdr:colOff>293779</xdr:colOff>
      <xdr:row>6</xdr:row>
      <xdr:rowOff>22291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09563" y="1"/>
          <a:ext cx="1118710" cy="11195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869406" y="838200"/>
          <a:ext cx="54864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696039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797969" y="504825"/>
          <a:ext cx="552211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0</xdr:col>
      <xdr:colOff>1428749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21756" y="838200"/>
          <a:ext cx="54864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67127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550319" y="504825"/>
          <a:ext cx="552211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524601" y="807720"/>
          <a:ext cx="5225415" cy="32766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737836" y="104775"/>
          <a:ext cx="6440329" cy="3562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453164" y="489585"/>
          <a:ext cx="5261134" cy="31813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309563</xdr:colOff>
      <xdr:row>0</xdr:row>
      <xdr:rowOff>1</xdr:rowOff>
    </xdr:from>
    <xdr:to>
      <xdr:col>1</xdr:col>
      <xdr:colOff>404812</xdr:colOff>
      <xdr:row>6</xdr:row>
      <xdr:rowOff>22291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09563" y="1"/>
          <a:ext cx="1118710" cy="11195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486501" y="807720"/>
          <a:ext cx="5301615" cy="32766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699736" y="104775"/>
          <a:ext cx="6577489" cy="3562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415064" y="489585"/>
          <a:ext cx="5337334" cy="31813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261937</xdr:colOff>
      <xdr:row>0</xdr:row>
      <xdr:rowOff>0</xdr:rowOff>
    </xdr:from>
    <xdr:to>
      <xdr:col>1</xdr:col>
      <xdr:colOff>285748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61937" y="0"/>
          <a:ext cx="1116329" cy="11195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524601" y="807720"/>
          <a:ext cx="5225415" cy="32766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737836" y="104775"/>
          <a:ext cx="6440329" cy="3562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453164" y="489585"/>
          <a:ext cx="5261134" cy="31813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309563</xdr:colOff>
      <xdr:row>0</xdr:row>
      <xdr:rowOff>1</xdr:rowOff>
    </xdr:from>
    <xdr:to>
      <xdr:col>1</xdr:col>
      <xdr:colOff>297656</xdr:colOff>
      <xdr:row>6</xdr:row>
      <xdr:rowOff>22291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09563" y="1"/>
          <a:ext cx="1118710" cy="11195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869406" y="838200"/>
          <a:ext cx="54864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696039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797969" y="504825"/>
          <a:ext cx="552211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21756" y="838200"/>
          <a:ext cx="54864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  <a:cs typeface="+mn-cs"/>
            </a:rPr>
            <a:t>PHD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67127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550319" y="504825"/>
          <a:ext cx="552211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392905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21756" y="838200"/>
          <a:ext cx="54864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imes New Roman"/>
              <a:cs typeface="Times New Roman"/>
            </a:rPr>
            <a:t>MBA</a:t>
          </a: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67127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550319" y="504825"/>
          <a:ext cx="552211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440530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21756" y="838200"/>
          <a:ext cx="54864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67127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550319" y="504825"/>
          <a:ext cx="552211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21756" y="838200"/>
          <a:ext cx="54864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67127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550319" y="504825"/>
          <a:ext cx="552211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21756" y="838200"/>
          <a:ext cx="54864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67127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550319" y="504825"/>
          <a:ext cx="552211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21756" y="838200"/>
          <a:ext cx="54864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67127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550319" y="504825"/>
          <a:ext cx="552211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21756" y="838200"/>
          <a:ext cx="54864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67127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550319" y="504825"/>
          <a:ext cx="552211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869406" y="838200"/>
          <a:ext cx="54864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696039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797969" y="504825"/>
          <a:ext cx="552211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107155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964656" y="838200"/>
          <a:ext cx="5000625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974056" y="104775"/>
          <a:ext cx="646509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893219" y="504825"/>
          <a:ext cx="503634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321468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2993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964656" y="838200"/>
          <a:ext cx="5000625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974056" y="104775"/>
          <a:ext cx="646509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893219" y="504825"/>
          <a:ext cx="503634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321468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2993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21756" y="838200"/>
          <a:ext cx="54864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67127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550319" y="504825"/>
          <a:ext cx="552211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5172075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6455569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520779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238124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5172075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6455569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520779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5172075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6455569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520779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5553075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6836569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558879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71436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57912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707469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582691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57912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707469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582691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57912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707469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582691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57912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707469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582691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57912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707469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582691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607695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73604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611266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607695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73604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611266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607695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73604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611266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607695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73604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611266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607695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73604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611266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607695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73604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611266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607695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73604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611266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607695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73604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611266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607695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73604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611266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607695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73604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611266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607695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73604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611266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607695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73604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611266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607695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73604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611266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607695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73604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611266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6238875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7522369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627459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6238875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7522369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627459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6238875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7522369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627459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6238875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7522369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6274594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607695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736044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611266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64770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776049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651271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64770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776049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651271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345281</xdr:colOff>
      <xdr:row>4</xdr:row>
      <xdr:rowOff>76200</xdr:rowOff>
    </xdr:from>
    <xdr:to>
      <xdr:col>10</xdr:col>
      <xdr:colOff>488156</xdr:colOff>
      <xdr:row>6</xdr:row>
      <xdr:rowOff>38100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2678906" y="838200"/>
          <a:ext cx="6477000" cy="3429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118872" tIns="18288" rIns="118872" bIns="0" anchor="t" upright="1"/>
        <a:lstStyle/>
        <a:p>
          <a:pPr algn="ctr" rtl="1">
            <a:defRPr sz="1000"/>
          </a:pPr>
          <a:r>
            <a:rPr lang="en-US" sz="1400" b="0" i="0" strike="noStrike">
              <a:solidFill>
                <a:srgbClr val="000000"/>
              </a:solidFill>
              <a:latin typeface="Tacteing"/>
            </a:rPr>
            <a:t>r s</a:t>
          </a: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4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>
    <xdr:from>
      <xdr:col>1</xdr:col>
      <xdr:colOff>869156</xdr:colOff>
      <xdr:row>0</xdr:row>
      <xdr:rowOff>104775</xdr:rowOff>
    </xdr:from>
    <xdr:to>
      <xdr:col>11</xdr:col>
      <xdr:colOff>428625</xdr:colOff>
      <xdr:row>2</xdr:row>
      <xdr:rowOff>95250</xdr:rowOff>
    </xdr:to>
    <xdr:sp macro="" textlink="">
      <xdr:nvSpPr>
        <xdr:cNvPr id="3" name="Text Box 3"/>
        <xdr:cNvSpPr txBox="1">
          <a:spLocks noChangeArrowheads="1"/>
        </xdr:cNvSpPr>
      </xdr:nvSpPr>
      <xdr:spPr bwMode="auto">
        <a:xfrm>
          <a:off x="1869281" y="104775"/>
          <a:ext cx="7760494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Times New Roman"/>
              <a:cs typeface="Times New Roman"/>
            </a:rPr>
            <a:t>University of Management and Economics</a:t>
          </a:r>
        </a:p>
      </xdr:txBody>
    </xdr:sp>
    <xdr:clientData/>
  </xdr:twoCellAnchor>
  <xdr:twoCellAnchor>
    <xdr:from>
      <xdr:col>2</xdr:col>
      <xdr:colOff>273844</xdr:colOff>
      <xdr:row>2</xdr:row>
      <xdr:rowOff>123825</xdr:rowOff>
    </xdr:from>
    <xdr:to>
      <xdr:col>10</xdr:col>
      <xdr:colOff>452438</xdr:colOff>
      <xdr:row>4</xdr:row>
      <xdr:rowOff>76200</xdr:rowOff>
    </xdr:to>
    <xdr:sp macro="" textlink="">
      <xdr:nvSpPr>
        <xdr:cNvPr id="4" name="Text Box 4"/>
        <xdr:cNvSpPr txBox="1">
          <a:spLocks noChangeArrowheads="1"/>
        </xdr:cNvSpPr>
      </xdr:nvSpPr>
      <xdr:spPr bwMode="auto">
        <a:xfrm>
          <a:off x="2607469" y="504825"/>
          <a:ext cx="6512719" cy="3333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1">
            <a:defRPr sz="1000"/>
          </a:pPr>
          <a:r>
            <a:rPr lang="en-US" sz="1600" b="0" i="0" strike="noStrike">
              <a:solidFill>
                <a:srgbClr val="000000"/>
              </a:solidFill>
              <a:latin typeface="Times New Roman"/>
              <a:cs typeface="Times New Roman"/>
            </a:rPr>
            <a:t>Account Payable of Teacher and Payment</a:t>
          </a: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  <a:p>
          <a:pPr algn="ctr" rtl="1">
            <a:defRPr sz="1000"/>
          </a:pPr>
          <a:endParaRPr lang="en-US" sz="1600" b="0" i="0" strike="noStrike">
            <a:solidFill>
              <a:srgbClr val="000000"/>
            </a:solidFill>
            <a:latin typeface="Times New Roman"/>
            <a:cs typeface="Times New Roman"/>
          </a:endParaRPr>
        </a:p>
      </xdr:txBody>
    </xdr:sp>
    <xdr:clientData/>
  </xdr:twoCellAnchor>
  <xdr:twoCellAnchor editAs="oneCell">
    <xdr:from>
      <xdr:col>0</xdr:col>
      <xdr:colOff>333375</xdr:colOff>
      <xdr:row>0</xdr:row>
      <xdr:rowOff>0</xdr:rowOff>
    </xdr:from>
    <xdr:to>
      <xdr:col>1</xdr:col>
      <xdr:colOff>428624</xdr:colOff>
      <xdr:row>6</xdr:row>
      <xdr:rowOff>22290</xdr:rowOff>
    </xdr:to>
    <xdr:pic>
      <xdr:nvPicPr>
        <xdr:cNvPr id="5" name="Picture 1" descr="D:\PICTURE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0"/>
          <a:ext cx="1095374" cy="1165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574220</xdr:colOff>
      <xdr:row>1</xdr:row>
      <xdr:rowOff>38100</xdr:rowOff>
    </xdr:from>
    <xdr:to>
      <xdr:col>1</xdr:col>
      <xdr:colOff>704849</xdr:colOff>
      <xdr:row>5</xdr:row>
      <xdr:rowOff>38100</xdr:rowOff>
    </xdr:to>
    <xdr:pic>
      <xdr:nvPicPr>
        <xdr:cNvPr id="2" name="Picture 5" descr="D: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74220" y="990600"/>
          <a:ext cx="740229" cy="76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574220</xdr:colOff>
      <xdr:row>1</xdr:row>
      <xdr:rowOff>38100</xdr:rowOff>
    </xdr:from>
    <xdr:to>
      <xdr:col>1</xdr:col>
      <xdr:colOff>704849</xdr:colOff>
      <xdr:row>5</xdr:row>
      <xdr:rowOff>38100</xdr:rowOff>
    </xdr:to>
    <xdr:pic>
      <xdr:nvPicPr>
        <xdr:cNvPr id="2" name="Picture 5" descr="D:\ALL LOGO\UME new Logo.pn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74220" y="228600"/>
          <a:ext cx="740229" cy="76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ME_2011-2012/4.Finance/Accountant/Account%20Payable/2012-2013/10%20July%202013/Account%20Payable&#8203;%2031-July,%20201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ary 2012-2013"/>
      <sheetName val="Sumary Begining-2012"/>
      <sheetName val="Muon Veasna-Loan"/>
      <sheetName val="Beng Heng"/>
      <sheetName val="Chan Senvichit"/>
      <sheetName val="Chhay Theng"/>
      <sheetName val="Chea Haingy"/>
      <sheetName val="Eam Bunthoeun"/>
      <sheetName val="Houen Sopheang"/>
      <sheetName val="Kuch Sokheang"/>
      <sheetName val="Khiuv Bunna"/>
      <sheetName val="Neang Sovat"/>
      <sheetName val="Sen Sareth"/>
      <sheetName val="Sim Bunsong"/>
      <sheetName val="Soy Sareth"/>
      <sheetName val="Yean Kimean"/>
      <sheetName val="Meas Nee"/>
      <sheetName val="Muon Vesna "/>
      <sheetName val="Lam Socheat Lecturer"/>
      <sheetName val="Heng Seiha "/>
      <sheetName val="Hak Hon"/>
      <sheetName val="Phou Sok"/>
      <sheetName val="Chea Cheurn"/>
      <sheetName val="Koy Saran"/>
      <sheetName val="Lim Heng "/>
      <sheetName val="Oeu Samath"/>
      <sheetName val="Am Sokha"/>
      <sheetName val="No Phearak"/>
      <sheetName val="Seam Sopheakdey"/>
      <sheetName val="Moeun Tola"/>
      <sheetName val="Teap Solin"/>
      <sheetName val="Chhieu Chhay David"/>
      <sheetName val="Lim Vanda"/>
      <sheetName val="Leang Sophanna"/>
      <sheetName val="Katam Sonavan"/>
      <sheetName val="Yoeun David"/>
      <sheetName val="Ak Veth"/>
      <sheetName val="Roth Sochettra"/>
      <sheetName val="Uk Savy"/>
      <sheetName val="UME BTB"/>
      <sheetName val="Sao Horn"/>
      <sheetName val="Mao Dung-Loan2000"/>
      <sheetName val="Muon vesna -Loan2000 "/>
      <sheetName val=" Mr Chetna-Loan  20000"/>
      <sheetName val="Mr Seo Horn-Loan 14000"/>
      <sheetName val="Muon Veasna-Loan5000(1)"/>
      <sheetName val="Muon Veasna-Loan5000 (2)"/>
      <sheetName val="Sheet1"/>
      <sheetName val="Sheet2"/>
      <sheetName val="Sheet3"/>
      <sheetName val="Sheet4"/>
      <sheetName val="Sheet6"/>
    </sheetNames>
    <sheetDataSet>
      <sheetData sheetId="0"/>
      <sheetData sheetId="1"/>
      <sheetData sheetId="2">
        <row r="13">
          <cell r="E13">
            <v>414</v>
          </cell>
        </row>
      </sheetData>
      <sheetData sheetId="3">
        <row r="14">
          <cell r="G14">
            <v>540</v>
          </cell>
        </row>
        <row r="28">
          <cell r="E28">
            <v>540</v>
          </cell>
          <cell r="F28">
            <v>0</v>
          </cell>
        </row>
      </sheetData>
      <sheetData sheetId="4">
        <row r="17">
          <cell r="G17">
            <v>1832</v>
          </cell>
        </row>
        <row r="33">
          <cell r="E33">
            <v>1832</v>
          </cell>
          <cell r="F33">
            <v>0</v>
          </cell>
        </row>
      </sheetData>
      <sheetData sheetId="5">
        <row r="18">
          <cell r="G18">
            <v>2520</v>
          </cell>
        </row>
        <row r="38">
          <cell r="E38">
            <v>2520</v>
          </cell>
          <cell r="F38">
            <v>0</v>
          </cell>
        </row>
      </sheetData>
      <sheetData sheetId="6">
        <row r="17">
          <cell r="G17">
            <v>1872</v>
          </cell>
        </row>
        <row r="42">
          <cell r="E42">
            <v>1872</v>
          </cell>
          <cell r="F42">
            <v>0</v>
          </cell>
        </row>
      </sheetData>
      <sheetData sheetId="7">
        <row r="16">
          <cell r="G16">
            <v>790</v>
          </cell>
        </row>
        <row r="28">
          <cell r="E28">
            <v>790</v>
          </cell>
          <cell r="F28">
            <v>0</v>
          </cell>
        </row>
      </sheetData>
      <sheetData sheetId="8">
        <row r="15">
          <cell r="G15">
            <v>758</v>
          </cell>
        </row>
        <row r="28">
          <cell r="E28">
            <v>758</v>
          </cell>
          <cell r="F28">
            <v>0</v>
          </cell>
        </row>
      </sheetData>
      <sheetData sheetId="9">
        <row r="18">
          <cell r="G18">
            <v>1485</v>
          </cell>
        </row>
        <row r="32">
          <cell r="E32">
            <v>1485</v>
          </cell>
          <cell r="F32">
            <v>0</v>
          </cell>
        </row>
      </sheetData>
      <sheetData sheetId="10">
        <row r="16">
          <cell r="G16">
            <v>658</v>
          </cell>
        </row>
        <row r="26">
          <cell r="E26">
            <v>340</v>
          </cell>
          <cell r="F26">
            <v>0</v>
          </cell>
        </row>
      </sheetData>
      <sheetData sheetId="11">
        <row r="16">
          <cell r="G16">
            <v>777</v>
          </cell>
        </row>
        <row r="30">
          <cell r="E30">
            <v>777</v>
          </cell>
          <cell r="F30">
            <v>0</v>
          </cell>
        </row>
      </sheetData>
      <sheetData sheetId="12">
        <row r="17">
          <cell r="G17">
            <v>1105</v>
          </cell>
        </row>
        <row r="28">
          <cell r="E28">
            <v>1105</v>
          </cell>
          <cell r="F28">
            <v>0</v>
          </cell>
        </row>
      </sheetData>
      <sheetData sheetId="13">
        <row r="16">
          <cell r="G16">
            <v>1680</v>
          </cell>
        </row>
        <row r="30">
          <cell r="E30">
            <v>1680</v>
          </cell>
          <cell r="F30">
            <v>0</v>
          </cell>
        </row>
      </sheetData>
      <sheetData sheetId="14">
        <row r="17">
          <cell r="G17">
            <v>1272</v>
          </cell>
        </row>
        <row r="31">
          <cell r="E31">
            <v>1272</v>
          </cell>
          <cell r="F31">
            <v>0</v>
          </cell>
        </row>
      </sheetData>
      <sheetData sheetId="15">
        <row r="17">
          <cell r="G17">
            <v>1770</v>
          </cell>
        </row>
        <row r="21">
          <cell r="E21">
            <v>500</v>
          </cell>
          <cell r="F21">
            <v>0</v>
          </cell>
        </row>
        <row r="22">
          <cell r="E22">
            <v>500</v>
          </cell>
          <cell r="F22">
            <v>0</v>
          </cell>
        </row>
        <row r="23">
          <cell r="E23">
            <v>380</v>
          </cell>
          <cell r="F23">
            <v>0</v>
          </cell>
        </row>
        <row r="24">
          <cell r="E24">
            <v>190</v>
          </cell>
          <cell r="F24">
            <v>0</v>
          </cell>
        </row>
        <row r="25">
          <cell r="E25">
            <v>200</v>
          </cell>
          <cell r="F25">
            <v>0</v>
          </cell>
        </row>
        <row r="26">
          <cell r="E26">
            <v>0</v>
          </cell>
          <cell r="F26">
            <v>0</v>
          </cell>
        </row>
        <row r="27">
          <cell r="E27">
            <v>0</v>
          </cell>
          <cell r="F27">
            <v>0</v>
          </cell>
        </row>
        <row r="28">
          <cell r="E28">
            <v>0</v>
          </cell>
          <cell r="F28">
            <v>0</v>
          </cell>
        </row>
        <row r="29">
          <cell r="E29">
            <v>0</v>
          </cell>
          <cell r="F29">
            <v>0</v>
          </cell>
        </row>
        <row r="30">
          <cell r="E30">
            <v>0</v>
          </cell>
          <cell r="F30">
            <v>0</v>
          </cell>
        </row>
        <row r="31">
          <cell r="E31">
            <v>0</v>
          </cell>
          <cell r="F31">
            <v>0</v>
          </cell>
        </row>
        <row r="32">
          <cell r="E32">
            <v>0</v>
          </cell>
          <cell r="F32">
            <v>0</v>
          </cell>
        </row>
        <row r="33">
          <cell r="E33">
            <v>0</v>
          </cell>
          <cell r="F33">
            <v>0</v>
          </cell>
        </row>
        <row r="34">
          <cell r="E34">
            <v>0</v>
          </cell>
          <cell r="F34">
            <v>0</v>
          </cell>
        </row>
        <row r="35">
          <cell r="E35">
            <v>0</v>
          </cell>
          <cell r="F35">
            <v>0</v>
          </cell>
        </row>
      </sheetData>
      <sheetData sheetId="16">
        <row r="13">
          <cell r="G13">
            <v>1260</v>
          </cell>
        </row>
        <row r="17">
          <cell r="E17">
            <v>150</v>
          </cell>
          <cell r="F17">
            <v>0</v>
          </cell>
        </row>
        <row r="18">
          <cell r="E18">
            <v>200</v>
          </cell>
          <cell r="F18">
            <v>0</v>
          </cell>
        </row>
        <row r="19">
          <cell r="E19">
            <v>400</v>
          </cell>
          <cell r="F19">
            <v>0</v>
          </cell>
        </row>
        <row r="20">
          <cell r="E20">
            <v>200</v>
          </cell>
          <cell r="F20">
            <v>0</v>
          </cell>
        </row>
        <row r="21">
          <cell r="E21">
            <v>310</v>
          </cell>
          <cell r="F21">
            <v>0</v>
          </cell>
        </row>
      </sheetData>
      <sheetData sheetId="17">
        <row r="13">
          <cell r="G13">
            <v>600</v>
          </cell>
        </row>
        <row r="17">
          <cell r="E17">
            <v>200</v>
          </cell>
          <cell r="F17">
            <v>0</v>
          </cell>
        </row>
        <row r="18">
          <cell r="E18">
            <v>200</v>
          </cell>
          <cell r="F18">
            <v>0</v>
          </cell>
        </row>
        <row r="19">
          <cell r="E19">
            <v>100</v>
          </cell>
          <cell r="F19">
            <v>0</v>
          </cell>
        </row>
        <row r="20">
          <cell r="E20">
            <v>100</v>
          </cell>
          <cell r="F20">
            <v>0</v>
          </cell>
        </row>
        <row r="21">
          <cell r="E21">
            <v>0</v>
          </cell>
          <cell r="F21">
            <v>0</v>
          </cell>
        </row>
      </sheetData>
      <sheetData sheetId="18">
        <row r="13">
          <cell r="G13">
            <v>600</v>
          </cell>
        </row>
        <row r="17">
          <cell r="E17">
            <v>100</v>
          </cell>
          <cell r="F17">
            <v>0</v>
          </cell>
        </row>
        <row r="18">
          <cell r="E18">
            <v>200</v>
          </cell>
          <cell r="F18">
            <v>0</v>
          </cell>
        </row>
        <row r="19">
          <cell r="E19">
            <v>300</v>
          </cell>
          <cell r="F19">
            <v>0</v>
          </cell>
        </row>
        <row r="20">
          <cell r="E20">
            <v>0</v>
          </cell>
          <cell r="F20">
            <v>0</v>
          </cell>
        </row>
        <row r="21">
          <cell r="E21">
            <v>0</v>
          </cell>
          <cell r="F21">
            <v>0</v>
          </cell>
        </row>
      </sheetData>
      <sheetData sheetId="19">
        <row r="16">
          <cell r="G16">
            <v>1398</v>
          </cell>
        </row>
        <row r="20">
          <cell r="E20">
            <v>270</v>
          </cell>
          <cell r="F20">
            <v>0</v>
          </cell>
        </row>
        <row r="21">
          <cell r="E21">
            <v>238</v>
          </cell>
          <cell r="F21">
            <v>0</v>
          </cell>
        </row>
        <row r="22">
          <cell r="E22">
            <v>400</v>
          </cell>
          <cell r="F22">
            <v>0</v>
          </cell>
        </row>
        <row r="23">
          <cell r="E23">
            <v>210</v>
          </cell>
          <cell r="F23">
            <v>0</v>
          </cell>
        </row>
        <row r="24">
          <cell r="E24">
            <v>280</v>
          </cell>
          <cell r="F24">
            <v>0</v>
          </cell>
        </row>
      </sheetData>
      <sheetData sheetId="20">
        <row r="17">
          <cell r="G17">
            <v>1043</v>
          </cell>
        </row>
        <row r="21">
          <cell r="E21">
            <v>200</v>
          </cell>
          <cell r="F21">
            <v>0</v>
          </cell>
        </row>
        <row r="22">
          <cell r="E22">
            <v>274</v>
          </cell>
          <cell r="F22">
            <v>0</v>
          </cell>
        </row>
        <row r="23">
          <cell r="E23">
            <v>250</v>
          </cell>
          <cell r="F23">
            <v>0</v>
          </cell>
        </row>
        <row r="24">
          <cell r="E24">
            <v>120</v>
          </cell>
          <cell r="F24">
            <v>0</v>
          </cell>
        </row>
        <row r="25">
          <cell r="E25">
            <v>199</v>
          </cell>
          <cell r="F25">
            <v>0</v>
          </cell>
        </row>
      </sheetData>
      <sheetData sheetId="21">
        <row r="17">
          <cell r="G17">
            <v>720</v>
          </cell>
        </row>
        <row r="21">
          <cell r="E21">
            <v>140</v>
          </cell>
          <cell r="F21">
            <v>0</v>
          </cell>
        </row>
        <row r="22">
          <cell r="E22">
            <v>206</v>
          </cell>
          <cell r="F22">
            <v>0</v>
          </cell>
        </row>
        <row r="23">
          <cell r="E23">
            <v>180</v>
          </cell>
          <cell r="F23">
            <v>0</v>
          </cell>
        </row>
        <row r="24">
          <cell r="E24">
            <v>90</v>
          </cell>
          <cell r="F24">
            <v>0</v>
          </cell>
        </row>
        <row r="25">
          <cell r="E25">
            <v>104</v>
          </cell>
          <cell r="F25">
            <v>0</v>
          </cell>
        </row>
      </sheetData>
      <sheetData sheetId="22">
        <row r="16">
          <cell r="G16">
            <v>712</v>
          </cell>
        </row>
        <row r="20">
          <cell r="E20">
            <v>230</v>
          </cell>
          <cell r="F20">
            <v>0</v>
          </cell>
        </row>
        <row r="21">
          <cell r="E21">
            <v>143</v>
          </cell>
          <cell r="F21">
            <v>0</v>
          </cell>
        </row>
        <row r="22">
          <cell r="E22">
            <v>140</v>
          </cell>
          <cell r="F22">
            <v>0</v>
          </cell>
        </row>
        <row r="23">
          <cell r="E23">
            <v>199</v>
          </cell>
          <cell r="F23">
            <v>0</v>
          </cell>
        </row>
        <row r="24">
          <cell r="E24">
            <v>0</v>
          </cell>
          <cell r="F24">
            <v>0</v>
          </cell>
        </row>
      </sheetData>
      <sheetData sheetId="23">
        <row r="15">
          <cell r="G15">
            <v>630</v>
          </cell>
        </row>
        <row r="19">
          <cell r="E19">
            <v>160</v>
          </cell>
          <cell r="F19">
            <v>0</v>
          </cell>
        </row>
        <row r="20">
          <cell r="E20">
            <v>88</v>
          </cell>
          <cell r="F20">
            <v>0</v>
          </cell>
        </row>
        <row r="21">
          <cell r="E21">
            <v>190</v>
          </cell>
          <cell r="F21">
            <v>0</v>
          </cell>
        </row>
        <row r="22">
          <cell r="E22">
            <v>90</v>
          </cell>
          <cell r="F22">
            <v>0</v>
          </cell>
        </row>
        <row r="23">
          <cell r="E23">
            <v>102</v>
          </cell>
          <cell r="F23">
            <v>0</v>
          </cell>
        </row>
      </sheetData>
      <sheetData sheetId="24">
        <row r="17">
          <cell r="G17">
            <v>360</v>
          </cell>
        </row>
        <row r="21">
          <cell r="E21">
            <v>96</v>
          </cell>
          <cell r="F21">
            <v>0</v>
          </cell>
        </row>
        <row r="22">
          <cell r="E22">
            <v>180</v>
          </cell>
          <cell r="F22">
            <v>0</v>
          </cell>
        </row>
        <row r="23">
          <cell r="E23">
            <v>84</v>
          </cell>
          <cell r="F23">
            <v>0</v>
          </cell>
        </row>
        <row r="24">
          <cell r="E24">
            <v>0</v>
          </cell>
          <cell r="F24">
            <v>0</v>
          </cell>
        </row>
        <row r="25">
          <cell r="E25">
            <v>0</v>
          </cell>
          <cell r="F25">
            <v>0</v>
          </cell>
        </row>
      </sheetData>
      <sheetData sheetId="25">
        <row r="18">
          <cell r="G18">
            <v>1148</v>
          </cell>
        </row>
        <row r="22">
          <cell r="E22">
            <v>200</v>
          </cell>
          <cell r="F22">
            <v>0</v>
          </cell>
        </row>
        <row r="23">
          <cell r="E23">
            <v>178</v>
          </cell>
          <cell r="F23">
            <v>0</v>
          </cell>
        </row>
        <row r="24">
          <cell r="E24">
            <v>260</v>
          </cell>
          <cell r="F24">
            <v>0</v>
          </cell>
        </row>
        <row r="25">
          <cell r="E25">
            <v>200</v>
          </cell>
          <cell r="F25">
            <v>0</v>
          </cell>
        </row>
        <row r="26">
          <cell r="E26">
            <v>310</v>
          </cell>
          <cell r="F26">
            <v>0</v>
          </cell>
        </row>
      </sheetData>
      <sheetData sheetId="26">
        <row r="16">
          <cell r="E16">
            <v>45</v>
          </cell>
        </row>
        <row r="17">
          <cell r="G17">
            <v>360</v>
          </cell>
        </row>
        <row r="21">
          <cell r="E21">
            <v>48</v>
          </cell>
          <cell r="F21">
            <v>0</v>
          </cell>
        </row>
        <row r="22">
          <cell r="E22">
            <v>24</v>
          </cell>
          <cell r="F22">
            <v>0</v>
          </cell>
        </row>
        <row r="23">
          <cell r="E23">
            <v>288</v>
          </cell>
          <cell r="F23">
            <v>0</v>
          </cell>
        </row>
        <row r="24">
          <cell r="E24">
            <v>0</v>
          </cell>
          <cell r="F24">
            <v>0</v>
          </cell>
        </row>
        <row r="25">
          <cell r="E25">
            <v>0</v>
          </cell>
          <cell r="F25">
            <v>0</v>
          </cell>
        </row>
      </sheetData>
      <sheetData sheetId="27">
        <row r="17">
          <cell r="G17">
            <v>630</v>
          </cell>
        </row>
        <row r="21">
          <cell r="E21">
            <v>180</v>
          </cell>
          <cell r="F21">
            <v>0</v>
          </cell>
        </row>
        <row r="22">
          <cell r="E22">
            <v>155</v>
          </cell>
          <cell r="F22">
            <v>0</v>
          </cell>
        </row>
        <row r="23">
          <cell r="E23">
            <v>150</v>
          </cell>
          <cell r="F23">
            <v>0</v>
          </cell>
        </row>
        <row r="24">
          <cell r="E24">
            <v>70</v>
          </cell>
          <cell r="F24">
            <v>0</v>
          </cell>
        </row>
        <row r="25">
          <cell r="E25">
            <v>75</v>
          </cell>
          <cell r="F25">
            <v>0</v>
          </cell>
        </row>
      </sheetData>
      <sheetData sheetId="28">
        <row r="17">
          <cell r="G17">
            <v>630</v>
          </cell>
        </row>
        <row r="21">
          <cell r="E21">
            <v>140</v>
          </cell>
          <cell r="F21">
            <v>0</v>
          </cell>
        </row>
        <row r="22">
          <cell r="E22">
            <v>77</v>
          </cell>
          <cell r="F22">
            <v>0</v>
          </cell>
        </row>
        <row r="23">
          <cell r="E23">
            <v>240</v>
          </cell>
          <cell r="F23">
            <v>0</v>
          </cell>
        </row>
        <row r="24">
          <cell r="E24">
            <v>173</v>
          </cell>
          <cell r="F24">
            <v>0</v>
          </cell>
        </row>
        <row r="25">
          <cell r="E25">
            <v>0</v>
          </cell>
          <cell r="F25">
            <v>0</v>
          </cell>
        </row>
      </sheetData>
      <sheetData sheetId="29">
        <row r="17">
          <cell r="G17">
            <v>264</v>
          </cell>
        </row>
      </sheetData>
      <sheetData sheetId="30">
        <row r="17">
          <cell r="G17">
            <v>630</v>
          </cell>
        </row>
      </sheetData>
      <sheetData sheetId="31">
        <row r="17">
          <cell r="G17">
            <v>744</v>
          </cell>
        </row>
      </sheetData>
      <sheetData sheetId="32">
        <row r="17">
          <cell r="G17">
            <v>360</v>
          </cell>
        </row>
      </sheetData>
      <sheetData sheetId="33">
        <row r="17">
          <cell r="G17">
            <v>720</v>
          </cell>
        </row>
      </sheetData>
      <sheetData sheetId="34">
        <row r="17">
          <cell r="G17">
            <v>189</v>
          </cell>
        </row>
      </sheetData>
      <sheetData sheetId="35">
        <row r="17">
          <cell r="G17">
            <v>315</v>
          </cell>
        </row>
      </sheetData>
      <sheetData sheetId="36"/>
      <sheetData sheetId="37"/>
      <sheetData sheetId="38"/>
      <sheetData sheetId="39">
        <row r="14">
          <cell r="E14">
            <v>18500</v>
          </cell>
        </row>
        <row r="28">
          <cell r="D28">
            <v>18500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tel:012%20718%20611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tel:012%20718%20611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tel:012%20718%20611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tel:012%20718%20611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tel:012%20718%20611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1" Type="http://schemas.openxmlformats.org/officeDocument/2006/relationships/hyperlink" Target="tel:012%20718%20611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1" Type="http://schemas.openxmlformats.org/officeDocument/2006/relationships/hyperlink" Target="tel:012%20718%20611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1" Type="http://schemas.openxmlformats.org/officeDocument/2006/relationships/hyperlink" Target="tel:012%20718%20611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1" Type="http://schemas.openxmlformats.org/officeDocument/2006/relationships/hyperlink" Target="tel:012%20718%20611" TargetMode="Externa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1" Type="http://schemas.openxmlformats.org/officeDocument/2006/relationships/hyperlink" Target="tel:012%20718%20611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1" Type="http://schemas.openxmlformats.org/officeDocument/2006/relationships/hyperlink" Target="tel:012%20718%20611" TargetMode="Externa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1" Type="http://schemas.openxmlformats.org/officeDocument/2006/relationships/hyperlink" Target="tel:012%20718%20611" TargetMode="Externa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1" Type="http://schemas.openxmlformats.org/officeDocument/2006/relationships/hyperlink" Target="tel:012%20718%20611" TargetMode="Externa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1" Type="http://schemas.openxmlformats.org/officeDocument/2006/relationships/hyperlink" Target="tel:012%20718%20611" TargetMode="Externa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1" Type="http://schemas.openxmlformats.org/officeDocument/2006/relationships/hyperlink" Target="tel:012%20718%20611" TargetMode="Externa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1" Type="http://schemas.openxmlformats.org/officeDocument/2006/relationships/hyperlink" Target="tel:012%20718%20611" TargetMode="Externa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1" Type="http://schemas.openxmlformats.org/officeDocument/2006/relationships/hyperlink" Target="tel:012%20718%20611" TargetMode="Externa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1" Type="http://schemas.openxmlformats.org/officeDocument/2006/relationships/hyperlink" Target="tel:012%20718%20611" TargetMode="Externa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1" Type="http://schemas.openxmlformats.org/officeDocument/2006/relationships/hyperlink" Target="tel:012%20718%20611" TargetMode="Externa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1" Type="http://schemas.openxmlformats.org/officeDocument/2006/relationships/hyperlink" Target="tel:012%20718%20611" TargetMode="Externa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1" Type="http://schemas.openxmlformats.org/officeDocument/2006/relationships/hyperlink" Target="tel:012%20718%20611" TargetMode="Externa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1" Type="http://schemas.openxmlformats.org/officeDocument/2006/relationships/hyperlink" Target="tel:012%20718%20611" TargetMode="Externa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1" Type="http://schemas.openxmlformats.org/officeDocument/2006/relationships/hyperlink" Target="tel:012%20718%20611" TargetMode="Externa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1" Type="http://schemas.openxmlformats.org/officeDocument/2006/relationships/hyperlink" Target="tel:012%20718%20611" TargetMode="Externa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1" Type="http://schemas.openxmlformats.org/officeDocument/2006/relationships/hyperlink" Target="tel:012%20718%20611" TargetMode="Externa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1" Type="http://schemas.openxmlformats.org/officeDocument/2006/relationships/hyperlink" Target="tel:012%20718%20611" TargetMode="Externa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1" Type="http://schemas.openxmlformats.org/officeDocument/2006/relationships/hyperlink" Target="tel:012%20718%20611" TargetMode="Externa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1" Type="http://schemas.openxmlformats.org/officeDocument/2006/relationships/hyperlink" Target="tel:012%20718%20611" TargetMode="Externa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1" Type="http://schemas.openxmlformats.org/officeDocument/2006/relationships/hyperlink" Target="tel:012%20718%20611" TargetMode="Externa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1" Type="http://schemas.openxmlformats.org/officeDocument/2006/relationships/hyperlink" Target="tel:012%20718%20611" TargetMode="Externa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1" Type="http://schemas.openxmlformats.org/officeDocument/2006/relationships/hyperlink" Target="tel:012%20718%20611" TargetMode="Externa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1" Type="http://schemas.openxmlformats.org/officeDocument/2006/relationships/hyperlink" Target="tel:012%20718%20611" TargetMode="Externa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1" Type="http://schemas.openxmlformats.org/officeDocument/2006/relationships/hyperlink" Target="tel:012%20718%20611" TargetMode="External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1" Type="http://schemas.openxmlformats.org/officeDocument/2006/relationships/hyperlink" Target="tel:012%20718%20611" TargetMode="External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1" Type="http://schemas.openxmlformats.org/officeDocument/2006/relationships/hyperlink" Target="tel:012%20718%20611" TargetMode="Externa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1" Type="http://schemas.openxmlformats.org/officeDocument/2006/relationships/hyperlink" Target="tel:012%20718%20611" TargetMode="Externa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1" Type="http://schemas.openxmlformats.org/officeDocument/2006/relationships/hyperlink" Target="tel:012%20718%20611" TargetMode="External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1" Type="http://schemas.openxmlformats.org/officeDocument/2006/relationships/hyperlink" Target="tel:017%20849%20463" TargetMode="Externa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1" Type="http://schemas.openxmlformats.org/officeDocument/2006/relationships/hyperlink" Target="tel:017%20849%20463" TargetMode="Externa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3"/>
  <sheetViews>
    <sheetView workbookViewId="0">
      <pane ySplit="6" topLeftCell="A34" activePane="bottomLeft" state="frozen"/>
      <selection pane="bottomLeft" activeCell="I46" sqref="I46"/>
    </sheetView>
  </sheetViews>
  <sheetFormatPr defaultColWidth="9.140625" defaultRowHeight="13.5" x14ac:dyDescent="0.25"/>
  <cols>
    <col min="1" max="1" width="4.42578125" style="247" customWidth="1"/>
    <col min="2" max="2" width="27.7109375" style="35" customWidth="1"/>
    <col min="3" max="3" width="9.42578125" style="35" customWidth="1"/>
    <col min="4" max="4" width="8.28515625" style="35" customWidth="1"/>
    <col min="5" max="5" width="11.28515625" style="35" bestFit="1" customWidth="1"/>
    <col min="6" max="6" width="11.28515625" style="42" bestFit="1" customWidth="1"/>
    <col min="7" max="7" width="13.7109375" style="35" customWidth="1"/>
    <col min="8" max="9" width="11.28515625" style="35" customWidth="1"/>
    <col min="10" max="10" width="12.140625" style="249" bestFit="1" customWidth="1"/>
    <col min="11" max="12" width="9.42578125" style="35" bestFit="1" customWidth="1"/>
    <col min="13" max="16384" width="9.140625" style="35"/>
  </cols>
  <sheetData>
    <row r="1" spans="1:11" s="43" customFormat="1" ht="26.25" x14ac:dyDescent="0.25">
      <c r="A1" s="826" t="s">
        <v>14</v>
      </c>
      <c r="B1" s="826"/>
      <c r="C1" s="826"/>
      <c r="D1" s="826"/>
      <c r="E1" s="826"/>
      <c r="F1" s="826"/>
      <c r="G1" s="826"/>
      <c r="H1" s="826"/>
      <c r="I1" s="826"/>
      <c r="J1" s="826"/>
    </row>
    <row r="2" spans="1:11" s="43" customFormat="1" ht="26.25" x14ac:dyDescent="0.25">
      <c r="A2" s="827" t="s">
        <v>17</v>
      </c>
      <c r="B2" s="827"/>
      <c r="C2" s="827"/>
      <c r="D2" s="827"/>
      <c r="E2" s="827"/>
      <c r="F2" s="827"/>
      <c r="G2" s="827"/>
      <c r="H2" s="827"/>
      <c r="I2" s="827"/>
      <c r="J2" s="827"/>
    </row>
    <row r="3" spans="1:11" ht="27" customHeight="1" thickBot="1" x14ac:dyDescent="0.3">
      <c r="A3" s="44"/>
      <c r="B3" s="44"/>
      <c r="C3" s="45"/>
      <c r="D3" s="45"/>
      <c r="E3" s="45"/>
      <c r="F3" s="294"/>
      <c r="G3" s="45"/>
      <c r="H3" s="44"/>
      <c r="I3" s="44"/>
      <c r="J3" s="293"/>
    </row>
    <row r="4" spans="1:11" ht="30.75" customHeight="1" thickTop="1" x14ac:dyDescent="0.25">
      <c r="A4" s="828" t="s">
        <v>187</v>
      </c>
      <c r="B4" s="828"/>
      <c r="C4" s="828"/>
      <c r="D4" s="828"/>
      <c r="E4" s="828"/>
      <c r="F4" s="828"/>
      <c r="G4" s="828"/>
      <c r="H4" s="828"/>
      <c r="I4" s="828"/>
      <c r="J4" s="828"/>
    </row>
    <row r="5" spans="1:11" ht="9" customHeight="1" thickBot="1" x14ac:dyDescent="0.3"/>
    <row r="6" spans="1:11" ht="15" thickTop="1" thickBot="1" x14ac:dyDescent="0.3">
      <c r="A6" s="36" t="s">
        <v>13</v>
      </c>
      <c r="B6" s="37" t="s">
        <v>12</v>
      </c>
      <c r="C6" s="37" t="s">
        <v>11</v>
      </c>
      <c r="D6" s="37" t="s">
        <v>10</v>
      </c>
      <c r="E6" s="37" t="s">
        <v>9</v>
      </c>
      <c r="F6" s="292" t="s">
        <v>8</v>
      </c>
      <c r="G6" s="37" t="s">
        <v>7</v>
      </c>
      <c r="H6" s="37" t="s">
        <v>6</v>
      </c>
      <c r="I6" s="37" t="s">
        <v>0</v>
      </c>
      <c r="J6" s="291" t="s">
        <v>5</v>
      </c>
    </row>
    <row r="7" spans="1:11" ht="16.5" x14ac:dyDescent="0.3">
      <c r="A7" s="284">
        <v>1</v>
      </c>
      <c r="B7" s="273" t="s">
        <v>57</v>
      </c>
      <c r="C7" s="38">
        <v>45</v>
      </c>
      <c r="D7" s="38">
        <v>4</v>
      </c>
      <c r="E7" s="38">
        <f>'[1]Beng Heng'!G14</f>
        <v>540</v>
      </c>
      <c r="F7" s="286">
        <f>SUM('[1]Beng Heng'!E28:F28)</f>
        <v>540</v>
      </c>
      <c r="G7" s="39">
        <f t="shared" ref="G7:G39" si="0">E7-F7</f>
        <v>0</v>
      </c>
      <c r="H7" s="39"/>
      <c r="I7" s="39">
        <f>G7+H7</f>
        <v>0</v>
      </c>
      <c r="J7" s="280" t="s">
        <v>186</v>
      </c>
    </row>
    <row r="8" spans="1:11" ht="16.5" x14ac:dyDescent="0.3">
      <c r="A8" s="284">
        <v>2</v>
      </c>
      <c r="B8" s="273" t="s">
        <v>185</v>
      </c>
      <c r="C8" s="38">
        <v>180</v>
      </c>
      <c r="D8" s="38">
        <v>8</v>
      </c>
      <c r="E8" s="38">
        <f>'[1]Chan Senvichit'!G17</f>
        <v>1832</v>
      </c>
      <c r="F8" s="286">
        <f>SUM('[1]Chan Senvichit'!E33:F33)</f>
        <v>1832</v>
      </c>
      <c r="G8" s="39">
        <f>E8-F8</f>
        <v>0</v>
      </c>
      <c r="H8" s="39"/>
      <c r="I8" s="39">
        <f>G8+H8</f>
        <v>0</v>
      </c>
      <c r="J8" s="280" t="s">
        <v>184</v>
      </c>
    </row>
    <row r="9" spans="1:11" ht="16.5" x14ac:dyDescent="0.3">
      <c r="A9" s="284">
        <v>3</v>
      </c>
      <c r="B9" s="273" t="s">
        <v>61</v>
      </c>
      <c r="C9" s="38">
        <v>45</v>
      </c>
      <c r="D9" s="38">
        <v>8</v>
      </c>
      <c r="E9" s="38">
        <f>'[1]Chhay Theng'!G18</f>
        <v>2520</v>
      </c>
      <c r="F9" s="286">
        <f>SUM('[1]Chhay Theng'!E38:F38)</f>
        <v>2520</v>
      </c>
      <c r="G9" s="39">
        <f>E9-F9</f>
        <v>0</v>
      </c>
      <c r="H9" s="39"/>
      <c r="I9" s="39">
        <f t="shared" ref="I9:I39" si="1">G9+H9</f>
        <v>0</v>
      </c>
      <c r="J9" s="280" t="s">
        <v>183</v>
      </c>
    </row>
    <row r="10" spans="1:11" ht="16.5" x14ac:dyDescent="0.3">
      <c r="A10" s="284">
        <v>4</v>
      </c>
      <c r="B10" s="273" t="s">
        <v>51</v>
      </c>
      <c r="C10" s="38">
        <v>90</v>
      </c>
      <c r="D10" s="38">
        <v>8</v>
      </c>
      <c r="E10" s="287">
        <f>'[1]Chea Haingy'!G17</f>
        <v>1872</v>
      </c>
      <c r="F10" s="286">
        <f>SUM('[1]Chea Haingy'!E42:F42)</f>
        <v>1872</v>
      </c>
      <c r="G10" s="39">
        <f>E10-F10</f>
        <v>0</v>
      </c>
      <c r="H10" s="39"/>
      <c r="I10" s="39">
        <f t="shared" si="1"/>
        <v>0</v>
      </c>
      <c r="J10" s="280" t="s">
        <v>182</v>
      </c>
    </row>
    <row r="11" spans="1:11" ht="16.5" x14ac:dyDescent="0.3">
      <c r="A11" s="284">
        <v>5</v>
      </c>
      <c r="B11" s="273" t="s">
        <v>60</v>
      </c>
      <c r="C11" s="38">
        <f>45*3</f>
        <v>135</v>
      </c>
      <c r="D11" s="38">
        <v>6</v>
      </c>
      <c r="E11" s="287">
        <f>'[1]Eam Bunthoeun'!G16</f>
        <v>790</v>
      </c>
      <c r="F11" s="286">
        <f>SUM('[1]Eam Bunthoeun'!E28:F28)</f>
        <v>790</v>
      </c>
      <c r="G11" s="39">
        <f t="shared" si="0"/>
        <v>0</v>
      </c>
      <c r="H11" s="39"/>
      <c r="I11" s="39">
        <f t="shared" si="1"/>
        <v>0</v>
      </c>
      <c r="J11" s="280" t="s">
        <v>181</v>
      </c>
    </row>
    <row r="12" spans="1:11" ht="16.5" x14ac:dyDescent="0.3">
      <c r="A12" s="284">
        <v>6</v>
      </c>
      <c r="B12" s="290" t="s">
        <v>180</v>
      </c>
      <c r="C12" s="41">
        <v>45</v>
      </c>
      <c r="D12" s="41">
        <v>8</v>
      </c>
      <c r="E12" s="289">
        <f>'[1]Khiuv Bunna'!G16</f>
        <v>658</v>
      </c>
      <c r="F12" s="288">
        <f>SUM('[1]Khiuv Bunna'!E26:F26)</f>
        <v>340</v>
      </c>
      <c r="G12" s="161">
        <f t="shared" si="0"/>
        <v>318</v>
      </c>
      <c r="H12" s="161"/>
      <c r="I12" s="161">
        <f t="shared" si="1"/>
        <v>318</v>
      </c>
      <c r="J12" s="280" t="s">
        <v>179</v>
      </c>
      <c r="K12" s="35" t="s">
        <v>178</v>
      </c>
    </row>
    <row r="13" spans="1:11" ht="16.5" x14ac:dyDescent="0.3">
      <c r="A13" s="284">
        <v>7</v>
      </c>
      <c r="B13" s="273" t="s">
        <v>62</v>
      </c>
      <c r="C13" s="38"/>
      <c r="D13" s="38"/>
      <c r="E13" s="287">
        <f>'[1]Kuch Sokheang'!G18</f>
        <v>1485</v>
      </c>
      <c r="F13" s="286">
        <f>SUM('[1]Kuch Sokheang'!E32:F32)</f>
        <v>1485</v>
      </c>
      <c r="G13" s="39">
        <f t="shared" si="0"/>
        <v>0</v>
      </c>
      <c r="H13" s="39"/>
      <c r="I13" s="39">
        <f t="shared" si="1"/>
        <v>0</v>
      </c>
      <c r="J13" s="280" t="s">
        <v>177</v>
      </c>
    </row>
    <row r="14" spans="1:11" ht="16.5" x14ac:dyDescent="0.3">
      <c r="A14" s="284">
        <v>8</v>
      </c>
      <c r="B14" s="273" t="s">
        <v>52</v>
      </c>
      <c r="C14" s="38">
        <v>48</v>
      </c>
      <c r="D14" s="38">
        <v>4</v>
      </c>
      <c r="E14" s="287">
        <f>'[1]Houen Sopheang'!G15</f>
        <v>758</v>
      </c>
      <c r="F14" s="285">
        <f>SUM('[1]Houen Sopheang'!E28:F28)</f>
        <v>758</v>
      </c>
      <c r="G14" s="39">
        <f>E14-F14</f>
        <v>0</v>
      </c>
      <c r="H14" s="39"/>
      <c r="I14" s="39">
        <f t="shared" si="1"/>
        <v>0</v>
      </c>
      <c r="J14" s="280" t="s">
        <v>176</v>
      </c>
    </row>
    <row r="15" spans="1:11" ht="16.5" x14ac:dyDescent="0.3">
      <c r="A15" s="284">
        <v>9</v>
      </c>
      <c r="B15" s="273" t="s">
        <v>56</v>
      </c>
      <c r="C15" s="38">
        <v>45</v>
      </c>
      <c r="D15" s="38">
        <v>7</v>
      </c>
      <c r="E15" s="38">
        <f>'[1]Neang Sovat'!G16</f>
        <v>777</v>
      </c>
      <c r="F15" s="285">
        <f>SUM('[1]Neang Sovat'!E30:F30)</f>
        <v>777</v>
      </c>
      <c r="G15" s="39">
        <f t="shared" si="0"/>
        <v>0</v>
      </c>
      <c r="H15" s="39"/>
      <c r="I15" s="39">
        <f t="shared" si="1"/>
        <v>0</v>
      </c>
      <c r="J15" s="280" t="s">
        <v>175</v>
      </c>
    </row>
    <row r="16" spans="1:11" ht="16.5" x14ac:dyDescent="0.3">
      <c r="A16" s="284">
        <v>10</v>
      </c>
      <c r="B16" s="283" t="s">
        <v>4</v>
      </c>
      <c r="C16" s="38">
        <f>45*3</f>
        <v>135</v>
      </c>
      <c r="D16" s="38">
        <v>4</v>
      </c>
      <c r="E16" s="38">
        <f>'[1]Sen Sareth'!G17</f>
        <v>1105</v>
      </c>
      <c r="F16" s="286">
        <f>SUM('[1]Sen Sareth'!E28:F28)</f>
        <v>1105</v>
      </c>
      <c r="G16" s="39">
        <f t="shared" si="0"/>
        <v>0</v>
      </c>
      <c r="H16" s="39"/>
      <c r="I16" s="39">
        <f t="shared" si="1"/>
        <v>0</v>
      </c>
      <c r="J16" s="280" t="s">
        <v>174</v>
      </c>
    </row>
    <row r="17" spans="1:13" ht="16.5" x14ac:dyDescent="0.3">
      <c r="A17" s="284">
        <v>11</v>
      </c>
      <c r="B17" s="283" t="s">
        <v>46</v>
      </c>
      <c r="C17" s="38">
        <v>45</v>
      </c>
      <c r="D17" s="38">
        <v>7</v>
      </c>
      <c r="E17" s="282">
        <f>'[1]Sim Bunsong'!G16</f>
        <v>1680</v>
      </c>
      <c r="F17" s="281">
        <f>SUM('[1]Sim Bunsong'!E30:F30)</f>
        <v>1680</v>
      </c>
      <c r="G17" s="39">
        <f t="shared" si="0"/>
        <v>0</v>
      </c>
      <c r="H17" s="39"/>
      <c r="I17" s="39">
        <f t="shared" si="1"/>
        <v>0</v>
      </c>
      <c r="J17" s="280" t="s">
        <v>173</v>
      </c>
    </row>
    <row r="18" spans="1:13" ht="16.5" x14ac:dyDescent="0.3">
      <c r="A18" s="284">
        <v>12</v>
      </c>
      <c r="B18" s="283" t="s">
        <v>58</v>
      </c>
      <c r="C18" s="38">
        <v>45</v>
      </c>
      <c r="D18" s="38">
        <v>8</v>
      </c>
      <c r="E18" s="38">
        <f>'[1]Soy Sareth'!G17</f>
        <v>1272</v>
      </c>
      <c r="F18" s="285">
        <f>SUM('[1]Soy Sareth'!E31:F31)</f>
        <v>1272</v>
      </c>
      <c r="G18" s="39">
        <f t="shared" si="0"/>
        <v>0</v>
      </c>
      <c r="H18" s="39"/>
      <c r="I18" s="39">
        <f t="shared" si="1"/>
        <v>0</v>
      </c>
      <c r="J18" s="280" t="s">
        <v>172</v>
      </c>
    </row>
    <row r="19" spans="1:13" ht="16.5" x14ac:dyDescent="0.3">
      <c r="A19" s="284">
        <v>13</v>
      </c>
      <c r="B19" s="283" t="s">
        <v>171</v>
      </c>
      <c r="C19" s="38">
        <f>45*6</f>
        <v>270</v>
      </c>
      <c r="D19" s="38">
        <v>8</v>
      </c>
      <c r="E19" s="282">
        <f>'[1]Yean Kimean'!G17</f>
        <v>1770</v>
      </c>
      <c r="F19" s="281">
        <f>SUM('[1]Yean Kimean'!E21:F35)</f>
        <v>1770</v>
      </c>
      <c r="G19" s="39">
        <f t="shared" si="0"/>
        <v>0</v>
      </c>
      <c r="H19" s="39"/>
      <c r="I19" s="39">
        <f t="shared" si="1"/>
        <v>0</v>
      </c>
      <c r="J19" s="280" t="s">
        <v>170</v>
      </c>
    </row>
    <row r="20" spans="1:13" ht="16.5" x14ac:dyDescent="0.3">
      <c r="A20" s="284">
        <v>14</v>
      </c>
      <c r="B20" s="283" t="s">
        <v>67</v>
      </c>
      <c r="C20" s="38">
        <v>90</v>
      </c>
      <c r="D20" s="38">
        <v>30</v>
      </c>
      <c r="E20" s="282">
        <f>'[1]Meas Nee'!G13</f>
        <v>1260</v>
      </c>
      <c r="F20" s="285">
        <f>SUM('[1]Meas Nee'!E17:F21)</f>
        <v>1260</v>
      </c>
      <c r="G20" s="39">
        <f>E20-F20</f>
        <v>0</v>
      </c>
      <c r="H20" s="39"/>
      <c r="I20" s="39">
        <f t="shared" si="1"/>
        <v>0</v>
      </c>
      <c r="J20" s="280" t="s">
        <v>169</v>
      </c>
    </row>
    <row r="21" spans="1:13" ht="16.5" x14ac:dyDescent="0.3">
      <c r="A21" s="284">
        <v>15</v>
      </c>
      <c r="B21" s="283" t="s">
        <v>168</v>
      </c>
      <c r="C21" s="38">
        <v>1</v>
      </c>
      <c r="D21" s="38">
        <v>600</v>
      </c>
      <c r="E21" s="282">
        <f>'[1]Muon Vesna '!G13</f>
        <v>600</v>
      </c>
      <c r="F21" s="281">
        <f>SUM('[1]Muon Vesna '!E17:F21)</f>
        <v>600</v>
      </c>
      <c r="G21" s="39">
        <f t="shared" si="0"/>
        <v>0</v>
      </c>
      <c r="H21" s="39"/>
      <c r="I21" s="39">
        <f t="shared" si="1"/>
        <v>0</v>
      </c>
      <c r="J21" s="280" t="s">
        <v>167</v>
      </c>
    </row>
    <row r="22" spans="1:13" ht="16.5" x14ac:dyDescent="0.3">
      <c r="A22" s="284">
        <v>16</v>
      </c>
      <c r="B22" s="283" t="s">
        <v>166</v>
      </c>
      <c r="C22" s="38">
        <v>1</v>
      </c>
      <c r="D22" s="38">
        <v>600</v>
      </c>
      <c r="E22" s="282">
        <f>'[1]Lam Socheat Lecturer'!G13</f>
        <v>600</v>
      </c>
      <c r="F22" s="281">
        <f>SUM('[1]Lam Socheat Lecturer'!E17:F21)</f>
        <v>600</v>
      </c>
      <c r="G22" s="39">
        <f t="shared" si="0"/>
        <v>0</v>
      </c>
      <c r="H22" s="39"/>
      <c r="I22" s="39">
        <f t="shared" si="1"/>
        <v>0</v>
      </c>
      <c r="J22" s="280" t="s">
        <v>165</v>
      </c>
    </row>
    <row r="23" spans="1:13" ht="16.5" x14ac:dyDescent="0.3">
      <c r="A23" s="284">
        <v>17</v>
      </c>
      <c r="B23" s="283" t="s">
        <v>164</v>
      </c>
      <c r="C23" s="38"/>
      <c r="D23" s="38">
        <v>6</v>
      </c>
      <c r="E23" s="282">
        <f>'[1]Heng Seiha '!G16</f>
        <v>1398</v>
      </c>
      <c r="F23" s="281">
        <f>SUM('[1]Heng Seiha '!E20:F24)</f>
        <v>1398</v>
      </c>
      <c r="G23" s="39">
        <f t="shared" si="0"/>
        <v>0</v>
      </c>
      <c r="H23" s="39"/>
      <c r="I23" s="39">
        <f t="shared" si="1"/>
        <v>0</v>
      </c>
      <c r="J23" s="280" t="s">
        <v>163</v>
      </c>
    </row>
    <row r="24" spans="1:13" ht="16.5" x14ac:dyDescent="0.3">
      <c r="A24" s="284">
        <v>18</v>
      </c>
      <c r="B24" s="283" t="s">
        <v>3</v>
      </c>
      <c r="C24" s="38"/>
      <c r="D24" s="38">
        <v>7</v>
      </c>
      <c r="E24" s="282">
        <f>'[1]Hak Hon'!G17</f>
        <v>1043</v>
      </c>
      <c r="F24" s="281">
        <f>SUM('[1]Hak Hon'!E21:F25)</f>
        <v>1043</v>
      </c>
      <c r="G24" s="39">
        <f t="shared" si="0"/>
        <v>0</v>
      </c>
      <c r="H24" s="39"/>
      <c r="I24" s="39">
        <f t="shared" si="1"/>
        <v>0</v>
      </c>
      <c r="J24" s="280" t="s">
        <v>162</v>
      </c>
      <c r="M24" s="281"/>
    </row>
    <row r="25" spans="1:13" ht="16.5" x14ac:dyDescent="0.3">
      <c r="A25" s="284">
        <v>19</v>
      </c>
      <c r="B25" s="283" t="s">
        <v>161</v>
      </c>
      <c r="C25" s="38"/>
      <c r="D25" s="38"/>
      <c r="E25" s="282">
        <f>'[1]Yoeun David'!G17</f>
        <v>315</v>
      </c>
      <c r="F25" s="281">
        <v>315</v>
      </c>
      <c r="G25" s="39">
        <f t="shared" si="0"/>
        <v>0</v>
      </c>
      <c r="H25" s="39"/>
      <c r="I25" s="39">
        <f t="shared" si="1"/>
        <v>0</v>
      </c>
      <c r="J25" s="280"/>
      <c r="M25" s="281"/>
    </row>
    <row r="26" spans="1:13" ht="16.5" x14ac:dyDescent="0.3">
      <c r="A26" s="284">
        <v>20</v>
      </c>
      <c r="B26" s="283" t="s">
        <v>88</v>
      </c>
      <c r="C26" s="38"/>
      <c r="D26" s="38">
        <v>8</v>
      </c>
      <c r="E26" s="282">
        <f>'[1]Leang Sophanna'!G17</f>
        <v>720</v>
      </c>
      <c r="F26" s="281">
        <v>720</v>
      </c>
      <c r="G26" s="39">
        <f t="shared" si="0"/>
        <v>0</v>
      </c>
      <c r="H26" s="39"/>
      <c r="I26" s="39">
        <f t="shared" si="1"/>
        <v>0</v>
      </c>
      <c r="J26" s="280"/>
      <c r="M26" s="281"/>
    </row>
    <row r="27" spans="1:13" ht="16.5" x14ac:dyDescent="0.3">
      <c r="A27" s="284">
        <v>21</v>
      </c>
      <c r="B27" s="283" t="s">
        <v>87</v>
      </c>
      <c r="C27" s="38"/>
      <c r="D27" s="38">
        <v>7</v>
      </c>
      <c r="E27" s="282">
        <f>'[1]Teap Solin'!G17</f>
        <v>630</v>
      </c>
      <c r="F27" s="281">
        <v>630</v>
      </c>
      <c r="G27" s="39">
        <f t="shared" si="0"/>
        <v>0</v>
      </c>
      <c r="H27" s="39"/>
      <c r="I27" s="39">
        <f t="shared" si="1"/>
        <v>0</v>
      </c>
      <c r="J27" s="280"/>
      <c r="M27" s="281"/>
    </row>
    <row r="28" spans="1:13" ht="16.5" x14ac:dyDescent="0.3">
      <c r="A28" s="284">
        <v>22</v>
      </c>
      <c r="B28" s="283" t="s">
        <v>85</v>
      </c>
      <c r="C28" s="38"/>
      <c r="D28" s="38"/>
      <c r="E28" s="282">
        <f>'[1]Chhieu Chhay David'!G17</f>
        <v>744</v>
      </c>
      <c r="F28" s="281">
        <v>744</v>
      </c>
      <c r="G28" s="39">
        <f t="shared" si="0"/>
        <v>0</v>
      </c>
      <c r="H28" s="39"/>
      <c r="I28" s="39">
        <f t="shared" si="1"/>
        <v>0</v>
      </c>
      <c r="J28" s="280"/>
      <c r="M28" s="281"/>
    </row>
    <row r="29" spans="1:13" ht="16.5" x14ac:dyDescent="0.3">
      <c r="A29" s="284">
        <v>23</v>
      </c>
      <c r="B29" s="283" t="s">
        <v>79</v>
      </c>
      <c r="C29" s="38"/>
      <c r="D29" s="38"/>
      <c r="E29" s="282">
        <f>'[1]Moeun Tola'!G17</f>
        <v>264</v>
      </c>
      <c r="F29" s="281">
        <v>264</v>
      </c>
      <c r="G29" s="39">
        <f t="shared" si="0"/>
        <v>0</v>
      </c>
      <c r="H29" s="39"/>
      <c r="I29" s="39">
        <f t="shared" si="1"/>
        <v>0</v>
      </c>
      <c r="J29" s="280"/>
    </row>
    <row r="30" spans="1:13" ht="16.5" x14ac:dyDescent="0.3">
      <c r="A30" s="284">
        <v>24</v>
      </c>
      <c r="B30" s="283" t="s">
        <v>160</v>
      </c>
      <c r="C30" s="38"/>
      <c r="D30" s="38"/>
      <c r="E30" s="282">
        <f>'[1]Lim Vanda'!G17</f>
        <v>360</v>
      </c>
      <c r="F30" s="281">
        <v>360</v>
      </c>
      <c r="G30" s="39">
        <f t="shared" si="0"/>
        <v>0</v>
      </c>
      <c r="H30" s="39"/>
      <c r="I30" s="39">
        <f t="shared" si="1"/>
        <v>0</v>
      </c>
      <c r="J30" s="280"/>
    </row>
    <row r="31" spans="1:13" ht="16.5" x14ac:dyDescent="0.3">
      <c r="A31" s="284">
        <v>25</v>
      </c>
      <c r="B31" s="283" t="s">
        <v>69</v>
      </c>
      <c r="C31" s="38"/>
      <c r="D31" s="38">
        <v>8</v>
      </c>
      <c r="E31" s="282">
        <f>'[1]Phou Sok'!G17</f>
        <v>720</v>
      </c>
      <c r="F31" s="281">
        <f>SUM('[1]Phou Sok'!E21:F25)</f>
        <v>720</v>
      </c>
      <c r="G31" s="39">
        <f t="shared" si="0"/>
        <v>0</v>
      </c>
      <c r="H31" s="39"/>
      <c r="I31" s="39">
        <f t="shared" si="1"/>
        <v>0</v>
      </c>
      <c r="J31" s="280" t="s">
        <v>159</v>
      </c>
    </row>
    <row r="32" spans="1:13" ht="16.5" x14ac:dyDescent="0.3">
      <c r="A32" s="284">
        <v>26</v>
      </c>
      <c r="B32" s="283" t="s">
        <v>158</v>
      </c>
      <c r="C32" s="38"/>
      <c r="D32" s="38">
        <v>7</v>
      </c>
      <c r="E32" s="282">
        <f>'[1]Chea Cheurn'!G16</f>
        <v>712</v>
      </c>
      <c r="F32" s="281">
        <f>SUM('[1]Chea Cheurn'!E20:F24)</f>
        <v>712</v>
      </c>
      <c r="G32" s="39">
        <f t="shared" si="0"/>
        <v>0</v>
      </c>
      <c r="H32" s="39"/>
      <c r="I32" s="39">
        <f t="shared" si="1"/>
        <v>0</v>
      </c>
      <c r="J32" s="280" t="s">
        <v>157</v>
      </c>
    </row>
    <row r="33" spans="1:10" ht="16.5" x14ac:dyDescent="0.3">
      <c r="A33" s="284">
        <v>27</v>
      </c>
      <c r="B33" s="283" t="s">
        <v>92</v>
      </c>
      <c r="C33" s="38"/>
      <c r="D33" s="38">
        <v>7</v>
      </c>
      <c r="E33" s="282">
        <f>'[1]Koy Saran'!G15</f>
        <v>630</v>
      </c>
      <c r="F33" s="281">
        <f>SUM('[1]Koy Saran'!E19:F23)</f>
        <v>630</v>
      </c>
      <c r="G33" s="39">
        <f t="shared" si="0"/>
        <v>0</v>
      </c>
      <c r="H33" s="39"/>
      <c r="I33" s="39">
        <f t="shared" si="1"/>
        <v>0</v>
      </c>
      <c r="J33" s="280" t="s">
        <v>156</v>
      </c>
    </row>
    <row r="34" spans="1:10" ht="16.5" x14ac:dyDescent="0.3">
      <c r="A34" s="284">
        <v>28</v>
      </c>
      <c r="B34" s="283" t="s">
        <v>155</v>
      </c>
      <c r="C34" s="38"/>
      <c r="D34" s="38">
        <v>8</v>
      </c>
      <c r="E34" s="282">
        <f>'[1]Lim Heng '!G17</f>
        <v>360</v>
      </c>
      <c r="F34" s="281">
        <f>SUM('[1]Lim Heng '!E21:F25)</f>
        <v>360</v>
      </c>
      <c r="G34" s="39">
        <f t="shared" si="0"/>
        <v>0</v>
      </c>
      <c r="H34" s="39"/>
      <c r="I34" s="39">
        <f t="shared" si="1"/>
        <v>0</v>
      </c>
      <c r="J34" s="280" t="s">
        <v>154</v>
      </c>
    </row>
    <row r="35" spans="1:10" ht="16.5" x14ac:dyDescent="0.3">
      <c r="A35" s="284">
        <v>29</v>
      </c>
      <c r="B35" s="283" t="s">
        <v>72</v>
      </c>
      <c r="C35" s="38"/>
      <c r="D35" s="38">
        <v>7</v>
      </c>
      <c r="E35" s="282">
        <f>'[1]Oeu Samath'!G18</f>
        <v>1148</v>
      </c>
      <c r="F35" s="281">
        <f>SUM('[1]Oeu Samath'!E22:F26)</f>
        <v>1148</v>
      </c>
      <c r="G35" s="39">
        <f t="shared" si="0"/>
        <v>0</v>
      </c>
      <c r="H35" s="39"/>
      <c r="I35" s="39">
        <f t="shared" si="1"/>
        <v>0</v>
      </c>
      <c r="J35" s="280" t="s">
        <v>153</v>
      </c>
    </row>
    <row r="36" spans="1:10" ht="16.5" x14ac:dyDescent="0.3">
      <c r="A36" s="284">
        <v>30</v>
      </c>
      <c r="B36" s="283" t="s">
        <v>73</v>
      </c>
      <c r="C36" s="38">
        <f>'[1]Am Sokha'!E16</f>
        <v>45</v>
      </c>
      <c r="D36" s="38">
        <v>8</v>
      </c>
      <c r="E36" s="282">
        <f>'[1]Am Sokha'!G17</f>
        <v>360</v>
      </c>
      <c r="F36" s="281">
        <f>SUM('[1]Am Sokha'!E21:F25)</f>
        <v>360</v>
      </c>
      <c r="G36" s="39">
        <f t="shared" si="0"/>
        <v>0</v>
      </c>
      <c r="H36" s="39"/>
      <c r="I36" s="39">
        <f t="shared" si="1"/>
        <v>0</v>
      </c>
      <c r="J36" s="280" t="s">
        <v>152</v>
      </c>
    </row>
    <row r="37" spans="1:10" ht="16.5" x14ac:dyDescent="0.3">
      <c r="A37" s="284">
        <v>31</v>
      </c>
      <c r="B37" s="283" t="s">
        <v>77</v>
      </c>
      <c r="C37" s="38"/>
      <c r="D37" s="38"/>
      <c r="E37" s="282">
        <f>'[1]No Phearak'!G17</f>
        <v>630</v>
      </c>
      <c r="F37" s="281">
        <f>SUM('[1]No Phearak'!E21:F25)</f>
        <v>630</v>
      </c>
      <c r="G37" s="39">
        <f t="shared" si="0"/>
        <v>0</v>
      </c>
      <c r="H37" s="39"/>
      <c r="I37" s="39">
        <f t="shared" si="1"/>
        <v>0</v>
      </c>
      <c r="J37" s="280"/>
    </row>
    <row r="38" spans="1:10" ht="16.5" x14ac:dyDescent="0.3">
      <c r="A38" s="284">
        <v>32</v>
      </c>
      <c r="B38" s="283" t="s">
        <v>93</v>
      </c>
      <c r="C38" s="38">
        <v>27</v>
      </c>
      <c r="D38" s="38">
        <v>7</v>
      </c>
      <c r="E38" s="282">
        <f>'[1]Katam Sonavan'!G17</f>
        <v>189</v>
      </c>
      <c r="F38" s="281">
        <v>189</v>
      </c>
      <c r="G38" s="39">
        <f t="shared" si="0"/>
        <v>0</v>
      </c>
      <c r="H38" s="39"/>
      <c r="I38" s="39">
        <f t="shared" si="1"/>
        <v>0</v>
      </c>
      <c r="J38" s="280"/>
    </row>
    <row r="39" spans="1:10" ht="16.5" x14ac:dyDescent="0.3">
      <c r="A39" s="284">
        <v>33</v>
      </c>
      <c r="B39" s="283" t="s">
        <v>78</v>
      </c>
      <c r="C39" s="38"/>
      <c r="D39" s="38"/>
      <c r="E39" s="282">
        <f>'[1]Seam Sopheakdey'!G17</f>
        <v>630</v>
      </c>
      <c r="F39" s="281">
        <f>SUM('[1]Seam Sopheakdey'!E21:F25)</f>
        <v>630</v>
      </c>
      <c r="G39" s="39">
        <f t="shared" si="0"/>
        <v>0</v>
      </c>
      <c r="H39" s="39"/>
      <c r="I39" s="39">
        <f t="shared" si="1"/>
        <v>0</v>
      </c>
      <c r="J39" s="280"/>
    </row>
    <row r="40" spans="1:10" ht="15" x14ac:dyDescent="0.35">
      <c r="A40" s="40"/>
      <c r="B40" s="279" t="s">
        <v>16</v>
      </c>
      <c r="C40" s="276"/>
      <c r="D40" s="276"/>
      <c r="E40" s="276"/>
      <c r="F40" s="275"/>
      <c r="G40" s="274"/>
      <c r="H40" s="274"/>
      <c r="I40" s="278">
        <f>SUM(I7:I39)</f>
        <v>318</v>
      </c>
      <c r="J40" s="265"/>
    </row>
    <row r="41" spans="1:10" ht="16.5" x14ac:dyDescent="0.3">
      <c r="A41" s="40"/>
      <c r="B41" s="277" t="s">
        <v>151</v>
      </c>
      <c r="C41" s="276"/>
      <c r="D41" s="276"/>
      <c r="E41" s="276"/>
      <c r="F41" s="275"/>
      <c r="G41" s="274"/>
      <c r="H41" s="274"/>
      <c r="I41" s="274"/>
      <c r="J41" s="265"/>
    </row>
    <row r="42" spans="1:10" ht="16.5" x14ac:dyDescent="0.3">
      <c r="A42" s="40">
        <v>1</v>
      </c>
      <c r="B42" s="273" t="s">
        <v>150</v>
      </c>
      <c r="C42" s="272"/>
      <c r="D42" s="272"/>
      <c r="E42" s="270">
        <v>11000</v>
      </c>
      <c r="F42" s="271">
        <v>11000</v>
      </c>
      <c r="G42" s="270">
        <f t="shared" ref="G42:G51" si="2">E42-F42</f>
        <v>0</v>
      </c>
      <c r="H42" s="39"/>
      <c r="I42" s="39">
        <f t="shared" ref="I42:I51" si="3">G42+H42</f>
        <v>0</v>
      </c>
      <c r="J42" s="265"/>
    </row>
    <row r="43" spans="1:10" ht="16.5" x14ac:dyDescent="0.3">
      <c r="A43" s="40">
        <f>+A42+1</f>
        <v>2</v>
      </c>
      <c r="B43" s="273" t="s">
        <v>149</v>
      </c>
      <c r="C43" s="272"/>
      <c r="D43" s="272"/>
      <c r="E43" s="270">
        <f>'[1]UME BTB'!E14</f>
        <v>18500</v>
      </c>
      <c r="F43" s="271">
        <f>SUM('[1]UME BTB'!D28)</f>
        <v>18500</v>
      </c>
      <c r="G43" s="270">
        <f t="shared" si="2"/>
        <v>0</v>
      </c>
      <c r="H43" s="39"/>
      <c r="I43" s="39">
        <f t="shared" si="3"/>
        <v>0</v>
      </c>
      <c r="J43" s="265"/>
    </row>
    <row r="44" spans="1:10" ht="16.5" x14ac:dyDescent="0.3">
      <c r="A44" s="40">
        <v>2</v>
      </c>
      <c r="B44" s="273" t="s">
        <v>148</v>
      </c>
      <c r="C44" s="272"/>
      <c r="D44" s="272"/>
      <c r="E44" s="270">
        <v>10000</v>
      </c>
      <c r="F44" s="271">
        <v>10000</v>
      </c>
      <c r="G44" s="270">
        <f t="shared" si="2"/>
        <v>0</v>
      </c>
      <c r="H44" s="39"/>
      <c r="I44" s="39">
        <f t="shared" si="3"/>
        <v>0</v>
      </c>
      <c r="J44" s="265"/>
    </row>
    <row r="45" spans="1:10" ht="16.5" x14ac:dyDescent="0.3">
      <c r="A45" s="40">
        <f>+A44+1</f>
        <v>3</v>
      </c>
      <c r="B45" s="273" t="s">
        <v>147</v>
      </c>
      <c r="C45" s="272"/>
      <c r="D45" s="272"/>
      <c r="E45" s="270">
        <f>2000+3000</f>
        <v>5000</v>
      </c>
      <c r="F45" s="271">
        <v>5000</v>
      </c>
      <c r="G45" s="270">
        <f t="shared" si="2"/>
        <v>0</v>
      </c>
      <c r="H45" s="39"/>
      <c r="I45" s="39">
        <f t="shared" si="3"/>
        <v>0</v>
      </c>
      <c r="J45" s="265"/>
    </row>
    <row r="46" spans="1:10" ht="16.5" x14ac:dyDescent="0.3">
      <c r="A46" s="40">
        <v>3</v>
      </c>
      <c r="B46" s="273" t="s">
        <v>146</v>
      </c>
      <c r="C46" s="272"/>
      <c r="D46" s="272"/>
      <c r="E46" s="270">
        <v>2000</v>
      </c>
      <c r="F46" s="271">
        <v>2000</v>
      </c>
      <c r="G46" s="270">
        <f t="shared" si="2"/>
        <v>0</v>
      </c>
      <c r="H46" s="39"/>
      <c r="I46" s="39">
        <f t="shared" si="3"/>
        <v>0</v>
      </c>
      <c r="J46" s="265"/>
    </row>
    <row r="47" spans="1:10" ht="16.5" x14ac:dyDescent="0.3">
      <c r="A47" s="40">
        <f>+A46+1</f>
        <v>4</v>
      </c>
      <c r="B47" s="273" t="s">
        <v>145</v>
      </c>
      <c r="C47" s="272"/>
      <c r="D47" s="272"/>
      <c r="E47" s="270">
        <v>2000</v>
      </c>
      <c r="F47" s="271">
        <v>2000</v>
      </c>
      <c r="G47" s="270">
        <f t="shared" si="2"/>
        <v>0</v>
      </c>
      <c r="H47" s="39"/>
      <c r="I47" s="39">
        <f t="shared" si="3"/>
        <v>0</v>
      </c>
      <c r="J47" s="265"/>
    </row>
    <row r="48" spans="1:10" ht="16.5" x14ac:dyDescent="0.3">
      <c r="A48" s="40">
        <v>4</v>
      </c>
      <c r="B48" s="273" t="s">
        <v>145</v>
      </c>
      <c r="C48" s="272"/>
      <c r="D48" s="272"/>
      <c r="E48" s="270">
        <v>5000</v>
      </c>
      <c r="F48" s="271">
        <v>5000</v>
      </c>
      <c r="G48" s="270">
        <f t="shared" si="2"/>
        <v>0</v>
      </c>
      <c r="H48" s="39"/>
      <c r="I48" s="39">
        <f t="shared" si="3"/>
        <v>0</v>
      </c>
      <c r="J48" s="265"/>
    </row>
    <row r="49" spans="1:10" ht="16.5" x14ac:dyDescent="0.3">
      <c r="A49" s="40">
        <f>+A48+1</f>
        <v>5</v>
      </c>
      <c r="B49" s="273" t="s">
        <v>144</v>
      </c>
      <c r="C49" s="272"/>
      <c r="D49" s="272"/>
      <c r="E49" s="270">
        <v>20000</v>
      </c>
      <c r="F49" s="271">
        <v>20000</v>
      </c>
      <c r="G49" s="270">
        <f t="shared" si="2"/>
        <v>0</v>
      </c>
      <c r="H49" s="39"/>
      <c r="I49" s="39">
        <f t="shared" si="3"/>
        <v>0</v>
      </c>
      <c r="J49" s="265"/>
    </row>
    <row r="50" spans="1:10" ht="16.5" x14ac:dyDescent="0.3">
      <c r="A50" s="40">
        <v>5</v>
      </c>
      <c r="B50" s="273" t="s">
        <v>143</v>
      </c>
      <c r="C50" s="272"/>
      <c r="D50" s="272"/>
      <c r="E50" s="270">
        <v>14000</v>
      </c>
      <c r="F50" s="271">
        <v>14000</v>
      </c>
      <c r="G50" s="270">
        <f t="shared" si="2"/>
        <v>0</v>
      </c>
      <c r="H50" s="39"/>
      <c r="I50" s="39">
        <f t="shared" si="3"/>
        <v>0</v>
      </c>
      <c r="J50" s="265"/>
    </row>
    <row r="51" spans="1:10" ht="16.5" x14ac:dyDescent="0.3">
      <c r="A51" s="40">
        <f>+A50+1</f>
        <v>6</v>
      </c>
      <c r="B51" s="269" t="s">
        <v>142</v>
      </c>
      <c r="C51" s="268"/>
      <c r="D51" s="268"/>
      <c r="E51" s="266">
        <f>'[1]Muon Veasna-Loan'!E13</f>
        <v>414</v>
      </c>
      <c r="F51" s="267">
        <v>414</v>
      </c>
      <c r="G51" s="266">
        <f t="shared" si="2"/>
        <v>0</v>
      </c>
      <c r="H51" s="39"/>
      <c r="I51" s="39">
        <f t="shared" si="3"/>
        <v>0</v>
      </c>
      <c r="J51" s="265"/>
    </row>
    <row r="52" spans="1:10" ht="17.25" thickBot="1" x14ac:dyDescent="0.4">
      <c r="A52" s="264"/>
      <c r="B52" s="263" t="s">
        <v>141</v>
      </c>
      <c r="C52" s="262"/>
      <c r="D52" s="262"/>
      <c r="E52" s="262"/>
      <c r="F52" s="261"/>
      <c r="G52" s="260"/>
      <c r="H52" s="259"/>
      <c r="I52" s="258">
        <f>SUM(I42:I51)</f>
        <v>0</v>
      </c>
      <c r="J52" s="257"/>
    </row>
    <row r="53" spans="1:10" ht="14.25" thickBot="1" x14ac:dyDescent="0.3">
      <c r="A53" s="831" t="s">
        <v>140</v>
      </c>
      <c r="B53" s="832"/>
      <c r="C53" s="256"/>
      <c r="D53" s="256"/>
      <c r="E53" s="254">
        <f>SUM(E7:E52)</f>
        <v>118286</v>
      </c>
      <c r="F53" s="255">
        <f>SUM(F7:F52)</f>
        <v>117968</v>
      </c>
      <c r="G53" s="254">
        <f>SUM(G7:G52)</f>
        <v>318</v>
      </c>
      <c r="H53" s="254">
        <f>SUM(H7:H52)</f>
        <v>0</v>
      </c>
      <c r="I53" s="253">
        <f>SUM(I40+I52)</f>
        <v>318</v>
      </c>
      <c r="J53" s="252"/>
    </row>
    <row r="54" spans="1:10" ht="14.25" thickTop="1" x14ac:dyDescent="0.25">
      <c r="H54" s="35" t="s">
        <v>139</v>
      </c>
    </row>
    <row r="55" spans="1:10" ht="15" customHeight="1" x14ac:dyDescent="0.3">
      <c r="A55" s="829" t="s">
        <v>41</v>
      </c>
      <c r="B55" s="829"/>
      <c r="E55" s="248" t="s">
        <v>38</v>
      </c>
      <c r="H55" s="830" t="s">
        <v>15</v>
      </c>
      <c r="I55" s="830"/>
      <c r="J55" s="830"/>
    </row>
    <row r="56" spans="1:10" ht="14.45" customHeight="1" x14ac:dyDescent="0.25"/>
    <row r="60" spans="1:10" ht="15" customHeight="1" x14ac:dyDescent="0.25">
      <c r="J60" s="251"/>
    </row>
    <row r="61" spans="1:10" x14ac:dyDescent="0.25">
      <c r="A61" s="825" t="s">
        <v>138</v>
      </c>
      <c r="B61" s="825"/>
      <c r="D61" s="250" t="s">
        <v>48</v>
      </c>
      <c r="E61" s="250"/>
      <c r="I61" s="247" t="s">
        <v>137</v>
      </c>
    </row>
    <row r="62" spans="1:10" ht="14.45" customHeight="1" x14ac:dyDescent="0.25"/>
    <row r="63" spans="1:10" x14ac:dyDescent="0.25">
      <c r="A63" s="35"/>
    </row>
  </sheetData>
  <dataConsolidate/>
  <mergeCells count="7">
    <mergeCell ref="A61:B61"/>
    <mergeCell ref="A1:J1"/>
    <mergeCell ref="A2:J2"/>
    <mergeCell ref="A4:J4"/>
    <mergeCell ref="A55:B55"/>
    <mergeCell ref="H55:J55"/>
    <mergeCell ref="A53:B53"/>
  </mergeCells>
  <printOptions horizontalCentered="1"/>
  <pageMargins left="0.34" right="0.35" top="0.32" bottom="0.32" header="0.3" footer="0.3"/>
  <pageSetup scale="85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116"/>
  <sheetViews>
    <sheetView topLeftCell="A4" zoomScale="124" zoomScaleNormal="124" workbookViewId="0">
      <pane ySplit="5" topLeftCell="A9" activePane="bottomLeft" state="frozen"/>
      <selection activeCell="A4" sqref="A4"/>
      <selection pane="bottomLeft" activeCell="B9" sqref="B9"/>
    </sheetView>
  </sheetViews>
  <sheetFormatPr defaultRowHeight="12" x14ac:dyDescent="0.2"/>
  <cols>
    <col min="1" max="1" width="4.7109375" style="369" customWidth="1"/>
    <col min="2" max="2" width="24.42578125" style="370" customWidth="1"/>
    <col min="3" max="3" width="12.28515625" style="368" customWidth="1"/>
    <col min="4" max="4" width="9.42578125" style="368" customWidth="1"/>
    <col min="5" max="5" width="13.28515625" style="368" customWidth="1"/>
    <col min="6" max="6" width="10.85546875" style="368" customWidth="1"/>
    <col min="7" max="7" width="13.42578125" style="368" customWidth="1"/>
    <col min="8" max="8" width="8.140625" style="368" customWidth="1"/>
    <col min="9" max="9" width="16.85546875" style="368" customWidth="1"/>
    <col min="10" max="10" width="18.42578125" style="368" customWidth="1"/>
    <col min="11" max="16384" width="9.140625" style="368"/>
  </cols>
  <sheetData>
    <row r="3" spans="1:17" ht="14.25" x14ac:dyDescent="0.2">
      <c r="A3" s="833" t="s">
        <v>14</v>
      </c>
      <c r="B3" s="833"/>
      <c r="C3" s="833"/>
      <c r="D3" s="833"/>
      <c r="E3" s="833"/>
      <c r="F3" s="833"/>
      <c r="G3" s="833"/>
      <c r="H3" s="833"/>
      <c r="I3" s="833"/>
      <c r="J3" s="833"/>
    </row>
    <row r="4" spans="1:17" ht="15" customHeight="1" x14ac:dyDescent="0.2">
      <c r="A4" s="834" t="s">
        <v>17</v>
      </c>
      <c r="B4" s="834"/>
      <c r="C4" s="834"/>
      <c r="D4" s="834"/>
      <c r="E4" s="834"/>
      <c r="F4" s="834"/>
      <c r="G4" s="834"/>
      <c r="H4" s="834"/>
      <c r="I4" s="834"/>
      <c r="J4" s="834"/>
    </row>
    <row r="5" spans="1:17" ht="13.5" x14ac:dyDescent="0.25">
      <c r="A5" s="835" t="s">
        <v>524</v>
      </c>
      <c r="B5" s="835"/>
      <c r="C5" s="835"/>
      <c r="D5" s="835"/>
      <c r="E5" s="835"/>
      <c r="F5" s="835"/>
      <c r="G5" s="835"/>
      <c r="H5" s="835"/>
      <c r="I5" s="835"/>
      <c r="J5" s="835"/>
    </row>
    <row r="6" spans="1:17" ht="12.75" thickBot="1" x14ac:dyDescent="0.25"/>
    <row r="7" spans="1:17" ht="12.75" customHeight="1" thickTop="1" thickBot="1" x14ac:dyDescent="0.25">
      <c r="A7" s="371" t="s">
        <v>13</v>
      </c>
      <c r="B7" s="372" t="s">
        <v>12</v>
      </c>
      <c r="C7" s="373" t="s">
        <v>11</v>
      </c>
      <c r="D7" s="373" t="s">
        <v>10</v>
      </c>
      <c r="E7" s="373" t="s">
        <v>9</v>
      </c>
      <c r="F7" s="374" t="s">
        <v>8</v>
      </c>
      <c r="G7" s="373" t="s">
        <v>7</v>
      </c>
      <c r="H7" s="373" t="s">
        <v>6</v>
      </c>
      <c r="I7" s="373" t="s">
        <v>0</v>
      </c>
      <c r="J7" s="375" t="s">
        <v>5</v>
      </c>
    </row>
    <row r="8" spans="1:17" ht="12.75" customHeight="1" x14ac:dyDescent="0.2">
      <c r="A8" s="376"/>
      <c r="B8" s="377" t="s">
        <v>206</v>
      </c>
      <c r="C8" s="378"/>
      <c r="D8" s="378"/>
      <c r="E8" s="378"/>
      <c r="F8" s="379"/>
      <c r="G8" s="378"/>
      <c r="H8" s="378"/>
      <c r="I8" s="378"/>
      <c r="J8" s="380"/>
    </row>
    <row r="9" spans="1:17" ht="12.75" customHeight="1" x14ac:dyDescent="0.2">
      <c r="A9" s="384">
        <v>1</v>
      </c>
      <c r="B9" s="512" t="s">
        <v>95</v>
      </c>
      <c r="C9" s="381">
        <f>'Son Visoth'!E26</f>
        <v>519</v>
      </c>
      <c r="D9" s="382">
        <f>'Son Visoth'!F26</f>
        <v>7</v>
      </c>
      <c r="E9" s="382">
        <f>'Son Visoth'!G28</f>
        <v>3633</v>
      </c>
      <c r="F9" s="382">
        <f>SUM('Son Visoth'!E45:F45)</f>
        <v>2874</v>
      </c>
      <c r="G9" s="382">
        <f>E9-F9</f>
        <v>759</v>
      </c>
      <c r="H9" s="381"/>
      <c r="I9" s="382">
        <f>G9+H9</f>
        <v>759</v>
      </c>
      <c r="J9" s="383"/>
    </row>
    <row r="10" spans="1:17" ht="12.75" customHeight="1" x14ac:dyDescent="0.2">
      <c r="A10" s="384">
        <v>2</v>
      </c>
      <c r="B10" s="513" t="s">
        <v>57</v>
      </c>
      <c r="C10" s="385">
        <f>'Beng Heng '!E19</f>
        <v>283</v>
      </c>
      <c r="D10" s="386">
        <f>'Beng Heng '!F19</f>
        <v>4</v>
      </c>
      <c r="E10" s="386">
        <f>'Beng Heng '!G20</f>
        <v>1132</v>
      </c>
      <c r="F10" s="386">
        <f>SUM('Beng Heng '!E34:F34)</f>
        <v>984</v>
      </c>
      <c r="G10" s="386">
        <f t="shared" ref="G10:G92" si="0">E10-F10</f>
        <v>148</v>
      </c>
      <c r="H10" s="385"/>
      <c r="I10" s="386">
        <f t="shared" ref="I10:I93" si="1">G10+H10</f>
        <v>148</v>
      </c>
      <c r="J10" s="387"/>
    </row>
    <row r="11" spans="1:17" ht="12.75" customHeight="1" x14ac:dyDescent="0.3">
      <c r="A11" s="384">
        <v>3</v>
      </c>
      <c r="B11" s="514" t="s">
        <v>62</v>
      </c>
      <c r="C11" s="385">
        <f>'Kuch Sokheang'!E26</f>
        <v>416</v>
      </c>
      <c r="D11" s="386" t="s">
        <v>209</v>
      </c>
      <c r="E11" s="386">
        <f>'Kuch Sokheang'!G27</f>
        <v>1934</v>
      </c>
      <c r="F11" s="386">
        <f>SUM('Kuch Sokheang'!E41:F41)</f>
        <v>1746</v>
      </c>
      <c r="G11" s="386">
        <f t="shared" si="0"/>
        <v>188</v>
      </c>
      <c r="H11" s="385"/>
      <c r="I11" s="386">
        <f>G11+H11</f>
        <v>188</v>
      </c>
      <c r="J11" s="387"/>
    </row>
    <row r="12" spans="1:17" ht="12.75" customHeight="1" x14ac:dyDescent="0.2">
      <c r="A12" s="384">
        <v>4</v>
      </c>
      <c r="B12" s="438" t="s">
        <v>46</v>
      </c>
      <c r="C12" s="385">
        <f>'Sim Bunsong'!E31</f>
        <v>519</v>
      </c>
      <c r="D12" s="386">
        <f>'Sim Bunsong'!F31</f>
        <v>7</v>
      </c>
      <c r="E12" s="386">
        <f>'Sim Bunsong'!G32</f>
        <v>3633</v>
      </c>
      <c r="F12" s="386">
        <f>SUM('Sim Bunsong'!E46:F46)</f>
        <v>3486</v>
      </c>
      <c r="G12" s="386">
        <f t="shared" si="0"/>
        <v>147</v>
      </c>
      <c r="H12" s="385"/>
      <c r="I12" s="386">
        <f t="shared" si="1"/>
        <v>147</v>
      </c>
      <c r="J12" s="387"/>
    </row>
    <row r="13" spans="1:17" ht="12.75" customHeight="1" x14ac:dyDescent="0.35">
      <c r="A13" s="384">
        <v>5</v>
      </c>
      <c r="B13" s="438" t="s">
        <v>4</v>
      </c>
      <c r="C13" s="385">
        <f>'Sen Sareth'!E24</f>
        <v>464.5</v>
      </c>
      <c r="D13" s="389" t="s">
        <v>210</v>
      </c>
      <c r="E13" s="386">
        <f>'Sen Sareth'!G25</f>
        <v>2111.5</v>
      </c>
      <c r="F13" s="386">
        <f>SUM('Sen Sareth'!E41:F41)</f>
        <v>1715</v>
      </c>
      <c r="G13" s="386">
        <f t="shared" si="0"/>
        <v>396.5</v>
      </c>
      <c r="H13" s="385"/>
      <c r="I13" s="386">
        <f t="shared" si="1"/>
        <v>396.5</v>
      </c>
      <c r="J13" s="387"/>
    </row>
    <row r="14" spans="1:17" ht="12.75" customHeight="1" x14ac:dyDescent="0.2">
      <c r="A14" s="384">
        <v>6</v>
      </c>
      <c r="B14" s="438" t="s">
        <v>93</v>
      </c>
      <c r="C14" s="385">
        <f>'Katam Sonavan'!E16</f>
        <v>180</v>
      </c>
      <c r="D14" s="386">
        <f>'Katam Sonavan'!F12</f>
        <v>8</v>
      </c>
      <c r="E14" s="386">
        <f>'Katam Sonavan'!G17</f>
        <v>1350</v>
      </c>
      <c r="F14" s="386">
        <f>SUM('Katam Sonavan'!E29:F29)</f>
        <v>1350</v>
      </c>
      <c r="G14" s="386">
        <f>E14-F14</f>
        <v>0</v>
      </c>
      <c r="H14" s="385"/>
      <c r="I14" s="386">
        <f t="shared" si="1"/>
        <v>0</v>
      </c>
      <c r="J14" s="387"/>
    </row>
    <row r="15" spans="1:17" ht="12.75" customHeight="1" x14ac:dyDescent="0.2">
      <c r="A15" s="384">
        <v>7</v>
      </c>
      <c r="B15" s="771" t="s">
        <v>113</v>
      </c>
      <c r="C15" s="772">
        <f>'Oem Sary'!E16</f>
        <v>27</v>
      </c>
      <c r="D15" s="773">
        <f>'Oem Sary'!F10</f>
        <v>7</v>
      </c>
      <c r="E15" s="773">
        <f>'Oem Sary'!G17</f>
        <v>189</v>
      </c>
      <c r="F15" s="773">
        <f>SUM('Oem Sary'!E33:F33)</f>
        <v>136.5</v>
      </c>
      <c r="G15" s="773">
        <f t="shared" si="0"/>
        <v>52.5</v>
      </c>
      <c r="H15" s="772"/>
      <c r="I15" s="773">
        <f>G15+H15</f>
        <v>52.5</v>
      </c>
      <c r="J15" s="838" t="s">
        <v>348</v>
      </c>
      <c r="K15" s="839"/>
      <c r="L15" s="839"/>
      <c r="M15" s="839"/>
      <c r="N15" s="839"/>
      <c r="O15" s="839"/>
      <c r="P15" s="840"/>
      <c r="Q15" s="531"/>
    </row>
    <row r="16" spans="1:17" ht="12.75" customHeight="1" x14ac:dyDescent="0.2">
      <c r="A16" s="384">
        <v>8</v>
      </c>
      <c r="B16" s="438" t="s">
        <v>58</v>
      </c>
      <c r="C16" s="385">
        <f>'Soy Sareth'!E21</f>
        <v>170</v>
      </c>
      <c r="D16" s="386">
        <f>'Soy Sareth'!F10</f>
        <v>6</v>
      </c>
      <c r="E16" s="386">
        <f>'Soy Sareth'!G22</f>
        <v>1020</v>
      </c>
      <c r="F16" s="386">
        <f>SUM('Soy Sareth'!E36:F36)</f>
        <v>558</v>
      </c>
      <c r="G16" s="386">
        <f t="shared" si="0"/>
        <v>462</v>
      </c>
      <c r="H16" s="385"/>
      <c r="I16" s="386">
        <f t="shared" si="1"/>
        <v>462</v>
      </c>
      <c r="J16" s="387"/>
    </row>
    <row r="17" spans="1:10" ht="12.75" customHeight="1" x14ac:dyDescent="0.2">
      <c r="A17" s="384">
        <v>9</v>
      </c>
      <c r="B17" s="438" t="s">
        <v>71</v>
      </c>
      <c r="C17" s="385" t="s">
        <v>65</v>
      </c>
      <c r="D17" s="386">
        <f>'Lim Heng '!F10</f>
        <v>8</v>
      </c>
      <c r="E17" s="386">
        <f>'Lim Heng '!G17</f>
        <v>312</v>
      </c>
      <c r="F17" s="386">
        <f>SUM('Lim Heng '!E26:F26)</f>
        <v>312</v>
      </c>
      <c r="G17" s="386">
        <f t="shared" si="0"/>
        <v>0</v>
      </c>
      <c r="H17" s="385"/>
      <c r="I17" s="386">
        <f t="shared" si="1"/>
        <v>0</v>
      </c>
      <c r="J17" s="387"/>
    </row>
    <row r="18" spans="1:10" ht="12.75" customHeight="1" x14ac:dyDescent="0.2">
      <c r="A18" s="384">
        <v>10</v>
      </c>
      <c r="B18" s="438" t="s">
        <v>87</v>
      </c>
      <c r="C18" s="385">
        <f>'Teap Solin'!E16</f>
        <v>112.5</v>
      </c>
      <c r="D18" s="386">
        <f>'Teap Solin'!F10</f>
        <v>7</v>
      </c>
      <c r="E18" s="386">
        <f>'Teap Solin'!G17</f>
        <v>652.5</v>
      </c>
      <c r="F18" s="386">
        <f>SUM('Teap Solin'!E31:F31)</f>
        <v>580</v>
      </c>
      <c r="G18" s="386">
        <f t="shared" si="0"/>
        <v>72.5</v>
      </c>
      <c r="H18" s="385"/>
      <c r="I18" s="386">
        <f t="shared" si="1"/>
        <v>72.5</v>
      </c>
      <c r="J18" s="387"/>
    </row>
    <row r="19" spans="1:10" ht="12.75" customHeight="1" x14ac:dyDescent="0.2">
      <c r="A19" s="384">
        <v>11</v>
      </c>
      <c r="B19" s="438" t="s">
        <v>47</v>
      </c>
      <c r="C19" s="385">
        <f>'Ang Assaravuth'!E16</f>
        <v>93</v>
      </c>
      <c r="D19" s="386">
        <f>'Ang Assaravuth'!F10</f>
        <v>8</v>
      </c>
      <c r="E19" s="386">
        <f>'Ang Assaravuth'!G17</f>
        <v>744</v>
      </c>
      <c r="F19" s="386">
        <f>SUM('Ang Assaravuth'!E33:F33)</f>
        <v>744</v>
      </c>
      <c r="G19" s="386">
        <f t="shared" si="0"/>
        <v>0</v>
      </c>
      <c r="H19" s="385"/>
      <c r="I19" s="386">
        <f t="shared" si="1"/>
        <v>0</v>
      </c>
      <c r="J19" s="387"/>
    </row>
    <row r="20" spans="1:10" ht="12.75" customHeight="1" x14ac:dyDescent="0.2">
      <c r="A20" s="384">
        <v>12</v>
      </c>
      <c r="B20" s="515" t="s">
        <v>203</v>
      </c>
      <c r="C20" s="385">
        <f>'Shon Run(University)'!E10</f>
        <v>45</v>
      </c>
      <c r="D20" s="386">
        <f>'Shon Run(University)'!F10</f>
        <v>7</v>
      </c>
      <c r="E20" s="386">
        <f>'Shon Run(University)'!G21</f>
        <v>945</v>
      </c>
      <c r="F20" s="386">
        <f>SUM('Shon Run(University)'!E32:F32)</f>
        <v>705</v>
      </c>
      <c r="G20" s="386">
        <f t="shared" si="0"/>
        <v>240</v>
      </c>
      <c r="H20" s="385"/>
      <c r="I20" s="386">
        <f t="shared" si="1"/>
        <v>240</v>
      </c>
      <c r="J20" s="387"/>
    </row>
    <row r="21" spans="1:10" ht="12.75" customHeight="1" x14ac:dyDescent="0.2">
      <c r="A21" s="384">
        <v>13</v>
      </c>
      <c r="B21" s="515" t="str">
        <f>'Pascal Uiversity'!G53</f>
        <v>Pascal</v>
      </c>
      <c r="C21" s="385">
        <f>'Pascal Uiversity'!E16</f>
        <v>134</v>
      </c>
      <c r="D21" s="386">
        <f>'Pascal Uiversity'!F11</f>
        <v>8</v>
      </c>
      <c r="E21" s="386">
        <f>'Pascal Uiversity'!G17</f>
        <v>1072</v>
      </c>
      <c r="F21" s="386">
        <f>SUM('Pascal Uiversity'!E46:F46)</f>
        <v>1072</v>
      </c>
      <c r="G21" s="386">
        <f t="shared" si="0"/>
        <v>0</v>
      </c>
      <c r="H21" s="385"/>
      <c r="I21" s="386">
        <f t="shared" si="1"/>
        <v>0</v>
      </c>
      <c r="J21" s="387" t="s">
        <v>400</v>
      </c>
    </row>
    <row r="22" spans="1:10" ht="12.75" customHeight="1" x14ac:dyDescent="0.2">
      <c r="A22" s="384">
        <v>14</v>
      </c>
      <c r="B22" s="515" t="str">
        <f>'Jerry University'!G59</f>
        <v>Jerry</v>
      </c>
      <c r="C22" s="385">
        <f>'Jerry University'!E16</f>
        <v>207</v>
      </c>
      <c r="D22" s="386">
        <f>'Jerry University'!F11</f>
        <v>8</v>
      </c>
      <c r="E22" s="386">
        <f>'Jerry University'!G17</f>
        <v>1656</v>
      </c>
      <c r="F22" s="386">
        <f>SUM('Jerry University'!E52:F52)</f>
        <v>1706</v>
      </c>
      <c r="G22" s="386">
        <f t="shared" ref="G22:G30" si="2">E22-F22</f>
        <v>-50</v>
      </c>
      <c r="H22" s="385"/>
      <c r="I22" s="386">
        <f t="shared" si="1"/>
        <v>-50</v>
      </c>
      <c r="J22" s="387"/>
    </row>
    <row r="23" spans="1:10" ht="12.75" customHeight="1" x14ac:dyDescent="0.35">
      <c r="A23" s="384">
        <v>15</v>
      </c>
      <c r="B23" s="515" t="s">
        <v>204</v>
      </c>
      <c r="C23" s="385">
        <f>90+9</f>
        <v>99</v>
      </c>
      <c r="D23" s="389" t="s">
        <v>285</v>
      </c>
      <c r="E23" s="386">
        <f>'Srun Sarak(University)'!G27</f>
        <v>3532.5</v>
      </c>
      <c r="F23" s="386">
        <f>SUM('Srun Sarak(University)'!E43:F43)</f>
        <v>2830</v>
      </c>
      <c r="G23" s="386">
        <f t="shared" si="2"/>
        <v>702.5</v>
      </c>
      <c r="H23" s="385"/>
      <c r="I23" s="386">
        <f t="shared" si="1"/>
        <v>702.5</v>
      </c>
      <c r="J23" s="387"/>
    </row>
    <row r="24" spans="1:10" ht="12.75" customHeight="1" x14ac:dyDescent="0.2">
      <c r="A24" s="384">
        <v>16</v>
      </c>
      <c r="B24" s="515" t="s">
        <v>205</v>
      </c>
      <c r="C24" s="385">
        <f>'Dy Chanpiseth'!E16</f>
        <v>172.5</v>
      </c>
      <c r="D24" s="386">
        <f>'Dy Chanpiseth'!F10</f>
        <v>5</v>
      </c>
      <c r="E24" s="386">
        <f>'Dy Chanpiseth'!G17</f>
        <v>232.5</v>
      </c>
      <c r="F24" s="386">
        <f>SUM('Dy Chanpiseth'!E26:F26)</f>
        <v>232.5</v>
      </c>
      <c r="G24" s="386">
        <f t="shared" si="2"/>
        <v>0</v>
      </c>
      <c r="H24" s="385"/>
      <c r="I24" s="386">
        <f t="shared" si="1"/>
        <v>0</v>
      </c>
      <c r="J24" s="387"/>
    </row>
    <row r="25" spans="1:10" ht="12.75" customHeight="1" x14ac:dyDescent="0.2">
      <c r="A25" s="384">
        <v>17</v>
      </c>
      <c r="B25" s="515" t="str">
        <f>'Chea Bunthan'!B10</f>
        <v>Chea Bunthan</v>
      </c>
      <c r="C25" s="385">
        <f>'Chea Bunthan'!E17</f>
        <v>130.5</v>
      </c>
      <c r="D25" s="386">
        <f>'Chea Bunthan'!F10</f>
        <v>7</v>
      </c>
      <c r="E25" s="386">
        <f>'Chea Bunthan'!G18</f>
        <v>913.5</v>
      </c>
      <c r="F25" s="386">
        <f>SUM('Chea Bunthan'!E31:F31)</f>
        <v>728</v>
      </c>
      <c r="G25" s="386">
        <f t="shared" si="2"/>
        <v>185.5</v>
      </c>
      <c r="H25" s="385"/>
      <c r="I25" s="386">
        <f t="shared" si="1"/>
        <v>185.5</v>
      </c>
      <c r="J25" s="387"/>
    </row>
    <row r="26" spans="1:10" ht="12.75" customHeight="1" x14ac:dyDescent="0.2">
      <c r="A26" s="384">
        <v>18</v>
      </c>
      <c r="B26" s="515" t="str">
        <f>'Te Kim lin'!G45</f>
        <v>Te Kim Lin</v>
      </c>
      <c r="C26" s="385">
        <f>'Te Kim lin'!E17</f>
        <v>135</v>
      </c>
      <c r="D26" s="386">
        <f>'Te Kim lin'!F17</f>
        <v>7</v>
      </c>
      <c r="E26" s="386">
        <f>'Te Kim lin'!G18</f>
        <v>945</v>
      </c>
      <c r="F26" s="386">
        <f>SUM('Te Kim lin'!E38:F38)</f>
        <v>879</v>
      </c>
      <c r="G26" s="386">
        <f t="shared" si="2"/>
        <v>66</v>
      </c>
      <c r="H26" s="385"/>
      <c r="I26" s="386">
        <f t="shared" si="1"/>
        <v>66</v>
      </c>
      <c r="J26" s="387"/>
    </row>
    <row r="27" spans="1:10" ht="12.75" customHeight="1" x14ac:dyDescent="0.2">
      <c r="A27" s="384">
        <v>19</v>
      </c>
      <c r="B27" s="515" t="str">
        <f>'Neang Bunthea'!G45</f>
        <v>Neang Bunthea</v>
      </c>
      <c r="C27" s="385">
        <f>'Neang Bunthea'!E10</f>
        <v>45</v>
      </c>
      <c r="D27" s="386">
        <f>'Neang Bunthea'!F10</f>
        <v>7</v>
      </c>
      <c r="E27" s="386">
        <f>'Neang Bunthea'!G18</f>
        <v>315</v>
      </c>
      <c r="F27" s="386">
        <f>SUM('Neang Bunthea'!E38:F38)</f>
        <v>315</v>
      </c>
      <c r="G27" s="386">
        <f t="shared" si="2"/>
        <v>0</v>
      </c>
      <c r="H27" s="385"/>
      <c r="I27" s="386">
        <f t="shared" si="1"/>
        <v>0</v>
      </c>
      <c r="J27" s="387"/>
    </row>
    <row r="28" spans="1:10" ht="12.75" customHeight="1" x14ac:dyDescent="0.2">
      <c r="A28" s="384">
        <v>20</v>
      </c>
      <c r="B28" s="515" t="str">
        <f>'Chan Senvichit(University) '!G45</f>
        <v>Chan Senvichit</v>
      </c>
      <c r="C28" s="385">
        <f>'Chan Senvichit(University) '!E21</f>
        <v>261</v>
      </c>
      <c r="D28" s="386">
        <f>'Chan Senvichit(University) '!F21</f>
        <v>8</v>
      </c>
      <c r="E28" s="386">
        <f>'Chan Senvichit(University) '!G22</f>
        <v>2088</v>
      </c>
      <c r="F28" s="386">
        <f>SUM('Chan Senvichit(University) '!E38:F38)</f>
        <v>1624</v>
      </c>
      <c r="G28" s="386">
        <f t="shared" si="2"/>
        <v>464</v>
      </c>
      <c r="H28" s="385"/>
      <c r="I28" s="386">
        <f t="shared" si="1"/>
        <v>464</v>
      </c>
      <c r="J28" s="387"/>
    </row>
    <row r="29" spans="1:10" ht="12.75" customHeight="1" x14ac:dyDescent="0.2">
      <c r="A29" s="384">
        <v>21</v>
      </c>
      <c r="B29" s="515" t="str">
        <f>'Som Bony'!G57</f>
        <v>Som Bony</v>
      </c>
      <c r="C29" s="385">
        <f>'Som Bony'!E24</f>
        <v>438</v>
      </c>
      <c r="D29" s="386">
        <f>'Som Bony'!F11</f>
        <v>8</v>
      </c>
      <c r="E29" s="386">
        <f>'Som Bony'!G25</f>
        <v>3504</v>
      </c>
      <c r="F29" s="386">
        <f>SUM('Som Bony'!E50:F50)</f>
        <v>3020</v>
      </c>
      <c r="G29" s="386">
        <f t="shared" si="2"/>
        <v>484</v>
      </c>
      <c r="H29" s="385"/>
      <c r="I29" s="386">
        <f t="shared" si="1"/>
        <v>484</v>
      </c>
      <c r="J29" s="387"/>
    </row>
    <row r="30" spans="1:10" ht="12.75" customHeight="1" x14ac:dyDescent="0.2">
      <c r="A30" s="384">
        <v>22</v>
      </c>
      <c r="B30" s="515" t="str">
        <f>'Sam Sen'!G49</f>
        <v>Sam Sen</v>
      </c>
      <c r="C30" s="385">
        <f>'Sam Sen'!E16</f>
        <v>129.5</v>
      </c>
      <c r="D30" s="386">
        <f>'Sam Sen'!F10</f>
        <v>8</v>
      </c>
      <c r="E30" s="386">
        <f>'Sam Sen'!G17</f>
        <v>1036</v>
      </c>
      <c r="F30" s="386">
        <f>SUM('Sam Sen'!E42:F42)</f>
        <v>810</v>
      </c>
      <c r="G30" s="386">
        <f t="shared" si="2"/>
        <v>226</v>
      </c>
      <c r="H30" s="385"/>
      <c r="I30" s="386">
        <f t="shared" si="1"/>
        <v>226</v>
      </c>
      <c r="J30" s="387"/>
    </row>
    <row r="31" spans="1:10" ht="12.75" customHeight="1" x14ac:dyDescent="0.2">
      <c r="A31" s="384">
        <v>23</v>
      </c>
      <c r="B31" s="515" t="str">
        <f>'Leang Sophanna'!G43</f>
        <v>Leang Sophanna</v>
      </c>
      <c r="C31" s="385">
        <f>'Leang Sophanna'!E22</f>
        <v>312.5</v>
      </c>
      <c r="D31" s="386">
        <f>'Leang Sophanna'!F22</f>
        <v>8</v>
      </c>
      <c r="E31" s="386">
        <f>'Leang Sophanna'!G23</f>
        <v>2500</v>
      </c>
      <c r="F31" s="386">
        <f>SUM('Leang Sophanna'!E36:F36)</f>
        <v>2075</v>
      </c>
      <c r="G31" s="386">
        <f t="shared" ref="G31:G39" si="3">E31-F31</f>
        <v>425</v>
      </c>
      <c r="H31" s="385"/>
      <c r="I31" s="386">
        <f t="shared" si="1"/>
        <v>425</v>
      </c>
      <c r="J31" s="387"/>
    </row>
    <row r="32" spans="1:10" ht="12.75" customHeight="1" x14ac:dyDescent="0.2">
      <c r="A32" s="384">
        <v>24</v>
      </c>
      <c r="B32" s="515" t="str">
        <f>'Chea Cheurn'!G42</f>
        <v>Chea Cheurn</v>
      </c>
      <c r="C32" s="385">
        <f>'Chea Cheurn'!E20</f>
        <v>204</v>
      </c>
      <c r="D32" s="386">
        <f>'Chea Cheurn'!F20</f>
        <v>8</v>
      </c>
      <c r="E32" s="386">
        <f>'Chea Cheurn'!G21</f>
        <v>1632</v>
      </c>
      <c r="F32" s="386">
        <f>SUM('Chea Cheurn'!E35:F35)</f>
        <v>1530</v>
      </c>
      <c r="G32" s="386">
        <f t="shared" si="3"/>
        <v>102</v>
      </c>
      <c r="H32" s="385"/>
      <c r="I32" s="386">
        <f t="shared" si="1"/>
        <v>102</v>
      </c>
      <c r="J32" s="387"/>
    </row>
    <row r="33" spans="1:10" ht="12.75" customHeight="1" x14ac:dyDescent="0.2">
      <c r="A33" s="384">
        <v>25</v>
      </c>
      <c r="B33" s="515" t="str">
        <f>'Sam Chamreoun'!G35</f>
        <v>Sam Chamreoun</v>
      </c>
      <c r="C33" s="385">
        <f>'Sam Chamreoun'!E15</f>
        <v>225</v>
      </c>
      <c r="D33" s="386">
        <f>'Sam Chamreoun'!F15</f>
        <v>7</v>
      </c>
      <c r="E33" s="386">
        <f>'Sam Chamreoun'!G16</f>
        <v>1575</v>
      </c>
      <c r="F33" s="386">
        <f>SUM('Sam Chamreoun'!E28:F28)</f>
        <v>1530</v>
      </c>
      <c r="G33" s="386">
        <f t="shared" si="3"/>
        <v>45</v>
      </c>
      <c r="H33" s="385"/>
      <c r="I33" s="386">
        <f t="shared" si="1"/>
        <v>45</v>
      </c>
      <c r="J33" s="387"/>
    </row>
    <row r="34" spans="1:10" ht="12.75" customHeight="1" x14ac:dyDescent="0.2">
      <c r="A34" s="384">
        <v>26</v>
      </c>
      <c r="B34" s="515" t="str">
        <f>'Neang Sovat'!G41</f>
        <v>Neang Sovat</v>
      </c>
      <c r="C34" s="385">
        <f>'Neang Sovat'!E19</f>
        <v>165.5</v>
      </c>
      <c r="D34" s="386">
        <v>7</v>
      </c>
      <c r="E34" s="386">
        <f>'Neang Sovat'!G20</f>
        <v>1158.5</v>
      </c>
      <c r="F34" s="386">
        <f>SUM('Neang Sovat'!E34:F34)</f>
        <v>899</v>
      </c>
      <c r="G34" s="386">
        <f t="shared" si="3"/>
        <v>259.5</v>
      </c>
      <c r="H34" s="385"/>
      <c r="I34" s="386">
        <f t="shared" si="1"/>
        <v>259.5</v>
      </c>
      <c r="J34" s="387"/>
    </row>
    <row r="35" spans="1:10" ht="12.75" customHeight="1" x14ac:dyDescent="0.2">
      <c r="A35" s="384">
        <v>27</v>
      </c>
      <c r="B35" s="515" t="str">
        <f>'Chuon Kosal'!G45</f>
        <v>Chuon Kosal</v>
      </c>
      <c r="C35" s="385">
        <f>'Chuon Kosal'!E10</f>
        <v>48</v>
      </c>
      <c r="D35" s="386">
        <v>7</v>
      </c>
      <c r="E35" s="386">
        <f>'Chuon Kosal'!G18</f>
        <v>336</v>
      </c>
      <c r="F35" s="386">
        <f>SUM('Chuon Kosal'!E38:F38)</f>
        <v>336</v>
      </c>
      <c r="G35" s="386">
        <f t="shared" si="3"/>
        <v>0</v>
      </c>
      <c r="H35" s="385"/>
      <c r="I35" s="386">
        <f t="shared" si="1"/>
        <v>0</v>
      </c>
      <c r="J35" s="387"/>
    </row>
    <row r="36" spans="1:10" ht="12.75" customHeight="1" x14ac:dyDescent="0.2">
      <c r="A36" s="384">
        <v>28</v>
      </c>
      <c r="B36" s="515" t="str">
        <f>'Moeun Tola'!G33</f>
        <v>Moeun Tola</v>
      </c>
      <c r="C36" s="385">
        <f>'Moeun Tola'!E10</f>
        <v>45</v>
      </c>
      <c r="D36" s="386">
        <v>8</v>
      </c>
      <c r="E36" s="386">
        <f>'Moeun Tola'!G17</f>
        <v>360</v>
      </c>
      <c r="F36" s="386">
        <f>SUM('Moeun Tola'!E26:F26)</f>
        <v>360</v>
      </c>
      <c r="G36" s="386">
        <f t="shared" si="3"/>
        <v>0</v>
      </c>
      <c r="H36" s="385"/>
      <c r="I36" s="386">
        <f t="shared" si="1"/>
        <v>0</v>
      </c>
      <c r="J36" s="387"/>
    </row>
    <row r="37" spans="1:10" ht="12.75" customHeight="1" x14ac:dyDescent="0.2">
      <c r="A37" s="384">
        <v>29</v>
      </c>
      <c r="B37" s="515" t="str">
        <f>'Hak Hon'!G38</f>
        <v>Hak Hon</v>
      </c>
      <c r="C37" s="385">
        <f>'Hak Hon'!E16</f>
        <v>130</v>
      </c>
      <c r="D37" s="386">
        <f>'Hak Hon'!F16</f>
        <v>7</v>
      </c>
      <c r="E37" s="386">
        <f>'Hak Hon'!G17</f>
        <v>910</v>
      </c>
      <c r="F37" s="386">
        <f>SUM('Hak Hon'!E31:F31)</f>
        <v>848</v>
      </c>
      <c r="G37" s="386">
        <f t="shared" si="3"/>
        <v>62</v>
      </c>
      <c r="H37" s="385"/>
      <c r="I37" s="386">
        <f t="shared" si="1"/>
        <v>62</v>
      </c>
      <c r="J37" s="387"/>
    </row>
    <row r="38" spans="1:10" ht="12.75" customHeight="1" x14ac:dyDescent="0.2">
      <c r="A38" s="384">
        <v>30</v>
      </c>
      <c r="B38" s="515" t="str">
        <f>'Chhay Theng'!G36</f>
        <v>Chhay Theng</v>
      </c>
      <c r="C38" s="385">
        <f>'Chhay Theng'!E16</f>
        <v>169.5</v>
      </c>
      <c r="D38" s="386">
        <f>'Chhay Theng'!F16</f>
        <v>8</v>
      </c>
      <c r="E38" s="386">
        <f>'Chhay Theng'!G17</f>
        <v>1356</v>
      </c>
      <c r="F38" s="386">
        <f>SUM('Chhay Theng'!E29:F29)</f>
        <v>1264</v>
      </c>
      <c r="G38" s="386">
        <f t="shared" si="3"/>
        <v>92</v>
      </c>
      <c r="H38" s="385"/>
      <c r="I38" s="386">
        <f t="shared" si="1"/>
        <v>92</v>
      </c>
      <c r="J38" s="387"/>
    </row>
    <row r="39" spans="1:10" ht="12.75" customHeight="1" x14ac:dyDescent="0.2">
      <c r="A39" s="384">
        <v>31</v>
      </c>
      <c r="B39" s="515" t="str">
        <f>'Phoung Pheakdey'!G36</f>
        <v>Phoung Paheakdey</v>
      </c>
      <c r="C39" s="385">
        <f>'Phoung Pheakdey'!E16</f>
        <v>138</v>
      </c>
      <c r="D39" s="386">
        <f>'Phoung Pheakdey'!F16</f>
        <v>8</v>
      </c>
      <c r="E39" s="386">
        <f>'Phoung Pheakdey'!G17</f>
        <v>1104</v>
      </c>
      <c r="F39" s="386">
        <f>SUM('Phoung Pheakdey'!E29:F29)</f>
        <v>1104</v>
      </c>
      <c r="G39" s="386">
        <f t="shared" si="3"/>
        <v>0</v>
      </c>
      <c r="H39" s="385"/>
      <c r="I39" s="386">
        <f t="shared" si="1"/>
        <v>0</v>
      </c>
      <c r="J39" s="387"/>
    </row>
    <row r="40" spans="1:10" ht="12.75" customHeight="1" x14ac:dyDescent="0.2">
      <c r="A40" s="384">
        <v>32</v>
      </c>
      <c r="B40" s="515" t="str">
        <f>'Houen Sopheang '!G31</f>
        <v>Houen Sopheang</v>
      </c>
      <c r="C40" s="385">
        <f>'Houen Sopheang '!E14</f>
        <v>135</v>
      </c>
      <c r="D40" s="386">
        <f>'Houen Sopheang '!F14</f>
        <v>5</v>
      </c>
      <c r="E40" s="386">
        <f>'Houen Sopheang '!G15</f>
        <v>675</v>
      </c>
      <c r="F40" s="386">
        <f>SUM('Houen Sopheang '!E24:F24)</f>
        <v>675</v>
      </c>
      <c r="G40" s="386">
        <f t="shared" ref="G40:G52" si="4">E40-F40</f>
        <v>0</v>
      </c>
      <c r="H40" s="385"/>
      <c r="I40" s="386">
        <f t="shared" ref="I40:I51" si="5">G40+H40</f>
        <v>0</v>
      </c>
      <c r="J40" s="387"/>
    </row>
    <row r="41" spans="1:10" ht="12.75" customHeight="1" x14ac:dyDescent="0.2">
      <c r="A41" s="384">
        <v>33</v>
      </c>
      <c r="B41" s="515" t="str">
        <f>'Tith Bun chhoeun'!G33</f>
        <v>Tith Bun Chhoeun</v>
      </c>
      <c r="C41" s="385">
        <f>'Tith Bun chhoeun'!E16</f>
        <v>45</v>
      </c>
      <c r="D41" s="386">
        <f>'Tith Bun chhoeun'!F10</f>
        <v>8</v>
      </c>
      <c r="E41" s="386">
        <f>'Tith Bun chhoeun'!G17</f>
        <v>360</v>
      </c>
      <c r="F41" s="386">
        <f>SUM('Tith Bun chhoeun'!E26:F26)</f>
        <v>360</v>
      </c>
      <c r="G41" s="386">
        <f t="shared" si="4"/>
        <v>0</v>
      </c>
      <c r="H41" s="385"/>
      <c r="I41" s="386">
        <f t="shared" si="5"/>
        <v>0</v>
      </c>
      <c r="J41" s="387"/>
    </row>
    <row r="42" spans="1:10" ht="12.75" customHeight="1" x14ac:dyDescent="0.2">
      <c r="A42" s="384">
        <v>34</v>
      </c>
      <c r="B42" s="515" t="str">
        <f>'Sim Chandoeun'!G36</f>
        <v>Sim Chandoeun</v>
      </c>
      <c r="C42" s="385">
        <f>'Sim Chandoeun'!E19</f>
        <v>132</v>
      </c>
      <c r="D42" s="386">
        <f>'Sim Chandoeun'!F19</f>
        <v>7</v>
      </c>
      <c r="E42" s="386">
        <f>'Sim Chandoeun'!G20</f>
        <v>924</v>
      </c>
      <c r="F42" s="386">
        <f>SUM('Sim Chandoeun'!E29:F29)</f>
        <v>774</v>
      </c>
      <c r="G42" s="386">
        <f t="shared" si="4"/>
        <v>150</v>
      </c>
      <c r="H42" s="385"/>
      <c r="I42" s="386">
        <f t="shared" si="5"/>
        <v>150</v>
      </c>
      <c r="J42" s="387"/>
    </row>
    <row r="43" spans="1:10" ht="12.75" customHeight="1" x14ac:dyDescent="0.2">
      <c r="A43" s="384">
        <v>35</v>
      </c>
      <c r="B43" s="515" t="str">
        <f>'Lim Bunheng'!G33</f>
        <v>Lim Bunheng</v>
      </c>
      <c r="C43" s="385">
        <f>'Lim Bunheng'!E16</f>
        <v>27</v>
      </c>
      <c r="D43" s="386">
        <f>'Lim Bunheng'!F16</f>
        <v>8</v>
      </c>
      <c r="E43" s="386">
        <f>'Lim Bunheng'!G17</f>
        <v>216</v>
      </c>
      <c r="F43" s="386">
        <f>SUM('Lim Bunheng'!E26:F26)</f>
        <v>216</v>
      </c>
      <c r="G43" s="386">
        <f t="shared" si="4"/>
        <v>0</v>
      </c>
      <c r="H43" s="385"/>
      <c r="I43" s="386">
        <f t="shared" si="5"/>
        <v>0</v>
      </c>
      <c r="J43" s="387"/>
    </row>
    <row r="44" spans="1:10" ht="12.75" customHeight="1" x14ac:dyDescent="0.2">
      <c r="A44" s="384">
        <v>36</v>
      </c>
      <c r="B44" s="515" t="str">
        <f>'Kong Nimol(University)'!G33</f>
        <v>Kong Nimol</v>
      </c>
      <c r="C44" s="385">
        <f>'Kong Nimol(University)'!E16</f>
        <v>12</v>
      </c>
      <c r="D44" s="386">
        <f>'Kong Nimol(University)'!F16</f>
        <v>8</v>
      </c>
      <c r="E44" s="386">
        <f>'Kong Nimol(University)'!G17</f>
        <v>96</v>
      </c>
      <c r="F44" s="386">
        <f>SUM('Kong Nimol(University)'!E26:F26)</f>
        <v>96</v>
      </c>
      <c r="G44" s="386">
        <f t="shared" si="4"/>
        <v>0</v>
      </c>
      <c r="H44" s="385"/>
      <c r="I44" s="386">
        <f t="shared" si="5"/>
        <v>0</v>
      </c>
      <c r="J44" s="387"/>
    </row>
    <row r="45" spans="1:10" ht="12.75" customHeight="1" x14ac:dyDescent="0.2">
      <c r="A45" s="384">
        <v>37</v>
      </c>
      <c r="B45" s="515" t="str">
        <f>'Say Savuth'!G33</f>
        <v>Say Savuth</v>
      </c>
      <c r="C45" s="385">
        <f>'Say Savuth'!E16</f>
        <v>48</v>
      </c>
      <c r="D45" s="386">
        <f>'Say Savuth'!F16</f>
        <v>8</v>
      </c>
      <c r="E45" s="386">
        <f>'Say Savuth'!G17</f>
        <v>384</v>
      </c>
      <c r="F45" s="386">
        <f>SUM('Say Savuth'!E26:F26)</f>
        <v>384</v>
      </c>
      <c r="G45" s="386">
        <f t="shared" si="4"/>
        <v>0</v>
      </c>
      <c r="H45" s="385"/>
      <c r="I45" s="386">
        <f t="shared" si="5"/>
        <v>0</v>
      </c>
      <c r="J45" s="387"/>
    </row>
    <row r="46" spans="1:10" ht="12.75" customHeight="1" x14ac:dyDescent="0.2">
      <c r="A46" s="384">
        <v>38</v>
      </c>
      <c r="B46" s="515" t="str">
        <f>'Nget chandara'!G33</f>
        <v>Nget Chandara</v>
      </c>
      <c r="C46" s="385">
        <f>'Say Savuth'!E17</f>
        <v>0</v>
      </c>
      <c r="D46" s="386">
        <f>'Nget chandara'!F16</f>
        <v>7</v>
      </c>
      <c r="E46" s="386">
        <f>'Nget chandara'!G17</f>
        <v>315</v>
      </c>
      <c r="F46" s="386">
        <f>SUM('Nget chandara'!E26:F26)</f>
        <v>315</v>
      </c>
      <c r="G46" s="386">
        <f t="shared" si="4"/>
        <v>0</v>
      </c>
      <c r="H46" s="385"/>
      <c r="I46" s="386">
        <f t="shared" si="5"/>
        <v>0</v>
      </c>
      <c r="J46" s="387"/>
    </row>
    <row r="47" spans="1:10" ht="12.75" customHeight="1" x14ac:dyDescent="0.2">
      <c r="A47" s="384">
        <v>39</v>
      </c>
      <c r="B47" s="515" t="str">
        <f>'Sok Chheang'!G33</f>
        <v>Sok Chheang</v>
      </c>
      <c r="C47" s="385">
        <f>'Sok Chheang'!E16</f>
        <v>48</v>
      </c>
      <c r="D47" s="386">
        <f>'Sok Chheang'!F16</f>
        <v>8</v>
      </c>
      <c r="E47" s="386">
        <f>'Sok Chheang'!G17</f>
        <v>384</v>
      </c>
      <c r="F47" s="386">
        <f>SUM('Sok Chheang'!E26:F26)</f>
        <v>384</v>
      </c>
      <c r="G47" s="386">
        <f t="shared" si="4"/>
        <v>0</v>
      </c>
      <c r="H47" s="385"/>
      <c r="I47" s="386">
        <f t="shared" si="5"/>
        <v>0</v>
      </c>
      <c r="J47" s="387"/>
    </row>
    <row r="48" spans="1:10" ht="12.75" customHeight="1" x14ac:dyDescent="0.2">
      <c r="A48" s="384">
        <v>40</v>
      </c>
      <c r="B48" s="515" t="str">
        <f>'Nget Kimsan'!G33</f>
        <v>Nget Kimsan</v>
      </c>
      <c r="C48" s="385">
        <f>'Nget Kimsan'!E16</f>
        <v>114</v>
      </c>
      <c r="D48" s="386">
        <f>'Nget Kimsan'!F16</f>
        <v>7</v>
      </c>
      <c r="E48" s="386">
        <f>'Nget Kimsan'!G17</f>
        <v>798</v>
      </c>
      <c r="F48" s="386">
        <f>SUM('Nget Kimsan'!E26:F26)</f>
        <v>710</v>
      </c>
      <c r="G48" s="386">
        <f t="shared" si="4"/>
        <v>88</v>
      </c>
      <c r="H48" s="385"/>
      <c r="I48" s="386">
        <f t="shared" si="5"/>
        <v>88</v>
      </c>
      <c r="J48" s="387"/>
    </row>
    <row r="49" spans="1:10" ht="12.75" customHeight="1" x14ac:dyDescent="0.2">
      <c r="A49" s="384">
        <v>41</v>
      </c>
      <c r="B49" s="515" t="str">
        <f>'Phou Sok'!G33</f>
        <v>Phou Sok</v>
      </c>
      <c r="C49" s="385">
        <f>'Phou Sok'!E16</f>
        <v>45</v>
      </c>
      <c r="D49" s="386">
        <f>'Phou Sok'!F16</f>
        <v>8</v>
      </c>
      <c r="E49" s="386">
        <f>'Phou Sok'!G17</f>
        <v>360</v>
      </c>
      <c r="F49" s="386">
        <f>SUM('Phou Sok'!E26:F26)</f>
        <v>360</v>
      </c>
      <c r="G49" s="386">
        <f t="shared" si="4"/>
        <v>0</v>
      </c>
      <c r="H49" s="385"/>
      <c r="I49" s="386">
        <f t="shared" si="5"/>
        <v>0</v>
      </c>
      <c r="J49" s="387"/>
    </row>
    <row r="50" spans="1:10" ht="12.75" customHeight="1" x14ac:dyDescent="0.2">
      <c r="A50" s="384">
        <v>42</v>
      </c>
      <c r="B50" s="515" t="str">
        <f>'Lam Socheat'!G33</f>
        <v>Lam Socheat</v>
      </c>
      <c r="C50" s="385">
        <f>'Lam Socheat'!E16</f>
        <v>45</v>
      </c>
      <c r="D50" s="386">
        <f>'Lam Socheat'!F16</f>
        <v>8</v>
      </c>
      <c r="E50" s="386">
        <f>'Lam Socheat'!G17</f>
        <v>360</v>
      </c>
      <c r="F50" s="386">
        <f>SUM('Lam Socheat'!E26:F26)</f>
        <v>360</v>
      </c>
      <c r="G50" s="386">
        <f t="shared" si="4"/>
        <v>0</v>
      </c>
      <c r="H50" s="385"/>
      <c r="I50" s="386">
        <f t="shared" si="5"/>
        <v>0</v>
      </c>
      <c r="J50" s="387"/>
    </row>
    <row r="51" spans="1:10" ht="12.75" customHeight="1" x14ac:dyDescent="0.2">
      <c r="A51" s="384">
        <v>43</v>
      </c>
      <c r="B51" s="515" t="str">
        <f>'Hing Sophanarith'!G33</f>
        <v>Hing Sophanarith</v>
      </c>
      <c r="C51" s="385">
        <f>'Hing Sophanarith'!E16</f>
        <v>45</v>
      </c>
      <c r="D51" s="386">
        <f>'Hing Sophanarith'!F16</f>
        <v>8</v>
      </c>
      <c r="E51" s="386">
        <f>'Hing Sophanarith'!G17</f>
        <v>360</v>
      </c>
      <c r="F51" s="386">
        <f>SUM('Hing Sophanarith'!E26:F26)</f>
        <v>360</v>
      </c>
      <c r="G51" s="386">
        <f t="shared" si="4"/>
        <v>0</v>
      </c>
      <c r="H51" s="385"/>
      <c r="I51" s="386">
        <f t="shared" si="5"/>
        <v>0</v>
      </c>
      <c r="J51" s="387"/>
    </row>
    <row r="52" spans="1:10" ht="12.75" customHeight="1" x14ac:dyDescent="0.35">
      <c r="A52" s="384">
        <v>44</v>
      </c>
      <c r="B52" s="438" t="s">
        <v>2</v>
      </c>
      <c r="C52" s="385">
        <f>'Thim Tharith'!E17</f>
        <v>315</v>
      </c>
      <c r="D52" s="389" t="s">
        <v>253</v>
      </c>
      <c r="E52" s="386">
        <f>'Thim Tharith'!G18</f>
        <v>2565</v>
      </c>
      <c r="F52" s="386">
        <f>SUM('Thim Tharith'!E34:F34)</f>
        <v>2565</v>
      </c>
      <c r="G52" s="386">
        <f t="shared" si="4"/>
        <v>0</v>
      </c>
      <c r="H52" s="385"/>
      <c r="I52" s="386">
        <f t="shared" si="1"/>
        <v>0</v>
      </c>
      <c r="J52" s="387"/>
    </row>
    <row r="53" spans="1:10" ht="12.75" customHeight="1" x14ac:dyDescent="0.2">
      <c r="A53" s="384">
        <v>45</v>
      </c>
      <c r="B53" s="438" t="str">
        <f>'Ler Kimheng'!G33</f>
        <v>Ler Kimheng</v>
      </c>
      <c r="C53" s="385">
        <f>'Ler Kimheng'!E16</f>
        <v>45</v>
      </c>
      <c r="D53" s="386">
        <f>'Ler Kimheng'!F16</f>
        <v>8</v>
      </c>
      <c r="E53" s="386">
        <f>'Ler Kimheng'!G17</f>
        <v>360</v>
      </c>
      <c r="F53" s="386">
        <f>SUM('Ler Kimheng'!E26:F26)</f>
        <v>360</v>
      </c>
      <c r="G53" s="386">
        <f t="shared" ref="G53:G70" si="6">E53-F53</f>
        <v>0</v>
      </c>
      <c r="H53" s="385"/>
      <c r="I53" s="386">
        <f t="shared" si="1"/>
        <v>0</v>
      </c>
      <c r="J53" s="387"/>
    </row>
    <row r="54" spans="1:10" ht="12.75" customHeight="1" x14ac:dyDescent="0.2">
      <c r="A54" s="384">
        <v>46</v>
      </c>
      <c r="B54" s="438" t="str">
        <f>'Ham Hak'!G33</f>
        <v>Ham Hak</v>
      </c>
      <c r="C54" s="385">
        <f>'Ham Hak'!E16</f>
        <v>90</v>
      </c>
      <c r="D54" s="386">
        <f>'Ham Hak'!F16</f>
        <v>6</v>
      </c>
      <c r="E54" s="386">
        <f>'Ham Hak'!G17</f>
        <v>540</v>
      </c>
      <c r="F54" s="386">
        <f>SUM('Ham Hak'!E26:F26)</f>
        <v>490</v>
      </c>
      <c r="G54" s="386">
        <f t="shared" si="6"/>
        <v>50</v>
      </c>
      <c r="H54" s="385"/>
      <c r="I54" s="386">
        <f t="shared" si="1"/>
        <v>50</v>
      </c>
      <c r="J54" s="387"/>
    </row>
    <row r="55" spans="1:10" ht="12.75" customHeight="1" x14ac:dyDescent="0.2">
      <c r="A55" s="384">
        <v>47</v>
      </c>
      <c r="B55" s="438" t="str">
        <f>'Chea Haing Y'!G33</f>
        <v>Chea Haing Y</v>
      </c>
      <c r="C55" s="385">
        <f>'Chea Haing Y'!E16</f>
        <v>45</v>
      </c>
      <c r="D55" s="386">
        <f>'Chea Haing Y'!F16</f>
        <v>8</v>
      </c>
      <c r="E55" s="386">
        <f>'Chea Haing Y'!G17</f>
        <v>360</v>
      </c>
      <c r="F55" s="386">
        <f>SUM('Chea Haing Y'!E26:F26)</f>
        <v>360</v>
      </c>
      <c r="G55" s="386">
        <f t="shared" si="6"/>
        <v>0</v>
      </c>
      <c r="H55" s="385"/>
      <c r="I55" s="386">
        <f t="shared" si="1"/>
        <v>0</v>
      </c>
      <c r="J55" s="387"/>
    </row>
    <row r="56" spans="1:10" ht="12.75" customHeight="1" x14ac:dyDescent="0.2">
      <c r="A56" s="384">
        <v>48</v>
      </c>
      <c r="B56" s="438" t="s">
        <v>411</v>
      </c>
      <c r="C56" s="385">
        <f>'Veun Thy'!E16</f>
        <v>53</v>
      </c>
      <c r="D56" s="386">
        <f>'Veun Thy'!F16</f>
        <v>7</v>
      </c>
      <c r="E56" s="386">
        <f>'Veun Thy'!G17</f>
        <v>371</v>
      </c>
      <c r="F56" s="386">
        <f>SUM('Veun Thy'!E26:F26)</f>
        <v>345</v>
      </c>
      <c r="G56" s="386">
        <f t="shared" si="6"/>
        <v>26</v>
      </c>
      <c r="H56" s="385"/>
      <c r="I56" s="386">
        <f t="shared" si="1"/>
        <v>26</v>
      </c>
      <c r="J56" s="387"/>
    </row>
    <row r="57" spans="1:10" ht="12.75" customHeight="1" x14ac:dyDescent="0.2">
      <c r="A57" s="384">
        <v>49</v>
      </c>
      <c r="B57" s="438" t="str">
        <f>'No Phearak'!G33</f>
        <v>No Phearak</v>
      </c>
      <c r="C57" s="385">
        <f>'No Phearak'!E16</f>
        <v>128.5</v>
      </c>
      <c r="D57" s="386">
        <f>'No Phearak'!F16</f>
        <v>7</v>
      </c>
      <c r="E57" s="386">
        <f>'No Phearak'!G17</f>
        <v>899.5</v>
      </c>
      <c r="F57" s="386">
        <f>SUM('No Phearak'!E26:F26)</f>
        <v>420</v>
      </c>
      <c r="G57" s="386">
        <f t="shared" si="6"/>
        <v>479.5</v>
      </c>
      <c r="H57" s="385"/>
      <c r="I57" s="386">
        <f t="shared" si="1"/>
        <v>479.5</v>
      </c>
      <c r="J57" s="387"/>
    </row>
    <row r="58" spans="1:10" ht="12.75" customHeight="1" x14ac:dyDescent="0.2">
      <c r="A58" s="384">
        <v>50</v>
      </c>
      <c r="B58" s="438" t="str">
        <f>'Sok Lika'!G33</f>
        <v>Sok Lika</v>
      </c>
      <c r="C58" s="385">
        <f>'Sok Lika'!E16</f>
        <v>33</v>
      </c>
      <c r="D58" s="386">
        <f>'Sok Lika'!F16</f>
        <v>7</v>
      </c>
      <c r="E58" s="386">
        <f>'Sok Lika'!G17</f>
        <v>231</v>
      </c>
      <c r="F58" s="386">
        <f>SUM('Sok Lika'!E26:F26)</f>
        <v>190</v>
      </c>
      <c r="G58" s="386">
        <f t="shared" si="6"/>
        <v>41</v>
      </c>
      <c r="H58" s="385"/>
      <c r="I58" s="386">
        <f t="shared" si="1"/>
        <v>41</v>
      </c>
      <c r="J58" s="387"/>
    </row>
    <row r="59" spans="1:10" ht="12.75" customHeight="1" x14ac:dyDescent="0.2">
      <c r="A59" s="384">
        <v>51</v>
      </c>
      <c r="B59" s="438" t="str">
        <f>'Sou Sontara'!G33</f>
        <v>Sou Sontara</v>
      </c>
      <c r="C59" s="385">
        <f>'Sou Sontara'!E16</f>
        <v>45</v>
      </c>
      <c r="D59" s="386">
        <f>'Sou Sontara'!F16</f>
        <v>8</v>
      </c>
      <c r="E59" s="386">
        <f>'Sou Sontara'!G17</f>
        <v>360</v>
      </c>
      <c r="F59" s="386">
        <f>SUM('Sou Sontara'!E26:F26)</f>
        <v>300</v>
      </c>
      <c r="G59" s="386">
        <f t="shared" si="6"/>
        <v>60</v>
      </c>
      <c r="H59" s="385"/>
      <c r="I59" s="386">
        <f t="shared" si="1"/>
        <v>60</v>
      </c>
      <c r="J59" s="387"/>
    </row>
    <row r="60" spans="1:10" ht="12.75" customHeight="1" x14ac:dyDescent="0.2">
      <c r="A60" s="384">
        <v>52</v>
      </c>
      <c r="B60" s="438" t="str">
        <f>'Soun Serey'!G33</f>
        <v>Soun Serey</v>
      </c>
      <c r="C60" s="385">
        <f>'Soun Serey'!E16</f>
        <v>22.5</v>
      </c>
      <c r="D60" s="386">
        <f>'Soun Serey'!F16</f>
        <v>8</v>
      </c>
      <c r="E60" s="386">
        <f>'Soun Serey'!G17</f>
        <v>180</v>
      </c>
      <c r="F60" s="386">
        <f>SUM('Soun Serey'!E26:F26)</f>
        <v>80</v>
      </c>
      <c r="G60" s="386">
        <f t="shared" si="6"/>
        <v>100</v>
      </c>
      <c r="H60" s="385"/>
      <c r="I60" s="386">
        <f t="shared" si="1"/>
        <v>100</v>
      </c>
      <c r="J60" s="387"/>
    </row>
    <row r="61" spans="1:10" ht="12.75" customHeight="1" x14ac:dyDescent="0.2">
      <c r="A61" s="384">
        <v>53</v>
      </c>
      <c r="B61" s="438" t="str">
        <f>'Mok Phoeurn'!G33</f>
        <v>Mok Phoeurn</v>
      </c>
      <c r="C61" s="385">
        <f>'Mok Phoeurn'!E16</f>
        <v>163.5</v>
      </c>
      <c r="D61" s="386">
        <f>'Mok Phoeurn'!F16</f>
        <v>8</v>
      </c>
      <c r="E61" s="386">
        <f>'Mok Phoeurn'!G17</f>
        <v>1308</v>
      </c>
      <c r="F61" s="386">
        <f>SUM('Mok Phoeurn'!E26:F26)</f>
        <v>770</v>
      </c>
      <c r="G61" s="386">
        <f t="shared" si="6"/>
        <v>538</v>
      </c>
      <c r="H61" s="385"/>
      <c r="I61" s="386">
        <f t="shared" si="1"/>
        <v>538</v>
      </c>
      <c r="J61" s="387"/>
    </row>
    <row r="62" spans="1:10" ht="12.75" customHeight="1" x14ac:dyDescent="0.2">
      <c r="A62" s="384">
        <v>54</v>
      </c>
      <c r="B62" s="438" t="str">
        <f>'Heng Seitha'!G33</f>
        <v>Heng Seitha</v>
      </c>
      <c r="C62" s="385">
        <f>'Heng Seitha'!E16</f>
        <v>114</v>
      </c>
      <c r="D62" s="386">
        <f>'Heng Seitha'!F11</f>
        <v>6</v>
      </c>
      <c r="E62" s="386">
        <f>'Heng Seitha'!G17</f>
        <v>684</v>
      </c>
      <c r="F62" s="386">
        <f>SUM('Heng Seitha'!E26:F26)</f>
        <v>390</v>
      </c>
      <c r="G62" s="386">
        <f t="shared" si="6"/>
        <v>294</v>
      </c>
      <c r="H62" s="385"/>
      <c r="I62" s="386">
        <f t="shared" si="1"/>
        <v>294</v>
      </c>
      <c r="J62" s="387"/>
    </row>
    <row r="63" spans="1:10" ht="12.75" customHeight="1" x14ac:dyDescent="0.2">
      <c r="A63" s="384">
        <v>55</v>
      </c>
      <c r="B63" s="438" t="str">
        <f>'Eam Bunthoeun'!G33</f>
        <v>Eam Bunthoeun</v>
      </c>
      <c r="C63" s="385">
        <f>'Eam Bunthoeun'!E16</f>
        <v>105</v>
      </c>
      <c r="D63" s="386">
        <f>'Eam Bunthoeun'!F11</f>
        <v>7</v>
      </c>
      <c r="E63" s="386">
        <f>'Eam Bunthoeun'!G17</f>
        <v>735</v>
      </c>
      <c r="F63" s="386">
        <f>SUM('Eam Bunthoeun'!E26:F26)</f>
        <v>420</v>
      </c>
      <c r="G63" s="386">
        <f t="shared" si="6"/>
        <v>315</v>
      </c>
      <c r="H63" s="385"/>
      <c r="I63" s="386">
        <f t="shared" si="1"/>
        <v>315</v>
      </c>
      <c r="J63" s="387"/>
    </row>
    <row r="64" spans="1:10" ht="12.75" customHeight="1" x14ac:dyDescent="0.2">
      <c r="A64" s="384">
        <v>56</v>
      </c>
      <c r="B64" s="438" t="str">
        <f>'Oeu Samath'!G33</f>
        <v>Oeu Samath</v>
      </c>
      <c r="C64" s="385">
        <f>'Oeu Samath'!E16</f>
        <v>36</v>
      </c>
      <c r="D64" s="386">
        <f>'Oeu Samath'!F10</f>
        <v>7</v>
      </c>
      <c r="E64" s="386">
        <f>'Oeu Samath'!G17</f>
        <v>252</v>
      </c>
      <c r="F64" s="386">
        <f>SUM('Oeu Samath'!E26:F26)</f>
        <v>150</v>
      </c>
      <c r="G64" s="386">
        <f t="shared" si="6"/>
        <v>102</v>
      </c>
      <c r="H64" s="385"/>
      <c r="I64" s="386">
        <f t="shared" ref="I64:I75" si="7">G64+H64</f>
        <v>102</v>
      </c>
      <c r="J64" s="387"/>
    </row>
    <row r="65" spans="1:10" ht="12.75" customHeight="1" x14ac:dyDescent="0.2">
      <c r="A65" s="384">
        <v>57</v>
      </c>
      <c r="B65" s="438" t="str">
        <f>'Pol Mony'!G33</f>
        <v>Pol Mony</v>
      </c>
      <c r="C65" s="385">
        <f>'Pol Mony'!E16</f>
        <v>45</v>
      </c>
      <c r="D65" s="386">
        <f>'Pol Mony'!F10</f>
        <v>8</v>
      </c>
      <c r="E65" s="386">
        <f>'Pol Mony'!G17</f>
        <v>360</v>
      </c>
      <c r="F65" s="386">
        <f>SUM('Pol Mony'!E26:F26)</f>
        <v>290</v>
      </c>
      <c r="G65" s="386">
        <f t="shared" si="6"/>
        <v>70</v>
      </c>
      <c r="H65" s="385"/>
      <c r="I65" s="386">
        <f t="shared" si="7"/>
        <v>70</v>
      </c>
      <c r="J65" s="387"/>
    </row>
    <row r="66" spans="1:10" ht="12.75" customHeight="1" x14ac:dyDescent="0.2">
      <c r="A66" s="384">
        <v>58</v>
      </c>
      <c r="B66" s="438" t="str">
        <f>'Seng Theara'!G33</f>
        <v>Seng Theara</v>
      </c>
      <c r="C66" s="385">
        <f>'Seng Theara'!E16</f>
        <v>22.5</v>
      </c>
      <c r="D66" s="386">
        <f>'Seng Theara'!F10</f>
        <v>7</v>
      </c>
      <c r="E66" s="386">
        <f>'Seng Theara'!G17</f>
        <v>157.5</v>
      </c>
      <c r="F66" s="386">
        <f>SUM('Seng Theara'!E26:F26)</f>
        <v>0</v>
      </c>
      <c r="G66" s="386">
        <f t="shared" si="6"/>
        <v>157.5</v>
      </c>
      <c r="H66" s="385"/>
      <c r="I66" s="386">
        <f t="shared" si="7"/>
        <v>157.5</v>
      </c>
      <c r="J66" s="387"/>
    </row>
    <row r="67" spans="1:10" ht="12.75" customHeight="1" x14ac:dyDescent="0.2">
      <c r="A67" s="384">
        <v>59</v>
      </c>
      <c r="B67" s="438" t="str">
        <f>'Khim Kemara'!G33</f>
        <v>Khim Kemara</v>
      </c>
      <c r="C67" s="385">
        <f>'Khim Kemara'!E16</f>
        <v>57</v>
      </c>
      <c r="D67" s="386">
        <f>'Khim Kemara'!F10</f>
        <v>7</v>
      </c>
      <c r="E67" s="386">
        <f>'Khim Kemara'!G17</f>
        <v>399</v>
      </c>
      <c r="F67" s="386">
        <f>SUM('Khim Kemara'!E26:F26)</f>
        <v>160</v>
      </c>
      <c r="G67" s="386">
        <f t="shared" si="6"/>
        <v>239</v>
      </c>
      <c r="H67" s="385"/>
      <c r="I67" s="386">
        <f t="shared" si="7"/>
        <v>239</v>
      </c>
      <c r="J67" s="387"/>
    </row>
    <row r="68" spans="1:10" ht="12.75" customHeight="1" x14ac:dyDescent="0.2">
      <c r="A68" s="384">
        <v>60</v>
      </c>
      <c r="B68" s="438" t="str">
        <f>'Yuth Kongyu'!G33</f>
        <v>Yuth Kongyu</v>
      </c>
      <c r="C68" s="385">
        <f>'Yuth Kongyu'!E16</f>
        <v>36</v>
      </c>
      <c r="D68" s="386">
        <f>'Yuth Kongyu'!F10</f>
        <v>7</v>
      </c>
      <c r="E68" s="386">
        <f>'Yuth Kongyu'!G17</f>
        <v>252</v>
      </c>
      <c r="F68" s="386">
        <f>SUM('Yuth Kongyu'!E26:F26)</f>
        <v>0</v>
      </c>
      <c r="G68" s="386">
        <f t="shared" si="6"/>
        <v>252</v>
      </c>
      <c r="H68" s="385"/>
      <c r="I68" s="386">
        <f t="shared" si="7"/>
        <v>252</v>
      </c>
      <c r="J68" s="387"/>
    </row>
    <row r="69" spans="1:10" ht="12.75" customHeight="1" x14ac:dyDescent="0.2">
      <c r="A69" s="384">
        <v>61</v>
      </c>
      <c r="B69" s="438" t="str">
        <f>'Ngoun Sopeap'!G33</f>
        <v>Ngoun Sopeap</v>
      </c>
      <c r="C69" s="385">
        <f>'Ngoun Sopeap'!E16</f>
        <v>27</v>
      </c>
      <c r="D69" s="386">
        <f>'Ngoun Sopeap'!F10</f>
        <v>8</v>
      </c>
      <c r="E69" s="386">
        <f>'Ngoun Sopeap'!G17</f>
        <v>216</v>
      </c>
      <c r="F69" s="386">
        <f>SUM('Ngoun Sopeap'!E26:F26)</f>
        <v>130</v>
      </c>
      <c r="G69" s="386">
        <f t="shared" si="6"/>
        <v>86</v>
      </c>
      <c r="H69" s="385"/>
      <c r="I69" s="386">
        <f t="shared" si="7"/>
        <v>86</v>
      </c>
      <c r="J69" s="387"/>
    </row>
    <row r="70" spans="1:10" ht="12.75" customHeight="1" x14ac:dyDescent="0.2">
      <c r="A70" s="384">
        <v>62</v>
      </c>
      <c r="B70" s="438" t="str">
        <f>'Dorn Phorsanith.'!B10</f>
        <v>Dorn Phorsanith</v>
      </c>
      <c r="C70" s="385">
        <f>'Dorn Phorsanith.'!E16</f>
        <v>24.5</v>
      </c>
      <c r="D70" s="386">
        <f>'Dorn Phorsanith.'!F16</f>
        <v>7</v>
      </c>
      <c r="E70" s="386">
        <f>'Dorn Phorsanith.'!G17</f>
        <v>171.5</v>
      </c>
      <c r="F70" s="386">
        <f>SUM('Dorn Phorsanith.'!E26:F26)</f>
        <v>90</v>
      </c>
      <c r="G70" s="386">
        <f t="shared" si="6"/>
        <v>81.5</v>
      </c>
      <c r="H70" s="385"/>
      <c r="I70" s="386">
        <f t="shared" si="7"/>
        <v>81.5</v>
      </c>
      <c r="J70" s="387"/>
    </row>
    <row r="71" spans="1:10" ht="12.75" customHeight="1" x14ac:dyDescent="0.2">
      <c r="A71" s="384">
        <v>63</v>
      </c>
      <c r="B71" s="438" t="str">
        <f>'Thath Sovanarith'!G33</f>
        <v>Thath Sovanarith</v>
      </c>
      <c r="C71" s="385">
        <f>'Thath Sovanarith'!E16</f>
        <v>30</v>
      </c>
      <c r="D71" s="386">
        <f>'Thath Sovanarith'!F10</f>
        <v>8</v>
      </c>
      <c r="E71" s="386">
        <f>'Thath Sovanarith'!G17</f>
        <v>240</v>
      </c>
      <c r="F71" s="386">
        <f>SUM('Thath Sovanarith'!E26:F26)</f>
        <v>110</v>
      </c>
      <c r="G71" s="386">
        <f>E71-F71</f>
        <v>130</v>
      </c>
      <c r="H71" s="385"/>
      <c r="I71" s="386">
        <f t="shared" si="7"/>
        <v>130</v>
      </c>
      <c r="J71" s="387"/>
    </row>
    <row r="72" spans="1:10" ht="12.75" customHeight="1" x14ac:dyDescent="0.2">
      <c r="A72" s="384">
        <v>64</v>
      </c>
      <c r="B72" s="438" t="str">
        <f>'Pol Sarith'!B10</f>
        <v>Pol Sarith</v>
      </c>
      <c r="C72" s="385">
        <f>'Pol Sarith'!E15</f>
        <v>12</v>
      </c>
      <c r="D72" s="386">
        <f>'Pol Sarith'!F15</f>
        <v>8</v>
      </c>
      <c r="E72" s="386">
        <f>'Pol Sarith'!G17</f>
        <v>96</v>
      </c>
      <c r="F72" s="386">
        <f>'Pol Sarith'!E29:F29</f>
        <v>0</v>
      </c>
      <c r="G72" s="386">
        <f>E72-F72</f>
        <v>96</v>
      </c>
      <c r="H72" s="385"/>
      <c r="I72" s="386">
        <f t="shared" si="7"/>
        <v>96</v>
      </c>
      <c r="J72" s="387"/>
    </row>
    <row r="73" spans="1:10" ht="12.75" customHeight="1" x14ac:dyDescent="0.2">
      <c r="A73" s="384">
        <v>65</v>
      </c>
      <c r="B73" s="438" t="str">
        <f>'Tonn Saroth'!B10</f>
        <v>Tonn Saroth</v>
      </c>
      <c r="C73" s="385">
        <f>'Tonn Saroth'!E15</f>
        <v>23</v>
      </c>
      <c r="D73" s="386">
        <f>'Tonn Saroth'!F15</f>
        <v>8</v>
      </c>
      <c r="E73" s="386">
        <f>'Tonn Saroth'!G17</f>
        <v>184</v>
      </c>
      <c r="F73" s="386">
        <f>'Tonn Saroth'!E29:F29</f>
        <v>0</v>
      </c>
      <c r="G73" s="386">
        <f t="shared" ref="G73:G74" si="8">E73-F73</f>
        <v>184</v>
      </c>
      <c r="H73" s="385"/>
      <c r="I73" s="386">
        <f t="shared" si="7"/>
        <v>184</v>
      </c>
      <c r="J73" s="387"/>
    </row>
    <row r="74" spans="1:10" ht="12.75" customHeight="1" x14ac:dyDescent="0.2">
      <c r="A74" s="384">
        <v>66</v>
      </c>
      <c r="B74" s="438" t="str">
        <f>'Marinas Emilyn'!B10</f>
        <v>Marinas Emilyn</v>
      </c>
      <c r="C74" s="385">
        <f>'Marinas Emilyn'!E15</f>
        <v>29</v>
      </c>
      <c r="D74" s="386">
        <f>'Marinas Emilyn'!F15</f>
        <v>0</v>
      </c>
      <c r="E74" s="386">
        <f>'Marinas Emilyn'!G17</f>
        <v>0</v>
      </c>
      <c r="F74" s="386">
        <f>'Marinas Emilyn'!E29:F29</f>
        <v>0</v>
      </c>
      <c r="G74" s="386">
        <f t="shared" si="8"/>
        <v>0</v>
      </c>
      <c r="H74" s="385"/>
      <c r="I74" s="386">
        <f t="shared" si="7"/>
        <v>0</v>
      </c>
      <c r="J74" s="387"/>
    </row>
    <row r="75" spans="1:10" ht="12.75" customHeight="1" x14ac:dyDescent="0.2">
      <c r="A75" s="384">
        <v>67</v>
      </c>
      <c r="B75" s="438" t="str">
        <f>'Kum Unique'!B10</f>
        <v>Kum Unique</v>
      </c>
      <c r="C75" s="385">
        <f>'Kum Unique'!E16</f>
        <v>48</v>
      </c>
      <c r="D75" s="386">
        <f>'Kum Unique'!F10</f>
        <v>8</v>
      </c>
      <c r="E75" s="386">
        <f>'Kum Unique'!G17</f>
        <v>384</v>
      </c>
      <c r="F75" s="386">
        <f>'Kum Unique'!E26:F26</f>
        <v>0</v>
      </c>
      <c r="G75" s="386">
        <f>E75-F75</f>
        <v>384</v>
      </c>
      <c r="H75" s="385"/>
      <c r="I75" s="386">
        <f t="shared" si="7"/>
        <v>384</v>
      </c>
      <c r="J75" s="387"/>
    </row>
    <row r="76" spans="1:10" ht="12.75" customHeight="1" x14ac:dyDescent="0.2">
      <c r="A76" s="390"/>
      <c r="B76" s="391" t="s">
        <v>211</v>
      </c>
      <c r="C76" s="392"/>
      <c r="D76" s="392"/>
      <c r="E76" s="393">
        <f>SUM(E9:E75)</f>
        <v>60419.5</v>
      </c>
      <c r="F76" s="393">
        <f>SUM(F9:F75)</f>
        <v>50967</v>
      </c>
      <c r="G76" s="393">
        <f>SUM(G9:G75)</f>
        <v>9452.5</v>
      </c>
      <c r="H76" s="392"/>
      <c r="I76" s="393">
        <f>SUM(I9:I75)</f>
        <v>9452.5</v>
      </c>
      <c r="J76" s="394"/>
    </row>
    <row r="77" spans="1:10" ht="12.75" customHeight="1" x14ac:dyDescent="0.2">
      <c r="A77" s="384"/>
      <c r="B77" s="395" t="s">
        <v>207</v>
      </c>
      <c r="C77" s="385"/>
      <c r="D77" s="385"/>
      <c r="E77" s="385"/>
      <c r="F77" s="385"/>
      <c r="G77" s="385"/>
      <c r="H77" s="385"/>
      <c r="I77" s="385"/>
      <c r="J77" s="387"/>
    </row>
    <row r="78" spans="1:10" ht="12.75" customHeight="1" x14ac:dyDescent="0.2">
      <c r="A78" s="384">
        <v>1</v>
      </c>
      <c r="B78" s="438" t="s">
        <v>188</v>
      </c>
      <c r="C78" s="385">
        <f>'Tek Vannara(MBA)'!E16</f>
        <v>45</v>
      </c>
      <c r="D78" s="386">
        <f>'Tek Vannara(MBA)'!F10</f>
        <v>0</v>
      </c>
      <c r="E78" s="386">
        <f>'Tek Vannara(MBA)'!G17</f>
        <v>600</v>
      </c>
      <c r="F78" s="386">
        <f>SUM('Tek Vannara(MBA)'!E33:F33)</f>
        <v>600</v>
      </c>
      <c r="G78" s="386">
        <f t="shared" ref="G78:G83" si="9">E78-F78</f>
        <v>0</v>
      </c>
      <c r="H78" s="385"/>
      <c r="I78" s="386">
        <f t="shared" ref="I78:I84" si="10">G78+H78</f>
        <v>0</v>
      </c>
      <c r="J78" s="387"/>
    </row>
    <row r="79" spans="1:10" ht="12.75" customHeight="1" x14ac:dyDescent="0.2">
      <c r="A79" s="384">
        <v>2</v>
      </c>
      <c r="B79" s="438" t="str">
        <f>'San You(MBA)'!G33</f>
        <v>San You</v>
      </c>
      <c r="C79" s="385">
        <f>'San You(MBA)'!E16</f>
        <v>45</v>
      </c>
      <c r="D79" s="386">
        <f>'San You(MBA)'!F16</f>
        <v>13.333299999999999</v>
      </c>
      <c r="E79" s="386">
        <f>'San You(MBA)'!G17</f>
        <v>599.99849999999992</v>
      </c>
      <c r="F79" s="386">
        <f>SUM('San You(MBA)'!E26:F26)</f>
        <v>600</v>
      </c>
      <c r="G79" s="386">
        <f t="shared" si="9"/>
        <v>-1.5000000000782165E-3</v>
      </c>
      <c r="H79" s="385"/>
      <c r="I79" s="386">
        <f t="shared" si="10"/>
        <v>-1.5000000000782165E-3</v>
      </c>
      <c r="J79" s="387"/>
    </row>
    <row r="80" spans="1:10" ht="12.75" customHeight="1" x14ac:dyDescent="0.2">
      <c r="A80" s="384">
        <v>3</v>
      </c>
      <c r="B80" s="438" t="str">
        <f>'Kong Nimol(MBA)'!G32</f>
        <v>Kong Nimol</v>
      </c>
      <c r="C80" s="385">
        <f>'Kong Nimol(MBA)'!E15</f>
        <v>45</v>
      </c>
      <c r="D80" s="386"/>
      <c r="E80" s="386">
        <f>'Kong Nimol(MBA)'!G16</f>
        <v>599.99849999999992</v>
      </c>
      <c r="F80" s="386">
        <f>SUM('Kong Nimol(MBA)'!E25:F25)</f>
        <v>600</v>
      </c>
      <c r="G80" s="386">
        <f t="shared" si="9"/>
        <v>-1.5000000000782165E-3</v>
      </c>
      <c r="H80" s="385"/>
      <c r="I80" s="386">
        <f t="shared" si="10"/>
        <v>-1.5000000000782165E-3</v>
      </c>
      <c r="J80" s="387"/>
    </row>
    <row r="81" spans="1:10" ht="12.75" customHeight="1" x14ac:dyDescent="0.2">
      <c r="A81" s="384">
        <v>4</v>
      </c>
      <c r="B81" s="438" t="str">
        <f>'Long Phanith'!G33</f>
        <v>Long Phanith</v>
      </c>
      <c r="C81" s="385">
        <f>'Long Phanith'!E16</f>
        <v>45</v>
      </c>
      <c r="D81" s="386">
        <f>'Long Phanith'!F16</f>
        <v>13.333299999999999</v>
      </c>
      <c r="E81" s="386">
        <f>'Long Phanith'!G17</f>
        <v>599.99849999999992</v>
      </c>
      <c r="F81" s="386">
        <f>SUM('Long Phanith'!E26:F26)</f>
        <v>600</v>
      </c>
      <c r="G81" s="386">
        <f t="shared" si="9"/>
        <v>-1.5000000000782165E-3</v>
      </c>
      <c r="H81" s="385"/>
      <c r="I81" s="386">
        <f t="shared" si="10"/>
        <v>-1.5000000000782165E-3</v>
      </c>
      <c r="J81" s="387"/>
    </row>
    <row r="82" spans="1:10" ht="12.75" customHeight="1" x14ac:dyDescent="0.2">
      <c r="A82" s="384">
        <v>5</v>
      </c>
      <c r="B82" s="438" t="str">
        <f>'Tek Veansa(MBA)'!G33</f>
        <v>Tek Veasna</v>
      </c>
      <c r="C82" s="385">
        <f>'Tek Veansa(MBA)'!E16</f>
        <v>45</v>
      </c>
      <c r="D82" s="386">
        <f>'Tek Veansa(MBA)'!F10</f>
        <v>13.333299999999999</v>
      </c>
      <c r="E82" s="386">
        <f>'Tek Veansa(MBA)'!G17</f>
        <v>599.99849999999992</v>
      </c>
      <c r="F82" s="386">
        <f>SUM('Tek Veansa(MBA)'!E26:F26)</f>
        <v>600</v>
      </c>
      <c r="G82" s="386">
        <f t="shared" si="9"/>
        <v>-1.5000000000782165E-3</v>
      </c>
      <c r="H82" s="385"/>
      <c r="I82" s="386">
        <f t="shared" si="10"/>
        <v>-1.5000000000782165E-3</v>
      </c>
      <c r="J82" s="387"/>
    </row>
    <row r="83" spans="1:10" ht="12.75" customHeight="1" x14ac:dyDescent="0.2">
      <c r="A83" s="384">
        <v>6</v>
      </c>
      <c r="B83" s="438" t="str">
        <f>'Ham Hak (MBA)'!B10</f>
        <v>Ham Hak</v>
      </c>
      <c r="C83" s="385">
        <f>'Ham Hak (MBA)'!E15</f>
        <v>12</v>
      </c>
      <c r="D83" s="386">
        <f>'Ham Hak (MBA)'!F10</f>
        <v>13.33333</v>
      </c>
      <c r="E83" s="386">
        <f>'Ham Hak (MBA)'!G17</f>
        <v>159.99995999999999</v>
      </c>
      <c r="F83" s="386">
        <f>'Ham Hak (MBA)'!E29:F29</f>
        <v>0</v>
      </c>
      <c r="G83" s="386">
        <f t="shared" si="9"/>
        <v>159.99995999999999</v>
      </c>
      <c r="H83" s="385"/>
      <c r="I83" s="386">
        <f t="shared" si="10"/>
        <v>159.99995999999999</v>
      </c>
      <c r="J83" s="387"/>
    </row>
    <row r="84" spans="1:10" ht="12.75" customHeight="1" x14ac:dyDescent="0.2">
      <c r="A84" s="384">
        <v>7</v>
      </c>
      <c r="B84" s="438" t="str">
        <f>'Leang Sophanna(MBA)'!G33</f>
        <v>Leang Sophanna</v>
      </c>
      <c r="C84" s="385">
        <f>'Leang Sophanna(MBA)'!E16</f>
        <v>45</v>
      </c>
      <c r="D84" s="386">
        <f>'Leang Sophanna(MBA)'!E16</f>
        <v>45</v>
      </c>
      <c r="E84" s="386">
        <f>'Leang Sophanna(MBA)'!G17</f>
        <v>450</v>
      </c>
      <c r="F84" s="386">
        <f>SUM('Leang Sophanna(MBA)'!E26:F26)</f>
        <v>225</v>
      </c>
      <c r="G84" s="386">
        <f>E84-F84</f>
        <v>225</v>
      </c>
      <c r="H84" s="385"/>
      <c r="I84" s="386">
        <f t="shared" si="10"/>
        <v>225</v>
      </c>
      <c r="J84" s="387"/>
    </row>
    <row r="85" spans="1:10" ht="12.75" customHeight="1" x14ac:dyDescent="0.2">
      <c r="A85" s="390"/>
      <c r="B85" s="391" t="s">
        <v>211</v>
      </c>
      <c r="C85" s="392"/>
      <c r="D85" s="392"/>
      <c r="E85" s="396">
        <f>SUM(E78:E84)</f>
        <v>3609.9939599999998</v>
      </c>
      <c r="F85" s="397">
        <f>SUM(F78:F84)</f>
        <v>3225</v>
      </c>
      <c r="G85" s="396">
        <f>SUM(G78:G84)</f>
        <v>384.99395999999967</v>
      </c>
      <c r="H85" s="392"/>
      <c r="I85" s="393">
        <f>SUM(I78:I84)</f>
        <v>384.99395999999967</v>
      </c>
      <c r="J85" s="394"/>
    </row>
    <row r="86" spans="1:10" ht="12.75" customHeight="1" x14ac:dyDescent="0.2">
      <c r="A86" s="448"/>
      <c r="B86" s="395" t="s">
        <v>268</v>
      </c>
      <c r="C86" s="450"/>
      <c r="D86" s="450"/>
      <c r="E86" s="451"/>
      <c r="F86" s="452"/>
      <c r="G86" s="451"/>
      <c r="H86" s="450"/>
      <c r="I86" s="453"/>
      <c r="J86" s="454"/>
    </row>
    <row r="87" spans="1:10" ht="12.75" customHeight="1" x14ac:dyDescent="0.2">
      <c r="A87" s="448">
        <v>1</v>
      </c>
      <c r="B87" s="449" t="str">
        <f>'Raymond Leo'!G29</f>
        <v>Raymond Leo</v>
      </c>
      <c r="C87" s="450">
        <f>'Raymond Leo'!E12</f>
        <v>45</v>
      </c>
      <c r="D87" s="452">
        <f>'Raymond Leo'!F10</f>
        <v>1200</v>
      </c>
      <c r="E87" s="451">
        <f>'Raymond Leo'!G13</f>
        <v>1200</v>
      </c>
      <c r="F87" s="452">
        <f>SUM('Raymond Leo'!E22:F22)</f>
        <v>1200</v>
      </c>
      <c r="G87" s="451">
        <f>E87-F87</f>
        <v>0</v>
      </c>
      <c r="H87" s="450"/>
      <c r="I87" s="386">
        <f>G87+H87</f>
        <v>0</v>
      </c>
      <c r="J87" s="454"/>
    </row>
    <row r="88" spans="1:10" ht="12.75" customHeight="1" x14ac:dyDescent="0.2">
      <c r="A88" s="390"/>
      <c r="B88" s="391" t="s">
        <v>211</v>
      </c>
      <c r="C88" s="392"/>
      <c r="D88" s="392"/>
      <c r="E88" s="396">
        <f>E87</f>
        <v>1200</v>
      </c>
      <c r="F88" s="397">
        <f>SUM(F87)</f>
        <v>1200</v>
      </c>
      <c r="G88" s="396">
        <f>SUM(G87)</f>
        <v>0</v>
      </c>
      <c r="H88" s="392"/>
      <c r="I88" s="393">
        <f>SUM(I87)</f>
        <v>0</v>
      </c>
      <c r="J88" s="394"/>
    </row>
    <row r="89" spans="1:10" ht="12.75" customHeight="1" x14ac:dyDescent="0.2">
      <c r="A89" s="384"/>
      <c r="B89" s="395" t="s">
        <v>208</v>
      </c>
      <c r="C89" s="385"/>
      <c r="D89" s="385"/>
      <c r="E89" s="385" t="s">
        <v>65</v>
      </c>
      <c r="F89" s="385"/>
      <c r="G89" s="386"/>
      <c r="H89" s="385"/>
      <c r="I89" s="386"/>
      <c r="J89" s="387"/>
    </row>
    <row r="90" spans="1:10" ht="12.75" customHeight="1" x14ac:dyDescent="0.2">
      <c r="A90" s="384">
        <v>1</v>
      </c>
      <c r="B90" s="388" t="s">
        <v>189</v>
      </c>
      <c r="C90" s="385">
        <f>'Sen Sareth (GEP)'!E16</f>
        <v>55</v>
      </c>
      <c r="D90" s="386">
        <f>'Sen Sareth (GEP)'!F10</f>
        <v>4</v>
      </c>
      <c r="E90" s="386">
        <f>'Sen Sareth (GEP)'!G17</f>
        <v>220</v>
      </c>
      <c r="F90" s="386">
        <f>SUM('Sen Sareth (GEP)'!E33:F33)</f>
        <v>220</v>
      </c>
      <c r="G90" s="455">
        <f>E90-F90</f>
        <v>0</v>
      </c>
      <c r="H90" s="385"/>
      <c r="I90" s="386">
        <f>SUM(G90+H90)</f>
        <v>0</v>
      </c>
      <c r="J90" s="387"/>
    </row>
    <row r="91" spans="1:10" ht="12.75" customHeight="1" x14ac:dyDescent="0.2">
      <c r="A91" s="384">
        <v>2</v>
      </c>
      <c r="B91" s="388" t="s">
        <v>190</v>
      </c>
      <c r="C91" s="385">
        <f>'Shon Run (GEP) '!E16</f>
        <v>39</v>
      </c>
      <c r="D91" s="386">
        <f>'Shon Run (GEP) '!F10</f>
        <v>4</v>
      </c>
      <c r="E91" s="386">
        <f>'Shon Run (GEP) '!G17</f>
        <v>156</v>
      </c>
      <c r="F91" s="386">
        <f>SUM('Shon Run (GEP) '!E33:F33)</f>
        <v>156</v>
      </c>
      <c r="G91" s="386">
        <f>E91-F91</f>
        <v>0</v>
      </c>
      <c r="H91" s="385"/>
      <c r="I91" s="386">
        <f t="shared" si="1"/>
        <v>0</v>
      </c>
      <c r="J91" s="387"/>
    </row>
    <row r="92" spans="1:10" ht="12.75" customHeight="1" x14ac:dyDescent="0.2">
      <c r="A92" s="384">
        <v>3</v>
      </c>
      <c r="B92" s="456" t="str">
        <f>'Pascal (GEP)'!G40</f>
        <v>Pascal</v>
      </c>
      <c r="C92" s="435">
        <f>'Pascal (GEP)'!E16</f>
        <v>39</v>
      </c>
      <c r="D92" s="436">
        <f>'Pascal (GEP)'!F10</f>
        <v>5</v>
      </c>
      <c r="E92" s="436">
        <f>'Pascal (GEP)'!G17</f>
        <v>195</v>
      </c>
      <c r="F92" s="436">
        <f>SUM('Pascal (GEP)'!E33:F33)</f>
        <v>195</v>
      </c>
      <c r="G92" s="386">
        <f t="shared" si="0"/>
        <v>0</v>
      </c>
      <c r="H92" s="435"/>
      <c r="I92" s="386">
        <f t="shared" si="1"/>
        <v>0</v>
      </c>
      <c r="J92" s="437"/>
    </row>
    <row r="93" spans="1:10" ht="12.75" customHeight="1" x14ac:dyDescent="0.2">
      <c r="A93" s="384">
        <v>4</v>
      </c>
      <c r="B93" s="456" t="str">
        <f>'Jerry (GEP)'!G40</f>
        <v>Jerry</v>
      </c>
      <c r="C93" s="435">
        <f>'Jerry (GEP)'!E16</f>
        <v>42</v>
      </c>
      <c r="D93" s="436">
        <f>'Jerry (GEP)'!F10</f>
        <v>5</v>
      </c>
      <c r="E93" s="436">
        <f>'Jerry (GEP)'!G17</f>
        <v>210</v>
      </c>
      <c r="F93" s="436">
        <f>SUM('Jerry (GEP)'!E33:F33)</f>
        <v>210</v>
      </c>
      <c r="G93" s="386">
        <f>E93-F93</f>
        <v>0</v>
      </c>
      <c r="H93" s="435"/>
      <c r="I93" s="386">
        <f t="shared" si="1"/>
        <v>0</v>
      </c>
      <c r="J93" s="437"/>
    </row>
    <row r="94" spans="1:10" ht="12.75" customHeight="1" x14ac:dyDescent="0.2">
      <c r="A94" s="398"/>
      <c r="B94" s="399" t="s">
        <v>211</v>
      </c>
      <c r="C94" s="400"/>
      <c r="D94" s="400"/>
      <c r="E94" s="401">
        <f>SUM(E90:E93)</f>
        <v>781</v>
      </c>
      <c r="F94" s="401">
        <f>SUM(F90:F93)</f>
        <v>781</v>
      </c>
      <c r="G94" s="401">
        <f>SUM(G90:G93)</f>
        <v>0</v>
      </c>
      <c r="H94" s="400"/>
      <c r="I94" s="401">
        <f>SUM(I90:I93)</f>
        <v>0</v>
      </c>
      <c r="J94" s="402"/>
    </row>
    <row r="95" spans="1:10" ht="12.75" customHeight="1" thickBot="1" x14ac:dyDescent="0.25">
      <c r="A95" s="403"/>
      <c r="B95" s="404" t="s">
        <v>212</v>
      </c>
      <c r="C95" s="405"/>
      <c r="D95" s="406"/>
      <c r="E95" s="407">
        <f>SUM(E76+E85+E88+E94)</f>
        <v>66010.493959999993</v>
      </c>
      <c r="F95" s="407">
        <f>F76+F85+F88+F94</f>
        <v>56173</v>
      </c>
      <c r="G95" s="407">
        <f>G76+G85+G88+G94</f>
        <v>9837.4939599999998</v>
      </c>
      <c r="H95" s="406"/>
      <c r="I95" s="408">
        <f>I76+I85+I88+I94</f>
        <v>9837.4939599999998</v>
      </c>
      <c r="J95" s="406"/>
    </row>
    <row r="96" spans="1:10" ht="12.75" customHeight="1" thickTop="1" x14ac:dyDescent="0.2">
      <c r="A96" s="472"/>
      <c r="B96" s="473"/>
      <c r="C96" s="474"/>
      <c r="D96" s="474"/>
      <c r="E96" s="475"/>
      <c r="F96" s="475"/>
      <c r="G96" s="475"/>
      <c r="H96" s="474"/>
      <c r="I96" s="476"/>
      <c r="J96" s="474"/>
    </row>
    <row r="97" spans="1:11" ht="12.75" customHeight="1" x14ac:dyDescent="0.3">
      <c r="E97" s="455"/>
      <c r="H97" s="409" t="s">
        <v>619</v>
      </c>
      <c r="I97" s="409"/>
      <c r="J97" s="410"/>
    </row>
    <row r="98" spans="1:11" ht="12.75" customHeight="1" x14ac:dyDescent="0.3">
      <c r="E98" s="455"/>
      <c r="H98" s="409"/>
      <c r="I98" s="409"/>
      <c r="J98" s="410"/>
    </row>
    <row r="99" spans="1:11" ht="12.75" customHeight="1" x14ac:dyDescent="0.3">
      <c r="A99" s="836" t="s">
        <v>41</v>
      </c>
      <c r="B99" s="836"/>
      <c r="C99" s="409"/>
      <c r="D99" s="409"/>
      <c r="E99" s="411" t="s">
        <v>38</v>
      </c>
      <c r="F99" s="412"/>
      <c r="H99" s="837" t="s">
        <v>15</v>
      </c>
      <c r="I99" s="837"/>
      <c r="J99" s="837"/>
      <c r="K99" s="410"/>
    </row>
    <row r="100" spans="1:11" ht="12.75" customHeight="1" x14ac:dyDescent="0.3">
      <c r="A100" s="413"/>
      <c r="B100" s="409"/>
      <c r="C100" s="414"/>
      <c r="D100" s="409"/>
      <c r="E100" s="409"/>
      <c r="F100" s="412"/>
      <c r="H100" s="409"/>
      <c r="I100" s="409"/>
      <c r="J100" s="410"/>
      <c r="K100" s="412"/>
    </row>
    <row r="101" spans="1:11" ht="12.75" customHeight="1" x14ac:dyDescent="0.3">
      <c r="A101" s="413"/>
      <c r="B101" s="409"/>
      <c r="C101" s="409"/>
      <c r="D101" s="409"/>
      <c r="E101" s="409"/>
      <c r="F101" s="412"/>
      <c r="G101" s="368" t="s">
        <v>276</v>
      </c>
      <c r="H101" s="409"/>
      <c r="I101" s="409"/>
      <c r="J101" s="410"/>
      <c r="K101" s="410"/>
    </row>
    <row r="102" spans="1:11" ht="12.75" customHeight="1" x14ac:dyDescent="0.3">
      <c r="A102" s="413"/>
      <c r="B102" s="409"/>
      <c r="C102" s="409"/>
      <c r="D102" s="409"/>
      <c r="E102" s="409"/>
      <c r="F102" s="412"/>
      <c r="H102" s="409"/>
      <c r="I102" s="409"/>
      <c r="J102" s="410"/>
      <c r="K102" s="410"/>
    </row>
    <row r="103" spans="1:11" ht="12.75" customHeight="1" x14ac:dyDescent="0.3">
      <c r="A103" s="413"/>
      <c r="B103" s="409"/>
      <c r="C103" s="409"/>
      <c r="D103" s="409"/>
      <c r="E103" s="409"/>
      <c r="F103" s="412"/>
      <c r="H103" s="409"/>
      <c r="I103" s="409"/>
      <c r="J103" s="410"/>
      <c r="K103" s="410"/>
    </row>
    <row r="104" spans="1:11" ht="12.75" customHeight="1" x14ac:dyDescent="0.3">
      <c r="A104" s="413"/>
      <c r="B104" s="409"/>
      <c r="C104" s="409"/>
      <c r="D104" s="409"/>
      <c r="E104" s="409"/>
      <c r="F104" s="412"/>
      <c r="H104" s="409"/>
      <c r="I104" s="409"/>
      <c r="J104" s="415"/>
      <c r="K104" s="410"/>
    </row>
    <row r="105" spans="1:11" ht="12.75" customHeight="1" x14ac:dyDescent="0.3">
      <c r="A105" s="836" t="s">
        <v>138</v>
      </c>
      <c r="B105" s="836"/>
      <c r="C105" s="409"/>
      <c r="D105" s="414" t="s">
        <v>620</v>
      </c>
      <c r="E105" s="414"/>
      <c r="F105" s="412"/>
      <c r="H105" s="409"/>
      <c r="I105" s="413" t="s">
        <v>213</v>
      </c>
      <c r="J105" s="410"/>
      <c r="K105" s="415"/>
    </row>
    <row r="106" spans="1:11" ht="12.75" customHeight="1" x14ac:dyDescent="0.3">
      <c r="B106" s="414"/>
      <c r="C106" s="414"/>
      <c r="H106" s="409"/>
      <c r="I106" s="413"/>
      <c r="J106" s="410"/>
      <c r="K106" s="410"/>
    </row>
    <row r="107" spans="1:11" ht="12.75" customHeight="1" x14ac:dyDescent="0.2"/>
    <row r="108" spans="1:11" ht="12.75" customHeight="1" x14ac:dyDescent="0.2"/>
    <row r="109" spans="1:11" ht="12.75" customHeight="1" x14ac:dyDescent="0.2"/>
    <row r="110" spans="1:11" ht="12.75" customHeight="1" x14ac:dyDescent="0.2"/>
    <row r="111" spans="1:11" ht="12.75" customHeight="1" x14ac:dyDescent="0.2"/>
    <row r="112" spans="1:11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</sheetData>
  <mergeCells count="7">
    <mergeCell ref="A3:J3"/>
    <mergeCell ref="A4:J4"/>
    <mergeCell ref="A5:J5"/>
    <mergeCell ref="A99:B99"/>
    <mergeCell ref="A105:B105"/>
    <mergeCell ref="H99:J99"/>
    <mergeCell ref="J15:P15"/>
  </mergeCells>
  <pageMargins left="0.7" right="0.7" top="0.75" bottom="0.75" header="0.3" footer="0.3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1"/>
  <sheetViews>
    <sheetView tabSelected="1" zoomScale="85" zoomScaleNormal="85" workbookViewId="0">
      <pane xSplit="3" ySplit="9" topLeftCell="D28" activePane="bottomRight" state="frozen"/>
      <selection pane="topRight" activeCell="D1" sqref="D1"/>
      <selection pane="bottomLeft" activeCell="A10" sqref="A10"/>
      <selection pane="bottomRight" activeCell="G32" sqref="G32"/>
    </sheetView>
  </sheetViews>
  <sheetFormatPr defaultRowHeight="13.5" x14ac:dyDescent="0.25"/>
  <cols>
    <col min="1" max="1" width="15.7109375" style="33" customWidth="1"/>
    <col min="2" max="2" width="19.140625" style="1" customWidth="1"/>
    <col min="3" max="3" width="11.28515625" style="1" customWidth="1"/>
    <col min="4" max="4" width="31.85546875" style="1" customWidth="1"/>
    <col min="5" max="5" width="8.42578125" style="1" customWidth="1"/>
    <col min="6" max="6" width="10.5703125" style="1" customWidth="1"/>
    <col min="7" max="7" width="16.42578125" style="1" customWidth="1"/>
    <col min="8" max="8" width="3.7109375" style="1" customWidth="1"/>
    <col min="9" max="9" width="3.85546875" style="1" customWidth="1"/>
    <col min="10" max="10" width="5" style="1" customWidth="1"/>
    <col min="11" max="12" width="7.140625" style="1" customWidth="1"/>
    <col min="13" max="13" width="19" style="1" bestFit="1" customWidth="1"/>
    <col min="14" max="14" width="9.42578125" style="1" customWidth="1"/>
    <col min="15" max="16" width="8.85546875" style="1"/>
    <col min="17" max="17" width="17.42578125" style="1" customWidth="1"/>
    <col min="18" max="256" width="8.8554687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8.8554687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8.8554687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8.8554687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8.8554687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8.8554687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8.8554687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8.8554687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8.8554687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8.8554687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8.8554687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8.8554687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8.8554687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8.8554687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8.8554687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8.8554687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8.8554687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8.8554687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8.8554687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8.8554687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8.8554687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8.8554687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8.8554687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8.8554687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8.8554687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8.8554687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8.8554687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8.8554687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8.8554687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8.8554687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8.8554687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8.8554687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8.8554687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8.8554687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8.8554687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8.8554687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8.8554687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8.8554687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8.8554687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8.8554687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8.8554687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8.8554687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8.8554687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8.8554687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8.8554687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8.8554687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8.8554687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8.8554687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8.8554687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8.8554687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8.8554687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8.8554687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8.8554687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8.8554687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8.8554687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8.8554687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8.8554687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8.8554687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8.8554687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8.8554687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8.8554687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8.8554687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8.8554687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8.85546875" style="1"/>
  </cols>
  <sheetData>
    <row r="1" spans="1:18" s="866" customFormat="1" ht="15" x14ac:dyDescent="0.25"/>
    <row r="2" spans="1:18" s="866" customFormat="1" ht="15" x14ac:dyDescent="0.25"/>
    <row r="3" spans="1:18" s="866" customFormat="1" ht="15" x14ac:dyDescent="0.25"/>
    <row r="4" spans="1:18" s="866" customFormat="1" ht="15" x14ac:dyDescent="0.25"/>
    <row r="5" spans="1:18" s="866" customFormat="1" ht="15" x14ac:dyDescent="0.25"/>
    <row r="6" spans="1:18" s="866" customFormat="1" ht="15" x14ac:dyDescent="0.25"/>
    <row r="7" spans="1:18" s="866" customFormat="1" ht="15.75" thickBot="1" x14ac:dyDescent="0.3"/>
    <row r="8" spans="1:18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8" s="48" customFormat="1" ht="18" thickBot="1" x14ac:dyDescent="0.3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8" s="48" customFormat="1" ht="20.25" customHeight="1" thickTop="1" x14ac:dyDescent="0.25">
      <c r="A10" s="177">
        <v>1</v>
      </c>
      <c r="B10" s="225" t="s">
        <v>95</v>
      </c>
      <c r="C10" s="225" t="s">
        <v>31</v>
      </c>
      <c r="D10" s="74" t="s">
        <v>97</v>
      </c>
      <c r="E10" s="174">
        <f>3+12+9+18+3</f>
        <v>45</v>
      </c>
      <c r="F10" s="55">
        <v>7</v>
      </c>
      <c r="G10" s="56">
        <f>E10*F10</f>
        <v>315</v>
      </c>
      <c r="H10" s="226" t="s">
        <v>63</v>
      </c>
      <c r="I10" s="174">
        <v>3</v>
      </c>
      <c r="J10" s="174">
        <v>10</v>
      </c>
      <c r="K10" s="878" t="s">
        <v>74</v>
      </c>
      <c r="L10" s="879"/>
      <c r="M10" s="243">
        <v>41509</v>
      </c>
      <c r="N10" s="52"/>
      <c r="O10" s="880" t="s">
        <v>303</v>
      </c>
      <c r="P10" s="881"/>
      <c r="Q10" s="881"/>
      <c r="R10" s="881"/>
    </row>
    <row r="11" spans="1:18" s="48" customFormat="1" ht="20.25" customHeight="1" x14ac:dyDescent="0.25">
      <c r="A11" s="186">
        <v>2</v>
      </c>
      <c r="B11" s="225" t="s">
        <v>95</v>
      </c>
      <c r="C11" s="225" t="s">
        <v>31</v>
      </c>
      <c r="D11" s="74" t="s">
        <v>97</v>
      </c>
      <c r="E11" s="184">
        <f>3+12+9+15+6</f>
        <v>45</v>
      </c>
      <c r="F11" s="55">
        <v>7</v>
      </c>
      <c r="G11" s="56">
        <f t="shared" ref="G11:G23" si="0">E11*F11</f>
        <v>315</v>
      </c>
      <c r="H11" s="226" t="s">
        <v>98</v>
      </c>
      <c r="I11" s="226">
        <v>3</v>
      </c>
      <c r="J11" s="226">
        <v>10</v>
      </c>
      <c r="K11" s="872" t="s">
        <v>75</v>
      </c>
      <c r="L11" s="873"/>
      <c r="M11" s="243">
        <v>41509</v>
      </c>
      <c r="N11" s="52"/>
      <c r="O11" s="882"/>
      <c r="P11" s="883"/>
      <c r="Q11" s="883"/>
      <c r="R11" s="883"/>
    </row>
    <row r="12" spans="1:18" s="48" customFormat="1" ht="20.25" customHeight="1" x14ac:dyDescent="0.25">
      <c r="A12" s="663">
        <v>3</v>
      </c>
      <c r="B12" s="662" t="s">
        <v>95</v>
      </c>
      <c r="C12" s="662" t="s">
        <v>31</v>
      </c>
      <c r="D12" s="74" t="s">
        <v>97</v>
      </c>
      <c r="E12" s="665">
        <f>12+6+6+21</f>
        <v>45</v>
      </c>
      <c r="F12" s="55">
        <v>7</v>
      </c>
      <c r="G12" s="56">
        <f t="shared" si="0"/>
        <v>315</v>
      </c>
      <c r="H12" s="665" t="s">
        <v>98</v>
      </c>
      <c r="I12" s="665">
        <v>3</v>
      </c>
      <c r="J12" s="665">
        <v>10</v>
      </c>
      <c r="K12" s="872" t="s">
        <v>42</v>
      </c>
      <c r="L12" s="873"/>
      <c r="M12" s="243">
        <v>41510</v>
      </c>
      <c r="N12" s="52"/>
      <c r="O12" s="882"/>
      <c r="P12" s="883"/>
      <c r="Q12" s="883"/>
      <c r="R12" s="883"/>
    </row>
    <row r="13" spans="1:18" s="48" customFormat="1" ht="20.25" customHeight="1" x14ac:dyDescent="0.25">
      <c r="A13" s="663">
        <v>4</v>
      </c>
      <c r="B13" s="662" t="s">
        <v>95</v>
      </c>
      <c r="C13" s="662" t="s">
        <v>31</v>
      </c>
      <c r="D13" s="74" t="s">
        <v>99</v>
      </c>
      <c r="E13" s="665">
        <f>6+24+12+6</f>
        <v>48</v>
      </c>
      <c r="F13" s="55">
        <v>7</v>
      </c>
      <c r="G13" s="56">
        <f t="shared" si="0"/>
        <v>336</v>
      </c>
      <c r="H13" s="665" t="s">
        <v>64</v>
      </c>
      <c r="I13" s="665">
        <v>3</v>
      </c>
      <c r="J13" s="665">
        <v>10</v>
      </c>
      <c r="K13" s="872" t="s">
        <v>42</v>
      </c>
      <c r="L13" s="873"/>
      <c r="M13" s="243">
        <v>41504</v>
      </c>
      <c r="N13" s="52"/>
      <c r="O13" s="882"/>
      <c r="P13" s="883"/>
      <c r="Q13" s="883"/>
      <c r="R13" s="883"/>
    </row>
    <row r="14" spans="1:18" s="48" customFormat="1" ht="20.25" customHeight="1" x14ac:dyDescent="0.25">
      <c r="A14" s="663">
        <v>5</v>
      </c>
      <c r="B14" s="662" t="s">
        <v>95</v>
      </c>
      <c r="C14" s="662" t="s">
        <v>31</v>
      </c>
      <c r="D14" s="74" t="s">
        <v>100</v>
      </c>
      <c r="E14" s="665">
        <f>6+18+6+15</f>
        <v>45</v>
      </c>
      <c r="F14" s="55">
        <v>7</v>
      </c>
      <c r="G14" s="56">
        <f t="shared" si="0"/>
        <v>315</v>
      </c>
      <c r="H14" s="665" t="s">
        <v>25</v>
      </c>
      <c r="I14" s="665">
        <v>4</v>
      </c>
      <c r="J14" s="665">
        <v>9</v>
      </c>
      <c r="K14" s="878" t="s">
        <v>42</v>
      </c>
      <c r="L14" s="879"/>
      <c r="M14" s="243">
        <v>41503</v>
      </c>
      <c r="N14" s="52"/>
      <c r="O14" s="882"/>
      <c r="P14" s="883"/>
      <c r="Q14" s="883"/>
      <c r="R14" s="883"/>
    </row>
    <row r="15" spans="1:18" s="48" customFormat="1" ht="20.25" customHeight="1" x14ac:dyDescent="0.25">
      <c r="A15" s="704" t="s">
        <v>438</v>
      </c>
      <c r="B15" s="701"/>
      <c r="C15" s="701"/>
      <c r="D15" s="74"/>
      <c r="E15" s="708"/>
      <c r="F15" s="55"/>
      <c r="G15" s="56">
        <f t="shared" si="0"/>
        <v>0</v>
      </c>
      <c r="H15" s="708"/>
      <c r="I15" s="708"/>
      <c r="J15" s="708"/>
      <c r="K15" s="702"/>
      <c r="L15" s="720"/>
      <c r="M15" s="243"/>
      <c r="N15" s="52"/>
      <c r="O15" s="700"/>
      <c r="P15" s="700"/>
      <c r="Q15" s="700"/>
      <c r="R15" s="700"/>
    </row>
    <row r="16" spans="1:18" s="48" customFormat="1" ht="20.25" customHeight="1" x14ac:dyDescent="0.25">
      <c r="A16" s="224">
        <v>1</v>
      </c>
      <c r="B16" s="701" t="s">
        <v>95</v>
      </c>
      <c r="C16" s="701" t="s">
        <v>31</v>
      </c>
      <c r="D16" s="74" t="s">
        <v>504</v>
      </c>
      <c r="E16" s="226">
        <f>12+4.5+6+12</f>
        <v>34.5</v>
      </c>
      <c r="F16" s="55">
        <v>7</v>
      </c>
      <c r="G16" s="56">
        <f t="shared" si="0"/>
        <v>241.5</v>
      </c>
      <c r="H16" s="226" t="s">
        <v>98</v>
      </c>
      <c r="I16" s="226">
        <v>2</v>
      </c>
      <c r="J16" s="226">
        <v>11</v>
      </c>
      <c r="K16" s="872" t="s">
        <v>74</v>
      </c>
      <c r="L16" s="873"/>
      <c r="M16" s="243">
        <v>41698</v>
      </c>
      <c r="N16" s="52"/>
    </row>
    <row r="17" spans="1:19" s="48" customFormat="1" ht="20.25" customHeight="1" x14ac:dyDescent="0.25">
      <c r="A17" s="704">
        <v>2</v>
      </c>
      <c r="B17" s="701" t="s">
        <v>95</v>
      </c>
      <c r="C17" s="701" t="s">
        <v>31</v>
      </c>
      <c r="D17" s="74" t="s">
        <v>504</v>
      </c>
      <c r="E17" s="708">
        <f>9+9+15</f>
        <v>33</v>
      </c>
      <c r="F17" s="55">
        <v>7</v>
      </c>
      <c r="G17" s="56">
        <f t="shared" si="0"/>
        <v>231</v>
      </c>
      <c r="H17" s="708" t="s">
        <v>64</v>
      </c>
      <c r="I17" s="708">
        <v>2</v>
      </c>
      <c r="J17" s="708">
        <v>11</v>
      </c>
      <c r="K17" s="872" t="s">
        <v>231</v>
      </c>
      <c r="L17" s="873"/>
      <c r="M17" s="243">
        <v>41697</v>
      </c>
      <c r="N17" s="52"/>
      <c r="O17" s="244" t="s">
        <v>463</v>
      </c>
      <c r="P17" s="620"/>
      <c r="Q17" s="620"/>
      <c r="R17" s="620"/>
    </row>
    <row r="18" spans="1:19" s="48" customFormat="1" ht="20.25" customHeight="1" x14ac:dyDescent="0.25">
      <c r="A18" s="704">
        <v>3</v>
      </c>
      <c r="B18" s="701" t="s">
        <v>95</v>
      </c>
      <c r="C18" s="701" t="s">
        <v>31</v>
      </c>
      <c r="D18" s="74" t="s">
        <v>504</v>
      </c>
      <c r="E18" s="708">
        <f>12+9+6+6</f>
        <v>33</v>
      </c>
      <c r="F18" s="55">
        <v>7</v>
      </c>
      <c r="G18" s="56">
        <f t="shared" si="0"/>
        <v>231</v>
      </c>
      <c r="H18" s="708" t="s">
        <v>64</v>
      </c>
      <c r="I18" s="708">
        <v>2</v>
      </c>
      <c r="J18" s="708">
        <v>11</v>
      </c>
      <c r="K18" s="872" t="s">
        <v>75</v>
      </c>
      <c r="L18" s="873"/>
      <c r="M18" s="243">
        <v>41697</v>
      </c>
      <c r="N18" s="52"/>
      <c r="O18" s="244" t="s">
        <v>479</v>
      </c>
      <c r="P18" s="620"/>
      <c r="Q18" s="620"/>
      <c r="R18" s="620"/>
    </row>
    <row r="19" spans="1:19" s="48" customFormat="1" ht="20.25" customHeight="1" x14ac:dyDescent="0.25">
      <c r="A19" s="704">
        <v>4</v>
      </c>
      <c r="B19" s="701" t="s">
        <v>95</v>
      </c>
      <c r="C19" s="701" t="s">
        <v>31</v>
      </c>
      <c r="D19" s="74" t="s">
        <v>504</v>
      </c>
      <c r="E19" s="708">
        <f>12+12+9</f>
        <v>33</v>
      </c>
      <c r="F19" s="55">
        <v>7</v>
      </c>
      <c r="G19" s="56">
        <f t="shared" si="0"/>
        <v>231</v>
      </c>
      <c r="H19" s="708" t="s">
        <v>107</v>
      </c>
      <c r="I19" s="708">
        <v>2</v>
      </c>
      <c r="J19" s="708">
        <v>11</v>
      </c>
      <c r="K19" s="872" t="s">
        <v>42</v>
      </c>
      <c r="L19" s="873"/>
      <c r="M19" s="243">
        <v>41748</v>
      </c>
      <c r="N19" s="52"/>
      <c r="O19" s="882" t="s">
        <v>527</v>
      </c>
      <c r="P19" s="883"/>
      <c r="Q19" s="883"/>
      <c r="R19" s="883"/>
      <c r="S19" s="883"/>
    </row>
    <row r="20" spans="1:19" s="48" customFormat="1" ht="20.25" customHeight="1" x14ac:dyDescent="0.25">
      <c r="A20" s="704">
        <v>5</v>
      </c>
      <c r="B20" s="701" t="s">
        <v>95</v>
      </c>
      <c r="C20" s="701" t="s">
        <v>31</v>
      </c>
      <c r="D20" s="74" t="s">
        <v>506</v>
      </c>
      <c r="E20" s="708">
        <f>13.5+12+12+6</f>
        <v>43.5</v>
      </c>
      <c r="F20" s="55">
        <v>7</v>
      </c>
      <c r="G20" s="56">
        <f t="shared" si="0"/>
        <v>304.5</v>
      </c>
      <c r="H20" s="708" t="s">
        <v>98</v>
      </c>
      <c r="I20" s="708">
        <v>3</v>
      </c>
      <c r="J20" s="708">
        <v>10</v>
      </c>
      <c r="K20" s="872" t="s">
        <v>75</v>
      </c>
      <c r="L20" s="873"/>
      <c r="M20" s="243">
        <v>41697</v>
      </c>
      <c r="N20" s="52"/>
      <c r="O20" s="882"/>
      <c r="P20" s="883"/>
      <c r="Q20" s="883"/>
      <c r="R20" s="883"/>
      <c r="S20" s="883"/>
    </row>
    <row r="21" spans="1:19" s="48" customFormat="1" ht="20.25" customHeight="1" x14ac:dyDescent="0.25">
      <c r="A21" s="704">
        <v>6</v>
      </c>
      <c r="B21" s="701" t="s">
        <v>95</v>
      </c>
      <c r="C21" s="701" t="s">
        <v>31</v>
      </c>
      <c r="D21" s="74" t="s">
        <v>558</v>
      </c>
      <c r="E21" s="708">
        <f>12+12</f>
        <v>24</v>
      </c>
      <c r="F21" s="55">
        <v>7</v>
      </c>
      <c r="G21" s="56">
        <f t="shared" si="0"/>
        <v>168</v>
      </c>
      <c r="H21" s="226" t="s">
        <v>98</v>
      </c>
      <c r="I21" s="226">
        <v>3</v>
      </c>
      <c r="J21" s="226">
        <v>10</v>
      </c>
      <c r="K21" s="872" t="s">
        <v>42</v>
      </c>
      <c r="L21" s="873"/>
      <c r="M21" s="243">
        <v>41755</v>
      </c>
      <c r="N21" s="52"/>
      <c r="O21" s="882" t="s">
        <v>541</v>
      </c>
      <c r="P21" s="883"/>
      <c r="Q21" s="883"/>
      <c r="R21" s="883"/>
      <c r="S21" s="883"/>
    </row>
    <row r="22" spans="1:19" s="59" customFormat="1" ht="26.25" customHeight="1" x14ac:dyDescent="0.25">
      <c r="A22" s="704">
        <v>7</v>
      </c>
      <c r="B22" s="701" t="s">
        <v>95</v>
      </c>
      <c r="C22" s="701" t="s">
        <v>31</v>
      </c>
      <c r="D22" s="74" t="s">
        <v>505</v>
      </c>
      <c r="E22" s="54">
        <f>34.5+10.5</f>
        <v>45</v>
      </c>
      <c r="F22" s="55">
        <v>7</v>
      </c>
      <c r="G22" s="56">
        <f t="shared" si="0"/>
        <v>315</v>
      </c>
      <c r="H22" s="226" t="s">
        <v>25</v>
      </c>
      <c r="I22" s="226">
        <v>4</v>
      </c>
      <c r="J22" s="226">
        <v>9</v>
      </c>
      <c r="K22" s="872" t="s">
        <v>42</v>
      </c>
      <c r="L22" s="873"/>
      <c r="M22" s="243">
        <v>41699</v>
      </c>
      <c r="N22" s="58"/>
      <c r="O22" s="882"/>
      <c r="P22" s="883"/>
      <c r="Q22" s="883"/>
      <c r="R22" s="883"/>
      <c r="S22" s="883"/>
    </row>
    <row r="23" spans="1:19" s="751" customFormat="1" ht="26.25" customHeight="1" x14ac:dyDescent="0.25">
      <c r="A23" s="750">
        <v>8</v>
      </c>
      <c r="B23" s="747" t="s">
        <v>95</v>
      </c>
      <c r="C23" s="747" t="s">
        <v>31</v>
      </c>
      <c r="D23" s="74" t="s">
        <v>506</v>
      </c>
      <c r="E23" s="748">
        <f>12+24+9</f>
        <v>45</v>
      </c>
      <c r="F23" s="101">
        <v>7</v>
      </c>
      <c r="G23" s="56">
        <f t="shared" si="0"/>
        <v>315</v>
      </c>
      <c r="H23" s="80" t="s">
        <v>98</v>
      </c>
      <c r="I23" s="80">
        <v>3</v>
      </c>
      <c r="J23" s="80">
        <v>10</v>
      </c>
      <c r="K23" s="872" t="s">
        <v>42</v>
      </c>
      <c r="L23" s="873"/>
      <c r="M23" s="243">
        <v>41734</v>
      </c>
      <c r="N23" s="84"/>
      <c r="O23" s="882"/>
      <c r="P23" s="883"/>
      <c r="Q23" s="883"/>
      <c r="R23" s="883"/>
      <c r="S23" s="883"/>
    </row>
    <row r="24" spans="1:19" s="751" customFormat="1" ht="26.25" customHeight="1" x14ac:dyDescent="0.25">
      <c r="A24" s="750"/>
      <c r="B24" s="747"/>
      <c r="C24" s="747"/>
      <c r="D24" s="74"/>
      <c r="E24" s="748"/>
      <c r="F24" s="101"/>
      <c r="G24" s="56"/>
      <c r="H24" s="80"/>
      <c r="I24" s="80"/>
      <c r="J24" s="80"/>
      <c r="K24" s="872"/>
      <c r="L24" s="873"/>
      <c r="M24" s="243"/>
      <c r="N24" s="84"/>
      <c r="O24" s="244"/>
      <c r="P24" s="620"/>
      <c r="Q24" s="620"/>
      <c r="R24" s="620"/>
    </row>
    <row r="25" spans="1:19" s="751" customFormat="1" ht="26.25" customHeight="1" x14ac:dyDescent="0.25">
      <c r="A25" s="750"/>
      <c r="B25" s="747"/>
      <c r="C25" s="747"/>
      <c r="D25" s="74"/>
      <c r="E25" s="748"/>
      <c r="F25" s="101"/>
      <c r="G25" s="56"/>
      <c r="H25" s="80"/>
      <c r="I25" s="80"/>
      <c r="J25" s="80"/>
      <c r="K25" s="872"/>
      <c r="L25" s="873"/>
      <c r="M25" s="243"/>
      <c r="N25" s="84"/>
      <c r="O25" s="244"/>
      <c r="P25" s="620"/>
      <c r="Q25" s="620"/>
      <c r="R25" s="620"/>
    </row>
    <row r="26" spans="1:19" s="59" customFormat="1" ht="26.25" customHeight="1" x14ac:dyDescent="0.25">
      <c r="A26" s="874" t="s">
        <v>11</v>
      </c>
      <c r="B26" s="875"/>
      <c r="C26" s="875"/>
      <c r="D26" s="875"/>
      <c r="E26" s="65">
        <f>SUM(E10:E25)</f>
        <v>519</v>
      </c>
      <c r="F26" s="73">
        <v>7</v>
      </c>
      <c r="G26" s="56">
        <f>E26*F26</f>
        <v>3633</v>
      </c>
      <c r="H26" s="60"/>
      <c r="I26" s="60"/>
      <c r="J26" s="60"/>
      <c r="K26" s="876"/>
      <c r="L26" s="877"/>
      <c r="M26" s="60"/>
      <c r="N26" s="63"/>
      <c r="O26" s="244"/>
      <c r="P26" s="620"/>
      <c r="Q26" s="620"/>
      <c r="R26" s="620"/>
    </row>
    <row r="27" spans="1:19" s="59" customFormat="1" ht="26.25" customHeight="1" x14ac:dyDescent="0.25">
      <c r="A27" s="864"/>
      <c r="B27" s="865"/>
      <c r="C27" s="865"/>
      <c r="D27" s="865"/>
      <c r="E27" s="865"/>
      <c r="F27" s="865"/>
      <c r="G27" s="56"/>
      <c r="H27" s="65"/>
      <c r="I27" s="65"/>
      <c r="J27" s="65"/>
      <c r="K27" s="859"/>
      <c r="L27" s="860"/>
      <c r="M27" s="65"/>
      <c r="N27" s="66"/>
    </row>
    <row r="28" spans="1:19" s="48" customFormat="1" ht="26.25" customHeight="1" thickBot="1" x14ac:dyDescent="0.3">
      <c r="A28" s="864" t="s">
        <v>24</v>
      </c>
      <c r="B28" s="865"/>
      <c r="C28" s="865"/>
      <c r="D28" s="865"/>
      <c r="E28" s="865"/>
      <c r="F28" s="865"/>
      <c r="G28" s="56">
        <f>G26</f>
        <v>3633</v>
      </c>
      <c r="H28" s="67"/>
      <c r="I28" s="67"/>
      <c r="J28" s="68" t="s">
        <v>44</v>
      </c>
      <c r="K28" s="67"/>
      <c r="L28" s="68"/>
      <c r="M28" s="69"/>
      <c r="N28" s="70"/>
    </row>
    <row r="29" spans="1:19" s="48" customFormat="1" ht="22.5" customHeight="1" thickBot="1" x14ac:dyDescent="0.3">
      <c r="A29" s="72" t="s">
        <v>5</v>
      </c>
      <c r="B29" s="71" t="s">
        <v>33</v>
      </c>
      <c r="C29" s="857" t="s">
        <v>21</v>
      </c>
      <c r="D29" s="858"/>
      <c r="E29" s="857" t="s">
        <v>34</v>
      </c>
      <c r="F29" s="858"/>
      <c r="G29" s="71" t="s">
        <v>0</v>
      </c>
      <c r="H29" s="71" t="s">
        <v>96</v>
      </c>
      <c r="I29" s="71" t="s">
        <v>26</v>
      </c>
      <c r="J29" s="71" t="s">
        <v>27</v>
      </c>
      <c r="K29" s="863" t="s">
        <v>28</v>
      </c>
      <c r="L29" s="857"/>
      <c r="M29" s="884"/>
      <c r="N29" s="885"/>
    </row>
    <row r="30" spans="1:19" s="3" customFormat="1" ht="26.25" customHeight="1" x14ac:dyDescent="0.25">
      <c r="A30" s="861" t="s">
        <v>35</v>
      </c>
      <c r="B30" s="862"/>
      <c r="C30" s="862"/>
      <c r="D30" s="862"/>
      <c r="E30" s="862"/>
      <c r="F30" s="862"/>
      <c r="G30" s="7">
        <f>G28</f>
        <v>3633</v>
      </c>
      <c r="H30" s="8"/>
      <c r="I30" s="8"/>
      <c r="J30" s="8"/>
      <c r="K30" s="8"/>
      <c r="L30" s="8"/>
      <c r="M30" s="8"/>
      <c r="N30" s="9"/>
    </row>
    <row r="31" spans="1:19" s="3" customFormat="1" ht="26.25" customHeight="1" x14ac:dyDescent="0.25">
      <c r="A31" s="10" t="s">
        <v>262</v>
      </c>
      <c r="B31" s="11">
        <v>41514</v>
      </c>
      <c r="C31" s="841" t="s">
        <v>99</v>
      </c>
      <c r="D31" s="841"/>
      <c r="E31" s="855">
        <v>150</v>
      </c>
      <c r="F31" s="855"/>
      <c r="G31" s="12">
        <f>G30-E31</f>
        <v>3483</v>
      </c>
      <c r="H31" s="108"/>
      <c r="I31" s="108"/>
      <c r="J31" s="108"/>
      <c r="K31" s="108"/>
      <c r="L31" s="108"/>
      <c r="M31" s="108"/>
      <c r="N31" s="13"/>
    </row>
    <row r="32" spans="1:19" s="3" customFormat="1" ht="26.25" customHeight="1" x14ac:dyDescent="0.25">
      <c r="A32" s="10" t="s">
        <v>263</v>
      </c>
      <c r="B32" s="11">
        <v>41549</v>
      </c>
      <c r="C32" s="841" t="s">
        <v>97</v>
      </c>
      <c r="D32" s="841"/>
      <c r="E32" s="856">
        <v>150</v>
      </c>
      <c r="F32" s="856"/>
      <c r="G32" s="12">
        <f t="shared" ref="G32:G34" si="1">G31-E32</f>
        <v>3333</v>
      </c>
      <c r="H32" s="109"/>
      <c r="I32" s="109"/>
      <c r="J32" s="109"/>
      <c r="K32" s="109"/>
      <c r="L32" s="109"/>
      <c r="M32" s="109"/>
      <c r="N32" s="6"/>
    </row>
    <row r="33" spans="1:14" s="3" customFormat="1" ht="26.25" customHeight="1" x14ac:dyDescent="0.25">
      <c r="A33" s="10" t="s">
        <v>300</v>
      </c>
      <c r="B33" s="11">
        <v>41578</v>
      </c>
      <c r="C33" s="841" t="s">
        <v>97</v>
      </c>
      <c r="D33" s="841"/>
      <c r="E33" s="856">
        <v>354</v>
      </c>
      <c r="F33" s="856"/>
      <c r="G33" s="12">
        <f t="shared" si="1"/>
        <v>2979</v>
      </c>
      <c r="H33" s="109"/>
      <c r="I33" s="109"/>
      <c r="J33" s="109"/>
      <c r="K33" s="109"/>
      <c r="L33" s="109"/>
      <c r="M33" s="109"/>
      <c r="N33" s="6"/>
    </row>
    <row r="34" spans="1:14" s="3" customFormat="1" ht="26.25" customHeight="1" x14ac:dyDescent="0.25">
      <c r="A34" s="10" t="s">
        <v>321</v>
      </c>
      <c r="B34" s="11">
        <v>41612</v>
      </c>
      <c r="C34" s="841" t="s">
        <v>97</v>
      </c>
      <c r="D34" s="841"/>
      <c r="E34" s="845">
        <v>260</v>
      </c>
      <c r="F34" s="846"/>
      <c r="G34" s="12">
        <f t="shared" si="1"/>
        <v>2719</v>
      </c>
      <c r="H34" s="109"/>
      <c r="I34" s="109"/>
      <c r="J34" s="109"/>
      <c r="K34" s="109"/>
      <c r="L34" s="109"/>
      <c r="M34" s="109"/>
      <c r="N34" s="6"/>
    </row>
    <row r="35" spans="1:14" s="3" customFormat="1" ht="26.25" customHeight="1" x14ac:dyDescent="0.25">
      <c r="A35" s="10" t="s">
        <v>370</v>
      </c>
      <c r="B35" s="11">
        <v>41645</v>
      </c>
      <c r="C35" s="841" t="s">
        <v>97</v>
      </c>
      <c r="D35" s="841"/>
      <c r="E35" s="842">
        <v>200</v>
      </c>
      <c r="F35" s="843"/>
      <c r="G35" s="12">
        <f t="shared" ref="G35:G44" si="2">G34-E35</f>
        <v>2519</v>
      </c>
      <c r="H35" s="109"/>
      <c r="I35" s="109"/>
      <c r="J35" s="109"/>
      <c r="K35" s="109"/>
      <c r="L35" s="109"/>
      <c r="M35" s="109"/>
      <c r="N35" s="6"/>
    </row>
    <row r="36" spans="1:14" s="3" customFormat="1" ht="26.25" customHeight="1" x14ac:dyDescent="0.25">
      <c r="A36" s="14" t="s">
        <v>465</v>
      </c>
      <c r="B36" s="15">
        <v>41703</v>
      </c>
      <c r="C36" s="841" t="s">
        <v>97</v>
      </c>
      <c r="D36" s="841"/>
      <c r="E36" s="845">
        <v>200</v>
      </c>
      <c r="F36" s="846"/>
      <c r="G36" s="12">
        <f t="shared" si="2"/>
        <v>2319</v>
      </c>
      <c r="H36" s="109"/>
      <c r="I36" s="109"/>
      <c r="J36" s="109"/>
      <c r="K36" s="109"/>
      <c r="L36" s="109"/>
      <c r="M36" s="109"/>
      <c r="N36" s="6"/>
    </row>
    <row r="37" spans="1:14" s="810" customFormat="1" ht="26.25" customHeight="1" x14ac:dyDescent="0.25">
      <c r="A37" s="14" t="s">
        <v>537</v>
      </c>
      <c r="B37" s="15">
        <v>41739</v>
      </c>
      <c r="C37" s="841" t="s">
        <v>97</v>
      </c>
      <c r="D37" s="841"/>
      <c r="E37" s="845">
        <v>270</v>
      </c>
      <c r="F37" s="846"/>
      <c r="G37" s="12">
        <f t="shared" si="2"/>
        <v>2049</v>
      </c>
      <c r="H37" s="809"/>
      <c r="I37" s="809"/>
      <c r="J37" s="809"/>
      <c r="K37" s="809"/>
      <c r="L37" s="809"/>
      <c r="M37" s="809"/>
      <c r="N37" s="6"/>
    </row>
    <row r="38" spans="1:14" s="810" customFormat="1" ht="26.25" customHeight="1" x14ac:dyDescent="0.25">
      <c r="A38" s="14" t="s">
        <v>560</v>
      </c>
      <c r="B38" s="15">
        <v>41762</v>
      </c>
      <c r="C38" s="841" t="s">
        <v>97</v>
      </c>
      <c r="D38" s="841"/>
      <c r="E38" s="845">
        <v>20</v>
      </c>
      <c r="F38" s="846"/>
      <c r="G38" s="12">
        <f t="shared" si="2"/>
        <v>2029</v>
      </c>
      <c r="H38" s="809"/>
      <c r="I38" s="809"/>
      <c r="J38" s="809"/>
      <c r="K38" s="809"/>
      <c r="L38" s="809"/>
      <c r="M38" s="809"/>
      <c r="N38" s="6"/>
    </row>
    <row r="39" spans="1:14" s="810" customFormat="1" ht="26.25" customHeight="1" x14ac:dyDescent="0.25">
      <c r="A39" s="14" t="s">
        <v>563</v>
      </c>
      <c r="B39" s="15">
        <v>41768</v>
      </c>
      <c r="C39" s="841" t="s">
        <v>97</v>
      </c>
      <c r="D39" s="841"/>
      <c r="E39" s="845">
        <v>800</v>
      </c>
      <c r="F39" s="846"/>
      <c r="G39" s="12">
        <f t="shared" si="2"/>
        <v>1229</v>
      </c>
      <c r="H39" s="809"/>
      <c r="I39" s="809"/>
      <c r="J39" s="809"/>
      <c r="K39" s="809"/>
      <c r="L39" s="809"/>
      <c r="M39" s="809"/>
      <c r="N39" s="6"/>
    </row>
    <row r="40" spans="1:14" s="810" customFormat="1" ht="26.25" customHeight="1" x14ac:dyDescent="0.25">
      <c r="A40" s="14" t="s">
        <v>592</v>
      </c>
      <c r="B40" s="15">
        <v>41793</v>
      </c>
      <c r="C40" s="841" t="s">
        <v>97</v>
      </c>
      <c r="D40" s="841"/>
      <c r="E40" s="845">
        <v>470</v>
      </c>
      <c r="F40" s="846"/>
      <c r="G40" s="12">
        <f t="shared" si="2"/>
        <v>759</v>
      </c>
      <c r="H40" s="809"/>
      <c r="I40" s="809"/>
      <c r="J40" s="809"/>
      <c r="K40" s="809"/>
      <c r="L40" s="809"/>
      <c r="M40" s="809"/>
      <c r="N40" s="6"/>
    </row>
    <row r="41" spans="1:14" s="3" customFormat="1" ht="26.25" customHeight="1" x14ac:dyDescent="0.25">
      <c r="A41" s="14"/>
      <c r="B41" s="15"/>
      <c r="C41" s="841"/>
      <c r="D41" s="841"/>
      <c r="E41" s="845"/>
      <c r="F41" s="846"/>
      <c r="G41" s="12">
        <f t="shared" si="2"/>
        <v>759</v>
      </c>
      <c r="H41" s="109"/>
      <c r="I41" s="109"/>
      <c r="J41" s="109"/>
      <c r="K41" s="109"/>
      <c r="L41" s="109"/>
      <c r="M41" s="109"/>
      <c r="N41" s="6"/>
    </row>
    <row r="42" spans="1:14" s="3" customFormat="1" ht="26.25" customHeight="1" x14ac:dyDescent="0.25">
      <c r="A42" s="14"/>
      <c r="B42" s="15"/>
      <c r="C42" s="841"/>
      <c r="D42" s="841"/>
      <c r="E42" s="845"/>
      <c r="F42" s="846"/>
      <c r="G42" s="12">
        <f t="shared" si="2"/>
        <v>759</v>
      </c>
      <c r="H42" s="109"/>
      <c r="I42" s="109"/>
      <c r="J42" s="109"/>
      <c r="K42" s="109"/>
      <c r="L42" s="109"/>
      <c r="M42" s="109"/>
      <c r="N42" s="6"/>
    </row>
    <row r="43" spans="1:14" s="3" customFormat="1" ht="26.25" customHeight="1" x14ac:dyDescent="0.25">
      <c r="A43" s="14"/>
      <c r="B43" s="15"/>
      <c r="C43" s="841"/>
      <c r="D43" s="841"/>
      <c r="E43" s="845"/>
      <c r="F43" s="846"/>
      <c r="G43" s="12">
        <f t="shared" si="2"/>
        <v>759</v>
      </c>
      <c r="H43" s="109"/>
      <c r="I43" s="109"/>
      <c r="J43" s="109"/>
      <c r="K43" s="109"/>
      <c r="L43" s="109"/>
      <c r="M43" s="109"/>
      <c r="N43" s="6"/>
    </row>
    <row r="44" spans="1:14" s="3" customFormat="1" ht="26.25" customHeight="1" x14ac:dyDescent="0.25">
      <c r="A44" s="16"/>
      <c r="B44" s="17"/>
      <c r="C44" s="847"/>
      <c r="D44" s="848"/>
      <c r="E44" s="849"/>
      <c r="F44" s="850"/>
      <c r="G44" s="12">
        <f t="shared" si="2"/>
        <v>759</v>
      </c>
      <c r="H44" s="18"/>
      <c r="I44" s="18"/>
      <c r="J44" s="18"/>
      <c r="K44" s="18"/>
      <c r="L44" s="18"/>
      <c r="M44" s="18"/>
      <c r="N44" s="19"/>
    </row>
    <row r="45" spans="1:14" s="23" customFormat="1" ht="26.25" customHeight="1" thickBot="1" x14ac:dyDescent="0.3">
      <c r="A45" s="851" t="s">
        <v>36</v>
      </c>
      <c r="B45" s="852"/>
      <c r="C45" s="852"/>
      <c r="D45" s="852"/>
      <c r="E45" s="853">
        <f>SUM(E31:F44)</f>
        <v>2874</v>
      </c>
      <c r="F45" s="854"/>
      <c r="G45" s="12"/>
      <c r="H45" s="21"/>
      <c r="I45" s="21"/>
      <c r="J45" s="21"/>
      <c r="K45" s="21"/>
      <c r="L45" s="21"/>
      <c r="M45" s="21"/>
      <c r="N45" s="22"/>
    </row>
    <row r="46" spans="1:14" s="3" customFormat="1" ht="26.25" customHeight="1" thickTop="1" x14ac:dyDescent="0.25">
      <c r="A46" s="24"/>
      <c r="E46" s="844"/>
      <c r="F46" s="844"/>
    </row>
    <row r="47" spans="1:14" s="3" customFormat="1" ht="26.25" customHeight="1" x14ac:dyDescent="0.3">
      <c r="A47" s="25" t="s">
        <v>41</v>
      </c>
      <c r="B47" s="25"/>
      <c r="C47" s="25"/>
      <c r="D47" s="25" t="s">
        <v>81</v>
      </c>
      <c r="E47" s="25"/>
      <c r="F47" s="26"/>
      <c r="G47" s="25" t="s">
        <v>38</v>
      </c>
      <c r="H47" s="25"/>
      <c r="I47" s="25"/>
      <c r="J47" s="25"/>
      <c r="K47" s="25"/>
      <c r="L47" s="25" t="s">
        <v>39</v>
      </c>
      <c r="M47" s="28"/>
      <c r="N47" s="26"/>
    </row>
    <row r="48" spans="1:14" s="3" customFormat="1" ht="26.25" customHeight="1" x14ac:dyDescent="0.3">
      <c r="A48" s="25"/>
      <c r="B48" s="25"/>
      <c r="C48" s="25"/>
      <c r="D48" s="25"/>
      <c r="E48" s="25"/>
      <c r="F48" s="26"/>
      <c r="G48" s="25"/>
      <c r="H48" s="25"/>
      <c r="I48" s="25"/>
      <c r="J48" s="25"/>
      <c r="K48" s="25"/>
      <c r="L48" s="25"/>
      <c r="M48" s="28"/>
      <c r="N48" s="26"/>
    </row>
    <row r="49" spans="1:14" s="3" customFormat="1" ht="26.25" customHeight="1" x14ac:dyDescent="0.3">
      <c r="A49" s="25"/>
      <c r="B49" s="25"/>
      <c r="C49" s="25"/>
      <c r="D49" s="25"/>
      <c r="E49" s="25"/>
      <c r="F49" s="26"/>
      <c r="G49" s="25"/>
      <c r="H49" s="25"/>
      <c r="I49" s="25"/>
      <c r="J49" s="25"/>
      <c r="K49" s="25"/>
      <c r="L49" s="25"/>
      <c r="M49" s="28"/>
      <c r="N49" s="26"/>
    </row>
    <row r="50" spans="1:14" s="3" customFormat="1" ht="26.25" customHeight="1" x14ac:dyDescent="0.3">
      <c r="A50" s="25"/>
      <c r="B50" s="25"/>
      <c r="C50" s="25"/>
      <c r="D50" s="25"/>
      <c r="E50" s="25"/>
      <c r="F50" s="26"/>
      <c r="G50" s="25"/>
      <c r="H50" s="25"/>
      <c r="I50" s="25"/>
      <c r="J50" s="25"/>
      <c r="K50" s="25"/>
      <c r="L50" s="25"/>
      <c r="M50" s="28"/>
      <c r="N50" s="26"/>
    </row>
    <row r="51" spans="1:14" s="3" customFormat="1" ht="26.25" customHeight="1" x14ac:dyDescent="0.3">
      <c r="A51" s="29"/>
      <c r="B51" s="25"/>
      <c r="C51" s="25"/>
      <c r="D51" s="29"/>
      <c r="E51" s="29"/>
      <c r="F51" s="26"/>
      <c r="G51" s="29"/>
      <c r="H51" s="25"/>
      <c r="I51" s="25"/>
      <c r="J51" s="25"/>
      <c r="K51" s="25"/>
      <c r="L51" s="27"/>
      <c r="M51" s="28"/>
      <c r="N51" s="26"/>
    </row>
    <row r="52" spans="1:14" s="30" customFormat="1" ht="17.25" x14ac:dyDescent="0.3">
      <c r="A52" s="25" t="s">
        <v>48</v>
      </c>
      <c r="B52" s="25"/>
      <c r="C52" s="25" t="s">
        <v>80</v>
      </c>
      <c r="D52" s="25"/>
      <c r="G52" s="25" t="str">
        <f>B10</f>
        <v>Son Visoth</v>
      </c>
      <c r="H52" s="25"/>
      <c r="I52" s="25"/>
      <c r="J52" s="25"/>
      <c r="K52" s="829" t="s">
        <v>90</v>
      </c>
      <c r="L52" s="829"/>
      <c r="M52" s="829"/>
      <c r="N52" s="829"/>
    </row>
    <row r="53" spans="1:14" s="30" customFormat="1" ht="16.5" x14ac:dyDescent="0.3">
      <c r="A53" s="32"/>
    </row>
    <row r="54" spans="1:14" s="30" customFormat="1" ht="16.5" x14ac:dyDescent="0.3">
      <c r="A54" s="32"/>
    </row>
    <row r="55" spans="1:14" s="30" customFormat="1" ht="16.5" x14ac:dyDescent="0.3">
      <c r="A55" s="32"/>
    </row>
    <row r="56" spans="1:14" s="30" customFormat="1" ht="16.5" x14ac:dyDescent="0.3">
      <c r="A56" s="32"/>
    </row>
    <row r="57" spans="1:14" s="30" customFormat="1" ht="16.5" x14ac:dyDescent="0.3">
      <c r="A57" s="32"/>
    </row>
    <row r="58" spans="1:14" s="30" customFormat="1" ht="16.5" x14ac:dyDescent="0.3">
      <c r="A58" s="32"/>
    </row>
    <row r="59" spans="1:14" s="30" customFormat="1" ht="16.5" x14ac:dyDescent="0.3">
      <c r="A59" s="32"/>
    </row>
    <row r="60" spans="1:14" s="30" customFormat="1" ht="16.5" x14ac:dyDescent="0.3">
      <c r="A60" s="32"/>
    </row>
    <row r="61" spans="1:14" s="30" customFormat="1" ht="16.5" x14ac:dyDescent="0.3">
      <c r="A61" s="32"/>
    </row>
  </sheetData>
  <mergeCells count="63">
    <mergeCell ref="E40:F40"/>
    <mergeCell ref="C40:D40"/>
    <mergeCell ref="C37:D37"/>
    <mergeCell ref="E37:F37"/>
    <mergeCell ref="C38:D38"/>
    <mergeCell ref="E38:F38"/>
    <mergeCell ref="C39:D39"/>
    <mergeCell ref="E39:F39"/>
    <mergeCell ref="K14:L14"/>
    <mergeCell ref="O10:R14"/>
    <mergeCell ref="O19:S20"/>
    <mergeCell ref="M29:N29"/>
    <mergeCell ref="K25:L25"/>
    <mergeCell ref="K17:L17"/>
    <mergeCell ref="K18:L18"/>
    <mergeCell ref="K20:L20"/>
    <mergeCell ref="K23:L23"/>
    <mergeCell ref="K24:L24"/>
    <mergeCell ref="K19:L19"/>
    <mergeCell ref="O21:S23"/>
    <mergeCell ref="K52:N52"/>
    <mergeCell ref="A1:XFD7"/>
    <mergeCell ref="A8:N8"/>
    <mergeCell ref="K9:L9"/>
    <mergeCell ref="K22:L22"/>
    <mergeCell ref="A26:D26"/>
    <mergeCell ref="K26:L26"/>
    <mergeCell ref="K10:L10"/>
    <mergeCell ref="K11:L11"/>
    <mergeCell ref="K16:L16"/>
    <mergeCell ref="K21:L21"/>
    <mergeCell ref="K12:L12"/>
    <mergeCell ref="K13:L13"/>
    <mergeCell ref="C32:D32"/>
    <mergeCell ref="E32:F32"/>
    <mergeCell ref="C29:D29"/>
    <mergeCell ref="E29:F29"/>
    <mergeCell ref="K27:L27"/>
    <mergeCell ref="A30:F30"/>
    <mergeCell ref="K29:L29"/>
    <mergeCell ref="A28:F28"/>
    <mergeCell ref="A27:F27"/>
    <mergeCell ref="C31:D31"/>
    <mergeCell ref="E31:F31"/>
    <mergeCell ref="E33:F33"/>
    <mergeCell ref="C34:D34"/>
    <mergeCell ref="E34:F34"/>
    <mergeCell ref="C35:D35"/>
    <mergeCell ref="E35:F35"/>
    <mergeCell ref="C33:D33"/>
    <mergeCell ref="E46:F46"/>
    <mergeCell ref="C43:D43"/>
    <mergeCell ref="E43:F43"/>
    <mergeCell ref="C44:D44"/>
    <mergeCell ref="E44:F44"/>
    <mergeCell ref="A45:D45"/>
    <mergeCell ref="E45:F45"/>
    <mergeCell ref="C36:D36"/>
    <mergeCell ref="E36:F36"/>
    <mergeCell ref="C41:D41"/>
    <mergeCell ref="E41:F41"/>
    <mergeCell ref="C42:D42"/>
    <mergeCell ref="E42:F42"/>
  </mergeCells>
  <printOptions horizontalCentered="1"/>
  <pageMargins left="0.46" right="0.2" top="0.47" bottom="0.25" header="0.5" footer="0.5"/>
  <pageSetup scale="70" orientation="portrait" verticalDpi="30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5"/>
  <sheetViews>
    <sheetView zoomScale="85" zoomScaleNormal="85" workbookViewId="0">
      <pane xSplit="3" ySplit="9" topLeftCell="D28" activePane="bottomRight" state="frozen"/>
      <selection pane="topRight" activeCell="D1" sqref="D1"/>
      <selection pane="bottomLeft" activeCell="A10" sqref="A10"/>
      <selection pane="bottomRight" activeCell="K23" sqref="K23"/>
    </sheetView>
  </sheetViews>
  <sheetFormatPr defaultRowHeight="13.5" x14ac:dyDescent="0.25"/>
  <cols>
    <col min="1" max="1" width="15.7109375" style="33" customWidth="1"/>
    <col min="2" max="2" width="19.140625" style="1" customWidth="1"/>
    <col min="3" max="3" width="11.28515625" style="1" customWidth="1"/>
    <col min="4" max="4" width="31.85546875" style="1" customWidth="1"/>
    <col min="5" max="5" width="8.42578125" style="1" customWidth="1"/>
    <col min="6" max="6" width="10.5703125" style="1" customWidth="1"/>
    <col min="7" max="7" width="16.42578125" style="1" customWidth="1"/>
    <col min="8" max="8" width="3.7109375" style="1" customWidth="1"/>
    <col min="9" max="9" width="3.85546875" style="1" customWidth="1"/>
    <col min="10" max="10" width="5" style="1" customWidth="1"/>
    <col min="11" max="12" width="7.140625" style="1" customWidth="1"/>
    <col min="13" max="13" width="19" style="1" bestFit="1" customWidth="1"/>
    <col min="14" max="14" width="9.42578125" style="1" customWidth="1"/>
    <col min="15" max="16" width="9.140625" style="1"/>
    <col min="17" max="17" width="17.42578125" style="1" customWidth="1"/>
    <col min="18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66" customFormat="1" ht="15" x14ac:dyDescent="0.25"/>
    <row r="2" spans="1:18" s="866" customFormat="1" ht="15" x14ac:dyDescent="0.25"/>
    <row r="3" spans="1:18" s="866" customFormat="1" ht="15" x14ac:dyDescent="0.25"/>
    <row r="4" spans="1:18" s="866" customFormat="1" ht="15" x14ac:dyDescent="0.25"/>
    <row r="5" spans="1:18" s="866" customFormat="1" ht="15" x14ac:dyDescent="0.25"/>
    <row r="6" spans="1:18" s="866" customFormat="1" ht="15" x14ac:dyDescent="0.25"/>
    <row r="7" spans="1:18" s="866" customFormat="1" ht="15.75" thickBot="1" x14ac:dyDescent="0.3"/>
    <row r="8" spans="1:18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8" s="48" customFormat="1" ht="18" thickBot="1" x14ac:dyDescent="0.3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8" s="48" customFormat="1" ht="20.25" customHeight="1" thickTop="1" x14ac:dyDescent="0.25">
      <c r="A10" s="815">
        <v>1</v>
      </c>
      <c r="B10" s="295" t="s">
        <v>601</v>
      </c>
      <c r="C10" s="890" t="s">
        <v>53</v>
      </c>
      <c r="D10" s="74" t="s">
        <v>602</v>
      </c>
      <c r="E10" s="819">
        <v>24</v>
      </c>
      <c r="F10" s="55"/>
      <c r="G10" s="56">
        <f>E10*F10</f>
        <v>0</v>
      </c>
      <c r="H10" s="819" t="s">
        <v>25</v>
      </c>
      <c r="I10" s="819">
        <v>3</v>
      </c>
      <c r="J10" s="819">
        <v>10</v>
      </c>
      <c r="K10" s="878" t="s">
        <v>118</v>
      </c>
      <c r="L10" s="879"/>
      <c r="M10" s="243">
        <v>41804</v>
      </c>
      <c r="N10" s="52"/>
      <c r="O10" s="880"/>
      <c r="P10" s="881"/>
      <c r="Q10" s="881"/>
      <c r="R10" s="881"/>
    </row>
    <row r="11" spans="1:18" s="48" customFormat="1" ht="20.25" customHeight="1" x14ac:dyDescent="0.25">
      <c r="A11" s="815"/>
      <c r="B11" s="296"/>
      <c r="C11" s="891"/>
      <c r="D11" s="74" t="s">
        <v>603</v>
      </c>
      <c r="E11" s="819">
        <v>5</v>
      </c>
      <c r="F11" s="55"/>
      <c r="G11" s="56">
        <f t="shared" ref="G11:G13" si="0">E11*F11</f>
        <v>0</v>
      </c>
      <c r="H11" s="819" t="s">
        <v>102</v>
      </c>
      <c r="I11" s="819">
        <v>3</v>
      </c>
      <c r="J11" s="819">
        <v>10</v>
      </c>
      <c r="K11" s="872" t="s">
        <v>118</v>
      </c>
      <c r="L11" s="873"/>
      <c r="M11" s="243">
        <v>41804</v>
      </c>
      <c r="N11" s="52"/>
      <c r="O11" s="882"/>
      <c r="P11" s="883"/>
      <c r="Q11" s="883"/>
      <c r="R11" s="883"/>
    </row>
    <row r="12" spans="1:18" s="48" customFormat="1" ht="20.25" customHeight="1" x14ac:dyDescent="0.25">
      <c r="A12" s="815"/>
      <c r="B12" s="296"/>
      <c r="C12" s="891"/>
      <c r="D12" s="74"/>
      <c r="E12" s="819"/>
      <c r="F12" s="55"/>
      <c r="G12" s="56">
        <f t="shared" si="0"/>
        <v>0</v>
      </c>
      <c r="H12" s="819"/>
      <c r="I12" s="819"/>
      <c r="J12" s="819"/>
      <c r="K12" s="872"/>
      <c r="L12" s="873"/>
      <c r="M12" s="243"/>
      <c r="N12" s="52"/>
      <c r="O12" s="882"/>
      <c r="P12" s="883"/>
      <c r="Q12" s="883"/>
      <c r="R12" s="883"/>
    </row>
    <row r="13" spans="1:18" s="48" customFormat="1" ht="20.25" customHeight="1" x14ac:dyDescent="0.25">
      <c r="A13" s="815"/>
      <c r="B13" s="296"/>
      <c r="C13" s="891"/>
      <c r="D13" s="74"/>
      <c r="E13" s="819"/>
      <c r="F13" s="55"/>
      <c r="G13" s="56">
        <f t="shared" si="0"/>
        <v>0</v>
      </c>
      <c r="H13" s="819"/>
      <c r="I13" s="819"/>
      <c r="J13" s="819"/>
      <c r="K13" s="872"/>
      <c r="L13" s="873"/>
      <c r="M13" s="243"/>
      <c r="N13" s="52"/>
      <c r="O13" s="882"/>
      <c r="P13" s="883"/>
      <c r="Q13" s="883"/>
      <c r="R13" s="883"/>
    </row>
    <row r="14" spans="1:18" s="816" customFormat="1" ht="26.25" customHeight="1" x14ac:dyDescent="0.25">
      <c r="A14" s="815"/>
      <c r="B14" s="297"/>
      <c r="C14" s="892"/>
      <c r="D14" s="74"/>
      <c r="E14" s="814"/>
      <c r="F14" s="101"/>
      <c r="G14" s="56"/>
      <c r="H14" s="80"/>
      <c r="I14" s="80"/>
      <c r="J14" s="80"/>
      <c r="K14" s="872"/>
      <c r="L14" s="873"/>
      <c r="M14" s="243"/>
      <c r="N14" s="84"/>
      <c r="O14" s="244"/>
      <c r="P14" s="620"/>
      <c r="Q14" s="620"/>
      <c r="R14" s="620"/>
    </row>
    <row r="15" spans="1:18" s="816" customFormat="1" ht="26.25" customHeight="1" x14ac:dyDescent="0.25">
      <c r="A15" s="874" t="s">
        <v>11</v>
      </c>
      <c r="B15" s="875"/>
      <c r="C15" s="875"/>
      <c r="D15" s="875"/>
      <c r="E15" s="821">
        <f>SUM(E10:E14)</f>
        <v>29</v>
      </c>
      <c r="F15" s="73"/>
      <c r="G15" s="56">
        <f>E15*F15</f>
        <v>0</v>
      </c>
      <c r="H15" s="820"/>
      <c r="I15" s="820"/>
      <c r="J15" s="820"/>
      <c r="K15" s="876"/>
      <c r="L15" s="877"/>
      <c r="M15" s="820"/>
      <c r="N15" s="63"/>
      <c r="O15" s="244"/>
      <c r="P15" s="620"/>
      <c r="Q15" s="620"/>
      <c r="R15" s="620"/>
    </row>
    <row r="16" spans="1:18" s="816" customFormat="1" ht="26.25" customHeight="1" x14ac:dyDescent="0.25">
      <c r="A16" s="864"/>
      <c r="B16" s="865"/>
      <c r="C16" s="865"/>
      <c r="D16" s="865"/>
      <c r="E16" s="865"/>
      <c r="F16" s="865"/>
      <c r="G16" s="56"/>
      <c r="H16" s="821"/>
      <c r="I16" s="821"/>
      <c r="J16" s="821"/>
      <c r="K16" s="859"/>
      <c r="L16" s="860"/>
      <c r="M16" s="821"/>
      <c r="N16" s="66"/>
    </row>
    <row r="17" spans="1:14" s="48" customFormat="1" ht="26.25" customHeight="1" thickBot="1" x14ac:dyDescent="0.3">
      <c r="A17" s="864" t="s">
        <v>24</v>
      </c>
      <c r="B17" s="865"/>
      <c r="C17" s="865"/>
      <c r="D17" s="865"/>
      <c r="E17" s="865"/>
      <c r="F17" s="865"/>
      <c r="G17" s="56">
        <f>G15</f>
        <v>0</v>
      </c>
      <c r="H17" s="67"/>
      <c r="I17" s="67"/>
      <c r="J17" s="68" t="s">
        <v>44</v>
      </c>
      <c r="K17" s="67"/>
      <c r="L17" s="68"/>
      <c r="M17" s="69"/>
      <c r="N17" s="70"/>
    </row>
    <row r="18" spans="1:14" s="48" customFormat="1" ht="22.5" customHeight="1" thickBot="1" x14ac:dyDescent="0.3">
      <c r="A18" s="72" t="s">
        <v>5</v>
      </c>
      <c r="B18" s="71" t="s">
        <v>33</v>
      </c>
      <c r="C18" s="857" t="s">
        <v>21</v>
      </c>
      <c r="D18" s="858"/>
      <c r="E18" s="857" t="s">
        <v>34</v>
      </c>
      <c r="F18" s="858"/>
      <c r="G18" s="71" t="s">
        <v>0</v>
      </c>
      <c r="H18" s="71" t="s">
        <v>96</v>
      </c>
      <c r="I18" s="71" t="s">
        <v>26</v>
      </c>
      <c r="J18" s="71" t="s">
        <v>27</v>
      </c>
      <c r="K18" s="863" t="s">
        <v>28</v>
      </c>
      <c r="L18" s="857"/>
      <c r="M18" s="884"/>
      <c r="N18" s="885"/>
    </row>
    <row r="19" spans="1:14" s="818" customFormat="1" ht="26.25" customHeight="1" x14ac:dyDescent="0.25">
      <c r="A19" s="861" t="s">
        <v>35</v>
      </c>
      <c r="B19" s="862"/>
      <c r="C19" s="862"/>
      <c r="D19" s="862"/>
      <c r="E19" s="862"/>
      <c r="F19" s="862"/>
      <c r="G19" s="7">
        <f>G17</f>
        <v>0</v>
      </c>
      <c r="H19" s="8"/>
      <c r="I19" s="8"/>
      <c r="J19" s="8"/>
      <c r="K19" s="8"/>
      <c r="L19" s="8"/>
      <c r="M19" s="8"/>
      <c r="N19" s="9"/>
    </row>
    <row r="20" spans="1:14" s="818" customFormat="1" ht="26.25" customHeight="1" x14ac:dyDescent="0.25">
      <c r="A20" s="10"/>
      <c r="B20" s="11"/>
      <c r="C20" s="888"/>
      <c r="D20" s="889"/>
      <c r="E20" s="886"/>
      <c r="F20" s="887"/>
      <c r="G20" s="12">
        <f>G19-E20</f>
        <v>0</v>
      </c>
      <c r="H20" s="813"/>
      <c r="I20" s="813"/>
      <c r="J20" s="813"/>
      <c r="K20" s="813"/>
      <c r="L20" s="813"/>
      <c r="M20" s="813"/>
      <c r="N20" s="13"/>
    </row>
    <row r="21" spans="1:14" s="818" customFormat="1" ht="26.25" customHeight="1" x14ac:dyDescent="0.25">
      <c r="A21" s="10"/>
      <c r="B21" s="11"/>
      <c r="C21" s="888"/>
      <c r="D21" s="889"/>
      <c r="E21" s="845"/>
      <c r="F21" s="846"/>
      <c r="G21" s="12">
        <f t="shared" ref="G21:G28" si="1">G20-E21</f>
        <v>0</v>
      </c>
      <c r="H21" s="817"/>
      <c r="I21" s="817"/>
      <c r="J21" s="817"/>
      <c r="K21" s="817"/>
      <c r="L21" s="817"/>
      <c r="M21" s="817"/>
      <c r="N21" s="6"/>
    </row>
    <row r="22" spans="1:14" s="818" customFormat="1" ht="26.25" customHeight="1" x14ac:dyDescent="0.25">
      <c r="A22" s="14"/>
      <c r="B22" s="15"/>
      <c r="C22" s="888"/>
      <c r="D22" s="889"/>
      <c r="E22" s="845"/>
      <c r="F22" s="846"/>
      <c r="G22" s="12">
        <f t="shared" si="1"/>
        <v>0</v>
      </c>
      <c r="H22" s="817"/>
      <c r="I22" s="817"/>
      <c r="J22" s="817"/>
      <c r="K22" s="817"/>
      <c r="L22" s="817"/>
      <c r="M22" s="817"/>
      <c r="N22" s="6"/>
    </row>
    <row r="23" spans="1:14" s="818" customFormat="1" ht="26.25" customHeight="1" x14ac:dyDescent="0.25">
      <c r="A23" s="14"/>
      <c r="B23" s="15"/>
      <c r="C23" s="888"/>
      <c r="D23" s="889"/>
      <c r="E23" s="845"/>
      <c r="F23" s="846"/>
      <c r="G23" s="12">
        <f t="shared" si="1"/>
        <v>0</v>
      </c>
      <c r="H23" s="817"/>
      <c r="I23" s="817"/>
      <c r="J23" s="817"/>
      <c r="K23" s="817"/>
      <c r="L23" s="817"/>
      <c r="M23" s="817"/>
      <c r="N23" s="6"/>
    </row>
    <row r="24" spans="1:14" s="818" customFormat="1" ht="26.25" customHeight="1" x14ac:dyDescent="0.25">
      <c r="A24" s="14"/>
      <c r="B24" s="15"/>
      <c r="C24" s="888"/>
      <c r="D24" s="889"/>
      <c r="E24" s="845"/>
      <c r="F24" s="846"/>
      <c r="G24" s="12">
        <f t="shared" si="1"/>
        <v>0</v>
      </c>
      <c r="H24" s="817"/>
      <c r="I24" s="817"/>
      <c r="J24" s="817"/>
      <c r="K24" s="817"/>
      <c r="L24" s="817"/>
      <c r="M24" s="817"/>
      <c r="N24" s="6"/>
    </row>
    <row r="25" spans="1:14" s="818" customFormat="1" ht="26.25" customHeight="1" x14ac:dyDescent="0.25">
      <c r="A25" s="14"/>
      <c r="B25" s="15"/>
      <c r="C25" s="888"/>
      <c r="D25" s="889"/>
      <c r="E25" s="845"/>
      <c r="F25" s="846"/>
      <c r="G25" s="12">
        <f t="shared" si="1"/>
        <v>0</v>
      </c>
      <c r="H25" s="817"/>
      <c r="I25" s="817"/>
      <c r="J25" s="817"/>
      <c r="K25" s="817"/>
      <c r="L25" s="817"/>
      <c r="M25" s="817"/>
      <c r="N25" s="6"/>
    </row>
    <row r="26" spans="1:14" s="818" customFormat="1" ht="26.25" customHeight="1" x14ac:dyDescent="0.25">
      <c r="A26" s="14"/>
      <c r="B26" s="15"/>
      <c r="C26" s="841"/>
      <c r="D26" s="841"/>
      <c r="E26" s="845"/>
      <c r="F26" s="846"/>
      <c r="G26" s="12">
        <f t="shared" si="1"/>
        <v>0</v>
      </c>
      <c r="H26" s="817"/>
      <c r="I26" s="817"/>
      <c r="J26" s="817"/>
      <c r="K26" s="817"/>
      <c r="L26" s="817"/>
      <c r="M26" s="817"/>
      <c r="N26" s="6"/>
    </row>
    <row r="27" spans="1:14" s="818" customFormat="1" ht="26.25" customHeight="1" x14ac:dyDescent="0.25">
      <c r="A27" s="14"/>
      <c r="B27" s="15"/>
      <c r="C27" s="841"/>
      <c r="D27" s="841"/>
      <c r="E27" s="845"/>
      <c r="F27" s="846"/>
      <c r="G27" s="12">
        <f t="shared" si="1"/>
        <v>0</v>
      </c>
      <c r="H27" s="817"/>
      <c r="I27" s="817"/>
      <c r="J27" s="817"/>
      <c r="K27" s="817"/>
      <c r="L27" s="817"/>
      <c r="M27" s="817"/>
      <c r="N27" s="6"/>
    </row>
    <row r="28" spans="1:14" s="818" customFormat="1" ht="26.25" customHeight="1" x14ac:dyDescent="0.25">
      <c r="A28" s="16"/>
      <c r="B28" s="17"/>
      <c r="C28" s="847"/>
      <c r="D28" s="848"/>
      <c r="E28" s="849"/>
      <c r="F28" s="850"/>
      <c r="G28" s="12">
        <f t="shared" si="1"/>
        <v>0</v>
      </c>
      <c r="H28" s="18"/>
      <c r="I28" s="18"/>
      <c r="J28" s="18"/>
      <c r="K28" s="18"/>
      <c r="L28" s="18"/>
      <c r="M28" s="18"/>
      <c r="N28" s="19"/>
    </row>
    <row r="29" spans="1:14" s="23" customFormat="1" ht="26.25" customHeight="1" thickBot="1" x14ac:dyDescent="0.3">
      <c r="A29" s="851" t="s">
        <v>36</v>
      </c>
      <c r="B29" s="852"/>
      <c r="C29" s="852"/>
      <c r="D29" s="852"/>
      <c r="E29" s="853">
        <f>SUM(E20:F28)</f>
        <v>0</v>
      </c>
      <c r="F29" s="854"/>
      <c r="G29" s="12"/>
      <c r="H29" s="21"/>
      <c r="I29" s="21"/>
      <c r="J29" s="21"/>
      <c r="K29" s="21"/>
      <c r="L29" s="21"/>
      <c r="M29" s="21"/>
      <c r="N29" s="22"/>
    </row>
    <row r="30" spans="1:14" s="818" customFormat="1" ht="26.25" customHeight="1" thickTop="1" x14ac:dyDescent="0.25">
      <c r="A30" s="24"/>
      <c r="E30" s="844"/>
      <c r="F30" s="844"/>
    </row>
    <row r="31" spans="1:14" s="818" customFormat="1" ht="26.25" customHeight="1" x14ac:dyDescent="0.3">
      <c r="A31" s="25" t="s">
        <v>41</v>
      </c>
      <c r="B31" s="25"/>
      <c r="C31" s="25"/>
      <c r="D31" s="25" t="s">
        <v>81</v>
      </c>
      <c r="E31" s="25"/>
      <c r="F31" s="26"/>
      <c r="G31" s="25" t="s">
        <v>38</v>
      </c>
      <c r="H31" s="25"/>
      <c r="I31" s="25"/>
      <c r="J31" s="25"/>
      <c r="K31" s="25"/>
      <c r="L31" s="25" t="s">
        <v>39</v>
      </c>
      <c r="M31" s="28"/>
      <c r="N31" s="26"/>
    </row>
    <row r="32" spans="1:14" s="818" customFormat="1" ht="26.25" customHeight="1" x14ac:dyDescent="0.3">
      <c r="A32" s="25"/>
      <c r="B32" s="25"/>
      <c r="C32" s="25"/>
      <c r="D32" s="25"/>
      <c r="E32" s="25"/>
      <c r="F32" s="26"/>
      <c r="G32" s="25"/>
      <c r="H32" s="25"/>
      <c r="I32" s="25"/>
      <c r="J32" s="25"/>
      <c r="K32" s="25"/>
      <c r="L32" s="25"/>
      <c r="M32" s="28"/>
      <c r="N32" s="26"/>
    </row>
    <row r="33" spans="1:14" s="818" customFormat="1" ht="26.25" customHeight="1" x14ac:dyDescent="0.3">
      <c r="A33" s="25"/>
      <c r="B33" s="25"/>
      <c r="C33" s="25"/>
      <c r="D33" s="25"/>
      <c r="E33" s="25"/>
      <c r="F33" s="26"/>
      <c r="G33" s="25"/>
      <c r="H33" s="25"/>
      <c r="I33" s="25"/>
      <c r="J33" s="25"/>
      <c r="K33" s="25"/>
      <c r="L33" s="25"/>
      <c r="M33" s="28"/>
      <c r="N33" s="26"/>
    </row>
    <row r="34" spans="1:14" s="818" customFormat="1" ht="26.25" customHeight="1" x14ac:dyDescent="0.3">
      <c r="A34" s="25"/>
      <c r="B34" s="25"/>
      <c r="C34" s="25"/>
      <c r="D34" s="25"/>
      <c r="E34" s="25"/>
      <c r="F34" s="26"/>
      <c r="G34" s="25"/>
      <c r="H34" s="25"/>
      <c r="I34" s="25"/>
      <c r="J34" s="25"/>
      <c r="K34" s="25"/>
      <c r="L34" s="25"/>
      <c r="M34" s="28"/>
      <c r="N34" s="26"/>
    </row>
    <row r="35" spans="1:14" s="818" customFormat="1" ht="26.25" customHeight="1" x14ac:dyDescent="0.3">
      <c r="A35" s="29"/>
      <c r="B35" s="25"/>
      <c r="C35" s="25"/>
      <c r="D35" s="29"/>
      <c r="E35" s="29"/>
      <c r="F35" s="26"/>
      <c r="G35" s="29"/>
      <c r="H35" s="25"/>
      <c r="I35" s="25"/>
      <c r="J35" s="25"/>
      <c r="K35" s="25"/>
      <c r="L35" s="27"/>
      <c r="M35" s="28"/>
      <c r="N35" s="26"/>
    </row>
    <row r="36" spans="1:14" s="30" customFormat="1" ht="17.25" x14ac:dyDescent="0.3">
      <c r="A36" s="25" t="s">
        <v>48</v>
      </c>
      <c r="B36" s="25"/>
      <c r="C36" s="25" t="s">
        <v>80</v>
      </c>
      <c r="D36" s="25"/>
      <c r="G36" s="25" t="str">
        <f>B10</f>
        <v>Marinas Emilyn</v>
      </c>
      <c r="H36" s="25"/>
      <c r="I36" s="25"/>
      <c r="J36" s="25"/>
      <c r="K36" s="829" t="s">
        <v>90</v>
      </c>
      <c r="L36" s="829"/>
      <c r="M36" s="829"/>
      <c r="N36" s="829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  <row r="43" spans="1:14" s="30" customFormat="1" ht="16.5" x14ac:dyDescent="0.3">
      <c r="A43" s="32"/>
    </row>
    <row r="44" spans="1:14" s="30" customFormat="1" ht="16.5" x14ac:dyDescent="0.3">
      <c r="A44" s="32"/>
    </row>
    <row r="45" spans="1:14" s="30" customFormat="1" ht="16.5" x14ac:dyDescent="0.3">
      <c r="A45" s="32"/>
    </row>
  </sheetData>
  <mergeCells count="42">
    <mergeCell ref="K14:L14"/>
    <mergeCell ref="A1:XFD7"/>
    <mergeCell ref="A8:N8"/>
    <mergeCell ref="K9:L9"/>
    <mergeCell ref="K10:L10"/>
    <mergeCell ref="O10:R13"/>
    <mergeCell ref="K11:L11"/>
    <mergeCell ref="K12:L12"/>
    <mergeCell ref="K13:L13"/>
    <mergeCell ref="M18:N18"/>
    <mergeCell ref="A19:F19"/>
    <mergeCell ref="A15:D15"/>
    <mergeCell ref="K15:L15"/>
    <mergeCell ref="A16:F16"/>
    <mergeCell ref="K16:L16"/>
    <mergeCell ref="A17:F17"/>
    <mergeCell ref="C18:D18"/>
    <mergeCell ref="E18:F18"/>
    <mergeCell ref="K18:L18"/>
    <mergeCell ref="E30:F30"/>
    <mergeCell ref="K36:N36"/>
    <mergeCell ref="E21:F21"/>
    <mergeCell ref="C21:D21"/>
    <mergeCell ref="C26:D26"/>
    <mergeCell ref="E26:F26"/>
    <mergeCell ref="C27:D27"/>
    <mergeCell ref="E27:F27"/>
    <mergeCell ref="C28:D28"/>
    <mergeCell ref="E28:F28"/>
    <mergeCell ref="C23:D23"/>
    <mergeCell ref="E23:F23"/>
    <mergeCell ref="C24:D24"/>
    <mergeCell ref="E24:F24"/>
    <mergeCell ref="C25:D25"/>
    <mergeCell ref="E25:F25"/>
    <mergeCell ref="E20:F20"/>
    <mergeCell ref="C20:D20"/>
    <mergeCell ref="C10:C14"/>
    <mergeCell ref="A29:D29"/>
    <mergeCell ref="E29:F29"/>
    <mergeCell ref="C22:D22"/>
    <mergeCell ref="E22:F22"/>
  </mergeCells>
  <printOptions horizontalCentered="1"/>
  <pageMargins left="0.46" right="0.2" top="0.47" bottom="0.25" header="0.5" footer="0.5"/>
  <pageSetup scale="70" orientation="portrait" verticalDpi="30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5"/>
  <sheetViews>
    <sheetView zoomScale="85" zoomScaleNormal="85" workbookViewId="0">
      <pane xSplit="3" ySplit="9" topLeftCell="D25" activePane="bottomRight" state="frozen"/>
      <selection pane="topRight" activeCell="D1" sqref="D1"/>
      <selection pane="bottomLeft" activeCell="A10" sqref="A10"/>
      <selection pane="bottomRight" activeCell="G16" sqref="G16"/>
    </sheetView>
  </sheetViews>
  <sheetFormatPr defaultRowHeight="13.5" x14ac:dyDescent="0.25"/>
  <cols>
    <col min="1" max="1" width="15.7109375" style="33" customWidth="1"/>
    <col min="2" max="2" width="19.140625" style="1" customWidth="1"/>
    <col min="3" max="3" width="11.28515625" style="1" customWidth="1"/>
    <col min="4" max="4" width="31.85546875" style="1" customWidth="1"/>
    <col min="5" max="5" width="8.42578125" style="1" customWidth="1"/>
    <col min="6" max="6" width="10.5703125" style="1" customWidth="1"/>
    <col min="7" max="7" width="16.42578125" style="1" customWidth="1"/>
    <col min="8" max="8" width="3.7109375" style="1" customWidth="1"/>
    <col min="9" max="9" width="3.85546875" style="1" customWidth="1"/>
    <col min="10" max="10" width="5" style="1" customWidth="1"/>
    <col min="11" max="12" width="7.140625" style="1" customWidth="1"/>
    <col min="13" max="13" width="19" style="1" bestFit="1" customWidth="1"/>
    <col min="14" max="14" width="9.42578125" style="1" customWidth="1"/>
    <col min="15" max="16" width="9.140625" style="1"/>
    <col min="17" max="17" width="17.42578125" style="1" customWidth="1"/>
    <col min="18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66" customFormat="1" ht="15" x14ac:dyDescent="0.25"/>
    <row r="2" spans="1:18" s="866" customFormat="1" ht="15" x14ac:dyDescent="0.25"/>
    <row r="3" spans="1:18" s="866" customFormat="1" ht="15" x14ac:dyDescent="0.25"/>
    <row r="4" spans="1:18" s="866" customFormat="1" ht="15" x14ac:dyDescent="0.25"/>
    <row r="5" spans="1:18" s="866" customFormat="1" ht="15" x14ac:dyDescent="0.25"/>
    <row r="6" spans="1:18" s="866" customFormat="1" ht="15" x14ac:dyDescent="0.25"/>
    <row r="7" spans="1:18" s="866" customFormat="1" ht="15.75" thickBot="1" x14ac:dyDescent="0.3"/>
    <row r="8" spans="1:18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8" s="48" customFormat="1" ht="18" thickBot="1" x14ac:dyDescent="0.3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8" s="48" customFormat="1" ht="20.25" customHeight="1" thickTop="1" x14ac:dyDescent="0.25">
      <c r="A10" s="815">
        <v>1</v>
      </c>
      <c r="B10" s="295" t="s">
        <v>617</v>
      </c>
      <c r="C10" s="890" t="s">
        <v>31</v>
      </c>
      <c r="D10" s="74" t="s">
        <v>394</v>
      </c>
      <c r="E10" s="819">
        <v>11.5</v>
      </c>
      <c r="F10" s="55">
        <v>8</v>
      </c>
      <c r="G10" s="56">
        <f>E10*F10</f>
        <v>92</v>
      </c>
      <c r="H10" s="819" t="s">
        <v>387</v>
      </c>
      <c r="I10" s="819">
        <v>3</v>
      </c>
      <c r="J10" s="819">
        <v>10</v>
      </c>
      <c r="K10" s="878" t="s">
        <v>118</v>
      </c>
      <c r="L10" s="879"/>
      <c r="M10" s="243">
        <v>41790</v>
      </c>
      <c r="N10" s="52"/>
      <c r="O10" s="880"/>
      <c r="P10" s="881"/>
      <c r="Q10" s="881"/>
      <c r="R10" s="881"/>
    </row>
    <row r="11" spans="1:18" s="48" customFormat="1" ht="20.25" customHeight="1" x14ac:dyDescent="0.25">
      <c r="A11" s="815"/>
      <c r="B11" s="296"/>
      <c r="C11" s="891"/>
      <c r="D11" s="74" t="s">
        <v>618</v>
      </c>
      <c r="E11" s="819">
        <v>11.5</v>
      </c>
      <c r="F11" s="55">
        <v>8</v>
      </c>
      <c r="G11" s="56">
        <f t="shared" ref="G11:G13" si="0">E11*F11</f>
        <v>92</v>
      </c>
      <c r="H11" s="819" t="s">
        <v>387</v>
      </c>
      <c r="I11" s="819">
        <v>3</v>
      </c>
      <c r="J11" s="819">
        <v>10</v>
      </c>
      <c r="K11" s="872" t="s">
        <v>118</v>
      </c>
      <c r="L11" s="873"/>
      <c r="M11" s="243">
        <v>41804</v>
      </c>
      <c r="N11" s="52"/>
      <c r="O11" s="882"/>
      <c r="P11" s="883"/>
      <c r="Q11" s="883"/>
      <c r="R11" s="883"/>
    </row>
    <row r="12" spans="1:18" s="48" customFormat="1" ht="20.25" customHeight="1" x14ac:dyDescent="0.25">
      <c r="A12" s="815"/>
      <c r="B12" s="296"/>
      <c r="C12" s="891"/>
      <c r="D12" s="74"/>
      <c r="E12" s="819"/>
      <c r="F12" s="55"/>
      <c r="G12" s="56">
        <f t="shared" si="0"/>
        <v>0</v>
      </c>
      <c r="H12" s="819"/>
      <c r="I12" s="819"/>
      <c r="J12" s="819"/>
      <c r="K12" s="872"/>
      <c r="L12" s="873"/>
      <c r="M12" s="243"/>
      <c r="N12" s="52"/>
      <c r="O12" s="882"/>
      <c r="P12" s="883"/>
      <c r="Q12" s="883"/>
      <c r="R12" s="883"/>
    </row>
    <row r="13" spans="1:18" s="48" customFormat="1" ht="20.25" customHeight="1" x14ac:dyDescent="0.25">
      <c r="A13" s="815"/>
      <c r="B13" s="296"/>
      <c r="C13" s="891"/>
      <c r="D13" s="74"/>
      <c r="E13" s="819"/>
      <c r="F13" s="55"/>
      <c r="G13" s="56">
        <f t="shared" si="0"/>
        <v>0</v>
      </c>
      <c r="H13" s="819"/>
      <c r="I13" s="819"/>
      <c r="J13" s="819"/>
      <c r="K13" s="872"/>
      <c r="L13" s="873"/>
      <c r="M13" s="243"/>
      <c r="N13" s="52"/>
      <c r="O13" s="882"/>
      <c r="P13" s="883"/>
      <c r="Q13" s="883"/>
      <c r="R13" s="883"/>
    </row>
    <row r="14" spans="1:18" s="816" customFormat="1" ht="26.25" customHeight="1" x14ac:dyDescent="0.25">
      <c r="A14" s="815"/>
      <c r="B14" s="297"/>
      <c r="C14" s="892"/>
      <c r="D14" s="74"/>
      <c r="E14" s="814"/>
      <c r="F14" s="101"/>
      <c r="G14" s="56"/>
      <c r="H14" s="80"/>
      <c r="I14" s="80"/>
      <c r="J14" s="80"/>
      <c r="K14" s="872"/>
      <c r="L14" s="873"/>
      <c r="M14" s="243"/>
      <c r="N14" s="84"/>
      <c r="O14" s="244"/>
      <c r="P14" s="620"/>
      <c r="Q14" s="620"/>
      <c r="R14" s="620"/>
    </row>
    <row r="15" spans="1:18" s="816" customFormat="1" ht="26.25" customHeight="1" x14ac:dyDescent="0.25">
      <c r="A15" s="874" t="s">
        <v>11</v>
      </c>
      <c r="B15" s="875"/>
      <c r="C15" s="875"/>
      <c r="D15" s="875"/>
      <c r="E15" s="821">
        <f>SUM(E10:E14)</f>
        <v>23</v>
      </c>
      <c r="F15" s="73">
        <v>8</v>
      </c>
      <c r="G15" s="56">
        <f>E15*F15</f>
        <v>184</v>
      </c>
      <c r="H15" s="820"/>
      <c r="I15" s="820"/>
      <c r="J15" s="820"/>
      <c r="K15" s="876"/>
      <c r="L15" s="877"/>
      <c r="M15" s="820"/>
      <c r="N15" s="63"/>
      <c r="O15" s="244"/>
      <c r="P15" s="620"/>
      <c r="Q15" s="620"/>
      <c r="R15" s="620"/>
    </row>
    <row r="16" spans="1:18" s="816" customFormat="1" ht="26.25" customHeight="1" x14ac:dyDescent="0.25">
      <c r="A16" s="864"/>
      <c r="B16" s="865"/>
      <c r="C16" s="865"/>
      <c r="D16" s="865"/>
      <c r="E16" s="865"/>
      <c r="F16" s="865"/>
      <c r="G16" s="56"/>
      <c r="H16" s="821"/>
      <c r="I16" s="821"/>
      <c r="J16" s="821"/>
      <c r="K16" s="859"/>
      <c r="L16" s="860"/>
      <c r="M16" s="821"/>
      <c r="N16" s="66"/>
    </row>
    <row r="17" spans="1:14" s="48" customFormat="1" ht="26.25" customHeight="1" thickBot="1" x14ac:dyDescent="0.3">
      <c r="A17" s="864" t="s">
        <v>24</v>
      </c>
      <c r="B17" s="865"/>
      <c r="C17" s="865"/>
      <c r="D17" s="865"/>
      <c r="E17" s="865"/>
      <c r="F17" s="865"/>
      <c r="G17" s="56">
        <f>G15</f>
        <v>184</v>
      </c>
      <c r="H17" s="67"/>
      <c r="I17" s="67"/>
      <c r="J17" s="68" t="s">
        <v>44</v>
      </c>
      <c r="K17" s="67"/>
      <c r="L17" s="68"/>
      <c r="M17" s="69"/>
      <c r="N17" s="70"/>
    </row>
    <row r="18" spans="1:14" s="48" customFormat="1" ht="22.5" customHeight="1" thickBot="1" x14ac:dyDescent="0.3">
      <c r="A18" s="72" t="s">
        <v>5</v>
      </c>
      <c r="B18" s="71" t="s">
        <v>33</v>
      </c>
      <c r="C18" s="857" t="s">
        <v>21</v>
      </c>
      <c r="D18" s="858"/>
      <c r="E18" s="857" t="s">
        <v>34</v>
      </c>
      <c r="F18" s="858"/>
      <c r="G18" s="71" t="s">
        <v>0</v>
      </c>
      <c r="H18" s="71" t="s">
        <v>96</v>
      </c>
      <c r="I18" s="71" t="s">
        <v>26</v>
      </c>
      <c r="J18" s="71" t="s">
        <v>27</v>
      </c>
      <c r="K18" s="863" t="s">
        <v>28</v>
      </c>
      <c r="L18" s="857"/>
      <c r="M18" s="884"/>
      <c r="N18" s="885"/>
    </row>
    <row r="19" spans="1:14" s="818" customFormat="1" ht="26.25" customHeight="1" x14ac:dyDescent="0.25">
      <c r="A19" s="861" t="s">
        <v>35</v>
      </c>
      <c r="B19" s="862"/>
      <c r="C19" s="862"/>
      <c r="D19" s="862"/>
      <c r="E19" s="862"/>
      <c r="F19" s="862"/>
      <c r="G19" s="7">
        <f>G17</f>
        <v>184</v>
      </c>
      <c r="H19" s="8"/>
      <c r="I19" s="8"/>
      <c r="J19" s="8"/>
      <c r="K19" s="8"/>
      <c r="L19" s="8"/>
      <c r="M19" s="8"/>
      <c r="N19" s="9"/>
    </row>
    <row r="20" spans="1:14" s="818" customFormat="1" ht="26.25" customHeight="1" x14ac:dyDescent="0.25">
      <c r="A20" s="10"/>
      <c r="B20" s="11"/>
      <c r="C20" s="888"/>
      <c r="D20" s="889"/>
      <c r="E20" s="886"/>
      <c r="F20" s="887"/>
      <c r="G20" s="12">
        <f>G19-E20</f>
        <v>184</v>
      </c>
      <c r="H20" s="813"/>
      <c r="I20" s="813"/>
      <c r="J20" s="813"/>
      <c r="K20" s="813"/>
      <c r="L20" s="813"/>
      <c r="M20" s="813"/>
      <c r="N20" s="13"/>
    </row>
    <row r="21" spans="1:14" s="818" customFormat="1" ht="26.25" customHeight="1" x14ac:dyDescent="0.25">
      <c r="A21" s="10"/>
      <c r="B21" s="11"/>
      <c r="C21" s="888"/>
      <c r="D21" s="889"/>
      <c r="E21" s="845"/>
      <c r="F21" s="846"/>
      <c r="G21" s="12">
        <f t="shared" ref="G21:G28" si="1">G20-E21</f>
        <v>184</v>
      </c>
      <c r="H21" s="817"/>
      <c r="I21" s="817"/>
      <c r="J21" s="817"/>
      <c r="K21" s="817"/>
      <c r="L21" s="817"/>
      <c r="M21" s="817"/>
      <c r="N21" s="6"/>
    </row>
    <row r="22" spans="1:14" s="818" customFormat="1" ht="26.25" customHeight="1" x14ac:dyDescent="0.25">
      <c r="A22" s="14"/>
      <c r="B22" s="15"/>
      <c r="C22" s="888"/>
      <c r="D22" s="889"/>
      <c r="E22" s="845"/>
      <c r="F22" s="846"/>
      <c r="G22" s="12">
        <f t="shared" si="1"/>
        <v>184</v>
      </c>
      <c r="H22" s="817"/>
      <c r="I22" s="817"/>
      <c r="J22" s="817"/>
      <c r="K22" s="817"/>
      <c r="L22" s="817"/>
      <c r="M22" s="817"/>
      <c r="N22" s="6"/>
    </row>
    <row r="23" spans="1:14" s="818" customFormat="1" ht="26.25" customHeight="1" x14ac:dyDescent="0.25">
      <c r="A23" s="14"/>
      <c r="B23" s="15"/>
      <c r="C23" s="888"/>
      <c r="D23" s="889"/>
      <c r="E23" s="845"/>
      <c r="F23" s="846"/>
      <c r="G23" s="12">
        <f t="shared" si="1"/>
        <v>184</v>
      </c>
      <c r="H23" s="817"/>
      <c r="I23" s="817"/>
      <c r="J23" s="817"/>
      <c r="K23" s="817"/>
      <c r="L23" s="817"/>
      <c r="M23" s="817"/>
      <c r="N23" s="6"/>
    </row>
    <row r="24" spans="1:14" s="818" customFormat="1" ht="26.25" customHeight="1" x14ac:dyDescent="0.25">
      <c r="A24" s="14"/>
      <c r="B24" s="15"/>
      <c r="C24" s="888"/>
      <c r="D24" s="889"/>
      <c r="E24" s="845"/>
      <c r="F24" s="846"/>
      <c r="G24" s="12">
        <f t="shared" si="1"/>
        <v>184</v>
      </c>
      <c r="H24" s="817"/>
      <c r="I24" s="817"/>
      <c r="J24" s="817"/>
      <c r="K24" s="817"/>
      <c r="L24" s="817"/>
      <c r="M24" s="817"/>
      <c r="N24" s="6"/>
    </row>
    <row r="25" spans="1:14" s="818" customFormat="1" ht="26.25" customHeight="1" x14ac:dyDescent="0.25">
      <c r="A25" s="14"/>
      <c r="B25" s="15"/>
      <c r="C25" s="888"/>
      <c r="D25" s="889"/>
      <c r="E25" s="845"/>
      <c r="F25" s="846"/>
      <c r="G25" s="12">
        <f t="shared" si="1"/>
        <v>184</v>
      </c>
      <c r="H25" s="817"/>
      <c r="I25" s="817"/>
      <c r="J25" s="817"/>
      <c r="K25" s="817"/>
      <c r="L25" s="817"/>
      <c r="M25" s="817"/>
      <c r="N25" s="6"/>
    </row>
    <row r="26" spans="1:14" s="818" customFormat="1" ht="26.25" customHeight="1" x14ac:dyDescent="0.25">
      <c r="A26" s="14"/>
      <c r="B26" s="15"/>
      <c r="C26" s="841"/>
      <c r="D26" s="841"/>
      <c r="E26" s="845"/>
      <c r="F26" s="846"/>
      <c r="G26" s="12">
        <f t="shared" si="1"/>
        <v>184</v>
      </c>
      <c r="H26" s="817"/>
      <c r="I26" s="817"/>
      <c r="J26" s="817"/>
      <c r="K26" s="817"/>
      <c r="L26" s="817"/>
      <c r="M26" s="817"/>
      <c r="N26" s="6"/>
    </row>
    <row r="27" spans="1:14" s="818" customFormat="1" ht="26.25" customHeight="1" x14ac:dyDescent="0.25">
      <c r="A27" s="14"/>
      <c r="B27" s="15"/>
      <c r="C27" s="841"/>
      <c r="D27" s="841"/>
      <c r="E27" s="845"/>
      <c r="F27" s="846"/>
      <c r="G27" s="12">
        <f t="shared" si="1"/>
        <v>184</v>
      </c>
      <c r="H27" s="817"/>
      <c r="I27" s="817"/>
      <c r="J27" s="817"/>
      <c r="K27" s="817"/>
      <c r="L27" s="817"/>
      <c r="M27" s="817"/>
      <c r="N27" s="6"/>
    </row>
    <row r="28" spans="1:14" s="818" customFormat="1" ht="26.25" customHeight="1" x14ac:dyDescent="0.25">
      <c r="A28" s="16"/>
      <c r="B28" s="17"/>
      <c r="C28" s="847"/>
      <c r="D28" s="848"/>
      <c r="E28" s="849"/>
      <c r="F28" s="850"/>
      <c r="G28" s="12">
        <f t="shared" si="1"/>
        <v>184</v>
      </c>
      <c r="H28" s="18"/>
      <c r="I28" s="18"/>
      <c r="J28" s="18"/>
      <c r="K28" s="18"/>
      <c r="L28" s="18"/>
      <c r="M28" s="18"/>
      <c r="N28" s="19"/>
    </row>
    <row r="29" spans="1:14" s="23" customFormat="1" ht="26.25" customHeight="1" thickBot="1" x14ac:dyDescent="0.3">
      <c r="A29" s="851" t="s">
        <v>36</v>
      </c>
      <c r="B29" s="852"/>
      <c r="C29" s="852"/>
      <c r="D29" s="852"/>
      <c r="E29" s="853">
        <f>SUM(E20:F28)</f>
        <v>0</v>
      </c>
      <c r="F29" s="854"/>
      <c r="G29" s="12"/>
      <c r="H29" s="21"/>
      <c r="I29" s="21"/>
      <c r="J29" s="21"/>
      <c r="K29" s="21"/>
      <c r="L29" s="21"/>
      <c r="M29" s="21"/>
      <c r="N29" s="22"/>
    </row>
    <row r="30" spans="1:14" s="818" customFormat="1" ht="26.25" customHeight="1" thickTop="1" x14ac:dyDescent="0.25">
      <c r="A30" s="24"/>
      <c r="E30" s="844"/>
      <c r="F30" s="844"/>
    </row>
    <row r="31" spans="1:14" s="818" customFormat="1" ht="26.25" customHeight="1" x14ac:dyDescent="0.3">
      <c r="A31" s="25" t="s">
        <v>41</v>
      </c>
      <c r="B31" s="25"/>
      <c r="C31" s="25"/>
      <c r="D31" s="25" t="s">
        <v>81</v>
      </c>
      <c r="E31" s="25"/>
      <c r="F31" s="26"/>
      <c r="G31" s="25" t="s">
        <v>38</v>
      </c>
      <c r="H31" s="25"/>
      <c r="I31" s="25"/>
      <c r="J31" s="25"/>
      <c r="K31" s="25"/>
      <c r="L31" s="25" t="s">
        <v>39</v>
      </c>
      <c r="M31" s="28"/>
      <c r="N31" s="26"/>
    </row>
    <row r="32" spans="1:14" s="818" customFormat="1" ht="26.25" customHeight="1" x14ac:dyDescent="0.3">
      <c r="A32" s="25"/>
      <c r="B32" s="25"/>
      <c r="C32" s="25"/>
      <c r="D32" s="25"/>
      <c r="E32" s="25"/>
      <c r="F32" s="26"/>
      <c r="G32" s="25"/>
      <c r="H32" s="25"/>
      <c r="I32" s="25"/>
      <c r="J32" s="25"/>
      <c r="K32" s="25"/>
      <c r="L32" s="25"/>
      <c r="M32" s="28"/>
      <c r="N32" s="26"/>
    </row>
    <row r="33" spans="1:14" s="818" customFormat="1" ht="26.25" customHeight="1" x14ac:dyDescent="0.3">
      <c r="A33" s="25"/>
      <c r="B33" s="25"/>
      <c r="C33" s="25"/>
      <c r="D33" s="25"/>
      <c r="E33" s="25"/>
      <c r="F33" s="26"/>
      <c r="G33" s="25"/>
      <c r="H33" s="25"/>
      <c r="I33" s="25"/>
      <c r="J33" s="25"/>
      <c r="K33" s="25"/>
      <c r="L33" s="25"/>
      <c r="M33" s="28"/>
      <c r="N33" s="26"/>
    </row>
    <row r="34" spans="1:14" s="818" customFormat="1" ht="26.25" customHeight="1" x14ac:dyDescent="0.3">
      <c r="A34" s="25"/>
      <c r="B34" s="25"/>
      <c r="C34" s="25"/>
      <c r="D34" s="25"/>
      <c r="E34" s="25"/>
      <c r="F34" s="26"/>
      <c r="G34" s="25"/>
      <c r="H34" s="25"/>
      <c r="I34" s="25"/>
      <c r="J34" s="25"/>
      <c r="K34" s="25"/>
      <c r="L34" s="25"/>
      <c r="M34" s="28"/>
      <c r="N34" s="26"/>
    </row>
    <row r="35" spans="1:14" s="818" customFormat="1" ht="26.25" customHeight="1" x14ac:dyDescent="0.3">
      <c r="A35" s="29"/>
      <c r="B35" s="25"/>
      <c r="C35" s="25"/>
      <c r="D35" s="29"/>
      <c r="E35" s="29"/>
      <c r="F35" s="26"/>
      <c r="G35" s="29"/>
      <c r="H35" s="25"/>
      <c r="I35" s="25"/>
      <c r="J35" s="25"/>
      <c r="K35" s="25"/>
      <c r="L35" s="27"/>
      <c r="M35" s="28"/>
      <c r="N35" s="26"/>
    </row>
    <row r="36" spans="1:14" s="30" customFormat="1" ht="17.25" x14ac:dyDescent="0.3">
      <c r="A36" s="25" t="s">
        <v>48</v>
      </c>
      <c r="B36" s="25"/>
      <c r="C36" s="25" t="s">
        <v>80</v>
      </c>
      <c r="D36" s="25"/>
      <c r="G36" s="25" t="str">
        <f>B10</f>
        <v>Tonn Saroth</v>
      </c>
      <c r="H36" s="25"/>
      <c r="I36" s="25"/>
      <c r="J36" s="25"/>
      <c r="K36" s="829" t="s">
        <v>90</v>
      </c>
      <c r="L36" s="829"/>
      <c r="M36" s="829"/>
      <c r="N36" s="829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  <row r="43" spans="1:14" s="30" customFormat="1" ht="16.5" x14ac:dyDescent="0.3">
      <c r="A43" s="32"/>
    </row>
    <row r="44" spans="1:14" s="30" customFormat="1" ht="16.5" x14ac:dyDescent="0.3">
      <c r="A44" s="32"/>
    </row>
    <row r="45" spans="1:14" s="30" customFormat="1" ht="16.5" x14ac:dyDescent="0.3">
      <c r="A45" s="32"/>
    </row>
  </sheetData>
  <mergeCells count="42">
    <mergeCell ref="A1:XFD7"/>
    <mergeCell ref="A8:N8"/>
    <mergeCell ref="K9:L9"/>
    <mergeCell ref="C10:C14"/>
    <mergeCell ref="K10:L10"/>
    <mergeCell ref="O10:R13"/>
    <mergeCell ref="K11:L11"/>
    <mergeCell ref="K12:L12"/>
    <mergeCell ref="K13:L13"/>
    <mergeCell ref="K14:L14"/>
    <mergeCell ref="A15:D15"/>
    <mergeCell ref="K15:L15"/>
    <mergeCell ref="A16:F16"/>
    <mergeCell ref="K16:L16"/>
    <mergeCell ref="A17:F17"/>
    <mergeCell ref="M18:N18"/>
    <mergeCell ref="A19:F19"/>
    <mergeCell ref="C20:D20"/>
    <mergeCell ref="E20:F20"/>
    <mergeCell ref="C21:D21"/>
    <mergeCell ref="E21:F21"/>
    <mergeCell ref="C18:D18"/>
    <mergeCell ref="E18:F18"/>
    <mergeCell ref="K18:L18"/>
    <mergeCell ref="C22:D22"/>
    <mergeCell ref="E22:F22"/>
    <mergeCell ref="C23:D23"/>
    <mergeCell ref="E23:F23"/>
    <mergeCell ref="C24:D24"/>
    <mergeCell ref="E24:F24"/>
    <mergeCell ref="K36:N36"/>
    <mergeCell ref="C25:D25"/>
    <mergeCell ref="E25:F25"/>
    <mergeCell ref="C26:D26"/>
    <mergeCell ref="E26:F26"/>
    <mergeCell ref="C27:D27"/>
    <mergeCell ref="E27:F27"/>
    <mergeCell ref="C28:D28"/>
    <mergeCell ref="E28:F28"/>
    <mergeCell ref="A29:D29"/>
    <mergeCell ref="E29:F29"/>
    <mergeCell ref="E30:F30"/>
  </mergeCells>
  <printOptions horizontalCentered="1"/>
  <pageMargins left="0.46" right="0.2" top="0.47" bottom="0.25" header="0.5" footer="0.5"/>
  <pageSetup scale="70" orientation="portrait" verticalDpi="300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5"/>
  <sheetViews>
    <sheetView zoomScale="85" zoomScaleNormal="85" workbookViewId="0">
      <pane xSplit="3" ySplit="9" topLeftCell="D25" activePane="bottomRight" state="frozen"/>
      <selection pane="topRight" activeCell="D1" sqref="D1"/>
      <selection pane="bottomLeft" activeCell="A10" sqref="A10"/>
      <selection pane="bottomRight" activeCell="G29" sqref="G29"/>
    </sheetView>
  </sheetViews>
  <sheetFormatPr defaultRowHeight="13.5" x14ac:dyDescent="0.25"/>
  <cols>
    <col min="1" max="1" width="15.7109375" style="33" customWidth="1"/>
    <col min="2" max="2" width="19.140625" style="1" customWidth="1"/>
    <col min="3" max="3" width="11.28515625" style="1" customWidth="1"/>
    <col min="4" max="4" width="31.85546875" style="1" customWidth="1"/>
    <col min="5" max="5" width="8.42578125" style="1" customWidth="1"/>
    <col min="6" max="6" width="10.5703125" style="1" customWidth="1"/>
    <col min="7" max="7" width="16.42578125" style="1" customWidth="1"/>
    <col min="8" max="8" width="3.7109375" style="1" customWidth="1"/>
    <col min="9" max="9" width="3.85546875" style="1" customWidth="1"/>
    <col min="10" max="10" width="5" style="1" customWidth="1"/>
    <col min="11" max="12" width="7.140625" style="1" customWidth="1"/>
    <col min="13" max="13" width="19" style="1" bestFit="1" customWidth="1"/>
    <col min="14" max="14" width="9.42578125" style="1" customWidth="1"/>
    <col min="15" max="16" width="9.140625" style="1"/>
    <col min="17" max="17" width="17.42578125" style="1" customWidth="1"/>
    <col min="18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66" customFormat="1" ht="15" x14ac:dyDescent="0.25"/>
    <row r="2" spans="1:18" s="866" customFormat="1" ht="15" x14ac:dyDescent="0.25"/>
    <row r="3" spans="1:18" s="866" customFormat="1" ht="15" x14ac:dyDescent="0.25"/>
    <row r="4" spans="1:18" s="866" customFormat="1" ht="15" x14ac:dyDescent="0.25"/>
    <row r="5" spans="1:18" s="866" customFormat="1" ht="15" x14ac:dyDescent="0.25"/>
    <row r="6" spans="1:18" s="866" customFormat="1" ht="15" x14ac:dyDescent="0.25"/>
    <row r="7" spans="1:18" s="866" customFormat="1" ht="15.75" thickBot="1" x14ac:dyDescent="0.3"/>
    <row r="8" spans="1:18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8" s="48" customFormat="1" ht="18" thickBot="1" x14ac:dyDescent="0.3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8" s="48" customFormat="1" ht="20.25" customHeight="1" thickTop="1" x14ac:dyDescent="0.25">
      <c r="A10" s="815">
        <v>1</v>
      </c>
      <c r="B10" s="295" t="s">
        <v>609</v>
      </c>
      <c r="C10" s="890" t="s">
        <v>31</v>
      </c>
      <c r="D10" s="74" t="s">
        <v>610</v>
      </c>
      <c r="E10" s="819">
        <v>12</v>
      </c>
      <c r="F10" s="55">
        <v>8</v>
      </c>
      <c r="G10" s="56">
        <f>E10*F10</f>
        <v>96</v>
      </c>
      <c r="H10" s="819" t="s">
        <v>102</v>
      </c>
      <c r="I10" s="819">
        <v>3</v>
      </c>
      <c r="J10" s="819">
        <v>10</v>
      </c>
      <c r="K10" s="878" t="s">
        <v>118</v>
      </c>
      <c r="L10" s="879"/>
      <c r="M10" s="243">
        <v>41804</v>
      </c>
      <c r="N10" s="52"/>
      <c r="O10" s="880"/>
      <c r="P10" s="881"/>
      <c r="Q10" s="881"/>
      <c r="R10" s="881"/>
    </row>
    <row r="11" spans="1:18" s="48" customFormat="1" ht="20.25" customHeight="1" x14ac:dyDescent="0.25">
      <c r="A11" s="815"/>
      <c r="B11" s="296"/>
      <c r="C11" s="891"/>
      <c r="D11" s="74"/>
      <c r="E11" s="819"/>
      <c r="F11" s="55"/>
      <c r="G11" s="56">
        <f t="shared" ref="G11:G14" si="0">E11*F11</f>
        <v>0</v>
      </c>
      <c r="H11" s="819"/>
      <c r="I11" s="819"/>
      <c r="J11" s="819"/>
      <c r="K11" s="872"/>
      <c r="L11" s="873"/>
      <c r="M11" s="243"/>
      <c r="N11" s="52"/>
      <c r="O11" s="882"/>
      <c r="P11" s="883"/>
      <c r="Q11" s="883"/>
      <c r="R11" s="883"/>
    </row>
    <row r="12" spans="1:18" s="48" customFormat="1" ht="20.25" customHeight="1" x14ac:dyDescent="0.25">
      <c r="A12" s="815"/>
      <c r="B12" s="296"/>
      <c r="C12" s="891"/>
      <c r="D12" s="74"/>
      <c r="E12" s="819"/>
      <c r="F12" s="55"/>
      <c r="G12" s="56">
        <f t="shared" si="0"/>
        <v>0</v>
      </c>
      <c r="H12" s="819"/>
      <c r="I12" s="819"/>
      <c r="J12" s="819"/>
      <c r="K12" s="872"/>
      <c r="L12" s="873"/>
      <c r="M12" s="243"/>
      <c r="N12" s="52"/>
      <c r="O12" s="882"/>
      <c r="P12" s="883"/>
      <c r="Q12" s="883"/>
      <c r="R12" s="883"/>
    </row>
    <row r="13" spans="1:18" s="48" customFormat="1" ht="20.25" customHeight="1" x14ac:dyDescent="0.25">
      <c r="A13" s="815"/>
      <c r="B13" s="296"/>
      <c r="C13" s="891"/>
      <c r="D13" s="74"/>
      <c r="E13" s="819"/>
      <c r="F13" s="55"/>
      <c r="G13" s="56">
        <f t="shared" si="0"/>
        <v>0</v>
      </c>
      <c r="H13" s="819"/>
      <c r="I13" s="819"/>
      <c r="J13" s="819"/>
      <c r="K13" s="872"/>
      <c r="L13" s="873"/>
      <c r="M13" s="243"/>
      <c r="N13" s="52"/>
      <c r="O13" s="882"/>
      <c r="P13" s="883"/>
      <c r="Q13" s="883"/>
      <c r="R13" s="883"/>
    </row>
    <row r="14" spans="1:18" s="816" customFormat="1" ht="26.25" customHeight="1" x14ac:dyDescent="0.25">
      <c r="A14" s="815"/>
      <c r="B14" s="297"/>
      <c r="C14" s="892"/>
      <c r="D14" s="74"/>
      <c r="E14" s="814"/>
      <c r="F14" s="101"/>
      <c r="G14" s="56">
        <f t="shared" si="0"/>
        <v>0</v>
      </c>
      <c r="H14" s="80"/>
      <c r="I14" s="80"/>
      <c r="J14" s="80"/>
      <c r="K14" s="872"/>
      <c r="L14" s="873"/>
      <c r="M14" s="243"/>
      <c r="N14" s="84"/>
      <c r="O14" s="244"/>
      <c r="P14" s="620"/>
      <c r="Q14" s="620"/>
      <c r="R14" s="620"/>
    </row>
    <row r="15" spans="1:18" s="816" customFormat="1" ht="26.25" customHeight="1" x14ac:dyDescent="0.25">
      <c r="A15" s="874" t="s">
        <v>11</v>
      </c>
      <c r="B15" s="875"/>
      <c r="C15" s="875"/>
      <c r="D15" s="875"/>
      <c r="E15" s="821">
        <f>SUM(E10:E14)</f>
        <v>12</v>
      </c>
      <c r="F15" s="73">
        <v>8</v>
      </c>
      <c r="G15" s="56">
        <f>E15*F15</f>
        <v>96</v>
      </c>
      <c r="H15" s="820"/>
      <c r="I15" s="820"/>
      <c r="J15" s="820"/>
      <c r="K15" s="876"/>
      <c r="L15" s="877"/>
      <c r="M15" s="820"/>
      <c r="N15" s="63"/>
      <c r="O15" s="244"/>
      <c r="P15" s="620"/>
      <c r="Q15" s="620"/>
      <c r="R15" s="620"/>
    </row>
    <row r="16" spans="1:18" s="816" customFormat="1" ht="26.25" customHeight="1" x14ac:dyDescent="0.25">
      <c r="A16" s="864"/>
      <c r="B16" s="865"/>
      <c r="C16" s="865"/>
      <c r="D16" s="865"/>
      <c r="E16" s="865"/>
      <c r="F16" s="865"/>
      <c r="G16" s="56"/>
      <c r="H16" s="821"/>
      <c r="I16" s="821"/>
      <c r="J16" s="821"/>
      <c r="K16" s="859"/>
      <c r="L16" s="860"/>
      <c r="M16" s="821"/>
      <c r="N16" s="66"/>
    </row>
    <row r="17" spans="1:14" s="48" customFormat="1" ht="26.25" customHeight="1" thickBot="1" x14ac:dyDescent="0.3">
      <c r="A17" s="864" t="s">
        <v>24</v>
      </c>
      <c r="B17" s="865"/>
      <c r="C17" s="865"/>
      <c r="D17" s="865"/>
      <c r="E17" s="865"/>
      <c r="F17" s="865"/>
      <c r="G17" s="56">
        <f>SUM(G10:G14)</f>
        <v>96</v>
      </c>
      <c r="H17" s="67"/>
      <c r="I17" s="67"/>
      <c r="J17" s="68" t="s">
        <v>44</v>
      </c>
      <c r="K17" s="67"/>
      <c r="L17" s="68"/>
      <c r="M17" s="69"/>
      <c r="N17" s="70"/>
    </row>
    <row r="18" spans="1:14" s="48" customFormat="1" ht="22.5" customHeight="1" thickBot="1" x14ac:dyDescent="0.3">
      <c r="A18" s="72" t="s">
        <v>5</v>
      </c>
      <c r="B18" s="71" t="s">
        <v>33</v>
      </c>
      <c r="C18" s="857" t="s">
        <v>21</v>
      </c>
      <c r="D18" s="858"/>
      <c r="E18" s="857" t="s">
        <v>34</v>
      </c>
      <c r="F18" s="858"/>
      <c r="G18" s="71" t="s">
        <v>0</v>
      </c>
      <c r="H18" s="71" t="s">
        <v>96</v>
      </c>
      <c r="I18" s="71" t="s">
        <v>26</v>
      </c>
      <c r="J18" s="71" t="s">
        <v>27</v>
      </c>
      <c r="K18" s="863" t="s">
        <v>28</v>
      </c>
      <c r="L18" s="857"/>
      <c r="M18" s="884"/>
      <c r="N18" s="885"/>
    </row>
    <row r="19" spans="1:14" s="818" customFormat="1" ht="26.25" customHeight="1" x14ac:dyDescent="0.25">
      <c r="A19" s="861" t="s">
        <v>35</v>
      </c>
      <c r="B19" s="862"/>
      <c r="C19" s="862"/>
      <c r="D19" s="862"/>
      <c r="E19" s="862"/>
      <c r="F19" s="862"/>
      <c r="G19" s="7">
        <f>G17</f>
        <v>96</v>
      </c>
      <c r="H19" s="8"/>
      <c r="I19" s="8"/>
      <c r="J19" s="8"/>
      <c r="K19" s="8"/>
      <c r="L19" s="8"/>
      <c r="M19" s="8"/>
      <c r="N19" s="9"/>
    </row>
    <row r="20" spans="1:14" s="818" customFormat="1" ht="26.25" customHeight="1" x14ac:dyDescent="0.25">
      <c r="A20" s="10"/>
      <c r="B20" s="11"/>
      <c r="C20" s="888"/>
      <c r="D20" s="889"/>
      <c r="E20" s="886"/>
      <c r="F20" s="887"/>
      <c r="G20" s="12">
        <f>G19-E20</f>
        <v>96</v>
      </c>
      <c r="H20" s="813"/>
      <c r="I20" s="813"/>
      <c r="J20" s="813"/>
      <c r="K20" s="813"/>
      <c r="L20" s="813"/>
      <c r="M20" s="813"/>
      <c r="N20" s="13"/>
    </row>
    <row r="21" spans="1:14" s="818" customFormat="1" ht="26.25" customHeight="1" x14ac:dyDescent="0.25">
      <c r="A21" s="10"/>
      <c r="B21" s="11"/>
      <c r="C21" s="888"/>
      <c r="D21" s="889"/>
      <c r="E21" s="845"/>
      <c r="F21" s="846"/>
      <c r="G21" s="12">
        <f t="shared" ref="G21:G28" si="1">G20-E21</f>
        <v>96</v>
      </c>
      <c r="H21" s="817"/>
      <c r="I21" s="817"/>
      <c r="J21" s="817"/>
      <c r="K21" s="817"/>
      <c r="L21" s="817"/>
      <c r="M21" s="817"/>
      <c r="N21" s="6"/>
    </row>
    <row r="22" spans="1:14" s="818" customFormat="1" ht="26.25" customHeight="1" x14ac:dyDescent="0.25">
      <c r="A22" s="14"/>
      <c r="B22" s="15"/>
      <c r="C22" s="888"/>
      <c r="D22" s="889"/>
      <c r="E22" s="845"/>
      <c r="F22" s="846"/>
      <c r="G22" s="12">
        <f t="shared" si="1"/>
        <v>96</v>
      </c>
      <c r="H22" s="817"/>
      <c r="I22" s="817"/>
      <c r="J22" s="817"/>
      <c r="K22" s="817"/>
      <c r="L22" s="817"/>
      <c r="M22" s="817"/>
      <c r="N22" s="6"/>
    </row>
    <row r="23" spans="1:14" s="818" customFormat="1" ht="26.25" customHeight="1" x14ac:dyDescent="0.25">
      <c r="A23" s="14"/>
      <c r="B23" s="15"/>
      <c r="C23" s="888"/>
      <c r="D23" s="889"/>
      <c r="E23" s="845"/>
      <c r="F23" s="846"/>
      <c r="G23" s="12">
        <f t="shared" si="1"/>
        <v>96</v>
      </c>
      <c r="H23" s="817"/>
      <c r="I23" s="817"/>
      <c r="J23" s="817"/>
      <c r="K23" s="817"/>
      <c r="L23" s="817"/>
      <c r="M23" s="817"/>
      <c r="N23" s="6"/>
    </row>
    <row r="24" spans="1:14" s="818" customFormat="1" ht="26.25" customHeight="1" x14ac:dyDescent="0.25">
      <c r="A24" s="14"/>
      <c r="B24" s="15"/>
      <c r="C24" s="888"/>
      <c r="D24" s="889"/>
      <c r="E24" s="845"/>
      <c r="F24" s="846"/>
      <c r="G24" s="12">
        <f t="shared" si="1"/>
        <v>96</v>
      </c>
      <c r="H24" s="817"/>
      <c r="I24" s="817"/>
      <c r="J24" s="817"/>
      <c r="K24" s="817"/>
      <c r="L24" s="817"/>
      <c r="M24" s="817"/>
      <c r="N24" s="6"/>
    </row>
    <row r="25" spans="1:14" s="818" customFormat="1" ht="26.25" customHeight="1" x14ac:dyDescent="0.25">
      <c r="A25" s="14"/>
      <c r="B25" s="15"/>
      <c r="C25" s="888"/>
      <c r="D25" s="889"/>
      <c r="E25" s="845"/>
      <c r="F25" s="846"/>
      <c r="G25" s="12">
        <f t="shared" si="1"/>
        <v>96</v>
      </c>
      <c r="H25" s="817"/>
      <c r="I25" s="817"/>
      <c r="J25" s="817"/>
      <c r="K25" s="817"/>
      <c r="L25" s="817"/>
      <c r="M25" s="817"/>
      <c r="N25" s="6"/>
    </row>
    <row r="26" spans="1:14" s="818" customFormat="1" ht="26.25" customHeight="1" x14ac:dyDescent="0.25">
      <c r="A26" s="14"/>
      <c r="B26" s="15"/>
      <c r="C26" s="841"/>
      <c r="D26" s="841"/>
      <c r="E26" s="845"/>
      <c r="F26" s="846"/>
      <c r="G26" s="12">
        <f t="shared" si="1"/>
        <v>96</v>
      </c>
      <c r="H26" s="817"/>
      <c r="I26" s="817"/>
      <c r="J26" s="817"/>
      <c r="K26" s="817"/>
      <c r="L26" s="817"/>
      <c r="M26" s="817"/>
      <c r="N26" s="6"/>
    </row>
    <row r="27" spans="1:14" s="818" customFormat="1" ht="26.25" customHeight="1" x14ac:dyDescent="0.25">
      <c r="A27" s="14"/>
      <c r="B27" s="15"/>
      <c r="C27" s="841"/>
      <c r="D27" s="841"/>
      <c r="E27" s="845"/>
      <c r="F27" s="846"/>
      <c r="G27" s="12">
        <f t="shared" si="1"/>
        <v>96</v>
      </c>
      <c r="H27" s="817"/>
      <c r="I27" s="817"/>
      <c r="J27" s="817"/>
      <c r="K27" s="817"/>
      <c r="L27" s="817"/>
      <c r="M27" s="817"/>
      <c r="N27" s="6"/>
    </row>
    <row r="28" spans="1:14" s="818" customFormat="1" ht="26.25" customHeight="1" x14ac:dyDescent="0.25">
      <c r="A28" s="16"/>
      <c r="B28" s="17"/>
      <c r="C28" s="847"/>
      <c r="D28" s="848"/>
      <c r="E28" s="849"/>
      <c r="F28" s="850"/>
      <c r="G28" s="12">
        <f t="shared" si="1"/>
        <v>96</v>
      </c>
      <c r="H28" s="18"/>
      <c r="I28" s="18"/>
      <c r="J28" s="18"/>
      <c r="K28" s="18"/>
      <c r="L28" s="18"/>
      <c r="M28" s="18"/>
      <c r="N28" s="19"/>
    </row>
    <row r="29" spans="1:14" s="23" customFormat="1" ht="26.25" customHeight="1" thickBot="1" x14ac:dyDescent="0.3">
      <c r="A29" s="851" t="s">
        <v>36</v>
      </c>
      <c r="B29" s="852"/>
      <c r="C29" s="852"/>
      <c r="D29" s="852"/>
      <c r="E29" s="853">
        <f>SUM(E20:F28)</f>
        <v>0</v>
      </c>
      <c r="F29" s="854"/>
      <c r="G29" s="12"/>
      <c r="H29" s="21"/>
      <c r="I29" s="21"/>
      <c r="J29" s="21"/>
      <c r="K29" s="21"/>
      <c r="L29" s="21"/>
      <c r="M29" s="21"/>
      <c r="N29" s="22"/>
    </row>
    <row r="30" spans="1:14" s="818" customFormat="1" ht="26.25" customHeight="1" thickTop="1" x14ac:dyDescent="0.25">
      <c r="A30" s="24"/>
      <c r="E30" s="844"/>
      <c r="F30" s="844"/>
    </row>
    <row r="31" spans="1:14" s="818" customFormat="1" ht="26.25" customHeight="1" x14ac:dyDescent="0.3">
      <c r="A31" s="25" t="s">
        <v>41</v>
      </c>
      <c r="B31" s="25"/>
      <c r="C31" s="25"/>
      <c r="D31" s="25" t="s">
        <v>81</v>
      </c>
      <c r="E31" s="25"/>
      <c r="F31" s="26"/>
      <c r="G31" s="25" t="s">
        <v>38</v>
      </c>
      <c r="H31" s="25"/>
      <c r="I31" s="25"/>
      <c r="J31" s="25"/>
      <c r="K31" s="25"/>
      <c r="L31" s="25" t="s">
        <v>39</v>
      </c>
      <c r="M31" s="28"/>
      <c r="N31" s="26"/>
    </row>
    <row r="32" spans="1:14" s="818" customFormat="1" ht="26.25" customHeight="1" x14ac:dyDescent="0.3">
      <c r="A32" s="25"/>
      <c r="B32" s="25"/>
      <c r="C32" s="25"/>
      <c r="D32" s="25"/>
      <c r="E32" s="25"/>
      <c r="F32" s="26"/>
      <c r="G32" s="25"/>
      <c r="H32" s="25"/>
      <c r="I32" s="25"/>
      <c r="J32" s="25"/>
      <c r="K32" s="25"/>
      <c r="L32" s="25"/>
      <c r="M32" s="28"/>
      <c r="N32" s="26"/>
    </row>
    <row r="33" spans="1:14" s="818" customFormat="1" ht="26.25" customHeight="1" x14ac:dyDescent="0.3">
      <c r="A33" s="25"/>
      <c r="B33" s="25"/>
      <c r="C33" s="25"/>
      <c r="D33" s="25"/>
      <c r="E33" s="25"/>
      <c r="F33" s="26"/>
      <c r="G33" s="25"/>
      <c r="H33" s="25"/>
      <c r="I33" s="25"/>
      <c r="J33" s="25"/>
      <c r="K33" s="25"/>
      <c r="L33" s="25"/>
      <c r="M33" s="28"/>
      <c r="N33" s="26"/>
    </row>
    <row r="34" spans="1:14" s="818" customFormat="1" ht="26.25" customHeight="1" x14ac:dyDescent="0.3">
      <c r="A34" s="25"/>
      <c r="B34" s="25"/>
      <c r="C34" s="25"/>
      <c r="D34" s="25"/>
      <c r="E34" s="25"/>
      <c r="F34" s="26"/>
      <c r="G34" s="25"/>
      <c r="H34" s="25"/>
      <c r="I34" s="25"/>
      <c r="J34" s="25"/>
      <c r="K34" s="25"/>
      <c r="L34" s="25"/>
      <c r="M34" s="28"/>
      <c r="N34" s="26"/>
    </row>
    <row r="35" spans="1:14" s="818" customFormat="1" ht="26.25" customHeight="1" x14ac:dyDescent="0.3">
      <c r="A35" s="29"/>
      <c r="B35" s="25"/>
      <c r="C35" s="25"/>
      <c r="D35" s="29"/>
      <c r="E35" s="29"/>
      <c r="F35" s="26"/>
      <c r="G35" s="29"/>
      <c r="H35" s="25"/>
      <c r="I35" s="25"/>
      <c r="J35" s="25"/>
      <c r="K35" s="25"/>
      <c r="L35" s="27"/>
      <c r="M35" s="28"/>
      <c r="N35" s="26"/>
    </row>
    <row r="36" spans="1:14" s="30" customFormat="1" ht="17.25" x14ac:dyDescent="0.3">
      <c r="A36" s="25" t="s">
        <v>48</v>
      </c>
      <c r="B36" s="25"/>
      <c r="C36" s="25" t="s">
        <v>80</v>
      </c>
      <c r="D36" s="25"/>
      <c r="G36" s="25" t="str">
        <f>B10</f>
        <v>Pol Sarith</v>
      </c>
      <c r="H36" s="25"/>
      <c r="I36" s="25"/>
      <c r="J36" s="25"/>
      <c r="K36" s="829" t="s">
        <v>90</v>
      </c>
      <c r="L36" s="829"/>
      <c r="M36" s="829"/>
      <c r="N36" s="829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  <row r="43" spans="1:14" s="30" customFormat="1" ht="16.5" x14ac:dyDescent="0.3">
      <c r="A43" s="32"/>
    </row>
    <row r="44" spans="1:14" s="30" customFormat="1" ht="16.5" x14ac:dyDescent="0.3">
      <c r="A44" s="32"/>
    </row>
    <row r="45" spans="1:14" s="30" customFormat="1" ht="16.5" x14ac:dyDescent="0.3">
      <c r="A45" s="32"/>
    </row>
  </sheetData>
  <mergeCells count="42">
    <mergeCell ref="A1:XFD7"/>
    <mergeCell ref="A8:N8"/>
    <mergeCell ref="K9:L9"/>
    <mergeCell ref="C10:C14"/>
    <mergeCell ref="K10:L10"/>
    <mergeCell ref="O10:R13"/>
    <mergeCell ref="K11:L11"/>
    <mergeCell ref="K12:L12"/>
    <mergeCell ref="K13:L13"/>
    <mergeCell ref="K14:L14"/>
    <mergeCell ref="A15:D15"/>
    <mergeCell ref="K15:L15"/>
    <mergeCell ref="A16:F16"/>
    <mergeCell ref="K16:L16"/>
    <mergeCell ref="A17:F17"/>
    <mergeCell ref="M18:N18"/>
    <mergeCell ref="A19:F19"/>
    <mergeCell ref="C20:D20"/>
    <mergeCell ref="E20:F20"/>
    <mergeCell ref="C21:D21"/>
    <mergeCell ref="E21:F21"/>
    <mergeCell ref="C18:D18"/>
    <mergeCell ref="E18:F18"/>
    <mergeCell ref="K18:L18"/>
    <mergeCell ref="C22:D22"/>
    <mergeCell ref="E22:F22"/>
    <mergeCell ref="C23:D23"/>
    <mergeCell ref="E23:F23"/>
    <mergeCell ref="C24:D24"/>
    <mergeCell ref="E24:F24"/>
    <mergeCell ref="K36:N36"/>
    <mergeCell ref="C25:D25"/>
    <mergeCell ref="E25:F25"/>
    <mergeCell ref="C26:D26"/>
    <mergeCell ref="E26:F26"/>
    <mergeCell ref="C27:D27"/>
    <mergeCell ref="E27:F27"/>
    <mergeCell ref="C28:D28"/>
    <mergeCell ref="E28:F28"/>
    <mergeCell ref="A29:D29"/>
    <mergeCell ref="E29:F29"/>
    <mergeCell ref="E30:F30"/>
  </mergeCells>
  <printOptions horizontalCentered="1"/>
  <pageMargins left="0.46" right="0.2" top="0.47" bottom="0.25" header="0.5" footer="0.5"/>
  <pageSetup scale="70" orientation="portrait" verticalDpi="300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5"/>
  <sheetViews>
    <sheetView zoomScale="85" zoomScaleNormal="85" workbookViewId="0">
      <pane xSplit="3" ySplit="9" topLeftCell="D13" activePane="bottomRight" state="frozen"/>
      <selection pane="topRight" activeCell="D1" sqref="D1"/>
      <selection pane="bottomLeft" activeCell="A10" sqref="A10"/>
      <selection pane="bottomRight" activeCell="G15" sqref="G15"/>
    </sheetView>
  </sheetViews>
  <sheetFormatPr defaultRowHeight="13.5" x14ac:dyDescent="0.25"/>
  <cols>
    <col min="1" max="1" width="15.7109375" style="33" customWidth="1"/>
    <col min="2" max="2" width="19.140625" style="1" customWidth="1"/>
    <col min="3" max="3" width="11.28515625" style="1" customWidth="1"/>
    <col min="4" max="4" width="31.85546875" style="1" customWidth="1"/>
    <col min="5" max="5" width="8.42578125" style="1" customWidth="1"/>
    <col min="6" max="6" width="10.5703125" style="1" customWidth="1"/>
    <col min="7" max="7" width="16.42578125" style="1" customWidth="1"/>
    <col min="8" max="8" width="3.7109375" style="1" customWidth="1"/>
    <col min="9" max="9" width="3.85546875" style="1" customWidth="1"/>
    <col min="10" max="10" width="5" style="1" customWidth="1"/>
    <col min="11" max="12" width="7.140625" style="1" customWidth="1"/>
    <col min="13" max="13" width="19" style="1" bestFit="1" customWidth="1"/>
    <col min="14" max="14" width="9.42578125" style="1" customWidth="1"/>
    <col min="15" max="16" width="9.140625" style="1"/>
    <col min="17" max="17" width="17.42578125" style="1" customWidth="1"/>
    <col min="18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66" customFormat="1" ht="15" x14ac:dyDescent="0.25"/>
    <row r="2" spans="1:18" s="866" customFormat="1" ht="15" x14ac:dyDescent="0.25"/>
    <row r="3" spans="1:18" s="866" customFormat="1" ht="15" x14ac:dyDescent="0.25"/>
    <row r="4" spans="1:18" s="866" customFormat="1" ht="15" x14ac:dyDescent="0.25"/>
    <row r="5" spans="1:18" s="866" customFormat="1" ht="15" x14ac:dyDescent="0.25"/>
    <row r="6" spans="1:18" s="866" customFormat="1" ht="15" x14ac:dyDescent="0.25"/>
    <row r="7" spans="1:18" s="866" customFormat="1" ht="15.75" thickBot="1" x14ac:dyDescent="0.3"/>
    <row r="8" spans="1:18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8" s="48" customFormat="1" ht="18" thickBot="1" x14ac:dyDescent="0.3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8" s="48" customFormat="1" ht="20.25" customHeight="1" thickTop="1" x14ac:dyDescent="0.25">
      <c r="A10" s="815">
        <v>1</v>
      </c>
      <c r="B10" s="890" t="s">
        <v>385</v>
      </c>
      <c r="C10" s="890" t="s">
        <v>31</v>
      </c>
      <c r="D10" s="74" t="s">
        <v>604</v>
      </c>
      <c r="E10" s="819">
        <v>12</v>
      </c>
      <c r="F10" s="55">
        <v>13.33333</v>
      </c>
      <c r="G10" s="56">
        <f>E10*F10</f>
        <v>159.99995999999999</v>
      </c>
      <c r="H10" s="819" t="s">
        <v>126</v>
      </c>
      <c r="I10" s="819">
        <v>1</v>
      </c>
      <c r="J10" s="819">
        <v>4</v>
      </c>
      <c r="K10" s="878" t="s">
        <v>118</v>
      </c>
      <c r="L10" s="879"/>
      <c r="M10" s="243">
        <v>41804</v>
      </c>
      <c r="N10" s="52"/>
      <c r="O10" s="880"/>
      <c r="P10" s="881"/>
      <c r="Q10" s="881"/>
      <c r="R10" s="881"/>
    </row>
    <row r="11" spans="1:18" s="48" customFormat="1" ht="20.25" customHeight="1" x14ac:dyDescent="0.25">
      <c r="A11" s="815"/>
      <c r="B11" s="891"/>
      <c r="C11" s="891"/>
      <c r="D11" s="74"/>
      <c r="E11" s="819"/>
      <c r="F11" s="55"/>
      <c r="G11" s="56">
        <f t="shared" ref="G11:G13" si="0">E11*F11</f>
        <v>0</v>
      </c>
      <c r="H11" s="819"/>
      <c r="I11" s="819"/>
      <c r="J11" s="819"/>
      <c r="K11" s="872"/>
      <c r="L11" s="873"/>
      <c r="M11" s="243"/>
      <c r="N11" s="52"/>
      <c r="O11" s="882"/>
      <c r="P11" s="883"/>
      <c r="Q11" s="883"/>
      <c r="R11" s="883"/>
    </row>
    <row r="12" spans="1:18" s="48" customFormat="1" ht="20.25" customHeight="1" x14ac:dyDescent="0.25">
      <c r="A12" s="815"/>
      <c r="B12" s="891"/>
      <c r="C12" s="891"/>
      <c r="D12" s="74"/>
      <c r="E12" s="819"/>
      <c r="F12" s="55"/>
      <c r="G12" s="56">
        <f t="shared" si="0"/>
        <v>0</v>
      </c>
      <c r="H12" s="819"/>
      <c r="I12" s="819"/>
      <c r="J12" s="819"/>
      <c r="K12" s="872"/>
      <c r="L12" s="873"/>
      <c r="M12" s="243"/>
      <c r="N12" s="52"/>
      <c r="O12" s="882"/>
      <c r="P12" s="883"/>
      <c r="Q12" s="883"/>
      <c r="R12" s="883"/>
    </row>
    <row r="13" spans="1:18" s="48" customFormat="1" ht="20.25" customHeight="1" x14ac:dyDescent="0.25">
      <c r="A13" s="815"/>
      <c r="B13" s="891"/>
      <c r="C13" s="891"/>
      <c r="D13" s="74"/>
      <c r="E13" s="819"/>
      <c r="F13" s="55"/>
      <c r="G13" s="56">
        <f t="shared" si="0"/>
        <v>0</v>
      </c>
      <c r="H13" s="819"/>
      <c r="I13" s="819"/>
      <c r="J13" s="819"/>
      <c r="K13" s="872"/>
      <c r="L13" s="873"/>
      <c r="M13" s="243"/>
      <c r="N13" s="52"/>
      <c r="O13" s="882"/>
      <c r="P13" s="883"/>
      <c r="Q13" s="883"/>
      <c r="R13" s="883"/>
    </row>
    <row r="14" spans="1:18" s="816" customFormat="1" ht="26.25" customHeight="1" x14ac:dyDescent="0.25">
      <c r="A14" s="815"/>
      <c r="B14" s="892"/>
      <c r="C14" s="892"/>
      <c r="D14" s="74"/>
      <c r="E14" s="814"/>
      <c r="F14" s="101"/>
      <c r="G14" s="56"/>
      <c r="H14" s="80"/>
      <c r="I14" s="80"/>
      <c r="J14" s="80"/>
      <c r="K14" s="872"/>
      <c r="L14" s="873"/>
      <c r="M14" s="243"/>
      <c r="N14" s="84"/>
      <c r="O14" s="244"/>
      <c r="P14" s="620"/>
      <c r="Q14" s="620"/>
      <c r="R14" s="620"/>
    </row>
    <row r="15" spans="1:18" s="816" customFormat="1" ht="26.25" customHeight="1" x14ac:dyDescent="0.25">
      <c r="A15" s="874" t="s">
        <v>11</v>
      </c>
      <c r="B15" s="875"/>
      <c r="C15" s="875"/>
      <c r="D15" s="875"/>
      <c r="E15" s="821">
        <f>SUM(E10:E14)</f>
        <v>12</v>
      </c>
      <c r="F15" s="73">
        <v>13.33333</v>
      </c>
      <c r="G15" s="56">
        <f>E15*F15</f>
        <v>159.99995999999999</v>
      </c>
      <c r="H15" s="820"/>
      <c r="I15" s="820"/>
      <c r="J15" s="820"/>
      <c r="K15" s="876"/>
      <c r="L15" s="877"/>
      <c r="M15" s="820"/>
      <c r="N15" s="63"/>
      <c r="O15" s="244"/>
      <c r="P15" s="620"/>
      <c r="Q15" s="620"/>
      <c r="R15" s="620"/>
    </row>
    <row r="16" spans="1:18" s="816" customFormat="1" ht="26.25" customHeight="1" x14ac:dyDescent="0.25">
      <c r="A16" s="864"/>
      <c r="B16" s="865"/>
      <c r="C16" s="865"/>
      <c r="D16" s="865"/>
      <c r="E16" s="865"/>
      <c r="F16" s="865"/>
      <c r="G16" s="56"/>
      <c r="H16" s="821"/>
      <c r="I16" s="821"/>
      <c r="J16" s="821"/>
      <c r="K16" s="859"/>
      <c r="L16" s="860"/>
      <c r="M16" s="821"/>
      <c r="N16" s="66"/>
    </row>
    <row r="17" spans="1:14" s="48" customFormat="1" ht="26.25" customHeight="1" thickBot="1" x14ac:dyDescent="0.3">
      <c r="A17" s="864" t="s">
        <v>24</v>
      </c>
      <c r="B17" s="865"/>
      <c r="C17" s="865"/>
      <c r="D17" s="865"/>
      <c r="E17" s="865"/>
      <c r="F17" s="865"/>
      <c r="G17" s="56">
        <f>G15</f>
        <v>159.99995999999999</v>
      </c>
      <c r="H17" s="67"/>
      <c r="I17" s="67"/>
      <c r="J17" s="68" t="s">
        <v>44</v>
      </c>
      <c r="K17" s="67"/>
      <c r="L17" s="68"/>
      <c r="M17" s="69"/>
      <c r="N17" s="70"/>
    </row>
    <row r="18" spans="1:14" s="48" customFormat="1" ht="22.5" customHeight="1" thickBot="1" x14ac:dyDescent="0.3">
      <c r="A18" s="72" t="s">
        <v>5</v>
      </c>
      <c r="B18" s="71" t="s">
        <v>33</v>
      </c>
      <c r="C18" s="857" t="s">
        <v>21</v>
      </c>
      <c r="D18" s="858"/>
      <c r="E18" s="857" t="s">
        <v>34</v>
      </c>
      <c r="F18" s="858"/>
      <c r="G18" s="71" t="s">
        <v>0</v>
      </c>
      <c r="H18" s="71" t="s">
        <v>96</v>
      </c>
      <c r="I18" s="71" t="s">
        <v>26</v>
      </c>
      <c r="J18" s="71" t="s">
        <v>27</v>
      </c>
      <c r="K18" s="863" t="s">
        <v>28</v>
      </c>
      <c r="L18" s="857"/>
      <c r="M18" s="884"/>
      <c r="N18" s="885"/>
    </row>
    <row r="19" spans="1:14" s="818" customFormat="1" ht="26.25" customHeight="1" x14ac:dyDescent="0.25">
      <c r="A19" s="861" t="s">
        <v>35</v>
      </c>
      <c r="B19" s="862"/>
      <c r="C19" s="862"/>
      <c r="D19" s="862"/>
      <c r="E19" s="862"/>
      <c r="F19" s="862"/>
      <c r="G19" s="7">
        <f>G17</f>
        <v>159.99995999999999</v>
      </c>
      <c r="H19" s="8"/>
      <c r="I19" s="8"/>
      <c r="J19" s="8"/>
      <c r="K19" s="8"/>
      <c r="L19" s="8"/>
      <c r="M19" s="8"/>
      <c r="N19" s="9"/>
    </row>
    <row r="20" spans="1:14" s="818" customFormat="1" ht="26.25" customHeight="1" x14ac:dyDescent="0.25">
      <c r="A20" s="10"/>
      <c r="B20" s="11"/>
      <c r="C20" s="888"/>
      <c r="D20" s="889"/>
      <c r="E20" s="886"/>
      <c r="F20" s="887"/>
      <c r="G20" s="12">
        <f>G19-E20</f>
        <v>159.99995999999999</v>
      </c>
      <c r="H20" s="813"/>
      <c r="I20" s="813"/>
      <c r="J20" s="813"/>
      <c r="K20" s="813"/>
      <c r="L20" s="813"/>
      <c r="M20" s="813"/>
      <c r="N20" s="13"/>
    </row>
    <row r="21" spans="1:14" s="818" customFormat="1" ht="26.25" customHeight="1" x14ac:dyDescent="0.25">
      <c r="A21" s="10"/>
      <c r="B21" s="11"/>
      <c r="C21" s="888"/>
      <c r="D21" s="889"/>
      <c r="E21" s="845"/>
      <c r="F21" s="846"/>
      <c r="G21" s="12">
        <f t="shared" ref="G21:G28" si="1">G20-E21</f>
        <v>159.99995999999999</v>
      </c>
      <c r="H21" s="817"/>
      <c r="I21" s="817"/>
      <c r="J21" s="817"/>
      <c r="K21" s="817"/>
      <c r="L21" s="817"/>
      <c r="M21" s="817"/>
      <c r="N21" s="6"/>
    </row>
    <row r="22" spans="1:14" s="818" customFormat="1" ht="26.25" customHeight="1" x14ac:dyDescent="0.25">
      <c r="A22" s="14"/>
      <c r="B22" s="15"/>
      <c r="C22" s="888"/>
      <c r="D22" s="889"/>
      <c r="E22" s="845"/>
      <c r="F22" s="846"/>
      <c r="G22" s="12">
        <f t="shared" si="1"/>
        <v>159.99995999999999</v>
      </c>
      <c r="H22" s="817"/>
      <c r="I22" s="817"/>
      <c r="J22" s="817"/>
      <c r="K22" s="817"/>
      <c r="L22" s="817"/>
      <c r="M22" s="817"/>
      <c r="N22" s="6"/>
    </row>
    <row r="23" spans="1:14" s="818" customFormat="1" ht="26.25" customHeight="1" x14ac:dyDescent="0.25">
      <c r="A23" s="14"/>
      <c r="B23" s="15"/>
      <c r="C23" s="888"/>
      <c r="D23" s="889"/>
      <c r="E23" s="845"/>
      <c r="F23" s="846"/>
      <c r="G23" s="12">
        <f t="shared" si="1"/>
        <v>159.99995999999999</v>
      </c>
      <c r="H23" s="817"/>
      <c r="I23" s="817"/>
      <c r="J23" s="817"/>
      <c r="K23" s="817"/>
      <c r="L23" s="817"/>
      <c r="M23" s="817"/>
      <c r="N23" s="6"/>
    </row>
    <row r="24" spans="1:14" s="818" customFormat="1" ht="26.25" customHeight="1" x14ac:dyDescent="0.25">
      <c r="A24" s="14"/>
      <c r="B24" s="15"/>
      <c r="C24" s="888"/>
      <c r="D24" s="889"/>
      <c r="E24" s="845"/>
      <c r="F24" s="846"/>
      <c r="G24" s="12">
        <f t="shared" si="1"/>
        <v>159.99995999999999</v>
      </c>
      <c r="H24" s="817"/>
      <c r="I24" s="817"/>
      <c r="J24" s="817"/>
      <c r="K24" s="817"/>
      <c r="L24" s="817"/>
      <c r="M24" s="817"/>
      <c r="N24" s="6"/>
    </row>
    <row r="25" spans="1:14" s="818" customFormat="1" ht="26.25" customHeight="1" x14ac:dyDescent="0.25">
      <c r="A25" s="14"/>
      <c r="B25" s="15"/>
      <c r="C25" s="888"/>
      <c r="D25" s="889"/>
      <c r="E25" s="845"/>
      <c r="F25" s="846"/>
      <c r="G25" s="12">
        <f t="shared" si="1"/>
        <v>159.99995999999999</v>
      </c>
      <c r="H25" s="817"/>
      <c r="I25" s="817"/>
      <c r="J25" s="817"/>
      <c r="K25" s="817"/>
      <c r="L25" s="817"/>
      <c r="M25" s="817"/>
      <c r="N25" s="6"/>
    </row>
    <row r="26" spans="1:14" s="818" customFormat="1" ht="26.25" customHeight="1" x14ac:dyDescent="0.25">
      <c r="A26" s="14"/>
      <c r="B26" s="15"/>
      <c r="C26" s="841"/>
      <c r="D26" s="841"/>
      <c r="E26" s="845"/>
      <c r="F26" s="846"/>
      <c r="G26" s="12">
        <f t="shared" si="1"/>
        <v>159.99995999999999</v>
      </c>
      <c r="H26" s="817"/>
      <c r="I26" s="817"/>
      <c r="J26" s="817"/>
      <c r="K26" s="817"/>
      <c r="L26" s="817"/>
      <c r="M26" s="817"/>
      <c r="N26" s="6"/>
    </row>
    <row r="27" spans="1:14" s="818" customFormat="1" ht="26.25" customHeight="1" x14ac:dyDescent="0.25">
      <c r="A27" s="14"/>
      <c r="B27" s="15"/>
      <c r="C27" s="841"/>
      <c r="D27" s="841"/>
      <c r="E27" s="845"/>
      <c r="F27" s="846"/>
      <c r="G27" s="12">
        <f t="shared" si="1"/>
        <v>159.99995999999999</v>
      </c>
      <c r="H27" s="817"/>
      <c r="I27" s="817"/>
      <c r="J27" s="817"/>
      <c r="K27" s="817"/>
      <c r="L27" s="817"/>
      <c r="M27" s="817"/>
      <c r="N27" s="6"/>
    </row>
    <row r="28" spans="1:14" s="818" customFormat="1" ht="26.25" customHeight="1" x14ac:dyDescent="0.25">
      <c r="A28" s="16"/>
      <c r="B28" s="17"/>
      <c r="C28" s="847"/>
      <c r="D28" s="848"/>
      <c r="E28" s="849"/>
      <c r="F28" s="850"/>
      <c r="G28" s="12">
        <f t="shared" si="1"/>
        <v>159.99995999999999</v>
      </c>
      <c r="H28" s="18"/>
      <c r="I28" s="18"/>
      <c r="J28" s="18"/>
      <c r="K28" s="18"/>
      <c r="L28" s="18"/>
      <c r="M28" s="18"/>
      <c r="N28" s="19"/>
    </row>
    <row r="29" spans="1:14" s="23" customFormat="1" ht="26.25" customHeight="1" thickBot="1" x14ac:dyDescent="0.3">
      <c r="A29" s="851" t="s">
        <v>36</v>
      </c>
      <c r="B29" s="852"/>
      <c r="C29" s="852"/>
      <c r="D29" s="852"/>
      <c r="E29" s="853">
        <f>SUM(E20:F28)</f>
        <v>0</v>
      </c>
      <c r="F29" s="854"/>
      <c r="G29" s="12"/>
      <c r="H29" s="21"/>
      <c r="I29" s="21"/>
      <c r="J29" s="21"/>
      <c r="K29" s="21"/>
      <c r="L29" s="21"/>
      <c r="M29" s="21"/>
      <c r="N29" s="22"/>
    </row>
    <row r="30" spans="1:14" s="818" customFormat="1" ht="26.25" customHeight="1" thickTop="1" x14ac:dyDescent="0.25">
      <c r="A30" s="24"/>
      <c r="E30" s="844"/>
      <c r="F30" s="844"/>
    </row>
    <row r="31" spans="1:14" s="818" customFormat="1" ht="26.25" customHeight="1" x14ac:dyDescent="0.3">
      <c r="A31" s="25" t="s">
        <v>41</v>
      </c>
      <c r="B31" s="25"/>
      <c r="C31" s="25"/>
      <c r="D31" s="25" t="s">
        <v>81</v>
      </c>
      <c r="E31" s="25"/>
      <c r="F31" s="26"/>
      <c r="G31" s="25" t="s">
        <v>38</v>
      </c>
      <c r="H31" s="25"/>
      <c r="I31" s="25"/>
      <c r="J31" s="25"/>
      <c r="K31" s="25"/>
      <c r="L31" s="25" t="s">
        <v>39</v>
      </c>
      <c r="M31" s="28"/>
      <c r="N31" s="26"/>
    </row>
    <row r="32" spans="1:14" s="818" customFormat="1" ht="26.25" customHeight="1" x14ac:dyDescent="0.3">
      <c r="A32" s="25"/>
      <c r="B32" s="25"/>
      <c r="C32" s="25"/>
      <c r="D32" s="25"/>
      <c r="E32" s="25"/>
      <c r="F32" s="26"/>
      <c r="G32" s="25"/>
      <c r="H32" s="25"/>
      <c r="I32" s="25"/>
      <c r="J32" s="25"/>
      <c r="K32" s="25"/>
      <c r="L32" s="25"/>
      <c r="M32" s="28"/>
      <c r="N32" s="26"/>
    </row>
    <row r="33" spans="1:14" s="818" customFormat="1" ht="26.25" customHeight="1" x14ac:dyDescent="0.3">
      <c r="A33" s="25"/>
      <c r="B33" s="25"/>
      <c r="C33" s="25"/>
      <c r="D33" s="25"/>
      <c r="E33" s="25"/>
      <c r="F33" s="26"/>
      <c r="G33" s="25"/>
      <c r="H33" s="25"/>
      <c r="I33" s="25"/>
      <c r="J33" s="25"/>
      <c r="K33" s="25"/>
      <c r="L33" s="25"/>
      <c r="M33" s="28"/>
      <c r="N33" s="26"/>
    </row>
    <row r="34" spans="1:14" s="818" customFormat="1" ht="26.25" customHeight="1" x14ac:dyDescent="0.3">
      <c r="A34" s="25"/>
      <c r="B34" s="25"/>
      <c r="C34" s="25"/>
      <c r="D34" s="25"/>
      <c r="E34" s="25"/>
      <c r="F34" s="26"/>
      <c r="G34" s="25"/>
      <c r="H34" s="25"/>
      <c r="I34" s="25"/>
      <c r="J34" s="25"/>
      <c r="K34" s="25"/>
      <c r="L34" s="25"/>
      <c r="M34" s="28"/>
      <c r="N34" s="26"/>
    </row>
    <row r="35" spans="1:14" s="818" customFormat="1" ht="26.25" customHeight="1" x14ac:dyDescent="0.3">
      <c r="A35" s="29"/>
      <c r="B35" s="25"/>
      <c r="C35" s="25"/>
      <c r="D35" s="29"/>
      <c r="E35" s="29"/>
      <c r="F35" s="26"/>
      <c r="G35" s="29"/>
      <c r="H35" s="25"/>
      <c r="I35" s="25"/>
      <c r="J35" s="25"/>
      <c r="K35" s="25"/>
      <c r="L35" s="27"/>
      <c r="M35" s="28"/>
      <c r="N35" s="26"/>
    </row>
    <row r="36" spans="1:14" s="30" customFormat="1" ht="17.25" x14ac:dyDescent="0.3">
      <c r="A36" s="25" t="s">
        <v>48</v>
      </c>
      <c r="B36" s="25"/>
      <c r="C36" s="25" t="s">
        <v>80</v>
      </c>
      <c r="D36" s="25"/>
      <c r="G36" s="25" t="str">
        <f>B10</f>
        <v>Ham Hak</v>
      </c>
      <c r="H36" s="25"/>
      <c r="I36" s="25"/>
      <c r="J36" s="25"/>
      <c r="K36" s="829" t="s">
        <v>90</v>
      </c>
      <c r="L36" s="829"/>
      <c r="M36" s="829"/>
      <c r="N36" s="829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  <row r="43" spans="1:14" s="30" customFormat="1" ht="16.5" x14ac:dyDescent="0.3">
      <c r="A43" s="32"/>
    </row>
    <row r="44" spans="1:14" s="30" customFormat="1" ht="16.5" x14ac:dyDescent="0.3">
      <c r="A44" s="32"/>
    </row>
    <row r="45" spans="1:14" s="30" customFormat="1" ht="16.5" x14ac:dyDescent="0.3">
      <c r="A45" s="32"/>
    </row>
  </sheetData>
  <mergeCells count="43">
    <mergeCell ref="A17:F17"/>
    <mergeCell ref="C18:D18"/>
    <mergeCell ref="E18:F18"/>
    <mergeCell ref="K18:L18"/>
    <mergeCell ref="A1:XFD7"/>
    <mergeCell ref="A8:N8"/>
    <mergeCell ref="K9:L9"/>
    <mergeCell ref="B10:B14"/>
    <mergeCell ref="C10:C14"/>
    <mergeCell ref="K10:L10"/>
    <mergeCell ref="O10:R13"/>
    <mergeCell ref="K11:L11"/>
    <mergeCell ref="K12:L12"/>
    <mergeCell ref="K13:L13"/>
    <mergeCell ref="K14:L14"/>
    <mergeCell ref="A15:D15"/>
    <mergeCell ref="K15:L15"/>
    <mergeCell ref="A16:F16"/>
    <mergeCell ref="K16:L16"/>
    <mergeCell ref="M18:N18"/>
    <mergeCell ref="A19:F19"/>
    <mergeCell ref="C21:D21"/>
    <mergeCell ref="E21:F21"/>
    <mergeCell ref="C22:D22"/>
    <mergeCell ref="E22:F22"/>
    <mergeCell ref="C20:D20"/>
    <mergeCell ref="E20:F20"/>
    <mergeCell ref="C23:D23"/>
    <mergeCell ref="E23:F23"/>
    <mergeCell ref="C24:D24"/>
    <mergeCell ref="E24:F24"/>
    <mergeCell ref="C25:D25"/>
    <mergeCell ref="E25:F25"/>
    <mergeCell ref="C26:D26"/>
    <mergeCell ref="E26:F26"/>
    <mergeCell ref="E30:F30"/>
    <mergeCell ref="K36:N36"/>
    <mergeCell ref="C27:D27"/>
    <mergeCell ref="E27:F27"/>
    <mergeCell ref="C28:D28"/>
    <mergeCell ref="E28:F28"/>
    <mergeCell ref="A29:D29"/>
    <mergeCell ref="E29:F29"/>
  </mergeCells>
  <printOptions horizontalCentered="1"/>
  <pageMargins left="0.46" right="0.2" top="0.47" bottom="0.25" header="0.5" footer="0.5"/>
  <pageSetup scale="70" orientation="portrait" verticalDpi="30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0"/>
  <sheetViews>
    <sheetView workbookViewId="0">
      <pane xSplit="3" ySplit="9" topLeftCell="D28" activePane="bottomRight" state="frozen"/>
      <selection pane="topRight" activeCell="D1" sqref="D1"/>
      <selection pane="bottomLeft" activeCell="A10" sqref="A10"/>
      <selection pane="bottomRight" activeCell="M40" sqref="M40"/>
    </sheetView>
  </sheetViews>
  <sheetFormatPr defaultRowHeight="13.5" x14ac:dyDescent="0.25"/>
  <cols>
    <col min="1" max="1" width="16.140625" style="33" customWidth="1"/>
    <col min="2" max="2" width="19.140625" style="1" customWidth="1"/>
    <col min="3" max="3" width="5.5703125" style="1" customWidth="1"/>
    <col min="4" max="4" width="18.7109375" style="1" customWidth="1"/>
    <col min="5" max="5" width="8.42578125" style="1" customWidth="1"/>
    <col min="6" max="6" width="10.5703125" style="1" customWidth="1"/>
    <col min="7" max="7" width="16.42578125" style="1" customWidth="1"/>
    <col min="8" max="8" width="3.7109375" style="1" customWidth="1"/>
    <col min="9" max="9" width="3.85546875" style="1" customWidth="1"/>
    <col min="10" max="10" width="5" style="1" customWidth="1"/>
    <col min="11" max="12" width="7.140625" style="1" customWidth="1"/>
    <col min="13" max="13" width="17.7109375" style="1" customWidth="1"/>
    <col min="14" max="14" width="9.42578125" style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9" s="866" customFormat="1" ht="15" x14ac:dyDescent="0.25"/>
    <row r="2" spans="1:19" s="866" customFormat="1" ht="15" x14ac:dyDescent="0.25"/>
    <row r="3" spans="1:19" s="866" customFormat="1" ht="15" x14ac:dyDescent="0.25"/>
    <row r="4" spans="1:19" s="866" customFormat="1" ht="15" x14ac:dyDescent="0.25"/>
    <row r="5" spans="1:19" s="866" customFormat="1" ht="15" x14ac:dyDescent="0.25"/>
    <row r="6" spans="1:19" s="866" customFormat="1" ht="15" x14ac:dyDescent="0.25"/>
    <row r="7" spans="1:19" s="866" customFormat="1" ht="15.75" thickBot="1" x14ac:dyDescent="0.3"/>
    <row r="8" spans="1:19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9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9" s="48" customFormat="1" ht="20.25" customHeight="1" x14ac:dyDescent="0.25">
      <c r="A10" s="224">
        <v>1</v>
      </c>
      <c r="B10" s="225" t="s">
        <v>57</v>
      </c>
      <c r="C10" s="225" t="s">
        <v>31</v>
      </c>
      <c r="D10" s="74" t="s">
        <v>101</v>
      </c>
      <c r="E10" s="226">
        <f>7.5+12+9+7.5+9</f>
        <v>45</v>
      </c>
      <c r="F10" s="55">
        <v>4</v>
      </c>
      <c r="G10" s="56">
        <f>E10*F10</f>
        <v>180</v>
      </c>
      <c r="H10" s="226" t="s">
        <v>102</v>
      </c>
      <c r="I10" s="226">
        <v>2</v>
      </c>
      <c r="J10" s="226">
        <v>11</v>
      </c>
      <c r="K10" s="221" t="s">
        <v>74</v>
      </c>
      <c r="L10" s="222"/>
      <c r="M10" s="801">
        <v>41505</v>
      </c>
      <c r="N10" s="52"/>
      <c r="O10" s="882" t="s">
        <v>130</v>
      </c>
      <c r="P10" s="883"/>
      <c r="Q10" s="883"/>
      <c r="R10" s="883"/>
      <c r="S10" s="246"/>
    </row>
    <row r="11" spans="1:19" s="48" customFormat="1" ht="20.25" customHeight="1" x14ac:dyDescent="0.25">
      <c r="A11" s="609">
        <v>2</v>
      </c>
      <c r="B11" s="607" t="s">
        <v>57</v>
      </c>
      <c r="C11" s="607" t="s">
        <v>31</v>
      </c>
      <c r="D11" s="74" t="s">
        <v>70</v>
      </c>
      <c r="E11" s="613">
        <f>7.5+4.5+4.5+4.5+13.5+10.5</f>
        <v>45</v>
      </c>
      <c r="F11" s="55">
        <v>4</v>
      </c>
      <c r="G11" s="56">
        <f>E11*F11</f>
        <v>180</v>
      </c>
      <c r="H11" s="613" t="s">
        <v>98</v>
      </c>
      <c r="I11" s="613">
        <v>3</v>
      </c>
      <c r="J11" s="613">
        <v>10</v>
      </c>
      <c r="K11" s="602" t="s">
        <v>74</v>
      </c>
      <c r="L11" s="603"/>
      <c r="M11" s="801">
        <v>41506</v>
      </c>
      <c r="N11" s="52"/>
      <c r="O11" s="882"/>
      <c r="P11" s="883"/>
      <c r="Q11" s="883"/>
      <c r="R11" s="883"/>
      <c r="S11" s="246"/>
    </row>
    <row r="12" spans="1:19" s="48" customFormat="1" ht="20.25" customHeight="1" x14ac:dyDescent="0.25">
      <c r="A12" s="609">
        <v>3</v>
      </c>
      <c r="B12" s="607" t="s">
        <v>57</v>
      </c>
      <c r="C12" s="607" t="s">
        <v>31</v>
      </c>
      <c r="D12" s="74" t="s">
        <v>120</v>
      </c>
      <c r="E12" s="613">
        <f>2+5+5+8+14+11</f>
        <v>45</v>
      </c>
      <c r="F12" s="55">
        <v>4</v>
      </c>
      <c r="G12" s="56">
        <f t="shared" ref="G12:G17" si="0">E12*F12</f>
        <v>180</v>
      </c>
      <c r="H12" s="613" t="s">
        <v>64</v>
      </c>
      <c r="I12" s="613">
        <v>2</v>
      </c>
      <c r="J12" s="613">
        <v>10</v>
      </c>
      <c r="K12" s="895" t="s">
        <v>227</v>
      </c>
      <c r="L12" s="896"/>
      <c r="M12" s="801">
        <v>41538</v>
      </c>
      <c r="N12" s="52"/>
      <c r="O12" s="882"/>
      <c r="P12" s="883"/>
      <c r="Q12" s="883"/>
      <c r="R12" s="883"/>
      <c r="S12" s="246"/>
    </row>
    <row r="13" spans="1:19" s="48" customFormat="1" ht="20.25" customHeight="1" x14ac:dyDescent="0.25">
      <c r="A13" s="609">
        <v>4</v>
      </c>
      <c r="B13" s="607" t="s">
        <v>57</v>
      </c>
      <c r="C13" s="607" t="s">
        <v>31</v>
      </c>
      <c r="D13" s="74" t="s">
        <v>286</v>
      </c>
      <c r="E13" s="613">
        <f>5+8+11+10+11</f>
        <v>45</v>
      </c>
      <c r="F13" s="55">
        <v>4</v>
      </c>
      <c r="G13" s="56">
        <f t="shared" si="0"/>
        <v>180</v>
      </c>
      <c r="H13" s="613" t="s">
        <v>107</v>
      </c>
      <c r="I13" s="613">
        <v>1</v>
      </c>
      <c r="J13" s="613">
        <v>12</v>
      </c>
      <c r="K13" s="895" t="s">
        <v>74</v>
      </c>
      <c r="L13" s="896"/>
      <c r="M13" s="801">
        <v>41556</v>
      </c>
      <c r="N13" s="52"/>
      <c r="O13" s="882"/>
      <c r="P13" s="883"/>
      <c r="Q13" s="883"/>
      <c r="R13" s="883"/>
      <c r="S13" s="246"/>
    </row>
    <row r="14" spans="1:19" s="48" customFormat="1" ht="20.25" customHeight="1" x14ac:dyDescent="0.25">
      <c r="A14" s="224" t="s">
        <v>438</v>
      </c>
      <c r="B14" s="225"/>
      <c r="C14" s="225"/>
      <c r="D14" s="74"/>
      <c r="E14" s="226"/>
      <c r="F14" s="55"/>
      <c r="G14" s="56">
        <f t="shared" si="0"/>
        <v>0</v>
      </c>
      <c r="H14" s="226"/>
      <c r="I14" s="226"/>
      <c r="J14" s="226"/>
      <c r="K14" s="221"/>
      <c r="L14" s="222"/>
      <c r="M14" s="801"/>
      <c r="N14" s="52"/>
      <c r="O14" s="244"/>
      <c r="P14" s="620"/>
      <c r="Q14" s="620"/>
      <c r="R14" s="620"/>
      <c r="S14" s="246"/>
    </row>
    <row r="15" spans="1:19" s="48" customFormat="1" ht="20.25" customHeight="1" x14ac:dyDescent="0.25">
      <c r="A15" s="463">
        <v>1</v>
      </c>
      <c r="B15" s="461"/>
      <c r="C15" s="461"/>
      <c r="D15" s="74" t="s">
        <v>440</v>
      </c>
      <c r="E15" s="464">
        <f>15+9+9+12</f>
        <v>45</v>
      </c>
      <c r="F15" s="55">
        <v>4</v>
      </c>
      <c r="G15" s="56">
        <f t="shared" si="0"/>
        <v>180</v>
      </c>
      <c r="H15" s="613" t="s">
        <v>102</v>
      </c>
      <c r="I15" s="464">
        <v>2</v>
      </c>
      <c r="J15" s="464">
        <v>11</v>
      </c>
      <c r="K15" s="895" t="s">
        <v>74</v>
      </c>
      <c r="L15" s="896"/>
      <c r="M15" s="801">
        <v>41666</v>
      </c>
      <c r="N15" s="52"/>
      <c r="O15" s="459"/>
      <c r="P15" s="460"/>
      <c r="Q15" s="460"/>
      <c r="R15" s="460"/>
      <c r="S15" s="246"/>
    </row>
    <row r="16" spans="1:19" s="59" customFormat="1" ht="26.25" customHeight="1" x14ac:dyDescent="0.25">
      <c r="A16" s="224">
        <v>2</v>
      </c>
      <c r="B16" s="461"/>
      <c r="C16" s="423"/>
      <c r="D16" s="74" t="s">
        <v>546</v>
      </c>
      <c r="E16" s="226">
        <f>21+12</f>
        <v>33</v>
      </c>
      <c r="F16" s="55">
        <v>4</v>
      </c>
      <c r="G16" s="56">
        <f t="shared" si="0"/>
        <v>132</v>
      </c>
      <c r="H16" s="800" t="s">
        <v>547</v>
      </c>
      <c r="I16" s="226">
        <v>2</v>
      </c>
      <c r="J16" s="226">
        <v>11</v>
      </c>
      <c r="K16" s="895" t="s">
        <v>118</v>
      </c>
      <c r="L16" s="896"/>
      <c r="M16" s="801">
        <v>41727</v>
      </c>
      <c r="N16" s="58"/>
      <c r="O16" s="244"/>
      <c r="P16" s="245"/>
      <c r="Q16" s="245"/>
    </row>
    <row r="17" spans="1:17" s="751" customFormat="1" ht="26.25" customHeight="1" x14ac:dyDescent="0.25">
      <c r="A17" s="750">
        <v>3</v>
      </c>
      <c r="B17" s="747"/>
      <c r="C17" s="747"/>
      <c r="D17" s="74" t="s">
        <v>286</v>
      </c>
      <c r="E17" s="748">
        <f>7+12+6</f>
        <v>25</v>
      </c>
      <c r="F17" s="101">
        <v>4</v>
      </c>
      <c r="G17" s="56">
        <f t="shared" si="0"/>
        <v>100</v>
      </c>
      <c r="H17" s="80" t="s">
        <v>98</v>
      </c>
      <c r="I17" s="80">
        <v>3</v>
      </c>
      <c r="J17" s="80">
        <v>10</v>
      </c>
      <c r="K17" s="895" t="s">
        <v>118</v>
      </c>
      <c r="L17" s="896"/>
      <c r="M17" s="801">
        <v>41728</v>
      </c>
      <c r="N17" s="84"/>
      <c r="O17" s="620"/>
      <c r="P17" s="245"/>
      <c r="Q17" s="245"/>
    </row>
    <row r="18" spans="1:17" s="751" customFormat="1" ht="26.25" customHeight="1" x14ac:dyDescent="0.25">
      <c r="A18" s="750"/>
      <c r="B18" s="747"/>
      <c r="C18" s="747"/>
      <c r="D18" s="74"/>
      <c r="E18" s="748"/>
      <c r="F18" s="101"/>
      <c r="G18" s="56"/>
      <c r="H18" s="80"/>
      <c r="I18" s="80"/>
      <c r="J18" s="80"/>
      <c r="K18" s="895"/>
      <c r="L18" s="896"/>
      <c r="M18" s="801"/>
      <c r="N18" s="84"/>
      <c r="O18" s="620"/>
      <c r="P18" s="245"/>
      <c r="Q18" s="245"/>
    </row>
    <row r="19" spans="1:17" s="59" customFormat="1" ht="26.25" customHeight="1" x14ac:dyDescent="0.25">
      <c r="A19" s="874" t="s">
        <v>11</v>
      </c>
      <c r="B19" s="875"/>
      <c r="C19" s="875"/>
      <c r="D19" s="875"/>
      <c r="E19" s="229">
        <f>SUM(E10:E18)</f>
        <v>283</v>
      </c>
      <c r="F19" s="73">
        <v>4</v>
      </c>
      <c r="G19" s="56">
        <f>E19*F19</f>
        <v>1132</v>
      </c>
      <c r="H19" s="227"/>
      <c r="I19" s="227"/>
      <c r="J19" s="227"/>
      <c r="K19" s="876"/>
      <c r="L19" s="877"/>
      <c r="M19" s="227"/>
      <c r="N19" s="63"/>
    </row>
    <row r="20" spans="1:17" s="59" customFormat="1" ht="26.25" customHeight="1" x14ac:dyDescent="0.25">
      <c r="A20" s="864" t="s">
        <v>24</v>
      </c>
      <c r="B20" s="865"/>
      <c r="C20" s="865"/>
      <c r="D20" s="865"/>
      <c r="E20" s="865"/>
      <c r="F20" s="865"/>
      <c r="G20" s="64">
        <f>G19</f>
        <v>1132</v>
      </c>
      <c r="H20" s="229"/>
      <c r="I20" s="229"/>
      <c r="J20" s="229"/>
      <c r="K20" s="859"/>
      <c r="L20" s="860"/>
      <c r="M20" s="229"/>
      <c r="N20" s="66"/>
    </row>
    <row r="21" spans="1:17" s="48" customFormat="1" ht="26.25" customHeight="1" thickBot="1" x14ac:dyDescent="0.3">
      <c r="A21" s="864" t="s">
        <v>24</v>
      </c>
      <c r="B21" s="865"/>
      <c r="C21" s="865"/>
      <c r="D21" s="865"/>
      <c r="E21" s="865"/>
      <c r="F21" s="865"/>
      <c r="G21" s="64"/>
      <c r="H21" s="67"/>
      <c r="I21" s="67"/>
      <c r="J21" s="68" t="s">
        <v>44</v>
      </c>
      <c r="K21" s="67"/>
      <c r="L21" s="68"/>
      <c r="M21" s="69"/>
      <c r="N21" s="70"/>
    </row>
    <row r="22" spans="1:17" s="48" customFormat="1" ht="22.5" customHeight="1" thickBot="1" x14ac:dyDescent="0.3">
      <c r="A22" s="72" t="s">
        <v>5</v>
      </c>
      <c r="B22" s="71" t="s">
        <v>33</v>
      </c>
      <c r="C22" s="857" t="s">
        <v>21</v>
      </c>
      <c r="D22" s="858"/>
      <c r="E22" s="857" t="s">
        <v>34</v>
      </c>
      <c r="F22" s="858"/>
      <c r="G22" s="71" t="s">
        <v>0</v>
      </c>
      <c r="H22" s="71" t="s">
        <v>96</v>
      </c>
      <c r="I22" s="71" t="s">
        <v>26</v>
      </c>
      <c r="J22" s="71" t="s">
        <v>27</v>
      </c>
      <c r="K22" s="863" t="s">
        <v>28</v>
      </c>
      <c r="L22" s="857"/>
      <c r="M22" s="884"/>
      <c r="N22" s="885"/>
    </row>
    <row r="23" spans="1:17" s="3" customFormat="1" ht="26.25" customHeight="1" x14ac:dyDescent="0.25">
      <c r="A23" s="861" t="s">
        <v>35</v>
      </c>
      <c r="B23" s="862"/>
      <c r="C23" s="862"/>
      <c r="D23" s="862"/>
      <c r="E23" s="862"/>
      <c r="F23" s="862"/>
      <c r="G23" s="7">
        <f>G20</f>
        <v>1132</v>
      </c>
      <c r="H23" s="8"/>
      <c r="I23" s="8"/>
      <c r="J23" s="8"/>
      <c r="K23" s="8"/>
      <c r="L23" s="8"/>
      <c r="M23" s="8"/>
      <c r="N23" s="9"/>
    </row>
    <row r="24" spans="1:17" s="3" customFormat="1" ht="26.25" customHeight="1" x14ac:dyDescent="0.25">
      <c r="A24" s="10" t="s">
        <v>214</v>
      </c>
      <c r="B24" s="11">
        <v>41515</v>
      </c>
      <c r="C24" s="469" t="s">
        <v>70</v>
      </c>
      <c r="D24" s="469"/>
      <c r="E24" s="855">
        <v>60</v>
      </c>
      <c r="F24" s="855"/>
      <c r="G24" s="12">
        <f>G23-E24</f>
        <v>1072</v>
      </c>
      <c r="H24" s="220"/>
      <c r="I24" s="220"/>
      <c r="J24" s="220"/>
      <c r="K24" s="220"/>
      <c r="L24" s="220"/>
      <c r="M24" s="220"/>
      <c r="N24" s="13"/>
    </row>
    <row r="25" spans="1:17" s="3" customFormat="1" ht="26.25" customHeight="1" x14ac:dyDescent="0.25">
      <c r="A25" s="10" t="s">
        <v>300</v>
      </c>
      <c r="B25" s="11">
        <v>41578</v>
      </c>
      <c r="C25" s="469" t="s">
        <v>70</v>
      </c>
      <c r="D25" s="469"/>
      <c r="E25" s="856">
        <v>84</v>
      </c>
      <c r="F25" s="856"/>
      <c r="G25" s="12">
        <f>G24-E25</f>
        <v>988</v>
      </c>
      <c r="H25" s="223"/>
      <c r="I25" s="223"/>
      <c r="J25" s="223"/>
      <c r="K25" s="223"/>
      <c r="L25" s="223"/>
      <c r="M25" s="223"/>
      <c r="N25" s="6"/>
    </row>
    <row r="26" spans="1:17" s="3" customFormat="1" ht="26.25" customHeight="1" x14ac:dyDescent="0.25">
      <c r="A26" s="10" t="s">
        <v>321</v>
      </c>
      <c r="B26" s="11">
        <v>41612</v>
      </c>
      <c r="C26" s="487" t="s">
        <v>70</v>
      </c>
      <c r="D26" s="487"/>
      <c r="E26" s="856">
        <v>90</v>
      </c>
      <c r="F26" s="856"/>
      <c r="G26" s="12">
        <f>G25-E26</f>
        <v>898</v>
      </c>
      <c r="H26" s="223"/>
      <c r="I26" s="223"/>
      <c r="J26" s="223"/>
      <c r="K26" s="223"/>
      <c r="L26" s="223"/>
      <c r="M26" s="223"/>
      <c r="N26" s="6"/>
    </row>
    <row r="27" spans="1:17" s="3" customFormat="1" ht="26.25" customHeight="1" x14ac:dyDescent="0.25">
      <c r="A27" s="10" t="s">
        <v>370</v>
      </c>
      <c r="B27" s="11">
        <v>41645</v>
      </c>
      <c r="C27" s="550" t="s">
        <v>70</v>
      </c>
      <c r="D27" s="550"/>
      <c r="E27" s="845">
        <v>130</v>
      </c>
      <c r="F27" s="846"/>
      <c r="G27" s="12">
        <f t="shared" ref="G27:G32" si="1">G26-E27</f>
        <v>768</v>
      </c>
      <c r="H27" s="223"/>
      <c r="I27" s="223"/>
      <c r="J27" s="223"/>
      <c r="K27" s="223"/>
      <c r="L27" s="223"/>
      <c r="M27" s="223"/>
      <c r="N27" s="6"/>
    </row>
    <row r="28" spans="1:17" s="3" customFormat="1" ht="26.25" customHeight="1" x14ac:dyDescent="0.25">
      <c r="A28" s="14" t="s">
        <v>465</v>
      </c>
      <c r="B28" s="15">
        <v>41703</v>
      </c>
      <c r="C28" s="666" t="s">
        <v>70</v>
      </c>
      <c r="D28" s="666"/>
      <c r="E28" s="842">
        <v>130</v>
      </c>
      <c r="F28" s="843"/>
      <c r="G28" s="12">
        <f t="shared" si="1"/>
        <v>638</v>
      </c>
      <c r="H28" s="223"/>
      <c r="I28" s="223"/>
      <c r="J28" s="223"/>
      <c r="K28" s="223"/>
      <c r="L28" s="223"/>
      <c r="M28" s="223"/>
      <c r="N28" s="6"/>
    </row>
    <row r="29" spans="1:17" s="3" customFormat="1" ht="26.25" customHeight="1" x14ac:dyDescent="0.25">
      <c r="A29" s="14" t="s">
        <v>537</v>
      </c>
      <c r="B29" s="15">
        <v>41739</v>
      </c>
      <c r="C29" s="740" t="s">
        <v>70</v>
      </c>
      <c r="D29" s="740"/>
      <c r="E29" s="845">
        <v>160</v>
      </c>
      <c r="F29" s="846"/>
      <c r="G29" s="12">
        <f t="shared" si="1"/>
        <v>478</v>
      </c>
      <c r="H29" s="223"/>
      <c r="I29" s="223"/>
      <c r="J29" s="223"/>
      <c r="K29" s="223"/>
      <c r="L29" s="223"/>
      <c r="M29" s="223"/>
      <c r="N29" s="6"/>
    </row>
    <row r="30" spans="1:17" s="3" customFormat="1" ht="26.25" customHeight="1" x14ac:dyDescent="0.25">
      <c r="A30" s="14" t="s">
        <v>563</v>
      </c>
      <c r="B30" s="15">
        <v>41768</v>
      </c>
      <c r="C30" s="763" t="s">
        <v>70</v>
      </c>
      <c r="D30" s="763"/>
      <c r="E30" s="845">
        <v>210</v>
      </c>
      <c r="F30" s="846"/>
      <c r="G30" s="12">
        <f t="shared" si="1"/>
        <v>268</v>
      </c>
      <c r="H30" s="223"/>
      <c r="I30" s="223"/>
      <c r="J30" s="223"/>
      <c r="K30" s="223"/>
      <c r="L30" s="223"/>
      <c r="M30" s="223"/>
      <c r="N30" s="6"/>
    </row>
    <row r="31" spans="1:17" s="3" customFormat="1" ht="26.25" customHeight="1" x14ac:dyDescent="0.25">
      <c r="A31" s="14" t="s">
        <v>592</v>
      </c>
      <c r="B31" s="15">
        <v>41793</v>
      </c>
      <c r="C31" s="807" t="s">
        <v>70</v>
      </c>
      <c r="D31" s="807"/>
      <c r="E31" s="845">
        <v>120</v>
      </c>
      <c r="F31" s="846"/>
      <c r="G31" s="12">
        <f t="shared" si="1"/>
        <v>148</v>
      </c>
      <c r="H31" s="223"/>
      <c r="I31" s="223"/>
      <c r="J31" s="223"/>
      <c r="K31" s="223"/>
      <c r="L31" s="223"/>
      <c r="M31" s="223"/>
      <c r="N31" s="6"/>
    </row>
    <row r="32" spans="1:17" s="3" customFormat="1" ht="26.25" customHeight="1" x14ac:dyDescent="0.25">
      <c r="A32" s="14"/>
      <c r="B32" s="15"/>
      <c r="C32" s="893"/>
      <c r="D32" s="894"/>
      <c r="E32" s="845"/>
      <c r="F32" s="846"/>
      <c r="G32" s="12">
        <f t="shared" si="1"/>
        <v>148</v>
      </c>
      <c r="H32" s="223"/>
      <c r="I32" s="223"/>
      <c r="J32" s="223"/>
      <c r="K32" s="223"/>
      <c r="L32" s="223"/>
      <c r="M32" s="223"/>
      <c r="N32" s="6"/>
    </row>
    <row r="33" spans="1:14" s="3" customFormat="1" ht="26.25" customHeight="1" x14ac:dyDescent="0.25">
      <c r="A33" s="16"/>
      <c r="B33" s="17"/>
      <c r="C33" s="847"/>
      <c r="D33" s="848"/>
      <c r="E33" s="849"/>
      <c r="F33" s="850"/>
      <c r="G33" s="12">
        <f>G32-E33</f>
        <v>148</v>
      </c>
      <c r="H33" s="18"/>
      <c r="I33" s="18"/>
      <c r="J33" s="18"/>
      <c r="K33" s="18"/>
      <c r="L33" s="18"/>
      <c r="M33" s="18"/>
      <c r="N33" s="19"/>
    </row>
    <row r="34" spans="1:14" s="23" customFormat="1" ht="26.25" customHeight="1" thickBot="1" x14ac:dyDescent="0.3">
      <c r="A34" s="851" t="s">
        <v>36</v>
      </c>
      <c r="B34" s="852"/>
      <c r="C34" s="852"/>
      <c r="D34" s="852"/>
      <c r="E34" s="853">
        <f>SUM(E24:F33)</f>
        <v>984</v>
      </c>
      <c r="F34" s="854"/>
      <c r="G34" s="12"/>
      <c r="H34" s="21"/>
      <c r="I34" s="21"/>
      <c r="J34" s="21"/>
      <c r="K34" s="21"/>
      <c r="L34" s="21"/>
      <c r="M34" s="21"/>
      <c r="N34" s="22"/>
    </row>
    <row r="35" spans="1:14" s="3" customFormat="1" ht="26.25" customHeight="1" thickTop="1" x14ac:dyDescent="0.25">
      <c r="A35" s="24"/>
      <c r="E35" s="844"/>
      <c r="F35" s="844"/>
    </row>
    <row r="36" spans="1:14" s="3" customFormat="1" ht="26.25" customHeight="1" x14ac:dyDescent="0.3">
      <c r="A36" s="25" t="s">
        <v>41</v>
      </c>
      <c r="B36" s="25"/>
      <c r="C36" s="25"/>
      <c r="D36" s="25" t="s">
        <v>81</v>
      </c>
      <c r="E36" s="25"/>
      <c r="F36" s="26"/>
      <c r="G36" s="25" t="s">
        <v>38</v>
      </c>
      <c r="H36" s="25"/>
      <c r="I36" s="25"/>
      <c r="J36" s="25"/>
      <c r="K36" s="25"/>
      <c r="L36" s="25" t="s">
        <v>39</v>
      </c>
      <c r="M36" s="28"/>
      <c r="N36" s="26"/>
    </row>
    <row r="37" spans="1:14" s="3" customFormat="1" ht="26.25" customHeight="1" x14ac:dyDescent="0.3">
      <c r="A37" s="25"/>
      <c r="B37" s="25"/>
      <c r="C37" s="25"/>
      <c r="D37" s="25"/>
      <c r="E37" s="25"/>
      <c r="F37" s="26"/>
      <c r="G37" s="25"/>
      <c r="H37" s="25"/>
      <c r="I37" s="25"/>
      <c r="J37" s="25"/>
      <c r="K37" s="25"/>
      <c r="L37" s="25"/>
      <c r="M37" s="28"/>
      <c r="N37" s="26"/>
    </row>
    <row r="38" spans="1:14" s="3" customFormat="1" ht="26.25" customHeight="1" x14ac:dyDescent="0.3">
      <c r="A38" s="25"/>
      <c r="B38" s="25"/>
      <c r="C38" s="25"/>
      <c r="D38" s="25"/>
      <c r="E38" s="25"/>
      <c r="F38" s="26"/>
      <c r="G38" s="25"/>
      <c r="H38" s="25"/>
      <c r="I38" s="25"/>
      <c r="J38" s="25"/>
      <c r="K38" s="25"/>
      <c r="L38" s="25"/>
      <c r="M38" s="28"/>
      <c r="N38" s="26"/>
    </row>
    <row r="39" spans="1:14" s="3" customFormat="1" ht="26.25" customHeight="1" x14ac:dyDescent="0.3">
      <c r="A39" s="25"/>
      <c r="B39" s="25"/>
      <c r="C39" s="25"/>
      <c r="D39" s="25"/>
      <c r="E39" s="25"/>
      <c r="F39" s="26"/>
      <c r="G39" s="25"/>
      <c r="H39" s="25"/>
      <c r="I39" s="25"/>
      <c r="J39" s="25"/>
      <c r="K39" s="25"/>
      <c r="L39" s="25"/>
      <c r="M39" s="28"/>
      <c r="N39" s="26"/>
    </row>
    <row r="40" spans="1:14" s="3" customFormat="1" ht="26.25" customHeight="1" x14ac:dyDescent="0.3">
      <c r="A40" s="29"/>
      <c r="B40" s="25"/>
      <c r="C40" s="25"/>
      <c r="D40" s="29"/>
      <c r="E40" s="29"/>
      <c r="F40" s="26"/>
      <c r="G40" s="29"/>
      <c r="H40" s="25"/>
      <c r="I40" s="25"/>
      <c r="J40" s="25"/>
      <c r="K40" s="25"/>
      <c r="L40" s="27"/>
      <c r="M40" s="28"/>
      <c r="N40" s="26"/>
    </row>
    <row r="41" spans="1:14" s="30" customFormat="1" ht="17.25" x14ac:dyDescent="0.3">
      <c r="A41" s="25" t="s">
        <v>48</v>
      </c>
      <c r="B41" s="25"/>
      <c r="C41" s="25" t="s">
        <v>80</v>
      </c>
      <c r="D41" s="25"/>
      <c r="G41" s="25">
        <f>B14</f>
        <v>0</v>
      </c>
      <c r="H41" s="25"/>
      <c r="I41" s="25"/>
      <c r="J41" s="25"/>
      <c r="K41" s="829" t="s">
        <v>90</v>
      </c>
      <c r="L41" s="829"/>
      <c r="M41" s="829"/>
      <c r="N41" s="829"/>
    </row>
    <row r="42" spans="1:14" s="30" customFormat="1" ht="16.5" x14ac:dyDescent="0.3">
      <c r="A42" s="32"/>
    </row>
    <row r="43" spans="1:14" s="30" customFormat="1" ht="16.5" x14ac:dyDescent="0.3">
      <c r="A43" s="32"/>
    </row>
    <row r="44" spans="1:14" s="30" customFormat="1" ht="16.5" x14ac:dyDescent="0.3">
      <c r="A44" s="32"/>
    </row>
    <row r="45" spans="1:14" s="30" customFormat="1" ht="16.5" x14ac:dyDescent="0.3">
      <c r="A45" s="32"/>
    </row>
    <row r="46" spans="1:14" s="30" customFormat="1" ht="16.5" x14ac:dyDescent="0.3">
      <c r="A46" s="32"/>
    </row>
    <row r="47" spans="1:14" s="30" customFormat="1" ht="16.5" x14ac:dyDescent="0.3">
      <c r="A47" s="32"/>
    </row>
    <row r="48" spans="1:14" s="30" customFormat="1" ht="16.5" x14ac:dyDescent="0.3">
      <c r="A48" s="32"/>
    </row>
    <row r="49" spans="1:1" s="30" customFormat="1" ht="16.5" x14ac:dyDescent="0.3">
      <c r="A49" s="32"/>
    </row>
    <row r="50" spans="1:1" s="30" customFormat="1" ht="16.5" x14ac:dyDescent="0.3">
      <c r="A50" s="32"/>
    </row>
  </sheetData>
  <mergeCells count="36">
    <mergeCell ref="A20:F20"/>
    <mergeCell ref="K20:L20"/>
    <mergeCell ref="A21:F21"/>
    <mergeCell ref="M22:N22"/>
    <mergeCell ref="A23:F23"/>
    <mergeCell ref="K22:L22"/>
    <mergeCell ref="C22:D22"/>
    <mergeCell ref="E22:F22"/>
    <mergeCell ref="A1:XFD7"/>
    <mergeCell ref="A8:N8"/>
    <mergeCell ref="K9:L9"/>
    <mergeCell ref="K16:L16"/>
    <mergeCell ref="A19:D19"/>
    <mergeCell ref="K19:L19"/>
    <mergeCell ref="K15:L15"/>
    <mergeCell ref="K12:L12"/>
    <mergeCell ref="K13:L13"/>
    <mergeCell ref="O10:R13"/>
    <mergeCell ref="K17:L17"/>
    <mergeCell ref="K18:L18"/>
    <mergeCell ref="E27:F27"/>
    <mergeCell ref="E28:F28"/>
    <mergeCell ref="E24:F24"/>
    <mergeCell ref="E25:F25"/>
    <mergeCell ref="E26:F26"/>
    <mergeCell ref="C32:D32"/>
    <mergeCell ref="E32:F32"/>
    <mergeCell ref="C33:D33"/>
    <mergeCell ref="E33:F33"/>
    <mergeCell ref="A34:D34"/>
    <mergeCell ref="E34:F34"/>
    <mergeCell ref="E29:F29"/>
    <mergeCell ref="E30:F30"/>
    <mergeCell ref="E31:F31"/>
    <mergeCell ref="E35:F35"/>
    <mergeCell ref="K41:N41"/>
  </mergeCells>
  <printOptions horizontalCentered="1"/>
  <pageMargins left="0.46" right="0.2" top="0.47" bottom="0.25" header="0.5" footer="0.5"/>
  <pageSetup scale="70" orientation="portrait" verticalDpi="30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7"/>
  <sheetViews>
    <sheetView zoomScale="80" workbookViewId="0">
      <pane xSplit="3" ySplit="9" topLeftCell="D34" activePane="bottomRight" state="frozen"/>
      <selection pane="topRight" activeCell="D1" sqref="D1"/>
      <selection pane="bottomLeft" activeCell="A10" sqref="A10"/>
      <selection pane="bottomRight" activeCell="S50" sqref="S50"/>
    </sheetView>
  </sheetViews>
  <sheetFormatPr defaultRowHeight="13.5" x14ac:dyDescent="0.25"/>
  <cols>
    <col min="1" max="1" width="17.42578125" style="33" customWidth="1"/>
    <col min="2" max="2" width="19.140625" style="1" customWidth="1"/>
    <col min="3" max="3" width="5.5703125" style="1" customWidth="1"/>
    <col min="4" max="4" width="20.140625" style="1" customWidth="1"/>
    <col min="5" max="5" width="8.42578125" style="1" customWidth="1"/>
    <col min="6" max="6" width="8.28515625" style="1" customWidth="1"/>
    <col min="7" max="7" width="16.42578125" style="1" customWidth="1"/>
    <col min="8" max="8" width="5.710937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3.7109375" style="1" customWidth="1"/>
    <col min="14" max="14" width="10.28515625" style="1" bestFit="1" customWidth="1"/>
    <col min="15" max="18" width="8.85546875" style="1"/>
    <col min="19" max="19" width="17.85546875" style="1" customWidth="1"/>
    <col min="20" max="255" width="8.85546875" style="1"/>
    <col min="256" max="256" width="4.85546875" style="1" customWidth="1"/>
    <col min="257" max="257" width="19.140625" style="1" customWidth="1"/>
    <col min="258" max="258" width="5.5703125" style="1" customWidth="1"/>
    <col min="259" max="259" width="23.85546875" style="1" customWidth="1"/>
    <col min="260" max="260" width="8.42578125" style="1" customWidth="1"/>
    <col min="261" max="261" width="8.28515625" style="1" customWidth="1"/>
    <col min="262" max="262" width="16.42578125" style="1" customWidth="1"/>
    <col min="263" max="263" width="3.7109375" style="1" customWidth="1"/>
    <col min="264" max="264" width="3.85546875" style="1" customWidth="1"/>
    <col min="265" max="265" width="5" style="1" customWidth="1"/>
    <col min="266" max="266" width="8" style="1" customWidth="1"/>
    <col min="267" max="267" width="7.5703125" style="1" customWidth="1"/>
    <col min="268" max="269" width="10.28515625" style="1" bestFit="1" customWidth="1"/>
    <col min="270" max="511" width="8.85546875" style="1"/>
    <col min="512" max="512" width="4.85546875" style="1" customWidth="1"/>
    <col min="513" max="513" width="19.140625" style="1" customWidth="1"/>
    <col min="514" max="514" width="5.5703125" style="1" customWidth="1"/>
    <col min="515" max="515" width="23.85546875" style="1" customWidth="1"/>
    <col min="516" max="516" width="8.42578125" style="1" customWidth="1"/>
    <col min="517" max="517" width="8.28515625" style="1" customWidth="1"/>
    <col min="518" max="518" width="16.42578125" style="1" customWidth="1"/>
    <col min="519" max="519" width="3.7109375" style="1" customWidth="1"/>
    <col min="520" max="520" width="3.85546875" style="1" customWidth="1"/>
    <col min="521" max="521" width="5" style="1" customWidth="1"/>
    <col min="522" max="522" width="8" style="1" customWidth="1"/>
    <col min="523" max="523" width="7.5703125" style="1" customWidth="1"/>
    <col min="524" max="525" width="10.28515625" style="1" bestFit="1" customWidth="1"/>
    <col min="526" max="767" width="8.85546875" style="1"/>
    <col min="768" max="768" width="4.85546875" style="1" customWidth="1"/>
    <col min="769" max="769" width="19.140625" style="1" customWidth="1"/>
    <col min="770" max="770" width="5.5703125" style="1" customWidth="1"/>
    <col min="771" max="771" width="23.85546875" style="1" customWidth="1"/>
    <col min="772" max="772" width="8.42578125" style="1" customWidth="1"/>
    <col min="773" max="773" width="8.28515625" style="1" customWidth="1"/>
    <col min="774" max="774" width="16.42578125" style="1" customWidth="1"/>
    <col min="775" max="775" width="3.7109375" style="1" customWidth="1"/>
    <col min="776" max="776" width="3.85546875" style="1" customWidth="1"/>
    <col min="777" max="777" width="5" style="1" customWidth="1"/>
    <col min="778" max="778" width="8" style="1" customWidth="1"/>
    <col min="779" max="779" width="7.5703125" style="1" customWidth="1"/>
    <col min="780" max="781" width="10.28515625" style="1" bestFit="1" customWidth="1"/>
    <col min="782" max="1023" width="8.85546875" style="1"/>
    <col min="1024" max="1024" width="4.85546875" style="1" customWidth="1"/>
    <col min="1025" max="1025" width="19.140625" style="1" customWidth="1"/>
    <col min="1026" max="1026" width="5.5703125" style="1" customWidth="1"/>
    <col min="1027" max="1027" width="23.85546875" style="1" customWidth="1"/>
    <col min="1028" max="1028" width="8.42578125" style="1" customWidth="1"/>
    <col min="1029" max="1029" width="8.28515625" style="1" customWidth="1"/>
    <col min="1030" max="1030" width="16.42578125" style="1" customWidth="1"/>
    <col min="1031" max="1031" width="3.7109375" style="1" customWidth="1"/>
    <col min="1032" max="1032" width="3.85546875" style="1" customWidth="1"/>
    <col min="1033" max="1033" width="5" style="1" customWidth="1"/>
    <col min="1034" max="1034" width="8" style="1" customWidth="1"/>
    <col min="1035" max="1035" width="7.5703125" style="1" customWidth="1"/>
    <col min="1036" max="1037" width="10.28515625" style="1" bestFit="1" customWidth="1"/>
    <col min="1038" max="1279" width="8.85546875" style="1"/>
    <col min="1280" max="1280" width="4.85546875" style="1" customWidth="1"/>
    <col min="1281" max="1281" width="19.140625" style="1" customWidth="1"/>
    <col min="1282" max="1282" width="5.5703125" style="1" customWidth="1"/>
    <col min="1283" max="1283" width="23.85546875" style="1" customWidth="1"/>
    <col min="1284" max="1284" width="8.42578125" style="1" customWidth="1"/>
    <col min="1285" max="1285" width="8.28515625" style="1" customWidth="1"/>
    <col min="1286" max="1286" width="16.42578125" style="1" customWidth="1"/>
    <col min="1287" max="1287" width="3.7109375" style="1" customWidth="1"/>
    <col min="1288" max="1288" width="3.85546875" style="1" customWidth="1"/>
    <col min="1289" max="1289" width="5" style="1" customWidth="1"/>
    <col min="1290" max="1290" width="8" style="1" customWidth="1"/>
    <col min="1291" max="1291" width="7.5703125" style="1" customWidth="1"/>
    <col min="1292" max="1293" width="10.28515625" style="1" bestFit="1" customWidth="1"/>
    <col min="1294" max="1535" width="8.85546875" style="1"/>
    <col min="1536" max="1536" width="4.85546875" style="1" customWidth="1"/>
    <col min="1537" max="1537" width="19.140625" style="1" customWidth="1"/>
    <col min="1538" max="1538" width="5.5703125" style="1" customWidth="1"/>
    <col min="1539" max="1539" width="23.85546875" style="1" customWidth="1"/>
    <col min="1540" max="1540" width="8.42578125" style="1" customWidth="1"/>
    <col min="1541" max="1541" width="8.28515625" style="1" customWidth="1"/>
    <col min="1542" max="1542" width="16.42578125" style="1" customWidth="1"/>
    <col min="1543" max="1543" width="3.7109375" style="1" customWidth="1"/>
    <col min="1544" max="1544" width="3.85546875" style="1" customWidth="1"/>
    <col min="1545" max="1545" width="5" style="1" customWidth="1"/>
    <col min="1546" max="1546" width="8" style="1" customWidth="1"/>
    <col min="1547" max="1547" width="7.5703125" style="1" customWidth="1"/>
    <col min="1548" max="1549" width="10.28515625" style="1" bestFit="1" customWidth="1"/>
    <col min="1550" max="1791" width="8.85546875" style="1"/>
    <col min="1792" max="1792" width="4.85546875" style="1" customWidth="1"/>
    <col min="1793" max="1793" width="19.140625" style="1" customWidth="1"/>
    <col min="1794" max="1794" width="5.5703125" style="1" customWidth="1"/>
    <col min="1795" max="1795" width="23.85546875" style="1" customWidth="1"/>
    <col min="1796" max="1796" width="8.42578125" style="1" customWidth="1"/>
    <col min="1797" max="1797" width="8.28515625" style="1" customWidth="1"/>
    <col min="1798" max="1798" width="16.42578125" style="1" customWidth="1"/>
    <col min="1799" max="1799" width="3.7109375" style="1" customWidth="1"/>
    <col min="1800" max="1800" width="3.85546875" style="1" customWidth="1"/>
    <col min="1801" max="1801" width="5" style="1" customWidth="1"/>
    <col min="1802" max="1802" width="8" style="1" customWidth="1"/>
    <col min="1803" max="1803" width="7.5703125" style="1" customWidth="1"/>
    <col min="1804" max="1805" width="10.28515625" style="1" bestFit="1" customWidth="1"/>
    <col min="1806" max="2047" width="8.85546875" style="1"/>
    <col min="2048" max="2048" width="4.85546875" style="1" customWidth="1"/>
    <col min="2049" max="2049" width="19.140625" style="1" customWidth="1"/>
    <col min="2050" max="2050" width="5.5703125" style="1" customWidth="1"/>
    <col min="2051" max="2051" width="23.85546875" style="1" customWidth="1"/>
    <col min="2052" max="2052" width="8.42578125" style="1" customWidth="1"/>
    <col min="2053" max="2053" width="8.28515625" style="1" customWidth="1"/>
    <col min="2054" max="2054" width="16.42578125" style="1" customWidth="1"/>
    <col min="2055" max="2055" width="3.7109375" style="1" customWidth="1"/>
    <col min="2056" max="2056" width="3.85546875" style="1" customWidth="1"/>
    <col min="2057" max="2057" width="5" style="1" customWidth="1"/>
    <col min="2058" max="2058" width="8" style="1" customWidth="1"/>
    <col min="2059" max="2059" width="7.5703125" style="1" customWidth="1"/>
    <col min="2060" max="2061" width="10.28515625" style="1" bestFit="1" customWidth="1"/>
    <col min="2062" max="2303" width="8.85546875" style="1"/>
    <col min="2304" max="2304" width="4.85546875" style="1" customWidth="1"/>
    <col min="2305" max="2305" width="19.140625" style="1" customWidth="1"/>
    <col min="2306" max="2306" width="5.5703125" style="1" customWidth="1"/>
    <col min="2307" max="2307" width="23.85546875" style="1" customWidth="1"/>
    <col min="2308" max="2308" width="8.42578125" style="1" customWidth="1"/>
    <col min="2309" max="2309" width="8.28515625" style="1" customWidth="1"/>
    <col min="2310" max="2310" width="16.42578125" style="1" customWidth="1"/>
    <col min="2311" max="2311" width="3.7109375" style="1" customWidth="1"/>
    <col min="2312" max="2312" width="3.85546875" style="1" customWidth="1"/>
    <col min="2313" max="2313" width="5" style="1" customWidth="1"/>
    <col min="2314" max="2314" width="8" style="1" customWidth="1"/>
    <col min="2315" max="2315" width="7.5703125" style="1" customWidth="1"/>
    <col min="2316" max="2317" width="10.28515625" style="1" bestFit="1" customWidth="1"/>
    <col min="2318" max="2559" width="8.85546875" style="1"/>
    <col min="2560" max="2560" width="4.85546875" style="1" customWidth="1"/>
    <col min="2561" max="2561" width="19.140625" style="1" customWidth="1"/>
    <col min="2562" max="2562" width="5.5703125" style="1" customWidth="1"/>
    <col min="2563" max="2563" width="23.85546875" style="1" customWidth="1"/>
    <col min="2564" max="2564" width="8.42578125" style="1" customWidth="1"/>
    <col min="2565" max="2565" width="8.28515625" style="1" customWidth="1"/>
    <col min="2566" max="2566" width="16.42578125" style="1" customWidth="1"/>
    <col min="2567" max="2567" width="3.7109375" style="1" customWidth="1"/>
    <col min="2568" max="2568" width="3.85546875" style="1" customWidth="1"/>
    <col min="2569" max="2569" width="5" style="1" customWidth="1"/>
    <col min="2570" max="2570" width="8" style="1" customWidth="1"/>
    <col min="2571" max="2571" width="7.5703125" style="1" customWidth="1"/>
    <col min="2572" max="2573" width="10.28515625" style="1" bestFit="1" customWidth="1"/>
    <col min="2574" max="2815" width="8.85546875" style="1"/>
    <col min="2816" max="2816" width="4.85546875" style="1" customWidth="1"/>
    <col min="2817" max="2817" width="19.140625" style="1" customWidth="1"/>
    <col min="2818" max="2818" width="5.5703125" style="1" customWidth="1"/>
    <col min="2819" max="2819" width="23.85546875" style="1" customWidth="1"/>
    <col min="2820" max="2820" width="8.42578125" style="1" customWidth="1"/>
    <col min="2821" max="2821" width="8.28515625" style="1" customWidth="1"/>
    <col min="2822" max="2822" width="16.42578125" style="1" customWidth="1"/>
    <col min="2823" max="2823" width="3.7109375" style="1" customWidth="1"/>
    <col min="2824" max="2824" width="3.85546875" style="1" customWidth="1"/>
    <col min="2825" max="2825" width="5" style="1" customWidth="1"/>
    <col min="2826" max="2826" width="8" style="1" customWidth="1"/>
    <col min="2827" max="2827" width="7.5703125" style="1" customWidth="1"/>
    <col min="2828" max="2829" width="10.28515625" style="1" bestFit="1" customWidth="1"/>
    <col min="2830" max="3071" width="8.85546875" style="1"/>
    <col min="3072" max="3072" width="4.85546875" style="1" customWidth="1"/>
    <col min="3073" max="3073" width="19.140625" style="1" customWidth="1"/>
    <col min="3074" max="3074" width="5.5703125" style="1" customWidth="1"/>
    <col min="3075" max="3075" width="23.85546875" style="1" customWidth="1"/>
    <col min="3076" max="3076" width="8.42578125" style="1" customWidth="1"/>
    <col min="3077" max="3077" width="8.28515625" style="1" customWidth="1"/>
    <col min="3078" max="3078" width="16.42578125" style="1" customWidth="1"/>
    <col min="3079" max="3079" width="3.7109375" style="1" customWidth="1"/>
    <col min="3080" max="3080" width="3.85546875" style="1" customWidth="1"/>
    <col min="3081" max="3081" width="5" style="1" customWidth="1"/>
    <col min="3082" max="3082" width="8" style="1" customWidth="1"/>
    <col min="3083" max="3083" width="7.5703125" style="1" customWidth="1"/>
    <col min="3084" max="3085" width="10.28515625" style="1" bestFit="1" customWidth="1"/>
    <col min="3086" max="3327" width="8.85546875" style="1"/>
    <col min="3328" max="3328" width="4.85546875" style="1" customWidth="1"/>
    <col min="3329" max="3329" width="19.140625" style="1" customWidth="1"/>
    <col min="3330" max="3330" width="5.5703125" style="1" customWidth="1"/>
    <col min="3331" max="3331" width="23.85546875" style="1" customWidth="1"/>
    <col min="3332" max="3332" width="8.42578125" style="1" customWidth="1"/>
    <col min="3333" max="3333" width="8.28515625" style="1" customWidth="1"/>
    <col min="3334" max="3334" width="16.42578125" style="1" customWidth="1"/>
    <col min="3335" max="3335" width="3.7109375" style="1" customWidth="1"/>
    <col min="3336" max="3336" width="3.85546875" style="1" customWidth="1"/>
    <col min="3337" max="3337" width="5" style="1" customWidth="1"/>
    <col min="3338" max="3338" width="8" style="1" customWidth="1"/>
    <col min="3339" max="3339" width="7.5703125" style="1" customWidth="1"/>
    <col min="3340" max="3341" width="10.28515625" style="1" bestFit="1" customWidth="1"/>
    <col min="3342" max="3583" width="8.85546875" style="1"/>
    <col min="3584" max="3584" width="4.85546875" style="1" customWidth="1"/>
    <col min="3585" max="3585" width="19.140625" style="1" customWidth="1"/>
    <col min="3586" max="3586" width="5.5703125" style="1" customWidth="1"/>
    <col min="3587" max="3587" width="23.85546875" style="1" customWidth="1"/>
    <col min="3588" max="3588" width="8.42578125" style="1" customWidth="1"/>
    <col min="3589" max="3589" width="8.28515625" style="1" customWidth="1"/>
    <col min="3590" max="3590" width="16.42578125" style="1" customWidth="1"/>
    <col min="3591" max="3591" width="3.7109375" style="1" customWidth="1"/>
    <col min="3592" max="3592" width="3.85546875" style="1" customWidth="1"/>
    <col min="3593" max="3593" width="5" style="1" customWidth="1"/>
    <col min="3594" max="3594" width="8" style="1" customWidth="1"/>
    <col min="3595" max="3595" width="7.5703125" style="1" customWidth="1"/>
    <col min="3596" max="3597" width="10.28515625" style="1" bestFit="1" customWidth="1"/>
    <col min="3598" max="3839" width="8.85546875" style="1"/>
    <col min="3840" max="3840" width="4.85546875" style="1" customWidth="1"/>
    <col min="3841" max="3841" width="19.140625" style="1" customWidth="1"/>
    <col min="3842" max="3842" width="5.5703125" style="1" customWidth="1"/>
    <col min="3843" max="3843" width="23.85546875" style="1" customWidth="1"/>
    <col min="3844" max="3844" width="8.42578125" style="1" customWidth="1"/>
    <col min="3845" max="3845" width="8.28515625" style="1" customWidth="1"/>
    <col min="3846" max="3846" width="16.42578125" style="1" customWidth="1"/>
    <col min="3847" max="3847" width="3.7109375" style="1" customWidth="1"/>
    <col min="3848" max="3848" width="3.85546875" style="1" customWidth="1"/>
    <col min="3849" max="3849" width="5" style="1" customWidth="1"/>
    <col min="3850" max="3850" width="8" style="1" customWidth="1"/>
    <col min="3851" max="3851" width="7.5703125" style="1" customWidth="1"/>
    <col min="3852" max="3853" width="10.28515625" style="1" bestFit="1" customWidth="1"/>
    <col min="3854" max="4095" width="8.85546875" style="1"/>
    <col min="4096" max="4096" width="4.85546875" style="1" customWidth="1"/>
    <col min="4097" max="4097" width="19.140625" style="1" customWidth="1"/>
    <col min="4098" max="4098" width="5.5703125" style="1" customWidth="1"/>
    <col min="4099" max="4099" width="23.85546875" style="1" customWidth="1"/>
    <col min="4100" max="4100" width="8.42578125" style="1" customWidth="1"/>
    <col min="4101" max="4101" width="8.28515625" style="1" customWidth="1"/>
    <col min="4102" max="4102" width="16.42578125" style="1" customWidth="1"/>
    <col min="4103" max="4103" width="3.7109375" style="1" customWidth="1"/>
    <col min="4104" max="4104" width="3.85546875" style="1" customWidth="1"/>
    <col min="4105" max="4105" width="5" style="1" customWidth="1"/>
    <col min="4106" max="4106" width="8" style="1" customWidth="1"/>
    <col min="4107" max="4107" width="7.5703125" style="1" customWidth="1"/>
    <col min="4108" max="4109" width="10.28515625" style="1" bestFit="1" customWidth="1"/>
    <col min="4110" max="4351" width="8.85546875" style="1"/>
    <col min="4352" max="4352" width="4.85546875" style="1" customWidth="1"/>
    <col min="4353" max="4353" width="19.140625" style="1" customWidth="1"/>
    <col min="4354" max="4354" width="5.5703125" style="1" customWidth="1"/>
    <col min="4355" max="4355" width="23.85546875" style="1" customWidth="1"/>
    <col min="4356" max="4356" width="8.42578125" style="1" customWidth="1"/>
    <col min="4357" max="4357" width="8.28515625" style="1" customWidth="1"/>
    <col min="4358" max="4358" width="16.42578125" style="1" customWidth="1"/>
    <col min="4359" max="4359" width="3.7109375" style="1" customWidth="1"/>
    <col min="4360" max="4360" width="3.85546875" style="1" customWidth="1"/>
    <col min="4361" max="4361" width="5" style="1" customWidth="1"/>
    <col min="4362" max="4362" width="8" style="1" customWidth="1"/>
    <col min="4363" max="4363" width="7.5703125" style="1" customWidth="1"/>
    <col min="4364" max="4365" width="10.28515625" style="1" bestFit="1" customWidth="1"/>
    <col min="4366" max="4607" width="8.85546875" style="1"/>
    <col min="4608" max="4608" width="4.85546875" style="1" customWidth="1"/>
    <col min="4609" max="4609" width="19.140625" style="1" customWidth="1"/>
    <col min="4610" max="4610" width="5.5703125" style="1" customWidth="1"/>
    <col min="4611" max="4611" width="23.85546875" style="1" customWidth="1"/>
    <col min="4612" max="4612" width="8.42578125" style="1" customWidth="1"/>
    <col min="4613" max="4613" width="8.28515625" style="1" customWidth="1"/>
    <col min="4614" max="4614" width="16.42578125" style="1" customWidth="1"/>
    <col min="4615" max="4615" width="3.7109375" style="1" customWidth="1"/>
    <col min="4616" max="4616" width="3.85546875" style="1" customWidth="1"/>
    <col min="4617" max="4617" width="5" style="1" customWidth="1"/>
    <col min="4618" max="4618" width="8" style="1" customWidth="1"/>
    <col min="4619" max="4619" width="7.5703125" style="1" customWidth="1"/>
    <col min="4620" max="4621" width="10.28515625" style="1" bestFit="1" customWidth="1"/>
    <col min="4622" max="4863" width="8.85546875" style="1"/>
    <col min="4864" max="4864" width="4.85546875" style="1" customWidth="1"/>
    <col min="4865" max="4865" width="19.140625" style="1" customWidth="1"/>
    <col min="4866" max="4866" width="5.5703125" style="1" customWidth="1"/>
    <col min="4867" max="4867" width="23.85546875" style="1" customWidth="1"/>
    <col min="4868" max="4868" width="8.42578125" style="1" customWidth="1"/>
    <col min="4869" max="4869" width="8.28515625" style="1" customWidth="1"/>
    <col min="4870" max="4870" width="16.42578125" style="1" customWidth="1"/>
    <col min="4871" max="4871" width="3.7109375" style="1" customWidth="1"/>
    <col min="4872" max="4872" width="3.85546875" style="1" customWidth="1"/>
    <col min="4873" max="4873" width="5" style="1" customWidth="1"/>
    <col min="4874" max="4874" width="8" style="1" customWidth="1"/>
    <col min="4875" max="4875" width="7.5703125" style="1" customWidth="1"/>
    <col min="4876" max="4877" width="10.28515625" style="1" bestFit="1" customWidth="1"/>
    <col min="4878" max="5119" width="8.85546875" style="1"/>
    <col min="5120" max="5120" width="4.85546875" style="1" customWidth="1"/>
    <col min="5121" max="5121" width="19.140625" style="1" customWidth="1"/>
    <col min="5122" max="5122" width="5.5703125" style="1" customWidth="1"/>
    <col min="5123" max="5123" width="23.85546875" style="1" customWidth="1"/>
    <col min="5124" max="5124" width="8.42578125" style="1" customWidth="1"/>
    <col min="5125" max="5125" width="8.28515625" style="1" customWidth="1"/>
    <col min="5126" max="5126" width="16.42578125" style="1" customWidth="1"/>
    <col min="5127" max="5127" width="3.7109375" style="1" customWidth="1"/>
    <col min="5128" max="5128" width="3.85546875" style="1" customWidth="1"/>
    <col min="5129" max="5129" width="5" style="1" customWidth="1"/>
    <col min="5130" max="5130" width="8" style="1" customWidth="1"/>
    <col min="5131" max="5131" width="7.5703125" style="1" customWidth="1"/>
    <col min="5132" max="5133" width="10.28515625" style="1" bestFit="1" customWidth="1"/>
    <col min="5134" max="5375" width="8.85546875" style="1"/>
    <col min="5376" max="5376" width="4.85546875" style="1" customWidth="1"/>
    <col min="5377" max="5377" width="19.140625" style="1" customWidth="1"/>
    <col min="5378" max="5378" width="5.5703125" style="1" customWidth="1"/>
    <col min="5379" max="5379" width="23.85546875" style="1" customWidth="1"/>
    <col min="5380" max="5380" width="8.42578125" style="1" customWidth="1"/>
    <col min="5381" max="5381" width="8.28515625" style="1" customWidth="1"/>
    <col min="5382" max="5382" width="16.42578125" style="1" customWidth="1"/>
    <col min="5383" max="5383" width="3.7109375" style="1" customWidth="1"/>
    <col min="5384" max="5384" width="3.85546875" style="1" customWidth="1"/>
    <col min="5385" max="5385" width="5" style="1" customWidth="1"/>
    <col min="5386" max="5386" width="8" style="1" customWidth="1"/>
    <col min="5387" max="5387" width="7.5703125" style="1" customWidth="1"/>
    <col min="5388" max="5389" width="10.28515625" style="1" bestFit="1" customWidth="1"/>
    <col min="5390" max="5631" width="8.85546875" style="1"/>
    <col min="5632" max="5632" width="4.85546875" style="1" customWidth="1"/>
    <col min="5633" max="5633" width="19.140625" style="1" customWidth="1"/>
    <col min="5634" max="5634" width="5.5703125" style="1" customWidth="1"/>
    <col min="5635" max="5635" width="23.85546875" style="1" customWidth="1"/>
    <col min="5636" max="5636" width="8.42578125" style="1" customWidth="1"/>
    <col min="5637" max="5637" width="8.28515625" style="1" customWidth="1"/>
    <col min="5638" max="5638" width="16.42578125" style="1" customWidth="1"/>
    <col min="5639" max="5639" width="3.7109375" style="1" customWidth="1"/>
    <col min="5640" max="5640" width="3.85546875" style="1" customWidth="1"/>
    <col min="5641" max="5641" width="5" style="1" customWidth="1"/>
    <col min="5642" max="5642" width="8" style="1" customWidth="1"/>
    <col min="5643" max="5643" width="7.5703125" style="1" customWidth="1"/>
    <col min="5644" max="5645" width="10.28515625" style="1" bestFit="1" customWidth="1"/>
    <col min="5646" max="5887" width="8.85546875" style="1"/>
    <col min="5888" max="5888" width="4.85546875" style="1" customWidth="1"/>
    <col min="5889" max="5889" width="19.140625" style="1" customWidth="1"/>
    <col min="5890" max="5890" width="5.5703125" style="1" customWidth="1"/>
    <col min="5891" max="5891" width="23.85546875" style="1" customWidth="1"/>
    <col min="5892" max="5892" width="8.42578125" style="1" customWidth="1"/>
    <col min="5893" max="5893" width="8.28515625" style="1" customWidth="1"/>
    <col min="5894" max="5894" width="16.42578125" style="1" customWidth="1"/>
    <col min="5895" max="5895" width="3.7109375" style="1" customWidth="1"/>
    <col min="5896" max="5896" width="3.85546875" style="1" customWidth="1"/>
    <col min="5897" max="5897" width="5" style="1" customWidth="1"/>
    <col min="5898" max="5898" width="8" style="1" customWidth="1"/>
    <col min="5899" max="5899" width="7.5703125" style="1" customWidth="1"/>
    <col min="5900" max="5901" width="10.28515625" style="1" bestFit="1" customWidth="1"/>
    <col min="5902" max="6143" width="8.85546875" style="1"/>
    <col min="6144" max="6144" width="4.85546875" style="1" customWidth="1"/>
    <col min="6145" max="6145" width="19.140625" style="1" customWidth="1"/>
    <col min="6146" max="6146" width="5.5703125" style="1" customWidth="1"/>
    <col min="6147" max="6147" width="23.85546875" style="1" customWidth="1"/>
    <col min="6148" max="6148" width="8.42578125" style="1" customWidth="1"/>
    <col min="6149" max="6149" width="8.28515625" style="1" customWidth="1"/>
    <col min="6150" max="6150" width="16.42578125" style="1" customWidth="1"/>
    <col min="6151" max="6151" width="3.7109375" style="1" customWidth="1"/>
    <col min="6152" max="6152" width="3.85546875" style="1" customWidth="1"/>
    <col min="6153" max="6153" width="5" style="1" customWidth="1"/>
    <col min="6154" max="6154" width="8" style="1" customWidth="1"/>
    <col min="6155" max="6155" width="7.5703125" style="1" customWidth="1"/>
    <col min="6156" max="6157" width="10.28515625" style="1" bestFit="1" customWidth="1"/>
    <col min="6158" max="6399" width="8.85546875" style="1"/>
    <col min="6400" max="6400" width="4.85546875" style="1" customWidth="1"/>
    <col min="6401" max="6401" width="19.140625" style="1" customWidth="1"/>
    <col min="6402" max="6402" width="5.5703125" style="1" customWidth="1"/>
    <col min="6403" max="6403" width="23.85546875" style="1" customWidth="1"/>
    <col min="6404" max="6404" width="8.42578125" style="1" customWidth="1"/>
    <col min="6405" max="6405" width="8.28515625" style="1" customWidth="1"/>
    <col min="6406" max="6406" width="16.42578125" style="1" customWidth="1"/>
    <col min="6407" max="6407" width="3.7109375" style="1" customWidth="1"/>
    <col min="6408" max="6408" width="3.85546875" style="1" customWidth="1"/>
    <col min="6409" max="6409" width="5" style="1" customWidth="1"/>
    <col min="6410" max="6410" width="8" style="1" customWidth="1"/>
    <col min="6411" max="6411" width="7.5703125" style="1" customWidth="1"/>
    <col min="6412" max="6413" width="10.28515625" style="1" bestFit="1" customWidth="1"/>
    <col min="6414" max="6655" width="8.85546875" style="1"/>
    <col min="6656" max="6656" width="4.85546875" style="1" customWidth="1"/>
    <col min="6657" max="6657" width="19.140625" style="1" customWidth="1"/>
    <col min="6658" max="6658" width="5.5703125" style="1" customWidth="1"/>
    <col min="6659" max="6659" width="23.85546875" style="1" customWidth="1"/>
    <col min="6660" max="6660" width="8.42578125" style="1" customWidth="1"/>
    <col min="6661" max="6661" width="8.28515625" style="1" customWidth="1"/>
    <col min="6662" max="6662" width="16.42578125" style="1" customWidth="1"/>
    <col min="6663" max="6663" width="3.7109375" style="1" customWidth="1"/>
    <col min="6664" max="6664" width="3.85546875" style="1" customWidth="1"/>
    <col min="6665" max="6665" width="5" style="1" customWidth="1"/>
    <col min="6666" max="6666" width="8" style="1" customWidth="1"/>
    <col min="6667" max="6667" width="7.5703125" style="1" customWidth="1"/>
    <col min="6668" max="6669" width="10.28515625" style="1" bestFit="1" customWidth="1"/>
    <col min="6670" max="6911" width="8.85546875" style="1"/>
    <col min="6912" max="6912" width="4.85546875" style="1" customWidth="1"/>
    <col min="6913" max="6913" width="19.140625" style="1" customWidth="1"/>
    <col min="6914" max="6914" width="5.5703125" style="1" customWidth="1"/>
    <col min="6915" max="6915" width="23.85546875" style="1" customWidth="1"/>
    <col min="6916" max="6916" width="8.42578125" style="1" customWidth="1"/>
    <col min="6917" max="6917" width="8.28515625" style="1" customWidth="1"/>
    <col min="6918" max="6918" width="16.42578125" style="1" customWidth="1"/>
    <col min="6919" max="6919" width="3.7109375" style="1" customWidth="1"/>
    <col min="6920" max="6920" width="3.85546875" style="1" customWidth="1"/>
    <col min="6921" max="6921" width="5" style="1" customWidth="1"/>
    <col min="6922" max="6922" width="8" style="1" customWidth="1"/>
    <col min="6923" max="6923" width="7.5703125" style="1" customWidth="1"/>
    <col min="6924" max="6925" width="10.28515625" style="1" bestFit="1" customWidth="1"/>
    <col min="6926" max="7167" width="8.85546875" style="1"/>
    <col min="7168" max="7168" width="4.85546875" style="1" customWidth="1"/>
    <col min="7169" max="7169" width="19.140625" style="1" customWidth="1"/>
    <col min="7170" max="7170" width="5.5703125" style="1" customWidth="1"/>
    <col min="7171" max="7171" width="23.85546875" style="1" customWidth="1"/>
    <col min="7172" max="7172" width="8.42578125" style="1" customWidth="1"/>
    <col min="7173" max="7173" width="8.28515625" style="1" customWidth="1"/>
    <col min="7174" max="7174" width="16.42578125" style="1" customWidth="1"/>
    <col min="7175" max="7175" width="3.7109375" style="1" customWidth="1"/>
    <col min="7176" max="7176" width="3.85546875" style="1" customWidth="1"/>
    <col min="7177" max="7177" width="5" style="1" customWidth="1"/>
    <col min="7178" max="7178" width="8" style="1" customWidth="1"/>
    <col min="7179" max="7179" width="7.5703125" style="1" customWidth="1"/>
    <col min="7180" max="7181" width="10.28515625" style="1" bestFit="1" customWidth="1"/>
    <col min="7182" max="7423" width="8.85546875" style="1"/>
    <col min="7424" max="7424" width="4.85546875" style="1" customWidth="1"/>
    <col min="7425" max="7425" width="19.140625" style="1" customWidth="1"/>
    <col min="7426" max="7426" width="5.5703125" style="1" customWidth="1"/>
    <col min="7427" max="7427" width="23.85546875" style="1" customWidth="1"/>
    <col min="7428" max="7428" width="8.42578125" style="1" customWidth="1"/>
    <col min="7429" max="7429" width="8.28515625" style="1" customWidth="1"/>
    <col min="7430" max="7430" width="16.42578125" style="1" customWidth="1"/>
    <col min="7431" max="7431" width="3.7109375" style="1" customWidth="1"/>
    <col min="7432" max="7432" width="3.85546875" style="1" customWidth="1"/>
    <col min="7433" max="7433" width="5" style="1" customWidth="1"/>
    <col min="7434" max="7434" width="8" style="1" customWidth="1"/>
    <col min="7435" max="7435" width="7.5703125" style="1" customWidth="1"/>
    <col min="7436" max="7437" width="10.28515625" style="1" bestFit="1" customWidth="1"/>
    <col min="7438" max="7679" width="8.85546875" style="1"/>
    <col min="7680" max="7680" width="4.85546875" style="1" customWidth="1"/>
    <col min="7681" max="7681" width="19.140625" style="1" customWidth="1"/>
    <col min="7682" max="7682" width="5.5703125" style="1" customWidth="1"/>
    <col min="7683" max="7683" width="23.85546875" style="1" customWidth="1"/>
    <col min="7684" max="7684" width="8.42578125" style="1" customWidth="1"/>
    <col min="7685" max="7685" width="8.28515625" style="1" customWidth="1"/>
    <col min="7686" max="7686" width="16.42578125" style="1" customWidth="1"/>
    <col min="7687" max="7687" width="3.7109375" style="1" customWidth="1"/>
    <col min="7688" max="7688" width="3.85546875" style="1" customWidth="1"/>
    <col min="7689" max="7689" width="5" style="1" customWidth="1"/>
    <col min="7690" max="7690" width="8" style="1" customWidth="1"/>
    <col min="7691" max="7691" width="7.5703125" style="1" customWidth="1"/>
    <col min="7692" max="7693" width="10.28515625" style="1" bestFit="1" customWidth="1"/>
    <col min="7694" max="7935" width="8.85546875" style="1"/>
    <col min="7936" max="7936" width="4.85546875" style="1" customWidth="1"/>
    <col min="7937" max="7937" width="19.140625" style="1" customWidth="1"/>
    <col min="7938" max="7938" width="5.5703125" style="1" customWidth="1"/>
    <col min="7939" max="7939" width="23.85546875" style="1" customWidth="1"/>
    <col min="7940" max="7940" width="8.42578125" style="1" customWidth="1"/>
    <col min="7941" max="7941" width="8.28515625" style="1" customWidth="1"/>
    <col min="7942" max="7942" width="16.42578125" style="1" customWidth="1"/>
    <col min="7943" max="7943" width="3.7109375" style="1" customWidth="1"/>
    <col min="7944" max="7944" width="3.85546875" style="1" customWidth="1"/>
    <col min="7945" max="7945" width="5" style="1" customWidth="1"/>
    <col min="7946" max="7946" width="8" style="1" customWidth="1"/>
    <col min="7947" max="7947" width="7.5703125" style="1" customWidth="1"/>
    <col min="7948" max="7949" width="10.28515625" style="1" bestFit="1" customWidth="1"/>
    <col min="7950" max="8191" width="8.85546875" style="1"/>
    <col min="8192" max="8192" width="4.85546875" style="1" customWidth="1"/>
    <col min="8193" max="8193" width="19.140625" style="1" customWidth="1"/>
    <col min="8194" max="8194" width="5.5703125" style="1" customWidth="1"/>
    <col min="8195" max="8195" width="23.85546875" style="1" customWidth="1"/>
    <col min="8196" max="8196" width="8.42578125" style="1" customWidth="1"/>
    <col min="8197" max="8197" width="8.28515625" style="1" customWidth="1"/>
    <col min="8198" max="8198" width="16.42578125" style="1" customWidth="1"/>
    <col min="8199" max="8199" width="3.7109375" style="1" customWidth="1"/>
    <col min="8200" max="8200" width="3.85546875" style="1" customWidth="1"/>
    <col min="8201" max="8201" width="5" style="1" customWidth="1"/>
    <col min="8202" max="8202" width="8" style="1" customWidth="1"/>
    <col min="8203" max="8203" width="7.5703125" style="1" customWidth="1"/>
    <col min="8204" max="8205" width="10.28515625" style="1" bestFit="1" customWidth="1"/>
    <col min="8206" max="8447" width="8.85546875" style="1"/>
    <col min="8448" max="8448" width="4.85546875" style="1" customWidth="1"/>
    <col min="8449" max="8449" width="19.140625" style="1" customWidth="1"/>
    <col min="8450" max="8450" width="5.5703125" style="1" customWidth="1"/>
    <col min="8451" max="8451" width="23.85546875" style="1" customWidth="1"/>
    <col min="8452" max="8452" width="8.42578125" style="1" customWidth="1"/>
    <col min="8453" max="8453" width="8.28515625" style="1" customWidth="1"/>
    <col min="8454" max="8454" width="16.42578125" style="1" customWidth="1"/>
    <col min="8455" max="8455" width="3.7109375" style="1" customWidth="1"/>
    <col min="8456" max="8456" width="3.85546875" style="1" customWidth="1"/>
    <col min="8457" max="8457" width="5" style="1" customWidth="1"/>
    <col min="8458" max="8458" width="8" style="1" customWidth="1"/>
    <col min="8459" max="8459" width="7.5703125" style="1" customWidth="1"/>
    <col min="8460" max="8461" width="10.28515625" style="1" bestFit="1" customWidth="1"/>
    <col min="8462" max="8703" width="8.85546875" style="1"/>
    <col min="8704" max="8704" width="4.85546875" style="1" customWidth="1"/>
    <col min="8705" max="8705" width="19.140625" style="1" customWidth="1"/>
    <col min="8706" max="8706" width="5.5703125" style="1" customWidth="1"/>
    <col min="8707" max="8707" width="23.85546875" style="1" customWidth="1"/>
    <col min="8708" max="8708" width="8.42578125" style="1" customWidth="1"/>
    <col min="8709" max="8709" width="8.28515625" style="1" customWidth="1"/>
    <col min="8710" max="8710" width="16.42578125" style="1" customWidth="1"/>
    <col min="8711" max="8711" width="3.7109375" style="1" customWidth="1"/>
    <col min="8712" max="8712" width="3.85546875" style="1" customWidth="1"/>
    <col min="8713" max="8713" width="5" style="1" customWidth="1"/>
    <col min="8714" max="8714" width="8" style="1" customWidth="1"/>
    <col min="8715" max="8715" width="7.5703125" style="1" customWidth="1"/>
    <col min="8716" max="8717" width="10.28515625" style="1" bestFit="1" customWidth="1"/>
    <col min="8718" max="8959" width="8.85546875" style="1"/>
    <col min="8960" max="8960" width="4.85546875" style="1" customWidth="1"/>
    <col min="8961" max="8961" width="19.140625" style="1" customWidth="1"/>
    <col min="8962" max="8962" width="5.5703125" style="1" customWidth="1"/>
    <col min="8963" max="8963" width="23.85546875" style="1" customWidth="1"/>
    <col min="8964" max="8964" width="8.42578125" style="1" customWidth="1"/>
    <col min="8965" max="8965" width="8.28515625" style="1" customWidth="1"/>
    <col min="8966" max="8966" width="16.42578125" style="1" customWidth="1"/>
    <col min="8967" max="8967" width="3.7109375" style="1" customWidth="1"/>
    <col min="8968" max="8968" width="3.85546875" style="1" customWidth="1"/>
    <col min="8969" max="8969" width="5" style="1" customWidth="1"/>
    <col min="8970" max="8970" width="8" style="1" customWidth="1"/>
    <col min="8971" max="8971" width="7.5703125" style="1" customWidth="1"/>
    <col min="8972" max="8973" width="10.28515625" style="1" bestFit="1" customWidth="1"/>
    <col min="8974" max="9215" width="8.85546875" style="1"/>
    <col min="9216" max="9216" width="4.85546875" style="1" customWidth="1"/>
    <col min="9217" max="9217" width="19.140625" style="1" customWidth="1"/>
    <col min="9218" max="9218" width="5.5703125" style="1" customWidth="1"/>
    <col min="9219" max="9219" width="23.85546875" style="1" customWidth="1"/>
    <col min="9220" max="9220" width="8.42578125" style="1" customWidth="1"/>
    <col min="9221" max="9221" width="8.28515625" style="1" customWidth="1"/>
    <col min="9222" max="9222" width="16.42578125" style="1" customWidth="1"/>
    <col min="9223" max="9223" width="3.7109375" style="1" customWidth="1"/>
    <col min="9224" max="9224" width="3.85546875" style="1" customWidth="1"/>
    <col min="9225" max="9225" width="5" style="1" customWidth="1"/>
    <col min="9226" max="9226" width="8" style="1" customWidth="1"/>
    <col min="9227" max="9227" width="7.5703125" style="1" customWidth="1"/>
    <col min="9228" max="9229" width="10.28515625" style="1" bestFit="1" customWidth="1"/>
    <col min="9230" max="9471" width="8.85546875" style="1"/>
    <col min="9472" max="9472" width="4.85546875" style="1" customWidth="1"/>
    <col min="9473" max="9473" width="19.140625" style="1" customWidth="1"/>
    <col min="9474" max="9474" width="5.5703125" style="1" customWidth="1"/>
    <col min="9475" max="9475" width="23.85546875" style="1" customWidth="1"/>
    <col min="9476" max="9476" width="8.42578125" style="1" customWidth="1"/>
    <col min="9477" max="9477" width="8.28515625" style="1" customWidth="1"/>
    <col min="9478" max="9478" width="16.42578125" style="1" customWidth="1"/>
    <col min="9479" max="9479" width="3.7109375" style="1" customWidth="1"/>
    <col min="9480" max="9480" width="3.85546875" style="1" customWidth="1"/>
    <col min="9481" max="9481" width="5" style="1" customWidth="1"/>
    <col min="9482" max="9482" width="8" style="1" customWidth="1"/>
    <col min="9483" max="9483" width="7.5703125" style="1" customWidth="1"/>
    <col min="9484" max="9485" width="10.28515625" style="1" bestFit="1" customWidth="1"/>
    <col min="9486" max="9727" width="8.85546875" style="1"/>
    <col min="9728" max="9728" width="4.85546875" style="1" customWidth="1"/>
    <col min="9729" max="9729" width="19.140625" style="1" customWidth="1"/>
    <col min="9730" max="9730" width="5.5703125" style="1" customWidth="1"/>
    <col min="9731" max="9731" width="23.85546875" style="1" customWidth="1"/>
    <col min="9732" max="9732" width="8.42578125" style="1" customWidth="1"/>
    <col min="9733" max="9733" width="8.28515625" style="1" customWidth="1"/>
    <col min="9734" max="9734" width="16.42578125" style="1" customWidth="1"/>
    <col min="9735" max="9735" width="3.7109375" style="1" customWidth="1"/>
    <col min="9736" max="9736" width="3.85546875" style="1" customWidth="1"/>
    <col min="9737" max="9737" width="5" style="1" customWidth="1"/>
    <col min="9738" max="9738" width="8" style="1" customWidth="1"/>
    <col min="9739" max="9739" width="7.5703125" style="1" customWidth="1"/>
    <col min="9740" max="9741" width="10.28515625" style="1" bestFit="1" customWidth="1"/>
    <col min="9742" max="9983" width="8.85546875" style="1"/>
    <col min="9984" max="9984" width="4.85546875" style="1" customWidth="1"/>
    <col min="9985" max="9985" width="19.140625" style="1" customWidth="1"/>
    <col min="9986" max="9986" width="5.5703125" style="1" customWidth="1"/>
    <col min="9987" max="9987" width="23.85546875" style="1" customWidth="1"/>
    <col min="9988" max="9988" width="8.42578125" style="1" customWidth="1"/>
    <col min="9989" max="9989" width="8.28515625" style="1" customWidth="1"/>
    <col min="9990" max="9990" width="16.42578125" style="1" customWidth="1"/>
    <col min="9991" max="9991" width="3.7109375" style="1" customWidth="1"/>
    <col min="9992" max="9992" width="3.85546875" style="1" customWidth="1"/>
    <col min="9993" max="9993" width="5" style="1" customWidth="1"/>
    <col min="9994" max="9994" width="8" style="1" customWidth="1"/>
    <col min="9995" max="9995" width="7.5703125" style="1" customWidth="1"/>
    <col min="9996" max="9997" width="10.28515625" style="1" bestFit="1" customWidth="1"/>
    <col min="9998" max="10239" width="8.85546875" style="1"/>
    <col min="10240" max="10240" width="4.85546875" style="1" customWidth="1"/>
    <col min="10241" max="10241" width="19.140625" style="1" customWidth="1"/>
    <col min="10242" max="10242" width="5.5703125" style="1" customWidth="1"/>
    <col min="10243" max="10243" width="23.85546875" style="1" customWidth="1"/>
    <col min="10244" max="10244" width="8.42578125" style="1" customWidth="1"/>
    <col min="10245" max="10245" width="8.28515625" style="1" customWidth="1"/>
    <col min="10246" max="10246" width="16.42578125" style="1" customWidth="1"/>
    <col min="10247" max="10247" width="3.7109375" style="1" customWidth="1"/>
    <col min="10248" max="10248" width="3.85546875" style="1" customWidth="1"/>
    <col min="10249" max="10249" width="5" style="1" customWidth="1"/>
    <col min="10250" max="10250" width="8" style="1" customWidth="1"/>
    <col min="10251" max="10251" width="7.5703125" style="1" customWidth="1"/>
    <col min="10252" max="10253" width="10.28515625" style="1" bestFit="1" customWidth="1"/>
    <col min="10254" max="10495" width="8.85546875" style="1"/>
    <col min="10496" max="10496" width="4.85546875" style="1" customWidth="1"/>
    <col min="10497" max="10497" width="19.140625" style="1" customWidth="1"/>
    <col min="10498" max="10498" width="5.5703125" style="1" customWidth="1"/>
    <col min="10499" max="10499" width="23.85546875" style="1" customWidth="1"/>
    <col min="10500" max="10500" width="8.42578125" style="1" customWidth="1"/>
    <col min="10501" max="10501" width="8.28515625" style="1" customWidth="1"/>
    <col min="10502" max="10502" width="16.42578125" style="1" customWidth="1"/>
    <col min="10503" max="10503" width="3.7109375" style="1" customWidth="1"/>
    <col min="10504" max="10504" width="3.85546875" style="1" customWidth="1"/>
    <col min="10505" max="10505" width="5" style="1" customWidth="1"/>
    <col min="10506" max="10506" width="8" style="1" customWidth="1"/>
    <col min="10507" max="10507" width="7.5703125" style="1" customWidth="1"/>
    <col min="10508" max="10509" width="10.28515625" style="1" bestFit="1" customWidth="1"/>
    <col min="10510" max="10751" width="8.85546875" style="1"/>
    <col min="10752" max="10752" width="4.85546875" style="1" customWidth="1"/>
    <col min="10753" max="10753" width="19.140625" style="1" customWidth="1"/>
    <col min="10754" max="10754" width="5.5703125" style="1" customWidth="1"/>
    <col min="10755" max="10755" width="23.85546875" style="1" customWidth="1"/>
    <col min="10756" max="10756" width="8.42578125" style="1" customWidth="1"/>
    <col min="10757" max="10757" width="8.28515625" style="1" customWidth="1"/>
    <col min="10758" max="10758" width="16.42578125" style="1" customWidth="1"/>
    <col min="10759" max="10759" width="3.7109375" style="1" customWidth="1"/>
    <col min="10760" max="10760" width="3.85546875" style="1" customWidth="1"/>
    <col min="10761" max="10761" width="5" style="1" customWidth="1"/>
    <col min="10762" max="10762" width="8" style="1" customWidth="1"/>
    <col min="10763" max="10763" width="7.5703125" style="1" customWidth="1"/>
    <col min="10764" max="10765" width="10.28515625" style="1" bestFit="1" customWidth="1"/>
    <col min="10766" max="11007" width="8.85546875" style="1"/>
    <col min="11008" max="11008" width="4.85546875" style="1" customWidth="1"/>
    <col min="11009" max="11009" width="19.140625" style="1" customWidth="1"/>
    <col min="11010" max="11010" width="5.5703125" style="1" customWidth="1"/>
    <col min="11011" max="11011" width="23.85546875" style="1" customWidth="1"/>
    <col min="11012" max="11012" width="8.42578125" style="1" customWidth="1"/>
    <col min="11013" max="11013" width="8.28515625" style="1" customWidth="1"/>
    <col min="11014" max="11014" width="16.42578125" style="1" customWidth="1"/>
    <col min="11015" max="11015" width="3.7109375" style="1" customWidth="1"/>
    <col min="11016" max="11016" width="3.85546875" style="1" customWidth="1"/>
    <col min="11017" max="11017" width="5" style="1" customWidth="1"/>
    <col min="11018" max="11018" width="8" style="1" customWidth="1"/>
    <col min="11019" max="11019" width="7.5703125" style="1" customWidth="1"/>
    <col min="11020" max="11021" width="10.28515625" style="1" bestFit="1" customWidth="1"/>
    <col min="11022" max="11263" width="8.85546875" style="1"/>
    <col min="11264" max="11264" width="4.85546875" style="1" customWidth="1"/>
    <col min="11265" max="11265" width="19.140625" style="1" customWidth="1"/>
    <col min="11266" max="11266" width="5.5703125" style="1" customWidth="1"/>
    <col min="11267" max="11267" width="23.85546875" style="1" customWidth="1"/>
    <col min="11268" max="11268" width="8.42578125" style="1" customWidth="1"/>
    <col min="11269" max="11269" width="8.28515625" style="1" customWidth="1"/>
    <col min="11270" max="11270" width="16.42578125" style="1" customWidth="1"/>
    <col min="11271" max="11271" width="3.7109375" style="1" customWidth="1"/>
    <col min="11272" max="11272" width="3.85546875" style="1" customWidth="1"/>
    <col min="11273" max="11273" width="5" style="1" customWidth="1"/>
    <col min="11274" max="11274" width="8" style="1" customWidth="1"/>
    <col min="11275" max="11275" width="7.5703125" style="1" customWidth="1"/>
    <col min="11276" max="11277" width="10.28515625" style="1" bestFit="1" customWidth="1"/>
    <col min="11278" max="11519" width="8.85546875" style="1"/>
    <col min="11520" max="11520" width="4.85546875" style="1" customWidth="1"/>
    <col min="11521" max="11521" width="19.140625" style="1" customWidth="1"/>
    <col min="11522" max="11522" width="5.5703125" style="1" customWidth="1"/>
    <col min="11523" max="11523" width="23.85546875" style="1" customWidth="1"/>
    <col min="11524" max="11524" width="8.42578125" style="1" customWidth="1"/>
    <col min="11525" max="11525" width="8.28515625" style="1" customWidth="1"/>
    <col min="11526" max="11526" width="16.42578125" style="1" customWidth="1"/>
    <col min="11527" max="11527" width="3.7109375" style="1" customWidth="1"/>
    <col min="11528" max="11528" width="3.85546875" style="1" customWidth="1"/>
    <col min="11529" max="11529" width="5" style="1" customWidth="1"/>
    <col min="11530" max="11530" width="8" style="1" customWidth="1"/>
    <col min="11531" max="11531" width="7.5703125" style="1" customWidth="1"/>
    <col min="11532" max="11533" width="10.28515625" style="1" bestFit="1" customWidth="1"/>
    <col min="11534" max="11775" width="8.85546875" style="1"/>
    <col min="11776" max="11776" width="4.85546875" style="1" customWidth="1"/>
    <col min="11777" max="11777" width="19.140625" style="1" customWidth="1"/>
    <col min="11778" max="11778" width="5.5703125" style="1" customWidth="1"/>
    <col min="11779" max="11779" width="23.85546875" style="1" customWidth="1"/>
    <col min="11780" max="11780" width="8.42578125" style="1" customWidth="1"/>
    <col min="11781" max="11781" width="8.28515625" style="1" customWidth="1"/>
    <col min="11782" max="11782" width="16.42578125" style="1" customWidth="1"/>
    <col min="11783" max="11783" width="3.7109375" style="1" customWidth="1"/>
    <col min="11784" max="11784" width="3.85546875" style="1" customWidth="1"/>
    <col min="11785" max="11785" width="5" style="1" customWidth="1"/>
    <col min="11786" max="11786" width="8" style="1" customWidth="1"/>
    <col min="11787" max="11787" width="7.5703125" style="1" customWidth="1"/>
    <col min="11788" max="11789" width="10.28515625" style="1" bestFit="1" customWidth="1"/>
    <col min="11790" max="12031" width="8.85546875" style="1"/>
    <col min="12032" max="12032" width="4.85546875" style="1" customWidth="1"/>
    <col min="12033" max="12033" width="19.140625" style="1" customWidth="1"/>
    <col min="12034" max="12034" width="5.5703125" style="1" customWidth="1"/>
    <col min="12035" max="12035" width="23.85546875" style="1" customWidth="1"/>
    <col min="12036" max="12036" width="8.42578125" style="1" customWidth="1"/>
    <col min="12037" max="12037" width="8.28515625" style="1" customWidth="1"/>
    <col min="12038" max="12038" width="16.42578125" style="1" customWidth="1"/>
    <col min="12039" max="12039" width="3.7109375" style="1" customWidth="1"/>
    <col min="12040" max="12040" width="3.85546875" style="1" customWidth="1"/>
    <col min="12041" max="12041" width="5" style="1" customWidth="1"/>
    <col min="12042" max="12042" width="8" style="1" customWidth="1"/>
    <col min="12043" max="12043" width="7.5703125" style="1" customWidth="1"/>
    <col min="12044" max="12045" width="10.28515625" style="1" bestFit="1" customWidth="1"/>
    <col min="12046" max="12287" width="8.85546875" style="1"/>
    <col min="12288" max="12288" width="4.85546875" style="1" customWidth="1"/>
    <col min="12289" max="12289" width="19.140625" style="1" customWidth="1"/>
    <col min="12290" max="12290" width="5.5703125" style="1" customWidth="1"/>
    <col min="12291" max="12291" width="23.85546875" style="1" customWidth="1"/>
    <col min="12292" max="12292" width="8.42578125" style="1" customWidth="1"/>
    <col min="12293" max="12293" width="8.28515625" style="1" customWidth="1"/>
    <col min="12294" max="12294" width="16.42578125" style="1" customWidth="1"/>
    <col min="12295" max="12295" width="3.7109375" style="1" customWidth="1"/>
    <col min="12296" max="12296" width="3.85546875" style="1" customWidth="1"/>
    <col min="12297" max="12297" width="5" style="1" customWidth="1"/>
    <col min="12298" max="12298" width="8" style="1" customWidth="1"/>
    <col min="12299" max="12299" width="7.5703125" style="1" customWidth="1"/>
    <col min="12300" max="12301" width="10.28515625" style="1" bestFit="1" customWidth="1"/>
    <col min="12302" max="12543" width="8.85546875" style="1"/>
    <col min="12544" max="12544" width="4.85546875" style="1" customWidth="1"/>
    <col min="12545" max="12545" width="19.140625" style="1" customWidth="1"/>
    <col min="12546" max="12546" width="5.5703125" style="1" customWidth="1"/>
    <col min="12547" max="12547" width="23.85546875" style="1" customWidth="1"/>
    <col min="12548" max="12548" width="8.42578125" style="1" customWidth="1"/>
    <col min="12549" max="12549" width="8.28515625" style="1" customWidth="1"/>
    <col min="12550" max="12550" width="16.42578125" style="1" customWidth="1"/>
    <col min="12551" max="12551" width="3.7109375" style="1" customWidth="1"/>
    <col min="12552" max="12552" width="3.85546875" style="1" customWidth="1"/>
    <col min="12553" max="12553" width="5" style="1" customWidth="1"/>
    <col min="12554" max="12554" width="8" style="1" customWidth="1"/>
    <col min="12555" max="12555" width="7.5703125" style="1" customWidth="1"/>
    <col min="12556" max="12557" width="10.28515625" style="1" bestFit="1" customWidth="1"/>
    <col min="12558" max="12799" width="8.85546875" style="1"/>
    <col min="12800" max="12800" width="4.85546875" style="1" customWidth="1"/>
    <col min="12801" max="12801" width="19.140625" style="1" customWidth="1"/>
    <col min="12802" max="12802" width="5.5703125" style="1" customWidth="1"/>
    <col min="12803" max="12803" width="23.85546875" style="1" customWidth="1"/>
    <col min="12804" max="12804" width="8.42578125" style="1" customWidth="1"/>
    <col min="12805" max="12805" width="8.28515625" style="1" customWidth="1"/>
    <col min="12806" max="12806" width="16.42578125" style="1" customWidth="1"/>
    <col min="12807" max="12807" width="3.7109375" style="1" customWidth="1"/>
    <col min="12808" max="12808" width="3.85546875" style="1" customWidth="1"/>
    <col min="12809" max="12809" width="5" style="1" customWidth="1"/>
    <col min="12810" max="12810" width="8" style="1" customWidth="1"/>
    <col min="12811" max="12811" width="7.5703125" style="1" customWidth="1"/>
    <col min="12812" max="12813" width="10.28515625" style="1" bestFit="1" customWidth="1"/>
    <col min="12814" max="13055" width="8.85546875" style="1"/>
    <col min="13056" max="13056" width="4.85546875" style="1" customWidth="1"/>
    <col min="13057" max="13057" width="19.140625" style="1" customWidth="1"/>
    <col min="13058" max="13058" width="5.5703125" style="1" customWidth="1"/>
    <col min="13059" max="13059" width="23.85546875" style="1" customWidth="1"/>
    <col min="13060" max="13060" width="8.42578125" style="1" customWidth="1"/>
    <col min="13061" max="13061" width="8.28515625" style="1" customWidth="1"/>
    <col min="13062" max="13062" width="16.42578125" style="1" customWidth="1"/>
    <col min="13063" max="13063" width="3.7109375" style="1" customWidth="1"/>
    <col min="13064" max="13064" width="3.85546875" style="1" customWidth="1"/>
    <col min="13065" max="13065" width="5" style="1" customWidth="1"/>
    <col min="13066" max="13066" width="8" style="1" customWidth="1"/>
    <col min="13067" max="13067" width="7.5703125" style="1" customWidth="1"/>
    <col min="13068" max="13069" width="10.28515625" style="1" bestFit="1" customWidth="1"/>
    <col min="13070" max="13311" width="8.85546875" style="1"/>
    <col min="13312" max="13312" width="4.85546875" style="1" customWidth="1"/>
    <col min="13313" max="13313" width="19.140625" style="1" customWidth="1"/>
    <col min="13314" max="13314" width="5.5703125" style="1" customWidth="1"/>
    <col min="13315" max="13315" width="23.85546875" style="1" customWidth="1"/>
    <col min="13316" max="13316" width="8.42578125" style="1" customWidth="1"/>
    <col min="13317" max="13317" width="8.28515625" style="1" customWidth="1"/>
    <col min="13318" max="13318" width="16.42578125" style="1" customWidth="1"/>
    <col min="13319" max="13319" width="3.7109375" style="1" customWidth="1"/>
    <col min="13320" max="13320" width="3.85546875" style="1" customWidth="1"/>
    <col min="13321" max="13321" width="5" style="1" customWidth="1"/>
    <col min="13322" max="13322" width="8" style="1" customWidth="1"/>
    <col min="13323" max="13323" width="7.5703125" style="1" customWidth="1"/>
    <col min="13324" max="13325" width="10.28515625" style="1" bestFit="1" customWidth="1"/>
    <col min="13326" max="13567" width="8.85546875" style="1"/>
    <col min="13568" max="13568" width="4.85546875" style="1" customWidth="1"/>
    <col min="13569" max="13569" width="19.140625" style="1" customWidth="1"/>
    <col min="13570" max="13570" width="5.5703125" style="1" customWidth="1"/>
    <col min="13571" max="13571" width="23.85546875" style="1" customWidth="1"/>
    <col min="13572" max="13572" width="8.42578125" style="1" customWidth="1"/>
    <col min="13573" max="13573" width="8.28515625" style="1" customWidth="1"/>
    <col min="13574" max="13574" width="16.42578125" style="1" customWidth="1"/>
    <col min="13575" max="13575" width="3.7109375" style="1" customWidth="1"/>
    <col min="13576" max="13576" width="3.85546875" style="1" customWidth="1"/>
    <col min="13577" max="13577" width="5" style="1" customWidth="1"/>
    <col min="13578" max="13578" width="8" style="1" customWidth="1"/>
    <col min="13579" max="13579" width="7.5703125" style="1" customWidth="1"/>
    <col min="13580" max="13581" width="10.28515625" style="1" bestFit="1" customWidth="1"/>
    <col min="13582" max="13823" width="8.85546875" style="1"/>
    <col min="13824" max="13824" width="4.85546875" style="1" customWidth="1"/>
    <col min="13825" max="13825" width="19.140625" style="1" customWidth="1"/>
    <col min="13826" max="13826" width="5.5703125" style="1" customWidth="1"/>
    <col min="13827" max="13827" width="23.85546875" style="1" customWidth="1"/>
    <col min="13828" max="13828" width="8.42578125" style="1" customWidth="1"/>
    <col min="13829" max="13829" width="8.28515625" style="1" customWidth="1"/>
    <col min="13830" max="13830" width="16.42578125" style="1" customWidth="1"/>
    <col min="13831" max="13831" width="3.7109375" style="1" customWidth="1"/>
    <col min="13832" max="13832" width="3.85546875" style="1" customWidth="1"/>
    <col min="13833" max="13833" width="5" style="1" customWidth="1"/>
    <col min="13834" max="13834" width="8" style="1" customWidth="1"/>
    <col min="13835" max="13835" width="7.5703125" style="1" customWidth="1"/>
    <col min="13836" max="13837" width="10.28515625" style="1" bestFit="1" customWidth="1"/>
    <col min="13838" max="14079" width="8.85546875" style="1"/>
    <col min="14080" max="14080" width="4.85546875" style="1" customWidth="1"/>
    <col min="14081" max="14081" width="19.140625" style="1" customWidth="1"/>
    <col min="14082" max="14082" width="5.5703125" style="1" customWidth="1"/>
    <col min="14083" max="14083" width="23.85546875" style="1" customWidth="1"/>
    <col min="14084" max="14084" width="8.42578125" style="1" customWidth="1"/>
    <col min="14085" max="14085" width="8.28515625" style="1" customWidth="1"/>
    <col min="14086" max="14086" width="16.42578125" style="1" customWidth="1"/>
    <col min="14087" max="14087" width="3.7109375" style="1" customWidth="1"/>
    <col min="14088" max="14088" width="3.85546875" style="1" customWidth="1"/>
    <col min="14089" max="14089" width="5" style="1" customWidth="1"/>
    <col min="14090" max="14090" width="8" style="1" customWidth="1"/>
    <col min="14091" max="14091" width="7.5703125" style="1" customWidth="1"/>
    <col min="14092" max="14093" width="10.28515625" style="1" bestFit="1" customWidth="1"/>
    <col min="14094" max="14335" width="8.85546875" style="1"/>
    <col min="14336" max="14336" width="4.85546875" style="1" customWidth="1"/>
    <col min="14337" max="14337" width="19.140625" style="1" customWidth="1"/>
    <col min="14338" max="14338" width="5.5703125" style="1" customWidth="1"/>
    <col min="14339" max="14339" width="23.85546875" style="1" customWidth="1"/>
    <col min="14340" max="14340" width="8.42578125" style="1" customWidth="1"/>
    <col min="14341" max="14341" width="8.28515625" style="1" customWidth="1"/>
    <col min="14342" max="14342" width="16.42578125" style="1" customWidth="1"/>
    <col min="14343" max="14343" width="3.7109375" style="1" customWidth="1"/>
    <col min="14344" max="14344" width="3.85546875" style="1" customWidth="1"/>
    <col min="14345" max="14345" width="5" style="1" customWidth="1"/>
    <col min="14346" max="14346" width="8" style="1" customWidth="1"/>
    <col min="14347" max="14347" width="7.5703125" style="1" customWidth="1"/>
    <col min="14348" max="14349" width="10.28515625" style="1" bestFit="1" customWidth="1"/>
    <col min="14350" max="14591" width="8.85546875" style="1"/>
    <col min="14592" max="14592" width="4.85546875" style="1" customWidth="1"/>
    <col min="14593" max="14593" width="19.140625" style="1" customWidth="1"/>
    <col min="14594" max="14594" width="5.5703125" style="1" customWidth="1"/>
    <col min="14595" max="14595" width="23.85546875" style="1" customWidth="1"/>
    <col min="14596" max="14596" width="8.42578125" style="1" customWidth="1"/>
    <col min="14597" max="14597" width="8.28515625" style="1" customWidth="1"/>
    <col min="14598" max="14598" width="16.42578125" style="1" customWidth="1"/>
    <col min="14599" max="14599" width="3.7109375" style="1" customWidth="1"/>
    <col min="14600" max="14600" width="3.85546875" style="1" customWidth="1"/>
    <col min="14601" max="14601" width="5" style="1" customWidth="1"/>
    <col min="14602" max="14602" width="8" style="1" customWidth="1"/>
    <col min="14603" max="14603" width="7.5703125" style="1" customWidth="1"/>
    <col min="14604" max="14605" width="10.28515625" style="1" bestFit="1" customWidth="1"/>
    <col min="14606" max="14847" width="8.85546875" style="1"/>
    <col min="14848" max="14848" width="4.85546875" style="1" customWidth="1"/>
    <col min="14849" max="14849" width="19.140625" style="1" customWidth="1"/>
    <col min="14850" max="14850" width="5.5703125" style="1" customWidth="1"/>
    <col min="14851" max="14851" width="23.85546875" style="1" customWidth="1"/>
    <col min="14852" max="14852" width="8.42578125" style="1" customWidth="1"/>
    <col min="14853" max="14853" width="8.28515625" style="1" customWidth="1"/>
    <col min="14854" max="14854" width="16.42578125" style="1" customWidth="1"/>
    <col min="14855" max="14855" width="3.7109375" style="1" customWidth="1"/>
    <col min="14856" max="14856" width="3.85546875" style="1" customWidth="1"/>
    <col min="14857" max="14857" width="5" style="1" customWidth="1"/>
    <col min="14858" max="14858" width="8" style="1" customWidth="1"/>
    <col min="14859" max="14859" width="7.5703125" style="1" customWidth="1"/>
    <col min="14860" max="14861" width="10.28515625" style="1" bestFit="1" customWidth="1"/>
    <col min="14862" max="15103" width="8.85546875" style="1"/>
    <col min="15104" max="15104" width="4.85546875" style="1" customWidth="1"/>
    <col min="15105" max="15105" width="19.140625" style="1" customWidth="1"/>
    <col min="15106" max="15106" width="5.5703125" style="1" customWidth="1"/>
    <col min="15107" max="15107" width="23.85546875" style="1" customWidth="1"/>
    <col min="15108" max="15108" width="8.42578125" style="1" customWidth="1"/>
    <col min="15109" max="15109" width="8.28515625" style="1" customWidth="1"/>
    <col min="15110" max="15110" width="16.42578125" style="1" customWidth="1"/>
    <col min="15111" max="15111" width="3.7109375" style="1" customWidth="1"/>
    <col min="15112" max="15112" width="3.85546875" style="1" customWidth="1"/>
    <col min="15113" max="15113" width="5" style="1" customWidth="1"/>
    <col min="15114" max="15114" width="8" style="1" customWidth="1"/>
    <col min="15115" max="15115" width="7.5703125" style="1" customWidth="1"/>
    <col min="15116" max="15117" width="10.28515625" style="1" bestFit="1" customWidth="1"/>
    <col min="15118" max="15359" width="8.85546875" style="1"/>
    <col min="15360" max="15360" width="4.85546875" style="1" customWidth="1"/>
    <col min="15361" max="15361" width="19.140625" style="1" customWidth="1"/>
    <col min="15362" max="15362" width="5.5703125" style="1" customWidth="1"/>
    <col min="15363" max="15363" width="23.85546875" style="1" customWidth="1"/>
    <col min="15364" max="15364" width="8.42578125" style="1" customWidth="1"/>
    <col min="15365" max="15365" width="8.28515625" style="1" customWidth="1"/>
    <col min="15366" max="15366" width="16.42578125" style="1" customWidth="1"/>
    <col min="15367" max="15367" width="3.7109375" style="1" customWidth="1"/>
    <col min="15368" max="15368" width="3.85546875" style="1" customWidth="1"/>
    <col min="15369" max="15369" width="5" style="1" customWidth="1"/>
    <col min="15370" max="15370" width="8" style="1" customWidth="1"/>
    <col min="15371" max="15371" width="7.5703125" style="1" customWidth="1"/>
    <col min="15372" max="15373" width="10.28515625" style="1" bestFit="1" customWidth="1"/>
    <col min="15374" max="15615" width="8.85546875" style="1"/>
    <col min="15616" max="15616" width="4.85546875" style="1" customWidth="1"/>
    <col min="15617" max="15617" width="19.140625" style="1" customWidth="1"/>
    <col min="15618" max="15618" width="5.5703125" style="1" customWidth="1"/>
    <col min="15619" max="15619" width="23.85546875" style="1" customWidth="1"/>
    <col min="15620" max="15620" width="8.42578125" style="1" customWidth="1"/>
    <col min="15621" max="15621" width="8.28515625" style="1" customWidth="1"/>
    <col min="15622" max="15622" width="16.42578125" style="1" customWidth="1"/>
    <col min="15623" max="15623" width="3.7109375" style="1" customWidth="1"/>
    <col min="15624" max="15624" width="3.85546875" style="1" customWidth="1"/>
    <col min="15625" max="15625" width="5" style="1" customWidth="1"/>
    <col min="15626" max="15626" width="8" style="1" customWidth="1"/>
    <col min="15627" max="15627" width="7.5703125" style="1" customWidth="1"/>
    <col min="15628" max="15629" width="10.28515625" style="1" bestFit="1" customWidth="1"/>
    <col min="15630" max="15871" width="8.85546875" style="1"/>
    <col min="15872" max="15872" width="4.85546875" style="1" customWidth="1"/>
    <col min="15873" max="15873" width="19.140625" style="1" customWidth="1"/>
    <col min="15874" max="15874" width="5.5703125" style="1" customWidth="1"/>
    <col min="15875" max="15875" width="23.85546875" style="1" customWidth="1"/>
    <col min="15876" max="15876" width="8.42578125" style="1" customWidth="1"/>
    <col min="15877" max="15877" width="8.28515625" style="1" customWidth="1"/>
    <col min="15878" max="15878" width="16.42578125" style="1" customWidth="1"/>
    <col min="15879" max="15879" width="3.7109375" style="1" customWidth="1"/>
    <col min="15880" max="15880" width="3.85546875" style="1" customWidth="1"/>
    <col min="15881" max="15881" width="5" style="1" customWidth="1"/>
    <col min="15882" max="15882" width="8" style="1" customWidth="1"/>
    <col min="15883" max="15883" width="7.5703125" style="1" customWidth="1"/>
    <col min="15884" max="15885" width="10.28515625" style="1" bestFit="1" customWidth="1"/>
    <col min="15886" max="16127" width="8.85546875" style="1"/>
    <col min="16128" max="16128" width="4.85546875" style="1" customWidth="1"/>
    <col min="16129" max="16129" width="19.140625" style="1" customWidth="1"/>
    <col min="16130" max="16130" width="5.5703125" style="1" customWidth="1"/>
    <col min="16131" max="16131" width="23.85546875" style="1" customWidth="1"/>
    <col min="16132" max="16132" width="8.42578125" style="1" customWidth="1"/>
    <col min="16133" max="16133" width="8.28515625" style="1" customWidth="1"/>
    <col min="16134" max="16134" width="16.42578125" style="1" customWidth="1"/>
    <col min="16135" max="16135" width="3.7109375" style="1" customWidth="1"/>
    <col min="16136" max="16136" width="3.85546875" style="1" customWidth="1"/>
    <col min="16137" max="16137" width="5" style="1" customWidth="1"/>
    <col min="16138" max="16138" width="8" style="1" customWidth="1"/>
    <col min="16139" max="16139" width="7.5703125" style="1" customWidth="1"/>
    <col min="16140" max="16141" width="10.28515625" style="1" bestFit="1" customWidth="1"/>
    <col min="16142" max="16383" width="8.85546875" style="1"/>
    <col min="16384" max="16384" width="8.85546875" style="1" customWidth="1"/>
  </cols>
  <sheetData>
    <row r="1" spans="1:19" s="866" customFormat="1" ht="15" x14ac:dyDescent="0.25"/>
    <row r="2" spans="1:19" s="866" customFormat="1" ht="15" x14ac:dyDescent="0.25"/>
    <row r="3" spans="1:19" s="866" customFormat="1" ht="15" x14ac:dyDescent="0.25"/>
    <row r="4" spans="1:19" s="866" customFormat="1" ht="15" x14ac:dyDescent="0.25"/>
    <row r="5" spans="1:19" s="866" customFormat="1" ht="15" x14ac:dyDescent="0.25"/>
    <row r="6" spans="1:19" s="866" customFormat="1" ht="15" x14ac:dyDescent="0.25"/>
    <row r="7" spans="1:19" s="866" customFormat="1" ht="15.75" thickBot="1" x14ac:dyDescent="0.3"/>
    <row r="8" spans="1:19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9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9" s="59" customFormat="1" ht="26.25" customHeight="1" x14ac:dyDescent="0.25">
      <c r="A10" s="102">
        <v>1</v>
      </c>
      <c r="B10" s="890" t="s">
        <v>62</v>
      </c>
      <c r="C10" s="890" t="s">
        <v>31</v>
      </c>
      <c r="D10" s="53" t="s">
        <v>103</v>
      </c>
      <c r="E10" s="143">
        <f>7.5+6+4.5+6+21</f>
        <v>45</v>
      </c>
      <c r="F10" s="64">
        <v>5</v>
      </c>
      <c r="G10" s="64">
        <f t="shared" ref="G10:G14" si="0">E10*F10</f>
        <v>225</v>
      </c>
      <c r="H10" s="226" t="s">
        <v>102</v>
      </c>
      <c r="I10" s="54">
        <v>2</v>
      </c>
      <c r="J10" s="54">
        <v>11</v>
      </c>
      <c r="K10" s="221" t="s">
        <v>74</v>
      </c>
      <c r="L10" s="222"/>
      <c r="M10" s="230">
        <v>41505</v>
      </c>
      <c r="N10" s="58"/>
    </row>
    <row r="11" spans="1:19" s="59" customFormat="1" ht="26.25" customHeight="1" x14ac:dyDescent="0.25">
      <c r="A11" s="141">
        <v>2</v>
      </c>
      <c r="B11" s="891"/>
      <c r="C11" s="891"/>
      <c r="D11" s="53" t="s">
        <v>104</v>
      </c>
      <c r="E11" s="143">
        <f>7.5+12+9+13.5+3</f>
        <v>45</v>
      </c>
      <c r="F11" s="144">
        <v>5</v>
      </c>
      <c r="G11" s="64">
        <f t="shared" si="0"/>
        <v>225</v>
      </c>
      <c r="H11" s="80" t="s">
        <v>98</v>
      </c>
      <c r="I11" s="80">
        <v>3</v>
      </c>
      <c r="J11" s="80">
        <v>10</v>
      </c>
      <c r="K11" s="221" t="s">
        <v>74</v>
      </c>
      <c r="L11" s="222"/>
      <c r="M11" s="230">
        <v>41505</v>
      </c>
      <c r="N11" s="84"/>
      <c r="P11" s="59" t="s">
        <v>104</v>
      </c>
      <c r="R11" s="59" t="s">
        <v>405</v>
      </c>
      <c r="S11" s="59" t="s">
        <v>406</v>
      </c>
    </row>
    <row r="12" spans="1:19" s="59" customFormat="1" ht="26.25" customHeight="1" x14ac:dyDescent="0.25">
      <c r="A12" s="102">
        <v>3</v>
      </c>
      <c r="B12" s="891"/>
      <c r="C12" s="891"/>
      <c r="D12" s="74" t="s">
        <v>105</v>
      </c>
      <c r="E12" s="486">
        <f>24+9+12</f>
        <v>45</v>
      </c>
      <c r="F12" s="144">
        <v>5</v>
      </c>
      <c r="G12" s="64">
        <f t="shared" si="0"/>
        <v>225</v>
      </c>
      <c r="H12" s="80" t="s">
        <v>106</v>
      </c>
      <c r="I12" s="80">
        <v>4</v>
      </c>
      <c r="J12" s="80">
        <v>9</v>
      </c>
      <c r="K12" s="433" t="s">
        <v>42</v>
      </c>
      <c r="L12" s="418"/>
      <c r="M12" s="230">
        <v>41503</v>
      </c>
      <c r="N12" s="84"/>
      <c r="P12" s="574" t="s">
        <v>404</v>
      </c>
      <c r="R12" s="574" t="s">
        <v>405</v>
      </c>
      <c r="S12" s="574" t="s">
        <v>407</v>
      </c>
    </row>
    <row r="13" spans="1:19" s="59" customFormat="1" ht="26.25" customHeight="1" x14ac:dyDescent="0.25">
      <c r="A13" s="191">
        <v>4</v>
      </c>
      <c r="B13" s="891"/>
      <c r="C13" s="891"/>
      <c r="D13" s="74" t="s">
        <v>120</v>
      </c>
      <c r="E13" s="143">
        <f>13+7+10+15</f>
        <v>45</v>
      </c>
      <c r="F13" s="144">
        <v>4</v>
      </c>
      <c r="G13" s="64">
        <f t="shared" si="0"/>
        <v>180</v>
      </c>
      <c r="H13" s="80" t="s">
        <v>63</v>
      </c>
      <c r="I13" s="80">
        <v>3</v>
      </c>
      <c r="J13" s="80">
        <v>9</v>
      </c>
      <c r="K13" s="876" t="s">
        <v>74</v>
      </c>
      <c r="L13" s="877"/>
      <c r="M13" s="230">
        <v>41514</v>
      </c>
      <c r="N13" s="84"/>
    </row>
    <row r="14" spans="1:19" s="59" customFormat="1" ht="26.25" customHeight="1" x14ac:dyDescent="0.25">
      <c r="A14" s="102">
        <v>5</v>
      </c>
      <c r="B14" s="891"/>
      <c r="C14" s="891"/>
      <c r="D14" s="74" t="s">
        <v>120</v>
      </c>
      <c r="E14" s="143">
        <f>5+6+6+8+13+7</f>
        <v>45</v>
      </c>
      <c r="F14" s="144">
        <v>4</v>
      </c>
      <c r="G14" s="64">
        <f t="shared" si="0"/>
        <v>180</v>
      </c>
      <c r="H14" s="80" t="s">
        <v>98</v>
      </c>
      <c r="I14" s="80">
        <v>3</v>
      </c>
      <c r="J14" s="80">
        <v>9</v>
      </c>
      <c r="K14" s="433" t="s">
        <v>42</v>
      </c>
      <c r="L14" s="418"/>
      <c r="M14" s="230">
        <v>41518</v>
      </c>
      <c r="N14" s="84"/>
    </row>
    <row r="15" spans="1:19" s="595" customFormat="1" ht="26.25" customHeight="1" x14ac:dyDescent="0.25">
      <c r="A15" s="594">
        <v>6</v>
      </c>
      <c r="B15" s="891"/>
      <c r="C15" s="891"/>
      <c r="D15" s="74" t="s">
        <v>120</v>
      </c>
      <c r="E15" s="143">
        <f>12+7+10+16</f>
        <v>45</v>
      </c>
      <c r="F15" s="144">
        <v>4</v>
      </c>
      <c r="G15" s="64">
        <f t="shared" ref="G15" si="1">E15*F15</f>
        <v>180</v>
      </c>
      <c r="H15" s="80" t="s">
        <v>107</v>
      </c>
      <c r="I15" s="80">
        <v>2</v>
      </c>
      <c r="J15" s="80">
        <v>11</v>
      </c>
      <c r="K15" s="876" t="s">
        <v>231</v>
      </c>
      <c r="L15" s="877"/>
      <c r="M15" s="230">
        <v>41514</v>
      </c>
      <c r="N15" s="84"/>
    </row>
    <row r="16" spans="1:19" s="595" customFormat="1" ht="26.25" customHeight="1" x14ac:dyDescent="0.25">
      <c r="A16" s="594">
        <v>7</v>
      </c>
      <c r="B16" s="891"/>
      <c r="C16" s="891"/>
      <c r="D16" s="74" t="s">
        <v>287</v>
      </c>
      <c r="E16" s="143">
        <f>3+16.5+7.5+9+9</f>
        <v>45</v>
      </c>
      <c r="F16" s="144">
        <v>5</v>
      </c>
      <c r="G16" s="64">
        <f>E16*F16</f>
        <v>225</v>
      </c>
      <c r="H16" s="80" t="s">
        <v>288</v>
      </c>
      <c r="I16" s="80">
        <v>2</v>
      </c>
      <c r="J16" s="80">
        <v>11</v>
      </c>
      <c r="K16" s="876" t="s">
        <v>227</v>
      </c>
      <c r="L16" s="877"/>
      <c r="M16" s="230">
        <v>41567</v>
      </c>
      <c r="N16" s="84"/>
    </row>
    <row r="17" spans="1:19" s="595" customFormat="1" ht="26.25" customHeight="1" x14ac:dyDescent="0.25">
      <c r="A17" s="594" t="s">
        <v>438</v>
      </c>
      <c r="B17" s="891"/>
      <c r="C17" s="891"/>
      <c r="D17" s="74"/>
      <c r="E17" s="143"/>
      <c r="F17" s="144"/>
      <c r="G17" s="64">
        <f t="shared" ref="G17:G25" si="2">E17*F17</f>
        <v>0</v>
      </c>
      <c r="H17" s="80"/>
      <c r="I17" s="80"/>
      <c r="J17" s="80"/>
      <c r="K17" s="433"/>
      <c r="L17" s="592"/>
      <c r="M17" s="230"/>
      <c r="N17" s="84"/>
    </row>
    <row r="18" spans="1:19" s="595" customFormat="1" ht="26.25" customHeight="1" x14ac:dyDescent="0.25">
      <c r="A18" s="594">
        <v>1</v>
      </c>
      <c r="B18" s="891"/>
      <c r="C18" s="891"/>
      <c r="D18" s="74" t="s">
        <v>437</v>
      </c>
      <c r="E18" s="143">
        <f>15+12+12+6</f>
        <v>45</v>
      </c>
      <c r="F18" s="144">
        <v>5</v>
      </c>
      <c r="G18" s="64">
        <f t="shared" si="2"/>
        <v>225</v>
      </c>
      <c r="H18" s="80" t="s">
        <v>25</v>
      </c>
      <c r="I18" s="80">
        <v>3</v>
      </c>
      <c r="J18" s="80">
        <v>10</v>
      </c>
      <c r="K18" s="876" t="s">
        <v>74</v>
      </c>
      <c r="L18" s="877"/>
      <c r="M18" s="230">
        <v>41666</v>
      </c>
      <c r="N18" s="84"/>
      <c r="O18" s="548" t="s">
        <v>439</v>
      </c>
      <c r="P18" s="432"/>
      <c r="Q18" s="432"/>
      <c r="R18" s="432"/>
      <c r="S18" s="432"/>
    </row>
    <row r="19" spans="1:19" s="467" customFormat="1" ht="26.25" customHeight="1" x14ac:dyDescent="0.25">
      <c r="A19" s="466">
        <v>2</v>
      </c>
      <c r="B19" s="891"/>
      <c r="C19" s="891"/>
      <c r="D19" s="74" t="s">
        <v>104</v>
      </c>
      <c r="E19" s="143">
        <f>9+12+9+9+6</f>
        <v>45</v>
      </c>
      <c r="F19" s="144">
        <v>5</v>
      </c>
      <c r="G19" s="64">
        <f t="shared" si="2"/>
        <v>225</v>
      </c>
      <c r="H19" s="80" t="s">
        <v>102</v>
      </c>
      <c r="I19" s="80">
        <v>2</v>
      </c>
      <c r="J19" s="80">
        <v>11</v>
      </c>
      <c r="K19" s="876" t="s">
        <v>74</v>
      </c>
      <c r="L19" s="877"/>
      <c r="M19" s="230">
        <v>41666</v>
      </c>
      <c r="N19" s="84"/>
    </row>
    <row r="20" spans="1:19" s="751" customFormat="1" ht="26.25" customHeight="1" x14ac:dyDescent="0.25">
      <c r="A20" s="750"/>
      <c r="B20" s="891"/>
      <c r="C20" s="891"/>
      <c r="D20" s="74" t="s">
        <v>349</v>
      </c>
      <c r="E20" s="143">
        <f>4+7</f>
        <v>11</v>
      </c>
      <c r="F20" s="144">
        <v>4</v>
      </c>
      <c r="G20" s="64">
        <f t="shared" si="2"/>
        <v>44</v>
      </c>
      <c r="H20" s="80" t="s">
        <v>64</v>
      </c>
      <c r="I20" s="80">
        <v>1</v>
      </c>
      <c r="J20" s="80">
        <v>12</v>
      </c>
      <c r="K20" s="876" t="s">
        <v>573</v>
      </c>
      <c r="L20" s="877"/>
      <c r="M20" s="230">
        <v>41769</v>
      </c>
      <c r="N20" s="84"/>
    </row>
    <row r="21" spans="1:19" s="751" customFormat="1" ht="26.25" customHeight="1" x14ac:dyDescent="0.25">
      <c r="A21" s="750"/>
      <c r="B21" s="891"/>
      <c r="C21" s="891"/>
      <c r="D21" s="74"/>
      <c r="E21" s="143"/>
      <c r="F21" s="144"/>
      <c r="G21" s="64">
        <f t="shared" si="2"/>
        <v>0</v>
      </c>
      <c r="H21" s="80"/>
      <c r="I21" s="80"/>
      <c r="J21" s="80"/>
      <c r="K21" s="876"/>
      <c r="L21" s="877"/>
      <c r="M21" s="230"/>
      <c r="N21" s="84"/>
    </row>
    <row r="22" spans="1:19" s="751" customFormat="1" ht="26.25" customHeight="1" x14ac:dyDescent="0.25">
      <c r="A22" s="750"/>
      <c r="B22" s="891"/>
      <c r="C22" s="891"/>
      <c r="D22" s="74"/>
      <c r="E22" s="143"/>
      <c r="F22" s="144"/>
      <c r="G22" s="64">
        <f t="shared" si="2"/>
        <v>0</v>
      </c>
      <c r="H22" s="80"/>
      <c r="I22" s="80"/>
      <c r="J22" s="80"/>
      <c r="K22" s="876"/>
      <c r="L22" s="877"/>
      <c r="M22" s="230"/>
      <c r="N22" s="84"/>
    </row>
    <row r="23" spans="1:19" s="751" customFormat="1" ht="26.25" customHeight="1" x14ac:dyDescent="0.25">
      <c r="A23" s="750"/>
      <c r="B23" s="891"/>
      <c r="C23" s="891"/>
      <c r="D23" s="74"/>
      <c r="E23" s="143"/>
      <c r="F23" s="144"/>
      <c r="G23" s="64">
        <f t="shared" si="2"/>
        <v>0</v>
      </c>
      <c r="H23" s="80"/>
      <c r="I23" s="80"/>
      <c r="J23" s="80"/>
      <c r="K23" s="876"/>
      <c r="L23" s="877"/>
      <c r="M23" s="230"/>
      <c r="N23" s="84"/>
    </row>
    <row r="24" spans="1:19" s="59" customFormat="1" ht="26.25" customHeight="1" x14ac:dyDescent="0.25">
      <c r="A24" s="191"/>
      <c r="B24" s="891"/>
      <c r="C24" s="892"/>
      <c r="D24" s="74"/>
      <c r="E24" s="143"/>
      <c r="F24" s="144"/>
      <c r="G24" s="64">
        <f t="shared" si="2"/>
        <v>0</v>
      </c>
      <c r="H24" s="80"/>
      <c r="I24" s="80"/>
      <c r="J24" s="80"/>
      <c r="K24" s="876"/>
      <c r="L24" s="877"/>
      <c r="M24" s="230"/>
      <c r="N24" s="84"/>
    </row>
    <row r="25" spans="1:19" s="59" customFormat="1" ht="26.25" customHeight="1" x14ac:dyDescent="0.25">
      <c r="A25" s="102"/>
      <c r="B25" s="892"/>
      <c r="C25" s="150"/>
      <c r="D25" s="74"/>
      <c r="E25" s="143"/>
      <c r="F25" s="144"/>
      <c r="G25" s="64">
        <f t="shared" si="2"/>
        <v>0</v>
      </c>
      <c r="H25" s="80"/>
      <c r="I25" s="80"/>
      <c r="J25" s="80"/>
      <c r="K25" s="876"/>
      <c r="L25" s="877"/>
      <c r="M25" s="83"/>
      <c r="N25" s="84"/>
    </row>
    <row r="26" spans="1:19" s="59" customFormat="1" ht="26.25" customHeight="1" x14ac:dyDescent="0.25">
      <c r="A26" s="874" t="s">
        <v>11</v>
      </c>
      <c r="B26" s="875"/>
      <c r="C26" s="875"/>
      <c r="D26" s="875"/>
      <c r="E26" s="143">
        <f>SUM(E10:E25)</f>
        <v>416</v>
      </c>
      <c r="F26" s="144"/>
      <c r="G26" s="64">
        <f>E26*F26</f>
        <v>0</v>
      </c>
      <c r="H26" s="60"/>
      <c r="I26" s="60"/>
      <c r="J26" s="60"/>
      <c r="K26" s="876"/>
      <c r="L26" s="877"/>
      <c r="M26" s="60"/>
      <c r="N26" s="63"/>
    </row>
    <row r="27" spans="1:19" s="59" customFormat="1" ht="26.25" customHeight="1" x14ac:dyDescent="0.25">
      <c r="A27" s="897" t="s">
        <v>24</v>
      </c>
      <c r="B27" s="898"/>
      <c r="C27" s="898"/>
      <c r="D27" s="898"/>
      <c r="E27" s="898"/>
      <c r="F27" s="898"/>
      <c r="G27" s="64">
        <f>SUM(G10:G25)</f>
        <v>1934</v>
      </c>
      <c r="H27" s="65"/>
      <c r="I27" s="65"/>
      <c r="J27" s="65"/>
      <c r="K27" s="859"/>
      <c r="L27" s="860"/>
      <c r="M27" s="65"/>
      <c r="N27" s="66"/>
    </row>
    <row r="28" spans="1:19" s="48" customFormat="1" ht="26.25" customHeight="1" x14ac:dyDescent="0.25">
      <c r="A28" s="899" t="s">
        <v>32</v>
      </c>
      <c r="B28" s="900"/>
      <c r="C28" s="900"/>
      <c r="D28" s="900"/>
      <c r="E28" s="900"/>
      <c r="F28" s="900"/>
      <c r="G28" s="900"/>
      <c r="H28" s="67"/>
      <c r="I28" s="68" t="s">
        <v>44</v>
      </c>
      <c r="J28" s="68"/>
      <c r="K28" s="67"/>
      <c r="L28" s="68"/>
      <c r="M28" s="69"/>
      <c r="N28" s="70"/>
    </row>
    <row r="29" spans="1:19" s="48" customFormat="1" ht="22.5" customHeight="1" thickBot="1" x14ac:dyDescent="0.3">
      <c r="A29" s="72" t="s">
        <v>5</v>
      </c>
      <c r="B29" s="71" t="s">
        <v>33</v>
      </c>
      <c r="C29" s="857" t="s">
        <v>21</v>
      </c>
      <c r="D29" s="858"/>
      <c r="E29" s="857" t="s">
        <v>34</v>
      </c>
      <c r="F29" s="858"/>
      <c r="G29" s="71" t="s">
        <v>0</v>
      </c>
      <c r="H29" s="71" t="s">
        <v>96</v>
      </c>
      <c r="I29" s="71" t="s">
        <v>26</v>
      </c>
      <c r="J29" s="71" t="s">
        <v>27</v>
      </c>
      <c r="K29" s="863" t="s">
        <v>28</v>
      </c>
      <c r="L29" s="857"/>
      <c r="M29" s="901" t="s">
        <v>43</v>
      </c>
      <c r="N29" s="902"/>
    </row>
    <row r="30" spans="1:19" s="3" customFormat="1" ht="26.25" customHeight="1" x14ac:dyDescent="0.25">
      <c r="A30" s="861" t="s">
        <v>35</v>
      </c>
      <c r="B30" s="862"/>
      <c r="C30" s="862"/>
      <c r="D30" s="862"/>
      <c r="E30" s="862"/>
      <c r="F30" s="862"/>
      <c r="G30" s="7">
        <f>G27</f>
        <v>1934</v>
      </c>
      <c r="H30" s="8"/>
      <c r="I30" s="8"/>
      <c r="J30" s="8"/>
      <c r="K30" s="8"/>
      <c r="L30" s="8"/>
      <c r="M30" s="8"/>
      <c r="N30" s="9"/>
    </row>
    <row r="31" spans="1:19" s="3" customFormat="1" ht="26.25" customHeight="1" x14ac:dyDescent="0.25">
      <c r="A31" s="10" t="s">
        <v>215</v>
      </c>
      <c r="B31" s="11">
        <v>41515</v>
      </c>
      <c r="C31" s="74" t="s">
        <v>105</v>
      </c>
      <c r="D31" s="74" t="s">
        <v>105</v>
      </c>
      <c r="E31" s="855">
        <v>140</v>
      </c>
      <c r="F31" s="855"/>
      <c r="G31" s="12">
        <f>G30-E31</f>
        <v>1794</v>
      </c>
      <c r="H31" s="124"/>
      <c r="I31" s="124"/>
      <c r="J31" s="124"/>
      <c r="K31" s="124"/>
      <c r="L31" s="124"/>
      <c r="M31" s="124"/>
      <c r="N31" s="13"/>
    </row>
    <row r="32" spans="1:19" s="3" customFormat="1" ht="26.25" customHeight="1" x14ac:dyDescent="0.25">
      <c r="A32" s="10" t="s">
        <v>264</v>
      </c>
      <c r="B32" s="11">
        <v>41549</v>
      </c>
      <c r="C32" s="74" t="s">
        <v>120</v>
      </c>
      <c r="D32" s="74" t="s">
        <v>120</v>
      </c>
      <c r="E32" s="856">
        <v>100</v>
      </c>
      <c r="F32" s="856"/>
      <c r="G32" s="12">
        <f t="shared" ref="G32:G37" si="3">G31-E32</f>
        <v>1694</v>
      </c>
      <c r="H32" s="123"/>
      <c r="I32" s="123"/>
      <c r="J32" s="123"/>
      <c r="K32" s="123"/>
      <c r="L32" s="123"/>
      <c r="M32" s="123"/>
      <c r="N32" s="6"/>
    </row>
    <row r="33" spans="1:14" s="3" customFormat="1" ht="26.25" customHeight="1" x14ac:dyDescent="0.25">
      <c r="A33" s="10" t="s">
        <v>301</v>
      </c>
      <c r="B33" s="11">
        <v>41578</v>
      </c>
      <c r="C33" s="74" t="s">
        <v>120</v>
      </c>
      <c r="D33" s="74" t="s">
        <v>120</v>
      </c>
      <c r="E33" s="856">
        <v>216</v>
      </c>
      <c r="F33" s="856"/>
      <c r="G33" s="12">
        <f t="shared" si="3"/>
        <v>1478</v>
      </c>
      <c r="H33" s="123"/>
      <c r="I33" s="123"/>
      <c r="J33" s="123"/>
      <c r="K33" s="123"/>
      <c r="L33" s="123"/>
      <c r="M33" s="123"/>
      <c r="N33" s="6"/>
    </row>
    <row r="34" spans="1:14" s="3" customFormat="1" ht="26.25" customHeight="1" x14ac:dyDescent="0.25">
      <c r="A34" s="10" t="s">
        <v>322</v>
      </c>
      <c r="B34" s="11">
        <v>41612</v>
      </c>
      <c r="C34" s="74" t="s">
        <v>120</v>
      </c>
      <c r="D34" s="74" t="s">
        <v>120</v>
      </c>
      <c r="E34" s="845">
        <v>250</v>
      </c>
      <c r="F34" s="846"/>
      <c r="G34" s="12">
        <f t="shared" si="3"/>
        <v>1228</v>
      </c>
      <c r="H34" s="123"/>
      <c r="I34" s="123"/>
      <c r="J34" s="123"/>
      <c r="K34" s="123"/>
      <c r="L34" s="123"/>
      <c r="M34" s="123"/>
      <c r="N34" s="6"/>
    </row>
    <row r="35" spans="1:14" s="3" customFormat="1" ht="26.25" customHeight="1" x14ac:dyDescent="0.25">
      <c r="A35" s="10" t="s">
        <v>370</v>
      </c>
      <c r="B35" s="11">
        <v>41645</v>
      </c>
      <c r="C35" s="74" t="s">
        <v>70</v>
      </c>
      <c r="D35" s="74"/>
      <c r="E35" s="842">
        <v>280</v>
      </c>
      <c r="F35" s="843"/>
      <c r="G35" s="12">
        <f t="shared" si="3"/>
        <v>948</v>
      </c>
      <c r="H35" s="190"/>
      <c r="I35" s="190"/>
      <c r="J35" s="190"/>
      <c r="K35" s="190"/>
      <c r="L35" s="190"/>
      <c r="M35" s="190"/>
      <c r="N35" s="6"/>
    </row>
    <row r="36" spans="1:14" s="3" customFormat="1" ht="26.25" customHeight="1" x14ac:dyDescent="0.25">
      <c r="A36" s="14" t="s">
        <v>465</v>
      </c>
      <c r="B36" s="15">
        <v>41703</v>
      </c>
      <c r="C36" s="74" t="s">
        <v>70</v>
      </c>
      <c r="D36" s="74"/>
      <c r="E36" s="842">
        <v>150</v>
      </c>
      <c r="F36" s="843"/>
      <c r="G36" s="12">
        <f t="shared" si="3"/>
        <v>798</v>
      </c>
      <c r="H36" s="192"/>
      <c r="I36" s="192"/>
      <c r="J36" s="192"/>
      <c r="K36" s="192"/>
      <c r="L36" s="192"/>
      <c r="M36" s="192"/>
      <c r="N36" s="6"/>
    </row>
    <row r="37" spans="1:14" s="3" customFormat="1" ht="26.25" customHeight="1" x14ac:dyDescent="0.25">
      <c r="A37" s="14" t="s">
        <v>537</v>
      </c>
      <c r="B37" s="15">
        <v>41739</v>
      </c>
      <c r="C37" s="74" t="s">
        <v>70</v>
      </c>
      <c r="D37" s="74"/>
      <c r="E37" s="842">
        <v>200</v>
      </c>
      <c r="F37" s="843"/>
      <c r="G37" s="12">
        <f t="shared" si="3"/>
        <v>598</v>
      </c>
      <c r="H37" s="204"/>
      <c r="I37" s="204"/>
      <c r="J37" s="204"/>
      <c r="K37" s="204"/>
      <c r="L37" s="204"/>
      <c r="M37" s="204"/>
      <c r="N37" s="6"/>
    </row>
    <row r="38" spans="1:14" s="3" customFormat="1" ht="26.25" customHeight="1" x14ac:dyDescent="0.25">
      <c r="A38" s="14" t="s">
        <v>563</v>
      </c>
      <c r="B38" s="15">
        <v>41768</v>
      </c>
      <c r="C38" s="74" t="s">
        <v>70</v>
      </c>
      <c r="D38" s="74"/>
      <c r="E38" s="842">
        <v>280</v>
      </c>
      <c r="F38" s="843"/>
      <c r="G38" s="12">
        <f>G37-E38</f>
        <v>318</v>
      </c>
      <c r="H38" s="213"/>
      <c r="I38" s="213"/>
      <c r="J38" s="213"/>
      <c r="K38" s="213"/>
      <c r="L38" s="213"/>
      <c r="M38" s="213"/>
      <c r="N38" s="6"/>
    </row>
    <row r="39" spans="1:14" s="3" customFormat="1" ht="26.25" customHeight="1" x14ac:dyDescent="0.25">
      <c r="A39" s="14" t="s">
        <v>592</v>
      </c>
      <c r="B39" s="15">
        <v>41793</v>
      </c>
      <c r="C39" s="74" t="s">
        <v>70</v>
      </c>
      <c r="D39" s="74"/>
      <c r="E39" s="842">
        <v>130</v>
      </c>
      <c r="F39" s="843"/>
      <c r="G39" s="12">
        <f>G38-E39</f>
        <v>188</v>
      </c>
      <c r="H39" s="219"/>
      <c r="I39" s="219"/>
      <c r="J39" s="219"/>
      <c r="K39" s="219"/>
      <c r="L39" s="219"/>
      <c r="M39" s="219"/>
      <c r="N39" s="6"/>
    </row>
    <row r="40" spans="1:14" s="3" customFormat="1" ht="26.25" customHeight="1" x14ac:dyDescent="0.25">
      <c r="A40" s="14"/>
      <c r="B40" s="15"/>
      <c r="C40" s="893"/>
      <c r="D40" s="894"/>
      <c r="E40" s="842"/>
      <c r="F40" s="843"/>
      <c r="G40" s="12">
        <f>G39-E40</f>
        <v>188</v>
      </c>
      <c r="H40" s="123"/>
      <c r="I40" s="123"/>
      <c r="J40" s="123"/>
      <c r="K40" s="123"/>
      <c r="L40" s="123"/>
      <c r="M40" s="123"/>
      <c r="N40" s="6"/>
    </row>
    <row r="41" spans="1:14" s="23" customFormat="1" ht="26.25" customHeight="1" thickBot="1" x14ac:dyDescent="0.3">
      <c r="A41" s="851" t="s">
        <v>36</v>
      </c>
      <c r="B41" s="852"/>
      <c r="C41" s="852"/>
      <c r="D41" s="852"/>
      <c r="E41" s="853">
        <f>SUM(E31:F40)</f>
        <v>1746</v>
      </c>
      <c r="F41" s="854"/>
      <c r="G41" s="12"/>
      <c r="H41" s="21"/>
      <c r="I41" s="21"/>
      <c r="J41" s="21"/>
      <c r="K41" s="21"/>
      <c r="L41" s="21"/>
      <c r="M41" s="21"/>
      <c r="N41" s="22"/>
    </row>
    <row r="42" spans="1:14" s="3" customFormat="1" ht="26.25" customHeight="1" thickTop="1" x14ac:dyDescent="0.25">
      <c r="A42" s="24"/>
      <c r="E42" s="844"/>
      <c r="F42" s="844"/>
    </row>
    <row r="43" spans="1:14" s="3" customFormat="1" ht="26.25" customHeight="1" x14ac:dyDescent="0.3">
      <c r="A43" s="25" t="s">
        <v>41</v>
      </c>
      <c r="B43" s="25"/>
      <c r="C43" s="25"/>
      <c r="D43" s="25" t="s">
        <v>81</v>
      </c>
      <c r="E43" s="25"/>
      <c r="F43" s="26"/>
      <c r="G43" s="25" t="s">
        <v>38</v>
      </c>
      <c r="H43" s="25"/>
      <c r="I43" s="25"/>
      <c r="J43" s="25"/>
      <c r="K43" s="25"/>
      <c r="L43" s="25" t="s">
        <v>39</v>
      </c>
      <c r="M43" s="28"/>
      <c r="N43" s="26"/>
    </row>
    <row r="44" spans="1:14" s="3" customFormat="1" ht="26.25" customHeight="1" x14ac:dyDescent="0.3">
      <c r="A44" s="25"/>
      <c r="B44" s="25"/>
      <c r="C44" s="25"/>
      <c r="D44" s="25"/>
      <c r="E44" s="25"/>
      <c r="F44" s="26"/>
      <c r="G44" s="25"/>
      <c r="H44" s="25"/>
      <c r="I44" s="25"/>
      <c r="J44" s="25"/>
      <c r="K44" s="25"/>
      <c r="L44" s="25"/>
      <c r="M44" s="28"/>
      <c r="N44" s="26"/>
    </row>
    <row r="45" spans="1:14" s="3" customFormat="1" ht="26.25" customHeight="1" x14ac:dyDescent="0.3">
      <c r="A45" s="25"/>
      <c r="B45" s="25"/>
      <c r="C45" s="25"/>
      <c r="D45" s="25"/>
      <c r="E45" s="25"/>
      <c r="F45" s="26"/>
      <c r="G45" s="25"/>
      <c r="H45" s="25"/>
      <c r="I45" s="25"/>
      <c r="J45" s="25"/>
      <c r="K45" s="25"/>
      <c r="L45" s="25"/>
      <c r="M45" s="28"/>
      <c r="N45" s="26"/>
    </row>
    <row r="46" spans="1:14" s="3" customFormat="1" ht="26.25" customHeight="1" x14ac:dyDescent="0.3">
      <c r="A46" s="25"/>
      <c r="B46" s="25"/>
      <c r="C46" s="25"/>
      <c r="D46" s="25"/>
      <c r="E46" s="25"/>
      <c r="F46" s="26"/>
      <c r="G46" s="25"/>
      <c r="H46" s="25"/>
      <c r="I46" s="25"/>
      <c r="J46" s="25"/>
      <c r="K46" s="25"/>
      <c r="L46" s="25"/>
      <c r="M46" s="28"/>
      <c r="N46" s="26"/>
    </row>
    <row r="47" spans="1:14" s="3" customFormat="1" ht="26.25" customHeight="1" x14ac:dyDescent="0.3">
      <c r="A47" s="29"/>
      <c r="B47" s="25"/>
      <c r="C47" s="25"/>
      <c r="D47" s="29"/>
      <c r="E47" s="29"/>
      <c r="F47" s="26"/>
      <c r="G47" s="29"/>
      <c r="H47" s="25"/>
      <c r="I47" s="25"/>
      <c r="J47" s="25"/>
      <c r="K47" s="25"/>
      <c r="L47" s="27"/>
      <c r="M47" s="28"/>
      <c r="N47" s="26"/>
    </row>
    <row r="48" spans="1:14" s="30" customFormat="1" ht="17.25" x14ac:dyDescent="0.3">
      <c r="A48" s="25" t="s">
        <v>48</v>
      </c>
      <c r="B48" s="25"/>
      <c r="C48" s="25" t="s">
        <v>80</v>
      </c>
      <c r="D48" s="25"/>
      <c r="G48" s="25" t="str">
        <f>B10</f>
        <v>Kuch Sokheang</v>
      </c>
      <c r="H48" s="25"/>
      <c r="I48" s="25"/>
      <c r="J48" s="25"/>
      <c r="K48" s="829" t="s">
        <v>90</v>
      </c>
      <c r="L48" s="829"/>
      <c r="M48" s="829"/>
      <c r="N48" s="829"/>
    </row>
    <row r="49" spans="1:1" s="30" customFormat="1" ht="16.5" x14ac:dyDescent="0.3">
      <c r="A49" s="32"/>
    </row>
    <row r="50" spans="1:1" s="30" customFormat="1" ht="16.5" x14ac:dyDescent="0.3">
      <c r="A50" s="32"/>
    </row>
    <row r="51" spans="1:1" s="30" customFormat="1" ht="16.5" x14ac:dyDescent="0.3">
      <c r="A51" s="32"/>
    </row>
    <row r="52" spans="1:1" s="30" customFormat="1" ht="16.5" x14ac:dyDescent="0.3">
      <c r="A52" s="32"/>
    </row>
    <row r="53" spans="1:1" s="30" customFormat="1" ht="16.5" x14ac:dyDescent="0.3">
      <c r="A53" s="32"/>
    </row>
    <row r="54" spans="1:1" s="30" customFormat="1" ht="16.5" x14ac:dyDescent="0.3">
      <c r="A54" s="32"/>
    </row>
    <row r="55" spans="1:1" s="30" customFormat="1" ht="16.5" x14ac:dyDescent="0.3">
      <c r="A55" s="32"/>
    </row>
    <row r="56" spans="1:1" s="30" customFormat="1" ht="16.5" x14ac:dyDescent="0.3">
      <c r="A56" s="32"/>
    </row>
    <row r="57" spans="1:1" s="30" customFormat="1" ht="16.5" x14ac:dyDescent="0.3">
      <c r="A57" s="32"/>
    </row>
  </sheetData>
  <mergeCells count="41">
    <mergeCell ref="K48:N48"/>
    <mergeCell ref="A41:D41"/>
    <mergeCell ref="E41:F41"/>
    <mergeCell ref="E42:F42"/>
    <mergeCell ref="E33:F33"/>
    <mergeCell ref="E34:F34"/>
    <mergeCell ref="C40:D40"/>
    <mergeCell ref="E40:F40"/>
    <mergeCell ref="E35:F35"/>
    <mergeCell ref="E36:F36"/>
    <mergeCell ref="E37:F37"/>
    <mergeCell ref="E38:F38"/>
    <mergeCell ref="E39:F39"/>
    <mergeCell ref="M29:N29"/>
    <mergeCell ref="A30:F30"/>
    <mergeCell ref="E31:F31"/>
    <mergeCell ref="E32:F32"/>
    <mergeCell ref="C29:D29"/>
    <mergeCell ref="E29:F29"/>
    <mergeCell ref="K29:L29"/>
    <mergeCell ref="A1:XFD7"/>
    <mergeCell ref="A8:N8"/>
    <mergeCell ref="K9:L9"/>
    <mergeCell ref="C10:C24"/>
    <mergeCell ref="K24:L24"/>
    <mergeCell ref="B10:B25"/>
    <mergeCell ref="K25:L25"/>
    <mergeCell ref="K16:L16"/>
    <mergeCell ref="K13:L13"/>
    <mergeCell ref="K15:L15"/>
    <mergeCell ref="K18:L18"/>
    <mergeCell ref="K19:L19"/>
    <mergeCell ref="K20:L20"/>
    <mergeCell ref="K21:L21"/>
    <mergeCell ref="K22:L22"/>
    <mergeCell ref="K23:L23"/>
    <mergeCell ref="A26:D26"/>
    <mergeCell ref="K26:L26"/>
    <mergeCell ref="A27:F27"/>
    <mergeCell ref="K27:L27"/>
    <mergeCell ref="A28:G28"/>
  </mergeCells>
  <hyperlinks>
    <hyperlink ref="M29" r:id="rId1" display="Tel:012 718 611"/>
  </hyperlinks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2"/>
  <sheetViews>
    <sheetView zoomScale="80" workbookViewId="0">
      <pane ySplit="9" topLeftCell="A28" activePane="bottomLeft" state="frozen"/>
      <selection pane="bottomLeft" activeCell="P17" sqref="P17"/>
    </sheetView>
  </sheetViews>
  <sheetFormatPr defaultRowHeight="13.5" x14ac:dyDescent="0.25"/>
  <cols>
    <col min="1" max="1" width="15.28515625" style="33" customWidth="1"/>
    <col min="2" max="2" width="16.42578125" style="1" customWidth="1"/>
    <col min="3" max="3" width="5.5703125" style="1" customWidth="1"/>
    <col min="4" max="4" width="23.85546875" style="1" customWidth="1"/>
    <col min="5" max="5" width="8.42578125" style="1" customWidth="1"/>
    <col min="6" max="6" width="8.28515625" style="1" customWidth="1"/>
    <col min="7" max="7" width="16.42578125" style="1" customWidth="1"/>
    <col min="8" max="8" width="3.7109375" style="1" customWidth="1"/>
    <col min="9" max="9" width="3.85546875" style="1" customWidth="1"/>
    <col min="10" max="10" width="5" style="1" customWidth="1"/>
    <col min="11" max="11" width="8" style="1" customWidth="1"/>
    <col min="12" max="12" width="5.5703125" style="1" customWidth="1"/>
    <col min="13" max="13" width="12.5703125" style="1" customWidth="1"/>
    <col min="14" max="14" width="10.28515625" style="1" bestFit="1" customWidth="1"/>
    <col min="15" max="15" width="8.85546875" style="1"/>
    <col min="16" max="16" width="23.85546875" style="1" customWidth="1"/>
    <col min="17" max="17" width="12.7109375" style="1" customWidth="1"/>
    <col min="18" max="18" width="14" style="1" customWidth="1"/>
    <col min="19" max="256" width="8.8554687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8.8554687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8.8554687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8.8554687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8.8554687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8.8554687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8.8554687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8.8554687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8.8554687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8.8554687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8.8554687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8.8554687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8.8554687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8.8554687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8.8554687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8.8554687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8.8554687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8.8554687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8.8554687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8.8554687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8.8554687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8.8554687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8.8554687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8.8554687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8.8554687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8.8554687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8.8554687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8.8554687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8.8554687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8.8554687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8.8554687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8.8554687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8.8554687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8.8554687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8.8554687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8.8554687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8.8554687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8.8554687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8.8554687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8.8554687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8.8554687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8.8554687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8.8554687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8.8554687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8.8554687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8.8554687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8.8554687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8.8554687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8.8554687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8.8554687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8.8554687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8.8554687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8.8554687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8.8554687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8.8554687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8.8554687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8.8554687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8.8554687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8.8554687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8.8554687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8.8554687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8.8554687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8.8554687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8.85546875" style="1"/>
  </cols>
  <sheetData>
    <row r="1" spans="1:19" s="866" customFormat="1" ht="15" x14ac:dyDescent="0.25"/>
    <row r="2" spans="1:19" s="866" customFormat="1" ht="15" x14ac:dyDescent="0.25"/>
    <row r="3" spans="1:19" s="866" customFormat="1" ht="15" x14ac:dyDescent="0.25"/>
    <row r="4" spans="1:19" s="866" customFormat="1" ht="15" x14ac:dyDescent="0.25"/>
    <row r="5" spans="1:19" s="866" customFormat="1" ht="15" x14ac:dyDescent="0.25"/>
    <row r="6" spans="1:19" s="866" customFormat="1" ht="15" x14ac:dyDescent="0.25"/>
    <row r="7" spans="1:19" s="866" customFormat="1" ht="15.75" thickBot="1" x14ac:dyDescent="0.3"/>
    <row r="8" spans="1:19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9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9" s="59" customFormat="1" ht="26.25" customHeight="1" x14ac:dyDescent="0.25">
      <c r="A10" s="91">
        <v>1</v>
      </c>
      <c r="B10" s="295" t="s">
        <v>46</v>
      </c>
      <c r="C10" s="890" t="s">
        <v>31</v>
      </c>
      <c r="D10" s="77" t="s">
        <v>76</v>
      </c>
      <c r="E10" s="54">
        <f>6+12+9+6+12</f>
        <v>45</v>
      </c>
      <c r="F10" s="55">
        <v>7</v>
      </c>
      <c r="G10" s="56">
        <f>E10*F10</f>
        <v>315</v>
      </c>
      <c r="H10" s="226" t="s">
        <v>107</v>
      </c>
      <c r="I10" s="54">
        <v>2</v>
      </c>
      <c r="J10" s="54">
        <v>11</v>
      </c>
      <c r="K10" s="878" t="s">
        <v>74</v>
      </c>
      <c r="L10" s="879"/>
      <c r="M10" s="230">
        <v>41505</v>
      </c>
      <c r="N10" s="58"/>
      <c r="P10" s="59" t="s">
        <v>419</v>
      </c>
      <c r="Q10" s="59" t="s">
        <v>420</v>
      </c>
      <c r="R10" s="59" t="s">
        <v>421</v>
      </c>
    </row>
    <row r="11" spans="1:19" s="59" customFormat="1" ht="26.25" customHeight="1" x14ac:dyDescent="0.25">
      <c r="A11" s="96">
        <v>2</v>
      </c>
      <c r="B11" s="296"/>
      <c r="C11" s="891"/>
      <c r="D11" s="77" t="s">
        <v>76</v>
      </c>
      <c r="E11" s="60">
        <f>3+9+9+9+15</f>
        <v>45</v>
      </c>
      <c r="F11" s="55">
        <v>7</v>
      </c>
      <c r="G11" s="56">
        <f t="shared" ref="G11:G14" si="0">E11*F11</f>
        <v>315</v>
      </c>
      <c r="H11" s="80" t="s">
        <v>64</v>
      </c>
      <c r="I11" s="80">
        <v>2</v>
      </c>
      <c r="J11" s="151">
        <v>11</v>
      </c>
      <c r="K11" s="878" t="s">
        <v>74</v>
      </c>
      <c r="L11" s="879"/>
      <c r="M11" s="230">
        <v>41506</v>
      </c>
      <c r="N11" s="84"/>
    </row>
    <row r="12" spans="1:19" s="462" customFormat="1" ht="26.25" customHeight="1" x14ac:dyDescent="0.25">
      <c r="A12" s="91">
        <v>3</v>
      </c>
      <c r="B12" s="296"/>
      <c r="C12" s="891"/>
      <c r="D12" s="77" t="s">
        <v>76</v>
      </c>
      <c r="E12" s="465">
        <f>12+6+6+21</f>
        <v>45</v>
      </c>
      <c r="F12" s="61">
        <v>7</v>
      </c>
      <c r="G12" s="56">
        <f t="shared" si="0"/>
        <v>315</v>
      </c>
      <c r="H12" s="80" t="s">
        <v>107</v>
      </c>
      <c r="I12" s="80">
        <v>2</v>
      </c>
      <c r="J12" s="464">
        <v>11</v>
      </c>
      <c r="K12" s="878" t="s">
        <v>232</v>
      </c>
      <c r="L12" s="879"/>
      <c r="M12" s="94">
        <v>41514</v>
      </c>
      <c r="N12" s="84"/>
    </row>
    <row r="13" spans="1:19" s="462" customFormat="1" ht="26.25" customHeight="1" x14ac:dyDescent="0.25">
      <c r="A13" s="96">
        <v>4</v>
      </c>
      <c r="B13" s="296"/>
      <c r="C13" s="891"/>
      <c r="D13" s="77" t="s">
        <v>76</v>
      </c>
      <c r="E13" s="465">
        <f>12+9+7.5+16.5</f>
        <v>45</v>
      </c>
      <c r="F13" s="61">
        <v>7</v>
      </c>
      <c r="G13" s="56">
        <f t="shared" si="0"/>
        <v>315</v>
      </c>
      <c r="H13" s="80" t="s">
        <v>63</v>
      </c>
      <c r="I13" s="80">
        <v>2</v>
      </c>
      <c r="J13" s="464">
        <v>11</v>
      </c>
      <c r="K13" s="878" t="s">
        <v>232</v>
      </c>
      <c r="L13" s="879"/>
      <c r="M13" s="94">
        <v>41514</v>
      </c>
      <c r="N13" s="84"/>
    </row>
    <row r="14" spans="1:19" s="481" customFormat="1" ht="26.25" customHeight="1" x14ac:dyDescent="0.25">
      <c r="A14" s="91">
        <v>5</v>
      </c>
      <c r="B14" s="296"/>
      <c r="C14" s="891"/>
      <c r="D14" s="77" t="s">
        <v>76</v>
      </c>
      <c r="E14" s="532">
        <f>18+6</f>
        <v>24</v>
      </c>
      <c r="F14" s="533">
        <v>7</v>
      </c>
      <c r="G14" s="534">
        <f t="shared" si="0"/>
        <v>168</v>
      </c>
      <c r="H14" s="442" t="s">
        <v>107</v>
      </c>
      <c r="I14" s="442">
        <v>2</v>
      </c>
      <c r="J14" s="441">
        <v>11</v>
      </c>
      <c r="K14" s="535" t="s">
        <v>42</v>
      </c>
      <c r="L14" s="536"/>
      <c r="M14" s="440">
        <v>41573</v>
      </c>
      <c r="N14" s="537"/>
      <c r="O14" s="903" t="s">
        <v>309</v>
      </c>
      <c r="P14" s="904"/>
      <c r="Q14" s="904"/>
      <c r="R14" s="904"/>
      <c r="S14" s="904"/>
    </row>
    <row r="15" spans="1:19" s="462" customFormat="1" ht="26.25" customHeight="1" x14ac:dyDescent="0.25">
      <c r="A15" s="96">
        <v>6</v>
      </c>
      <c r="B15" s="296"/>
      <c r="C15" s="891"/>
      <c r="D15" s="77" t="s">
        <v>76</v>
      </c>
      <c r="E15" s="465">
        <f>9+9+9+18</f>
        <v>45</v>
      </c>
      <c r="F15" s="61">
        <v>7</v>
      </c>
      <c r="G15" s="56">
        <f>E15*F15</f>
        <v>315</v>
      </c>
      <c r="H15" s="80" t="s">
        <v>64</v>
      </c>
      <c r="I15" s="80">
        <v>2</v>
      </c>
      <c r="J15" s="464">
        <v>11</v>
      </c>
      <c r="K15" s="876" t="s">
        <v>75</v>
      </c>
      <c r="L15" s="877"/>
      <c r="M15" s="94">
        <v>41515</v>
      </c>
      <c r="N15" s="84"/>
    </row>
    <row r="16" spans="1:19" s="608" customFormat="1" ht="26.25" customHeight="1" x14ac:dyDescent="0.25">
      <c r="A16" s="91">
        <v>7</v>
      </c>
      <c r="B16" s="296"/>
      <c r="C16" s="891"/>
      <c r="D16" s="77" t="s">
        <v>277</v>
      </c>
      <c r="E16" s="614">
        <f>7.5+9+9+12+7.5</f>
        <v>45</v>
      </c>
      <c r="F16" s="61">
        <v>7</v>
      </c>
      <c r="G16" s="56">
        <f t="shared" ref="G16:G30" si="1">E16*F16</f>
        <v>315</v>
      </c>
      <c r="H16" s="80" t="s">
        <v>107</v>
      </c>
      <c r="I16" s="80">
        <v>1</v>
      </c>
      <c r="J16" s="613">
        <v>12</v>
      </c>
      <c r="K16" s="878" t="s">
        <v>74</v>
      </c>
      <c r="L16" s="879"/>
      <c r="M16" s="94">
        <v>41554</v>
      </c>
      <c r="N16" s="84"/>
    </row>
    <row r="17" spans="1:14" s="608" customFormat="1" ht="26.25" customHeight="1" x14ac:dyDescent="0.25">
      <c r="A17" s="96">
        <v>8</v>
      </c>
      <c r="B17" s="296"/>
      <c r="C17" s="891"/>
      <c r="D17" s="77" t="s">
        <v>277</v>
      </c>
      <c r="E17" s="614">
        <f>4.5+10.5+9+12+9</f>
        <v>45</v>
      </c>
      <c r="F17" s="61">
        <v>7</v>
      </c>
      <c r="G17" s="56">
        <f t="shared" si="1"/>
        <v>315</v>
      </c>
      <c r="H17" s="80" t="s">
        <v>64</v>
      </c>
      <c r="I17" s="80">
        <v>1</v>
      </c>
      <c r="J17" s="613">
        <v>12</v>
      </c>
      <c r="K17" s="878" t="s">
        <v>74</v>
      </c>
      <c r="L17" s="879"/>
      <c r="M17" s="94">
        <v>41563</v>
      </c>
      <c r="N17" s="84"/>
    </row>
    <row r="18" spans="1:14" s="608" customFormat="1" ht="26.25" customHeight="1" x14ac:dyDescent="0.25">
      <c r="A18" s="91">
        <v>9</v>
      </c>
      <c r="B18" s="296"/>
      <c r="C18" s="891"/>
      <c r="D18" s="77" t="s">
        <v>277</v>
      </c>
      <c r="E18" s="614">
        <f>3+12+6+13.5+10.5</f>
        <v>45</v>
      </c>
      <c r="F18" s="61">
        <v>7</v>
      </c>
      <c r="G18" s="56">
        <f t="shared" si="1"/>
        <v>315</v>
      </c>
      <c r="H18" s="80" t="s">
        <v>98</v>
      </c>
      <c r="I18" s="80">
        <v>1</v>
      </c>
      <c r="J18" s="613">
        <v>12</v>
      </c>
      <c r="K18" s="604" t="s">
        <v>232</v>
      </c>
      <c r="L18" s="605"/>
      <c r="M18" s="94">
        <v>41571</v>
      </c>
      <c r="N18" s="84"/>
    </row>
    <row r="19" spans="1:14" s="608" customFormat="1" ht="26.25" customHeight="1" x14ac:dyDescent="0.25">
      <c r="A19" s="96">
        <v>10</v>
      </c>
      <c r="B19" s="296"/>
      <c r="C19" s="891"/>
      <c r="D19" s="77" t="s">
        <v>277</v>
      </c>
      <c r="E19" s="614">
        <f>7.5+12+9+9+3+4.5</f>
        <v>45</v>
      </c>
      <c r="F19" s="61">
        <v>7</v>
      </c>
      <c r="G19" s="56">
        <f t="shared" si="1"/>
        <v>315</v>
      </c>
      <c r="H19" s="80" t="s">
        <v>63</v>
      </c>
      <c r="I19" s="80">
        <v>1</v>
      </c>
      <c r="J19" s="613">
        <v>12</v>
      </c>
      <c r="K19" s="604" t="s">
        <v>75</v>
      </c>
      <c r="L19" s="605"/>
      <c r="M19" s="94">
        <v>41613</v>
      </c>
      <c r="N19" s="84"/>
    </row>
    <row r="20" spans="1:14" s="608" customFormat="1" ht="26.25" customHeight="1" x14ac:dyDescent="0.25">
      <c r="A20" s="91">
        <v>11</v>
      </c>
      <c r="B20" s="296"/>
      <c r="C20" s="891"/>
      <c r="D20" s="77" t="s">
        <v>277</v>
      </c>
      <c r="E20" s="614">
        <f>24+19+2</f>
        <v>45</v>
      </c>
      <c r="F20" s="61">
        <v>7</v>
      </c>
      <c r="G20" s="56">
        <f t="shared" si="1"/>
        <v>315</v>
      </c>
      <c r="H20" s="80" t="s">
        <v>64</v>
      </c>
      <c r="I20" s="80">
        <v>1</v>
      </c>
      <c r="J20" s="613">
        <v>12</v>
      </c>
      <c r="K20" s="604" t="s">
        <v>227</v>
      </c>
      <c r="L20" s="605"/>
      <c r="M20" s="94">
        <v>41658</v>
      </c>
      <c r="N20" s="84"/>
    </row>
    <row r="21" spans="1:14" s="608" customFormat="1" ht="26.25" customHeight="1" x14ac:dyDescent="0.25">
      <c r="A21" s="96" t="s">
        <v>438</v>
      </c>
      <c r="B21" s="296"/>
      <c r="C21" s="891"/>
      <c r="D21" s="77"/>
      <c r="E21" s="614"/>
      <c r="F21" s="61"/>
      <c r="G21" s="56">
        <f t="shared" si="1"/>
        <v>0</v>
      </c>
      <c r="H21" s="80"/>
      <c r="I21" s="80"/>
      <c r="J21" s="613"/>
      <c r="K21" s="181"/>
      <c r="L21" s="182"/>
      <c r="M21" s="94"/>
      <c r="N21" s="84"/>
    </row>
    <row r="22" spans="1:14" s="608" customFormat="1" ht="26.25" customHeight="1" x14ac:dyDescent="0.25">
      <c r="A22" s="96">
        <v>1</v>
      </c>
      <c r="B22" s="296"/>
      <c r="C22" s="891"/>
      <c r="D22" s="77" t="s">
        <v>446</v>
      </c>
      <c r="E22" s="614">
        <f>9+12+12+6+6</f>
        <v>45</v>
      </c>
      <c r="F22" s="61">
        <v>7</v>
      </c>
      <c r="G22" s="56">
        <f t="shared" si="1"/>
        <v>315</v>
      </c>
      <c r="H22" s="80" t="s">
        <v>63</v>
      </c>
      <c r="I22" s="80">
        <v>2</v>
      </c>
      <c r="J22" s="613">
        <v>11</v>
      </c>
      <c r="K22" s="181" t="s">
        <v>232</v>
      </c>
      <c r="L22" s="182"/>
      <c r="M22" s="94">
        <v>41674</v>
      </c>
      <c r="N22" s="84" t="s">
        <v>612</v>
      </c>
    </row>
    <row r="23" spans="1:14" s="608" customFormat="1" ht="26.25" customHeight="1" x14ac:dyDescent="0.25">
      <c r="A23" s="96"/>
      <c r="B23" s="296"/>
      <c r="C23" s="891"/>
      <c r="D23" s="77"/>
      <c r="E23" s="614"/>
      <c r="F23" s="61"/>
      <c r="G23" s="56">
        <f t="shared" si="1"/>
        <v>0</v>
      </c>
      <c r="H23" s="80"/>
      <c r="I23" s="80"/>
      <c r="J23" s="613"/>
      <c r="K23" s="181"/>
      <c r="L23" s="182"/>
      <c r="M23" s="94"/>
      <c r="N23" s="84"/>
    </row>
    <row r="24" spans="1:14" s="608" customFormat="1" ht="26.25" customHeight="1" x14ac:dyDescent="0.25">
      <c r="A24" s="96"/>
      <c r="B24" s="296"/>
      <c r="C24" s="891"/>
      <c r="D24" s="77"/>
      <c r="E24" s="614"/>
      <c r="F24" s="61"/>
      <c r="G24" s="56">
        <f t="shared" si="1"/>
        <v>0</v>
      </c>
      <c r="H24" s="80"/>
      <c r="I24" s="80"/>
      <c r="J24" s="613"/>
      <c r="K24" s="181"/>
      <c r="L24" s="182"/>
      <c r="M24" s="94"/>
      <c r="N24" s="84"/>
    </row>
    <row r="25" spans="1:14" s="608" customFormat="1" ht="26.25" customHeight="1" x14ac:dyDescent="0.25">
      <c r="A25" s="96"/>
      <c r="B25" s="296"/>
      <c r="C25" s="891"/>
      <c r="D25" s="77"/>
      <c r="E25" s="614"/>
      <c r="F25" s="61"/>
      <c r="G25" s="56">
        <f t="shared" si="1"/>
        <v>0</v>
      </c>
      <c r="H25" s="80"/>
      <c r="I25" s="80"/>
      <c r="J25" s="613"/>
      <c r="K25" s="181"/>
      <c r="L25" s="182"/>
      <c r="M25" s="94"/>
      <c r="N25" s="84"/>
    </row>
    <row r="26" spans="1:14" s="59" customFormat="1" ht="26.25" customHeight="1" x14ac:dyDescent="0.25">
      <c r="A26" s="91"/>
      <c r="B26" s="296"/>
      <c r="C26" s="891"/>
      <c r="D26" s="77"/>
      <c r="E26" s="60"/>
      <c r="F26" s="61"/>
      <c r="G26" s="56">
        <f t="shared" si="1"/>
        <v>0</v>
      </c>
      <c r="H26" s="80"/>
      <c r="I26" s="80"/>
      <c r="J26" s="151"/>
      <c r="K26" s="878"/>
      <c r="L26" s="879"/>
      <c r="M26" s="94"/>
      <c r="N26" s="84"/>
    </row>
    <row r="27" spans="1:14" s="59" customFormat="1" ht="26.25" customHeight="1" x14ac:dyDescent="0.25">
      <c r="A27" s="96"/>
      <c r="B27" s="296"/>
      <c r="C27" s="891"/>
      <c r="D27" s="77"/>
      <c r="E27" s="60"/>
      <c r="F27" s="61"/>
      <c r="G27" s="56">
        <f t="shared" si="1"/>
        <v>0</v>
      </c>
      <c r="H27" s="80"/>
      <c r="I27" s="80"/>
      <c r="J27" s="151"/>
      <c r="K27" s="878"/>
      <c r="L27" s="879"/>
      <c r="M27" s="94"/>
      <c r="N27" s="84"/>
    </row>
    <row r="28" spans="1:14" s="518" customFormat="1" ht="26.25" customHeight="1" x14ac:dyDescent="0.25">
      <c r="A28" s="91"/>
      <c r="B28" s="296"/>
      <c r="C28" s="891"/>
      <c r="D28" s="77"/>
      <c r="E28" s="520"/>
      <c r="F28" s="61"/>
      <c r="G28" s="56">
        <f t="shared" si="1"/>
        <v>0</v>
      </c>
      <c r="H28" s="80"/>
      <c r="I28" s="80"/>
      <c r="J28" s="519"/>
      <c r="K28" s="516"/>
      <c r="L28" s="517"/>
      <c r="M28" s="94"/>
      <c r="N28" s="84"/>
    </row>
    <row r="29" spans="1:14" s="588" customFormat="1" ht="26.25" customHeight="1" x14ac:dyDescent="0.25">
      <c r="A29" s="96"/>
      <c r="B29" s="296"/>
      <c r="C29" s="891"/>
      <c r="D29" s="77"/>
      <c r="E29" s="590"/>
      <c r="F29" s="61"/>
      <c r="G29" s="56">
        <f t="shared" si="1"/>
        <v>0</v>
      </c>
      <c r="H29" s="80"/>
      <c r="I29" s="80"/>
      <c r="J29" s="589"/>
      <c r="K29" s="586"/>
      <c r="L29" s="587"/>
      <c r="M29" s="94"/>
      <c r="N29" s="84"/>
    </row>
    <row r="30" spans="1:14" s="59" customFormat="1" ht="26.25" customHeight="1" x14ac:dyDescent="0.25">
      <c r="A30" s="91"/>
      <c r="B30" s="297"/>
      <c r="C30" s="892"/>
      <c r="D30" s="77"/>
      <c r="E30" s="520"/>
      <c r="F30" s="61"/>
      <c r="G30" s="56">
        <f t="shared" si="1"/>
        <v>0</v>
      </c>
      <c r="H30" s="80"/>
      <c r="I30" s="80"/>
      <c r="J30" s="519"/>
      <c r="K30" s="516"/>
      <c r="L30" s="517"/>
      <c r="M30" s="94"/>
      <c r="N30" s="84"/>
    </row>
    <row r="31" spans="1:14" s="59" customFormat="1" ht="26.25" customHeight="1" x14ac:dyDescent="0.25">
      <c r="A31" s="874" t="s">
        <v>11</v>
      </c>
      <c r="B31" s="875"/>
      <c r="C31" s="875"/>
      <c r="D31" s="875"/>
      <c r="E31" s="75">
        <f>SUM(E10:E30)</f>
        <v>519</v>
      </c>
      <c r="F31" s="76">
        <v>7</v>
      </c>
      <c r="G31" s="56">
        <f>E31*F31</f>
        <v>3633</v>
      </c>
      <c r="H31" s="60"/>
      <c r="I31" s="60"/>
      <c r="J31" s="60"/>
      <c r="K31" s="876"/>
      <c r="L31" s="877"/>
      <c r="M31" s="60"/>
      <c r="N31" s="63"/>
    </row>
    <row r="32" spans="1:14" s="59" customFormat="1" ht="26.25" customHeight="1" x14ac:dyDescent="0.25">
      <c r="A32" s="897">
        <v>9</v>
      </c>
      <c r="B32" s="898"/>
      <c r="C32" s="898"/>
      <c r="D32" s="898"/>
      <c r="E32" s="898"/>
      <c r="F32" s="898"/>
      <c r="G32" s="64">
        <f>G31</f>
        <v>3633</v>
      </c>
      <c r="H32" s="65"/>
      <c r="I32" s="65"/>
      <c r="J32" s="65"/>
      <c r="K32" s="859"/>
      <c r="L32" s="860"/>
      <c r="M32" s="65"/>
      <c r="N32" s="66"/>
    </row>
    <row r="33" spans="1:14" s="48" customFormat="1" ht="26.25" customHeight="1" x14ac:dyDescent="0.25">
      <c r="A33" s="899" t="s">
        <v>32</v>
      </c>
      <c r="B33" s="900"/>
      <c r="C33" s="900"/>
      <c r="D33" s="900"/>
      <c r="E33" s="900"/>
      <c r="F33" s="900"/>
      <c r="G33" s="900"/>
      <c r="H33" s="67"/>
      <c r="I33" s="67"/>
      <c r="J33" s="68" t="s">
        <v>44</v>
      </c>
      <c r="K33" s="67"/>
      <c r="L33" s="68"/>
      <c r="M33" s="69"/>
      <c r="N33" s="70"/>
    </row>
    <row r="34" spans="1:14" s="48" customFormat="1" ht="22.5" customHeight="1" thickBot="1" x14ac:dyDescent="0.3">
      <c r="A34" s="72" t="s">
        <v>5</v>
      </c>
      <c r="B34" s="71" t="s">
        <v>33</v>
      </c>
      <c r="C34" s="857" t="s">
        <v>21</v>
      </c>
      <c r="D34" s="858"/>
      <c r="E34" s="857" t="s">
        <v>34</v>
      </c>
      <c r="F34" s="858"/>
      <c r="G34" s="71" t="s">
        <v>0</v>
      </c>
      <c r="H34" s="71" t="s">
        <v>96</v>
      </c>
      <c r="I34" s="71" t="s">
        <v>26</v>
      </c>
      <c r="J34" s="71" t="s">
        <v>27</v>
      </c>
      <c r="K34" s="863" t="s">
        <v>28</v>
      </c>
      <c r="L34" s="857"/>
      <c r="M34" s="901" t="s">
        <v>55</v>
      </c>
      <c r="N34" s="902"/>
    </row>
    <row r="35" spans="1:14" s="3" customFormat="1" ht="26.25" customHeight="1" x14ac:dyDescent="0.25">
      <c r="A35" s="861" t="s">
        <v>35</v>
      </c>
      <c r="B35" s="862"/>
      <c r="C35" s="862"/>
      <c r="D35" s="862"/>
      <c r="E35" s="862"/>
      <c r="F35" s="862"/>
      <c r="G35" s="7">
        <f>G32</f>
        <v>3633</v>
      </c>
      <c r="H35" s="8"/>
      <c r="I35" s="8"/>
      <c r="J35" s="8"/>
      <c r="K35" s="8"/>
      <c r="L35" s="8"/>
      <c r="M35" s="8"/>
      <c r="N35" s="9"/>
    </row>
    <row r="36" spans="1:14" s="3" customFormat="1" ht="26.25" customHeight="1" x14ac:dyDescent="0.25">
      <c r="A36" s="10" t="s">
        <v>214</v>
      </c>
      <c r="B36" s="11">
        <v>41515</v>
      </c>
      <c r="C36" s="888" t="s">
        <v>76</v>
      </c>
      <c r="D36" s="889"/>
      <c r="E36" s="855">
        <v>63</v>
      </c>
      <c r="F36" s="855"/>
      <c r="G36" s="12">
        <f>G35-E36</f>
        <v>3570</v>
      </c>
      <c r="H36" s="104"/>
      <c r="I36" s="104"/>
      <c r="J36" s="104"/>
      <c r="K36" s="104"/>
      <c r="L36" s="104"/>
      <c r="M36" s="104"/>
      <c r="N36" s="13"/>
    </row>
    <row r="37" spans="1:14" s="3" customFormat="1" ht="26.25" customHeight="1" x14ac:dyDescent="0.25">
      <c r="A37" s="10" t="s">
        <v>263</v>
      </c>
      <c r="B37" s="11">
        <v>41549</v>
      </c>
      <c r="C37" s="905" t="s">
        <v>76</v>
      </c>
      <c r="D37" s="906"/>
      <c r="E37" s="856">
        <v>100</v>
      </c>
      <c r="F37" s="856"/>
      <c r="G37" s="12">
        <f t="shared" ref="G37:G44" si="2">G36-E37</f>
        <v>3470</v>
      </c>
      <c r="H37" s="105"/>
      <c r="I37" s="105"/>
      <c r="J37" s="105"/>
      <c r="K37" s="105"/>
      <c r="L37" s="105"/>
      <c r="M37" s="105"/>
      <c r="N37" s="6"/>
    </row>
    <row r="38" spans="1:14" s="3" customFormat="1" ht="26.25" customHeight="1" x14ac:dyDescent="0.25">
      <c r="A38" s="10" t="s">
        <v>300</v>
      </c>
      <c r="B38" s="11">
        <v>41578</v>
      </c>
      <c r="C38" s="888" t="s">
        <v>76</v>
      </c>
      <c r="D38" s="889"/>
      <c r="E38" s="856">
        <v>338</v>
      </c>
      <c r="F38" s="856"/>
      <c r="G38" s="12">
        <f t="shared" si="2"/>
        <v>3132</v>
      </c>
      <c r="H38" s="105"/>
      <c r="I38" s="105"/>
      <c r="J38" s="105"/>
      <c r="K38" s="105"/>
      <c r="L38" s="105"/>
      <c r="M38" s="105"/>
      <c r="N38" s="6"/>
    </row>
    <row r="39" spans="1:14" s="3" customFormat="1" ht="26.25" customHeight="1" x14ac:dyDescent="0.25">
      <c r="A39" s="10" t="s">
        <v>321</v>
      </c>
      <c r="B39" s="11">
        <v>41612</v>
      </c>
      <c r="C39" s="905" t="s">
        <v>76</v>
      </c>
      <c r="D39" s="906"/>
      <c r="E39" s="845">
        <v>300</v>
      </c>
      <c r="F39" s="846"/>
      <c r="G39" s="12">
        <f t="shared" si="2"/>
        <v>2832</v>
      </c>
      <c r="H39" s="105"/>
      <c r="I39" s="105"/>
      <c r="J39" s="105"/>
      <c r="K39" s="105"/>
      <c r="L39" s="105"/>
      <c r="M39" s="105"/>
      <c r="N39" s="6"/>
    </row>
    <row r="40" spans="1:14" s="3" customFormat="1" ht="26.25" customHeight="1" x14ac:dyDescent="0.25">
      <c r="A40" s="10" t="s">
        <v>370</v>
      </c>
      <c r="B40" s="11">
        <v>41645</v>
      </c>
      <c r="C40" s="905" t="s">
        <v>76</v>
      </c>
      <c r="D40" s="906"/>
      <c r="E40" s="842">
        <v>300</v>
      </c>
      <c r="F40" s="843"/>
      <c r="G40" s="12">
        <f t="shared" si="2"/>
        <v>2532</v>
      </c>
      <c r="H40" s="105"/>
      <c r="I40" s="105"/>
      <c r="J40" s="105"/>
      <c r="K40" s="105"/>
      <c r="L40" s="105"/>
      <c r="M40" s="105"/>
      <c r="N40" s="6"/>
    </row>
    <row r="41" spans="1:14" s="3" customFormat="1" ht="26.25" customHeight="1" x14ac:dyDescent="0.25">
      <c r="A41" s="14" t="s">
        <v>465</v>
      </c>
      <c r="B41" s="15">
        <v>41703</v>
      </c>
      <c r="C41" s="905" t="s">
        <v>76</v>
      </c>
      <c r="D41" s="906"/>
      <c r="E41" s="845">
        <v>300</v>
      </c>
      <c r="F41" s="846"/>
      <c r="G41" s="12">
        <f t="shared" si="2"/>
        <v>2232</v>
      </c>
      <c r="H41" s="105"/>
      <c r="I41" s="105"/>
      <c r="J41" s="105"/>
      <c r="K41" s="105"/>
      <c r="L41" s="105"/>
      <c r="M41" s="105"/>
      <c r="N41" s="6"/>
    </row>
    <row r="42" spans="1:14" s="3" customFormat="1" ht="26.25" customHeight="1" x14ac:dyDescent="0.25">
      <c r="A42" s="14" t="s">
        <v>537</v>
      </c>
      <c r="B42" s="15">
        <v>41739</v>
      </c>
      <c r="C42" s="905" t="s">
        <v>76</v>
      </c>
      <c r="D42" s="906"/>
      <c r="E42" s="845">
        <v>300</v>
      </c>
      <c r="F42" s="846"/>
      <c r="G42" s="12">
        <f t="shared" si="2"/>
        <v>1932</v>
      </c>
      <c r="H42" s="105"/>
      <c r="I42" s="105"/>
      <c r="J42" s="105"/>
      <c r="K42" s="105"/>
      <c r="L42" s="105"/>
      <c r="M42" s="105"/>
      <c r="N42" s="6"/>
    </row>
    <row r="43" spans="1:14" s="3" customFormat="1" ht="26.25" customHeight="1" x14ac:dyDescent="0.25">
      <c r="A43" s="14" t="s">
        <v>563</v>
      </c>
      <c r="B43" s="15">
        <v>41768</v>
      </c>
      <c r="C43" s="905" t="s">
        <v>76</v>
      </c>
      <c r="D43" s="906"/>
      <c r="E43" s="845">
        <v>1685</v>
      </c>
      <c r="F43" s="846"/>
      <c r="G43" s="12">
        <f t="shared" si="2"/>
        <v>247</v>
      </c>
      <c r="H43" s="105"/>
      <c r="I43" s="105"/>
      <c r="J43" s="105"/>
      <c r="K43" s="105"/>
      <c r="L43" s="105"/>
      <c r="M43" s="105"/>
      <c r="N43" s="6"/>
    </row>
    <row r="44" spans="1:14" s="3" customFormat="1" ht="26.25" customHeight="1" x14ac:dyDescent="0.25">
      <c r="A44" s="14" t="s">
        <v>592</v>
      </c>
      <c r="B44" s="15">
        <v>41793</v>
      </c>
      <c r="C44" s="905" t="s">
        <v>76</v>
      </c>
      <c r="D44" s="906"/>
      <c r="E44" s="845">
        <v>100</v>
      </c>
      <c r="F44" s="846"/>
      <c r="G44" s="12">
        <f t="shared" si="2"/>
        <v>147</v>
      </c>
      <c r="H44" s="105"/>
      <c r="I44" s="105"/>
      <c r="J44" s="105"/>
      <c r="K44" s="105"/>
      <c r="L44" s="105"/>
      <c r="M44" s="105"/>
      <c r="N44" s="6"/>
    </row>
    <row r="45" spans="1:14" s="3" customFormat="1" ht="26.25" customHeight="1" x14ac:dyDescent="0.25">
      <c r="A45" s="16"/>
      <c r="B45" s="17"/>
      <c r="C45" s="847"/>
      <c r="D45" s="848"/>
      <c r="E45" s="907"/>
      <c r="F45" s="908"/>
      <c r="G45" s="12">
        <f>G44-E45</f>
        <v>147</v>
      </c>
      <c r="H45" s="18"/>
      <c r="I45" s="18"/>
      <c r="J45" s="18"/>
      <c r="K45" s="18"/>
      <c r="L45" s="18"/>
      <c r="M45" s="18"/>
      <c r="N45" s="19"/>
    </row>
    <row r="46" spans="1:14" s="23" customFormat="1" ht="26.25" customHeight="1" thickBot="1" x14ac:dyDescent="0.3">
      <c r="A46" s="851" t="s">
        <v>36</v>
      </c>
      <c r="B46" s="852"/>
      <c r="C46" s="852"/>
      <c r="D46" s="852"/>
      <c r="E46" s="853">
        <f>SUM(E36:F45)</f>
        <v>3486</v>
      </c>
      <c r="F46" s="854"/>
      <c r="G46" s="12"/>
      <c r="H46" s="21"/>
      <c r="I46" s="21"/>
      <c r="J46" s="21"/>
      <c r="K46" s="21"/>
      <c r="L46" s="21"/>
      <c r="M46" s="21"/>
      <c r="N46" s="22"/>
    </row>
    <row r="47" spans="1:14" s="3" customFormat="1" ht="26.25" customHeight="1" thickTop="1" x14ac:dyDescent="0.25">
      <c r="A47" s="24"/>
      <c r="E47" s="844"/>
      <c r="F47" s="844"/>
    </row>
    <row r="48" spans="1:14" s="3" customFormat="1" ht="26.25" customHeight="1" x14ac:dyDescent="0.3">
      <c r="A48" s="25" t="s">
        <v>41</v>
      </c>
      <c r="B48" s="25"/>
      <c r="C48" s="25"/>
      <c r="D48" s="25" t="s">
        <v>81</v>
      </c>
      <c r="E48" s="25"/>
      <c r="F48" s="26"/>
      <c r="G48" s="25" t="s">
        <v>38</v>
      </c>
      <c r="H48" s="25"/>
      <c r="I48" s="25"/>
      <c r="J48" s="25"/>
      <c r="K48" s="25"/>
      <c r="L48" s="25" t="s">
        <v>39</v>
      </c>
      <c r="M48" s="28"/>
      <c r="N48" s="26"/>
    </row>
    <row r="49" spans="1:14" s="3" customFormat="1" ht="26.25" customHeight="1" x14ac:dyDescent="0.3">
      <c r="A49" s="25"/>
      <c r="B49" s="25"/>
      <c r="C49" s="25"/>
      <c r="D49" s="25"/>
      <c r="E49" s="25"/>
      <c r="F49" s="26"/>
      <c r="G49" s="25"/>
      <c r="H49" s="25"/>
      <c r="I49" s="25"/>
      <c r="J49" s="25"/>
      <c r="K49" s="25"/>
      <c r="L49" s="25"/>
      <c r="M49" s="28"/>
      <c r="N49" s="26"/>
    </row>
    <row r="50" spans="1:14" s="3" customFormat="1" ht="26.25" customHeight="1" x14ac:dyDescent="0.3">
      <c r="A50" s="25"/>
      <c r="B50" s="25"/>
      <c r="C50" s="25"/>
      <c r="D50" s="25"/>
      <c r="E50" s="25"/>
      <c r="F50" s="26"/>
      <c r="G50" s="25"/>
      <c r="H50" s="25"/>
      <c r="I50" s="25"/>
      <c r="J50" s="25"/>
      <c r="K50" s="25"/>
      <c r="L50" s="25"/>
      <c r="M50" s="28"/>
      <c r="N50" s="26"/>
    </row>
    <row r="51" spans="1:14" s="3" customFormat="1" ht="26.25" customHeight="1" x14ac:dyDescent="0.3">
      <c r="A51" s="25"/>
      <c r="B51" s="25"/>
      <c r="C51" s="25"/>
      <c r="D51" s="25"/>
      <c r="E51" s="25"/>
      <c r="F51" s="26"/>
      <c r="G51" s="25"/>
      <c r="H51" s="25"/>
      <c r="I51" s="25"/>
      <c r="J51" s="25"/>
      <c r="K51" s="25"/>
      <c r="L51" s="25"/>
      <c r="M51" s="28"/>
      <c r="N51" s="26"/>
    </row>
    <row r="52" spans="1:14" s="3" customFormat="1" ht="26.25" customHeight="1" x14ac:dyDescent="0.3">
      <c r="A52" s="29"/>
      <c r="B52" s="25"/>
      <c r="C52" s="25"/>
      <c r="D52" s="29"/>
      <c r="E52" s="29"/>
      <c r="F52" s="26"/>
      <c r="G52" s="29"/>
      <c r="H52" s="25"/>
      <c r="I52" s="25"/>
      <c r="J52" s="25"/>
      <c r="K52" s="25"/>
      <c r="L52" s="27"/>
      <c r="M52" s="28"/>
      <c r="N52" s="26"/>
    </row>
    <row r="53" spans="1:14" s="30" customFormat="1" ht="17.25" x14ac:dyDescent="0.3">
      <c r="A53" s="25" t="s">
        <v>48</v>
      </c>
      <c r="B53" s="25"/>
      <c r="C53" s="25" t="s">
        <v>80</v>
      </c>
      <c r="D53" s="25"/>
      <c r="G53" s="25" t="str">
        <f>B10</f>
        <v>Sim Bunsong</v>
      </c>
      <c r="H53" s="25"/>
      <c r="I53" s="25"/>
      <c r="J53" s="25"/>
      <c r="K53" s="829" t="s">
        <v>90</v>
      </c>
      <c r="L53" s="829"/>
      <c r="M53" s="829"/>
      <c r="N53" s="829"/>
    </row>
    <row r="54" spans="1:14" s="30" customFormat="1" ht="16.5" x14ac:dyDescent="0.3">
      <c r="A54" s="32"/>
    </row>
    <row r="55" spans="1:14" s="30" customFormat="1" ht="16.5" x14ac:dyDescent="0.3">
      <c r="A55" s="32"/>
    </row>
    <row r="56" spans="1:14" s="30" customFormat="1" ht="16.5" x14ac:dyDescent="0.3">
      <c r="A56" s="32"/>
    </row>
    <row r="57" spans="1:14" s="30" customFormat="1" ht="16.5" x14ac:dyDescent="0.3">
      <c r="A57" s="32"/>
    </row>
    <row r="58" spans="1:14" s="30" customFormat="1" ht="16.5" x14ac:dyDescent="0.3">
      <c r="A58" s="32"/>
    </row>
    <row r="59" spans="1:14" s="30" customFormat="1" ht="16.5" x14ac:dyDescent="0.3">
      <c r="A59" s="32"/>
    </row>
    <row r="60" spans="1:14" s="30" customFormat="1" ht="16.5" x14ac:dyDescent="0.3">
      <c r="A60" s="32"/>
    </row>
    <row r="61" spans="1:14" s="30" customFormat="1" ht="16.5" x14ac:dyDescent="0.3">
      <c r="A61" s="32"/>
    </row>
    <row r="62" spans="1:14" s="30" customFormat="1" ht="16.5" x14ac:dyDescent="0.3">
      <c r="A62" s="32"/>
    </row>
  </sheetData>
  <mergeCells count="48">
    <mergeCell ref="K53:N53"/>
    <mergeCell ref="E47:F47"/>
    <mergeCell ref="C44:D44"/>
    <mergeCell ref="E44:F44"/>
    <mergeCell ref="C45:D45"/>
    <mergeCell ref="E45:F45"/>
    <mergeCell ref="A46:D46"/>
    <mergeCell ref="E46:F46"/>
    <mergeCell ref="C41:D41"/>
    <mergeCell ref="E41:F41"/>
    <mergeCell ref="C42:D42"/>
    <mergeCell ref="E42:F42"/>
    <mergeCell ref="C43:D43"/>
    <mergeCell ref="E43:F43"/>
    <mergeCell ref="C38:D38"/>
    <mergeCell ref="E38:F38"/>
    <mergeCell ref="C39:D39"/>
    <mergeCell ref="E39:F39"/>
    <mergeCell ref="C40:D40"/>
    <mergeCell ref="E40:F40"/>
    <mergeCell ref="C36:D36"/>
    <mergeCell ref="E36:F36"/>
    <mergeCell ref="C37:D37"/>
    <mergeCell ref="E37:F37"/>
    <mergeCell ref="C34:D34"/>
    <mergeCell ref="E34:F34"/>
    <mergeCell ref="A32:F32"/>
    <mergeCell ref="K32:L32"/>
    <mergeCell ref="A33:G33"/>
    <mergeCell ref="M34:N34"/>
    <mergeCell ref="A35:F35"/>
    <mergeCell ref="K34:L34"/>
    <mergeCell ref="A1:XFD7"/>
    <mergeCell ref="A8:N8"/>
    <mergeCell ref="K9:L9"/>
    <mergeCell ref="K10:L10"/>
    <mergeCell ref="A31:D31"/>
    <mergeCell ref="K31:L31"/>
    <mergeCell ref="C10:C30"/>
    <mergeCell ref="K11:L11"/>
    <mergeCell ref="K26:L26"/>
    <mergeCell ref="K27:L27"/>
    <mergeCell ref="K12:L12"/>
    <mergeCell ref="K13:L13"/>
    <mergeCell ref="K15:L15"/>
    <mergeCell ref="O14:S14"/>
    <mergeCell ref="K16:L16"/>
    <mergeCell ref="K17:L17"/>
  </mergeCells>
  <hyperlinks>
    <hyperlink ref="M34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7"/>
  <sheetViews>
    <sheetView zoomScale="80" workbookViewId="0">
      <pane xSplit="3" ySplit="9" topLeftCell="D34" activePane="bottomRight" state="frozen"/>
      <selection pane="topRight" activeCell="D1" sqref="D1"/>
      <selection pane="bottomLeft" activeCell="A10" sqref="A10"/>
      <selection pane="bottomRight" activeCell="R44" sqref="R44"/>
    </sheetView>
  </sheetViews>
  <sheetFormatPr defaultRowHeight="13.5" x14ac:dyDescent="0.25"/>
  <cols>
    <col min="1" max="1" width="14.140625" style="33" customWidth="1"/>
    <col min="2" max="2" width="19.140625" style="1" customWidth="1"/>
    <col min="3" max="3" width="6.28515625" style="631" customWidth="1"/>
    <col min="4" max="4" width="33.5703125" style="1" bestFit="1" customWidth="1"/>
    <col min="5" max="5" width="8.42578125" style="1" customWidth="1"/>
    <col min="6" max="6" width="8.28515625" style="1" customWidth="1"/>
    <col min="7" max="7" width="16.42578125" style="1" customWidth="1"/>
    <col min="8" max="8" width="5.1406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3.28515625" style="1" bestFit="1" customWidth="1"/>
    <col min="14" max="14" width="10.28515625" style="1" bestFit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4" s="866" customFormat="1" ht="15" x14ac:dyDescent="0.25"/>
    <row r="2" spans="1:14" s="866" customFormat="1" ht="15" x14ac:dyDescent="0.25"/>
    <row r="3" spans="1:14" s="866" customFormat="1" ht="15" x14ac:dyDescent="0.25"/>
    <row r="4" spans="1:14" s="866" customFormat="1" ht="15" x14ac:dyDescent="0.25"/>
    <row r="5" spans="1:14" s="866" customFormat="1" ht="15" x14ac:dyDescent="0.25"/>
    <row r="6" spans="1:14" s="866" customFormat="1" ht="15" x14ac:dyDescent="0.25"/>
    <row r="7" spans="1:14" s="866" customFormat="1" ht="15.75" thickBot="1" x14ac:dyDescent="0.3"/>
    <row r="8" spans="1:14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4" s="48" customFormat="1" ht="17.25" x14ac:dyDescent="0.25">
      <c r="A9" s="49" t="s">
        <v>13</v>
      </c>
      <c r="B9" s="621" t="s">
        <v>19</v>
      </c>
      <c r="C9" s="627" t="s">
        <v>20</v>
      </c>
      <c r="D9" s="624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4" s="48" customFormat="1" ht="22.5" customHeight="1" x14ac:dyDescent="0.25">
      <c r="A10" s="91">
        <v>1</v>
      </c>
      <c r="B10" s="909" t="s">
        <v>4</v>
      </c>
      <c r="C10" s="912" t="s">
        <v>31</v>
      </c>
      <c r="D10" s="625" t="s">
        <v>108</v>
      </c>
      <c r="E10" s="441">
        <f>12+2+19+12</f>
        <v>45</v>
      </c>
      <c r="F10" s="55">
        <v>4</v>
      </c>
      <c r="G10" s="56">
        <f>E10*F10</f>
        <v>180</v>
      </c>
      <c r="H10" s="613" t="s">
        <v>107</v>
      </c>
      <c r="I10" s="613">
        <v>2</v>
      </c>
      <c r="J10" s="613">
        <v>11</v>
      </c>
      <c r="K10" s="878" t="s">
        <v>74</v>
      </c>
      <c r="L10" s="879"/>
      <c r="M10" s="230">
        <v>41514</v>
      </c>
      <c r="N10" s="52"/>
    </row>
    <row r="11" spans="1:14" s="48" customFormat="1" ht="22.5" customHeight="1" x14ac:dyDescent="0.25">
      <c r="A11" s="95">
        <v>2</v>
      </c>
      <c r="B11" s="910"/>
      <c r="C11" s="912"/>
      <c r="D11" s="625" t="s">
        <v>109</v>
      </c>
      <c r="E11" s="441">
        <f>3+7.5+6+4.5+24</f>
        <v>45</v>
      </c>
      <c r="F11" s="55">
        <v>5</v>
      </c>
      <c r="G11" s="56">
        <f>E11*F11</f>
        <v>225</v>
      </c>
      <c r="H11" s="80" t="s">
        <v>98</v>
      </c>
      <c r="I11" s="80">
        <v>3</v>
      </c>
      <c r="J11" s="80">
        <v>10</v>
      </c>
      <c r="K11" s="876" t="s">
        <v>74</v>
      </c>
      <c r="L11" s="877"/>
      <c r="M11" s="439">
        <v>41507</v>
      </c>
      <c r="N11" s="52"/>
    </row>
    <row r="12" spans="1:14" s="48" customFormat="1" ht="22.5" customHeight="1" x14ac:dyDescent="0.25">
      <c r="A12" s="91">
        <v>3</v>
      </c>
      <c r="B12" s="910"/>
      <c r="C12" s="912"/>
      <c r="D12" s="626" t="s">
        <v>233</v>
      </c>
      <c r="E12" s="442">
        <f>9+6+24+6</f>
        <v>45</v>
      </c>
      <c r="F12" s="81">
        <v>4</v>
      </c>
      <c r="G12" s="56">
        <f t="shared" ref="G12:G15" si="0">E12*F12</f>
        <v>180</v>
      </c>
      <c r="H12" s="80" t="s">
        <v>64</v>
      </c>
      <c r="I12" s="80">
        <v>2</v>
      </c>
      <c r="J12" s="80">
        <v>11</v>
      </c>
      <c r="K12" s="876" t="s">
        <v>75</v>
      </c>
      <c r="L12" s="877"/>
      <c r="M12" s="440">
        <v>41516</v>
      </c>
      <c r="N12" s="52"/>
    </row>
    <row r="13" spans="1:14" s="48" customFormat="1" ht="22.5" customHeight="1" x14ac:dyDescent="0.25">
      <c r="A13" s="95">
        <v>4</v>
      </c>
      <c r="B13" s="910"/>
      <c r="C13" s="912"/>
      <c r="D13" s="626" t="s">
        <v>233</v>
      </c>
      <c r="E13" s="442">
        <f>15+12+6+7+5</f>
        <v>45</v>
      </c>
      <c r="F13" s="81">
        <v>4</v>
      </c>
      <c r="G13" s="56">
        <f t="shared" si="0"/>
        <v>180</v>
      </c>
      <c r="H13" s="80" t="s">
        <v>107</v>
      </c>
      <c r="I13" s="80">
        <v>2</v>
      </c>
      <c r="J13" s="80">
        <v>11</v>
      </c>
      <c r="K13" s="876" t="s">
        <v>42</v>
      </c>
      <c r="L13" s="877"/>
      <c r="M13" s="440">
        <v>41517</v>
      </c>
      <c r="N13" s="52"/>
    </row>
    <row r="14" spans="1:14" s="48" customFormat="1" ht="22.5" customHeight="1" x14ac:dyDescent="0.25">
      <c r="A14" s="91">
        <v>5</v>
      </c>
      <c r="B14" s="910"/>
      <c r="C14" s="912"/>
      <c r="D14" s="625" t="s">
        <v>234</v>
      </c>
      <c r="E14" s="442">
        <f>7.5+6+4.5+16.5+10.5</f>
        <v>45</v>
      </c>
      <c r="F14" s="81">
        <v>5</v>
      </c>
      <c r="G14" s="56">
        <f t="shared" si="0"/>
        <v>225</v>
      </c>
      <c r="H14" s="80" t="s">
        <v>102</v>
      </c>
      <c r="I14" s="80">
        <v>2</v>
      </c>
      <c r="J14" s="80">
        <v>11</v>
      </c>
      <c r="K14" s="876" t="s">
        <v>74</v>
      </c>
      <c r="L14" s="877"/>
      <c r="M14" s="440">
        <v>41515</v>
      </c>
      <c r="N14" s="52"/>
    </row>
    <row r="15" spans="1:14" s="48" customFormat="1" ht="22.5" customHeight="1" x14ac:dyDescent="0.25">
      <c r="A15" s="95">
        <v>6</v>
      </c>
      <c r="B15" s="910"/>
      <c r="C15" s="912"/>
      <c r="D15" s="625" t="s">
        <v>234</v>
      </c>
      <c r="E15" s="442">
        <f>3+6+7.5+3+12+13.5</f>
        <v>45</v>
      </c>
      <c r="F15" s="81">
        <v>5</v>
      </c>
      <c r="G15" s="56">
        <f t="shared" si="0"/>
        <v>225</v>
      </c>
      <c r="H15" s="80" t="s">
        <v>290</v>
      </c>
      <c r="I15" s="80">
        <v>2</v>
      </c>
      <c r="J15" s="80">
        <v>11</v>
      </c>
      <c r="K15" s="876" t="s">
        <v>227</v>
      </c>
      <c r="L15" s="877"/>
      <c r="M15" s="440">
        <v>41567</v>
      </c>
      <c r="N15" s="52"/>
    </row>
    <row r="16" spans="1:14" s="48" customFormat="1" ht="22.5" customHeight="1" x14ac:dyDescent="0.25">
      <c r="A16" s="95">
        <v>7</v>
      </c>
      <c r="B16" s="910"/>
      <c r="C16" s="912"/>
      <c r="D16" s="625" t="s">
        <v>349</v>
      </c>
      <c r="E16" s="538">
        <f>3+7.5+15+19.5</f>
        <v>45</v>
      </c>
      <c r="F16" s="81">
        <v>5</v>
      </c>
      <c r="G16" s="56">
        <f>E16*F16</f>
        <v>225</v>
      </c>
      <c r="H16" s="80" t="s">
        <v>98</v>
      </c>
      <c r="I16" s="80">
        <v>3</v>
      </c>
      <c r="J16" s="80">
        <v>10</v>
      </c>
      <c r="K16" s="876" t="s">
        <v>75</v>
      </c>
      <c r="L16" s="877"/>
      <c r="M16" s="440">
        <v>41507</v>
      </c>
      <c r="N16" s="52"/>
    </row>
    <row r="17" spans="1:14" s="59" customFormat="1" ht="26.25" customHeight="1" x14ac:dyDescent="0.25">
      <c r="A17" s="91" t="s">
        <v>438</v>
      </c>
      <c r="B17" s="910"/>
      <c r="C17" s="912"/>
      <c r="D17" s="625"/>
      <c r="E17" s="632"/>
      <c r="F17" s="55"/>
      <c r="G17" s="56">
        <f t="shared" ref="G17:G22" si="1">E17*F17</f>
        <v>0</v>
      </c>
      <c r="H17" s="226"/>
      <c r="I17" s="54"/>
      <c r="J17" s="54"/>
      <c r="K17" s="878"/>
      <c r="L17" s="879"/>
      <c r="M17" s="698"/>
      <c r="N17" s="58"/>
    </row>
    <row r="18" spans="1:14" s="59" customFormat="1" ht="26.25" customHeight="1" x14ac:dyDescent="0.25">
      <c r="A18" s="95">
        <v>1</v>
      </c>
      <c r="B18" s="910"/>
      <c r="C18" s="912"/>
      <c r="D18" s="625" t="s">
        <v>442</v>
      </c>
      <c r="E18" s="632">
        <f>9+9+3+9+9</f>
        <v>39</v>
      </c>
      <c r="F18" s="55">
        <v>5</v>
      </c>
      <c r="G18" s="56">
        <f>E18*F18</f>
        <v>195</v>
      </c>
      <c r="H18" s="80" t="s">
        <v>25</v>
      </c>
      <c r="I18" s="80">
        <v>3</v>
      </c>
      <c r="J18" s="80">
        <v>10</v>
      </c>
      <c r="K18" s="876" t="s">
        <v>74</v>
      </c>
      <c r="L18" s="877"/>
      <c r="M18" s="698">
        <v>41676</v>
      </c>
      <c r="N18" s="84"/>
    </row>
    <row r="19" spans="1:14" s="59" customFormat="1" ht="26.25" customHeight="1" x14ac:dyDescent="0.25">
      <c r="A19" s="91">
        <v>2</v>
      </c>
      <c r="B19" s="910"/>
      <c r="C19" s="912"/>
      <c r="D19" s="625" t="s">
        <v>349</v>
      </c>
      <c r="E19" s="538">
        <f>12+3+7.5+12</f>
        <v>34.5</v>
      </c>
      <c r="F19" s="81">
        <v>5</v>
      </c>
      <c r="G19" s="56">
        <f>E19*F19</f>
        <v>172.5</v>
      </c>
      <c r="H19" s="80" t="s">
        <v>98</v>
      </c>
      <c r="I19" s="80">
        <v>3</v>
      </c>
      <c r="J19" s="80">
        <v>10</v>
      </c>
      <c r="K19" s="876" t="s">
        <v>75</v>
      </c>
      <c r="L19" s="877"/>
      <c r="M19" s="699">
        <v>41695</v>
      </c>
      <c r="N19" s="84"/>
    </row>
    <row r="20" spans="1:14" s="59" customFormat="1" ht="26.25" customHeight="1" x14ac:dyDescent="0.25">
      <c r="A20" s="95">
        <v>3</v>
      </c>
      <c r="B20" s="910"/>
      <c r="C20" s="912"/>
      <c r="D20" s="625" t="s">
        <v>349</v>
      </c>
      <c r="E20" s="538">
        <f>6+6+12.5+20.5</f>
        <v>45</v>
      </c>
      <c r="F20" s="81">
        <v>4</v>
      </c>
      <c r="G20" s="56">
        <f t="shared" ref="G20" si="2">E20*F20</f>
        <v>180</v>
      </c>
      <c r="H20" s="80" t="s">
        <v>107</v>
      </c>
      <c r="I20" s="80">
        <v>1</v>
      </c>
      <c r="J20" s="80">
        <v>12</v>
      </c>
      <c r="K20" s="876" t="s">
        <v>74</v>
      </c>
      <c r="L20" s="877"/>
      <c r="M20" s="699">
        <v>41709</v>
      </c>
      <c r="N20" s="84"/>
    </row>
    <row r="21" spans="1:14" s="59" customFormat="1" ht="26.25" customHeight="1" x14ac:dyDescent="0.25">
      <c r="A21" s="91">
        <v>4</v>
      </c>
      <c r="B21" s="910"/>
      <c r="C21" s="912"/>
      <c r="D21" s="625" t="s">
        <v>349</v>
      </c>
      <c r="E21" s="538">
        <f>7+10+14</f>
        <v>31</v>
      </c>
      <c r="F21" s="81">
        <v>4</v>
      </c>
      <c r="G21" s="56">
        <f>E21*F21</f>
        <v>124</v>
      </c>
      <c r="H21" s="80" t="s">
        <v>107</v>
      </c>
      <c r="I21" s="80">
        <v>2</v>
      </c>
      <c r="J21" s="80">
        <v>11</v>
      </c>
      <c r="K21" s="876" t="s">
        <v>42</v>
      </c>
      <c r="L21" s="877"/>
      <c r="M21" s="633">
        <v>41728</v>
      </c>
      <c r="N21" s="84"/>
    </row>
    <row r="22" spans="1:14" s="530" customFormat="1" ht="26.25" customHeight="1" x14ac:dyDescent="0.25">
      <c r="A22" s="95"/>
      <c r="B22" s="910"/>
      <c r="C22" s="912"/>
      <c r="D22" s="625"/>
      <c r="E22" s="538"/>
      <c r="F22" s="81"/>
      <c r="G22" s="56">
        <f t="shared" si="1"/>
        <v>0</v>
      </c>
      <c r="H22" s="80"/>
      <c r="I22" s="80"/>
      <c r="J22" s="80"/>
      <c r="K22" s="876"/>
      <c r="L22" s="877"/>
      <c r="M22" s="633"/>
      <c r="N22" s="84"/>
    </row>
    <row r="23" spans="1:14" s="59" customFormat="1" ht="20.25" customHeight="1" x14ac:dyDescent="0.25">
      <c r="A23" s="95"/>
      <c r="B23" s="911"/>
      <c r="C23" s="913"/>
      <c r="D23" s="625"/>
      <c r="E23" s="538"/>
      <c r="F23" s="81"/>
      <c r="G23" s="56">
        <f>E23*F23</f>
        <v>0</v>
      </c>
      <c r="H23" s="80"/>
      <c r="I23" s="80"/>
      <c r="J23" s="80"/>
      <c r="K23" s="876"/>
      <c r="L23" s="877"/>
      <c r="M23" s="633"/>
      <c r="N23" s="84"/>
    </row>
    <row r="24" spans="1:14" s="59" customFormat="1" ht="26.25" customHeight="1" x14ac:dyDescent="0.25">
      <c r="A24" s="874" t="s">
        <v>11</v>
      </c>
      <c r="B24" s="875"/>
      <c r="C24" s="875"/>
      <c r="D24" s="875"/>
      <c r="E24" s="75">
        <f>SUM(E10:E23)</f>
        <v>464.5</v>
      </c>
      <c r="F24" s="356"/>
      <c r="G24" s="56">
        <f>SUM(G10:G23)</f>
        <v>2111.5</v>
      </c>
      <c r="H24" s="60"/>
      <c r="I24" s="60"/>
      <c r="J24" s="60"/>
      <c r="K24" s="876"/>
      <c r="L24" s="877"/>
      <c r="M24" s="539"/>
      <c r="N24" s="63"/>
    </row>
    <row r="25" spans="1:14" s="59" customFormat="1" ht="26.25" customHeight="1" x14ac:dyDescent="0.25">
      <c r="A25" s="897" t="s">
        <v>24</v>
      </c>
      <c r="B25" s="898"/>
      <c r="C25" s="898"/>
      <c r="D25" s="898"/>
      <c r="E25" s="898"/>
      <c r="F25" s="898"/>
      <c r="G25" s="64">
        <f>G24</f>
        <v>2111.5</v>
      </c>
      <c r="H25" s="65"/>
      <c r="I25" s="65"/>
      <c r="J25" s="65"/>
      <c r="K25" s="859"/>
      <c r="L25" s="860"/>
      <c r="M25" s="65"/>
      <c r="N25" s="66"/>
    </row>
    <row r="26" spans="1:14" s="48" customFormat="1" ht="26.25" customHeight="1" x14ac:dyDescent="0.25">
      <c r="A26" s="899" t="s">
        <v>32</v>
      </c>
      <c r="B26" s="900"/>
      <c r="C26" s="900"/>
      <c r="D26" s="900"/>
      <c r="E26" s="900"/>
      <c r="F26" s="900"/>
      <c r="G26" s="900"/>
      <c r="H26" s="67"/>
      <c r="I26" s="67"/>
      <c r="J26" s="68" t="s">
        <v>44</v>
      </c>
      <c r="K26" s="67"/>
      <c r="L26" s="68"/>
      <c r="M26" s="69"/>
      <c r="N26" s="70"/>
    </row>
    <row r="27" spans="1:14" s="48" customFormat="1" ht="22.5" customHeight="1" thickBot="1" x14ac:dyDescent="0.3">
      <c r="A27" s="72" t="s">
        <v>5</v>
      </c>
      <c r="B27" s="606" t="s">
        <v>33</v>
      </c>
      <c r="C27" s="857" t="s">
        <v>21</v>
      </c>
      <c r="D27" s="858"/>
      <c r="E27" s="857" t="s">
        <v>34</v>
      </c>
      <c r="F27" s="858"/>
      <c r="G27" s="71" t="s">
        <v>0</v>
      </c>
      <c r="H27" s="71" t="s">
        <v>96</v>
      </c>
      <c r="I27" s="71" t="s">
        <v>26</v>
      </c>
      <c r="J27" s="71" t="s">
        <v>27</v>
      </c>
      <c r="K27" s="863" t="s">
        <v>28</v>
      </c>
      <c r="L27" s="857"/>
      <c r="M27" s="901" t="s">
        <v>37</v>
      </c>
      <c r="N27" s="902"/>
    </row>
    <row r="28" spans="1:14" s="3" customFormat="1" ht="26.25" customHeight="1" x14ac:dyDescent="0.25">
      <c r="A28" s="861" t="s">
        <v>35</v>
      </c>
      <c r="B28" s="862"/>
      <c r="C28" s="862"/>
      <c r="D28" s="862"/>
      <c r="E28" s="862"/>
      <c r="F28" s="862"/>
      <c r="G28" s="7">
        <f>G25</f>
        <v>2111.5</v>
      </c>
      <c r="H28" s="8"/>
      <c r="I28" s="8"/>
      <c r="J28" s="8"/>
      <c r="K28" s="8"/>
      <c r="L28" s="8"/>
      <c r="M28" s="8"/>
      <c r="N28" s="9"/>
    </row>
    <row r="29" spans="1:14" s="3" customFormat="1" ht="26.25" customHeight="1" x14ac:dyDescent="0.25">
      <c r="A29" s="10" t="s">
        <v>214</v>
      </c>
      <c r="B29" s="622">
        <v>41515</v>
      </c>
      <c r="C29" s="841" t="s">
        <v>109</v>
      </c>
      <c r="D29" s="841"/>
      <c r="E29" s="855">
        <v>27</v>
      </c>
      <c r="F29" s="855"/>
      <c r="G29" s="12">
        <f>G28-E29</f>
        <v>2084.5</v>
      </c>
      <c r="H29" s="2"/>
      <c r="I29" s="2"/>
      <c r="J29" s="2"/>
      <c r="K29" s="2"/>
      <c r="L29" s="2"/>
      <c r="M29" s="2"/>
      <c r="N29" s="13"/>
    </row>
    <row r="30" spans="1:14" s="3" customFormat="1" ht="26.25" customHeight="1" x14ac:dyDescent="0.25">
      <c r="A30" s="10" t="s">
        <v>265</v>
      </c>
      <c r="B30" s="622">
        <v>41557</v>
      </c>
      <c r="C30" s="841" t="s">
        <v>234</v>
      </c>
      <c r="D30" s="841"/>
      <c r="E30" s="856">
        <v>103</v>
      </c>
      <c r="F30" s="856"/>
      <c r="G30" s="12">
        <f t="shared" ref="G30:G33" si="3">G29-E30</f>
        <v>1981.5</v>
      </c>
      <c r="H30" s="4"/>
      <c r="I30" s="4"/>
      <c r="J30" s="4"/>
      <c r="K30" s="4"/>
      <c r="L30" s="4"/>
      <c r="M30" s="4"/>
      <c r="N30" s="6"/>
    </row>
    <row r="31" spans="1:14" s="3" customFormat="1" ht="26.25" customHeight="1" x14ac:dyDescent="0.25">
      <c r="A31" s="10" t="s">
        <v>300</v>
      </c>
      <c r="B31" s="622">
        <v>41578</v>
      </c>
      <c r="C31" s="841" t="s">
        <v>234</v>
      </c>
      <c r="D31" s="841"/>
      <c r="E31" s="856">
        <v>117</v>
      </c>
      <c r="F31" s="856"/>
      <c r="G31" s="12">
        <f t="shared" si="3"/>
        <v>1864.5</v>
      </c>
      <c r="H31" s="4"/>
      <c r="I31" s="4"/>
      <c r="J31" s="4"/>
      <c r="K31" s="4"/>
      <c r="L31" s="4"/>
      <c r="M31" s="4"/>
      <c r="N31" s="6"/>
    </row>
    <row r="32" spans="1:14" s="3" customFormat="1" ht="26.25" customHeight="1" x14ac:dyDescent="0.25">
      <c r="A32" s="10" t="s">
        <v>321</v>
      </c>
      <c r="B32" s="622">
        <v>41612</v>
      </c>
      <c r="C32" s="841" t="s">
        <v>234</v>
      </c>
      <c r="D32" s="841"/>
      <c r="E32" s="845">
        <v>198</v>
      </c>
      <c r="F32" s="846"/>
      <c r="G32" s="12">
        <f t="shared" si="3"/>
        <v>1666.5</v>
      </c>
      <c r="H32" s="4"/>
      <c r="I32" s="4"/>
      <c r="J32" s="4"/>
      <c r="K32" s="4"/>
      <c r="L32" s="4"/>
      <c r="M32" s="4"/>
      <c r="N32" s="6"/>
    </row>
    <row r="33" spans="1:14" s="3" customFormat="1" ht="26.25" customHeight="1" x14ac:dyDescent="0.25">
      <c r="A33" s="10" t="s">
        <v>370</v>
      </c>
      <c r="B33" s="622">
        <v>41645</v>
      </c>
      <c r="C33" s="888" t="s">
        <v>234</v>
      </c>
      <c r="D33" s="889"/>
      <c r="E33" s="842">
        <v>200</v>
      </c>
      <c r="F33" s="843"/>
      <c r="G33" s="12">
        <f t="shared" si="3"/>
        <v>1466.5</v>
      </c>
      <c r="H33" s="4"/>
      <c r="I33" s="4"/>
      <c r="J33" s="4"/>
      <c r="K33" s="4"/>
      <c r="L33" s="4"/>
      <c r="M33" s="4"/>
      <c r="N33" s="6"/>
    </row>
    <row r="34" spans="1:14" s="3" customFormat="1" ht="26.25" customHeight="1" x14ac:dyDescent="0.25">
      <c r="A34" s="14" t="s">
        <v>465</v>
      </c>
      <c r="B34" s="623">
        <v>41703</v>
      </c>
      <c r="C34" s="905" t="s">
        <v>234</v>
      </c>
      <c r="D34" s="906"/>
      <c r="E34" s="845">
        <v>250</v>
      </c>
      <c r="F34" s="846"/>
      <c r="G34" s="12">
        <f>G33-E34</f>
        <v>1216.5</v>
      </c>
      <c r="H34" s="4"/>
      <c r="I34" s="4"/>
      <c r="J34" s="4"/>
      <c r="K34" s="4"/>
      <c r="L34" s="4"/>
      <c r="M34" s="4"/>
      <c r="N34" s="6"/>
    </row>
    <row r="35" spans="1:14" s="3" customFormat="1" ht="26.25" customHeight="1" x14ac:dyDescent="0.25">
      <c r="A35" s="14" t="s">
        <v>537</v>
      </c>
      <c r="B35" s="623">
        <v>41739</v>
      </c>
      <c r="C35" s="905" t="s">
        <v>234</v>
      </c>
      <c r="D35" s="906"/>
      <c r="E35" s="845">
        <v>150</v>
      </c>
      <c r="F35" s="846"/>
      <c r="G35" s="12">
        <f t="shared" ref="G35:G38" si="4">G34-E35</f>
        <v>1066.5</v>
      </c>
      <c r="H35" s="741"/>
      <c r="I35" s="741"/>
      <c r="J35" s="741"/>
      <c r="K35" s="741"/>
      <c r="L35" s="741"/>
      <c r="M35" s="741"/>
      <c r="N35" s="6"/>
    </row>
    <row r="36" spans="1:14" s="3" customFormat="1" ht="26.25" customHeight="1" x14ac:dyDescent="0.25">
      <c r="A36" s="14" t="s">
        <v>563</v>
      </c>
      <c r="B36" s="15">
        <v>41768</v>
      </c>
      <c r="C36" s="905" t="s">
        <v>234</v>
      </c>
      <c r="D36" s="906"/>
      <c r="E36" s="845">
        <v>520</v>
      </c>
      <c r="F36" s="846"/>
      <c r="G36" s="12">
        <f t="shared" si="4"/>
        <v>546.5</v>
      </c>
      <c r="H36" s="4"/>
      <c r="I36" s="4"/>
      <c r="J36" s="4"/>
      <c r="K36" s="4"/>
      <c r="L36" s="4"/>
      <c r="M36" s="4"/>
      <c r="N36" s="6"/>
    </row>
    <row r="37" spans="1:14" s="785" customFormat="1" ht="26.25" customHeight="1" x14ac:dyDescent="0.25">
      <c r="A37" s="14" t="s">
        <v>592</v>
      </c>
      <c r="B37" s="15">
        <v>41793</v>
      </c>
      <c r="C37" s="905" t="s">
        <v>234</v>
      </c>
      <c r="D37" s="906"/>
      <c r="E37" s="845">
        <v>150</v>
      </c>
      <c r="F37" s="846"/>
      <c r="G37" s="12">
        <f t="shared" si="4"/>
        <v>396.5</v>
      </c>
      <c r="H37" s="571"/>
      <c r="I37" s="571"/>
      <c r="J37" s="571"/>
      <c r="K37" s="571"/>
      <c r="L37" s="571"/>
      <c r="M37" s="571"/>
      <c r="N37" s="572"/>
    </row>
    <row r="38" spans="1:14" s="785" customFormat="1" ht="26.25" customHeight="1" x14ac:dyDescent="0.25">
      <c r="A38" s="569"/>
      <c r="B38" s="776"/>
      <c r="C38" s="797"/>
      <c r="D38" s="798"/>
      <c r="E38" s="845"/>
      <c r="F38" s="846"/>
      <c r="G38" s="12">
        <f t="shared" si="4"/>
        <v>396.5</v>
      </c>
      <c r="H38" s="571"/>
      <c r="I38" s="571"/>
      <c r="J38" s="571"/>
      <c r="K38" s="571"/>
      <c r="L38" s="571"/>
      <c r="M38" s="571"/>
      <c r="N38" s="572"/>
    </row>
    <row r="39" spans="1:14" s="785" customFormat="1" ht="26.25" customHeight="1" x14ac:dyDescent="0.25">
      <c r="A39" s="569"/>
      <c r="B39" s="776"/>
      <c r="C39" s="797"/>
      <c r="D39" s="798"/>
      <c r="E39" s="845"/>
      <c r="F39" s="846"/>
      <c r="G39" s="12">
        <f>G38-E39</f>
        <v>396.5</v>
      </c>
      <c r="H39" s="571"/>
      <c r="I39" s="571"/>
      <c r="J39" s="571"/>
      <c r="K39" s="571"/>
      <c r="L39" s="571"/>
      <c r="M39" s="571"/>
      <c r="N39" s="572"/>
    </row>
    <row r="40" spans="1:14" s="785" customFormat="1" ht="26.25" customHeight="1" x14ac:dyDescent="0.25">
      <c r="A40" s="569"/>
      <c r="B40" s="776"/>
      <c r="C40" s="797"/>
      <c r="D40" s="798"/>
      <c r="E40" s="845"/>
      <c r="F40" s="846"/>
      <c r="G40" s="799"/>
      <c r="H40" s="571"/>
      <c r="I40" s="571"/>
      <c r="J40" s="571"/>
      <c r="K40" s="571"/>
      <c r="L40" s="571"/>
      <c r="M40" s="571"/>
      <c r="N40" s="572"/>
    </row>
    <row r="41" spans="1:14" s="23" customFormat="1" ht="26.25" customHeight="1" thickBot="1" x14ac:dyDescent="0.3">
      <c r="A41" s="851" t="s">
        <v>36</v>
      </c>
      <c r="B41" s="852"/>
      <c r="C41" s="852"/>
      <c r="D41" s="852"/>
      <c r="E41" s="853">
        <f>SUM(E29:F40)</f>
        <v>1715</v>
      </c>
      <c r="F41" s="854"/>
      <c r="G41" s="20"/>
      <c r="H41" s="21"/>
      <c r="I41" s="21"/>
      <c r="J41" s="21"/>
      <c r="K41" s="21"/>
      <c r="L41" s="21"/>
      <c r="M41" s="21"/>
      <c r="N41" s="22"/>
    </row>
    <row r="42" spans="1:14" s="3" customFormat="1" ht="26.25" customHeight="1" thickTop="1" x14ac:dyDescent="0.25">
      <c r="A42" s="24"/>
      <c r="C42" s="628"/>
      <c r="E42" s="844"/>
      <c r="F42" s="844"/>
    </row>
    <row r="43" spans="1:14" s="3" customFormat="1" ht="26.25" customHeight="1" x14ac:dyDescent="0.3">
      <c r="A43" s="25" t="s">
        <v>41</v>
      </c>
      <c r="B43" s="25"/>
      <c r="C43" s="629"/>
      <c r="D43" s="25" t="s">
        <v>81</v>
      </c>
      <c r="E43" s="25"/>
      <c r="F43" s="26"/>
      <c r="G43" s="25" t="s">
        <v>38</v>
      </c>
      <c r="H43" s="25"/>
      <c r="I43" s="25"/>
      <c r="J43" s="25"/>
      <c r="K43" s="25"/>
      <c r="L43" s="25" t="s">
        <v>39</v>
      </c>
      <c r="M43" s="28"/>
      <c r="N43" s="26"/>
    </row>
    <row r="44" spans="1:14" s="3" customFormat="1" ht="26.25" customHeight="1" x14ac:dyDescent="0.3">
      <c r="A44" s="25"/>
      <c r="B44" s="25"/>
      <c r="C44" s="629"/>
      <c r="D44" s="25"/>
      <c r="E44" s="25"/>
      <c r="F44" s="26"/>
      <c r="G44" s="25"/>
      <c r="H44" s="25"/>
      <c r="I44" s="25"/>
      <c r="J44" s="25"/>
      <c r="K44" s="25"/>
      <c r="L44" s="25"/>
      <c r="M44" s="28"/>
      <c r="N44" s="26"/>
    </row>
    <row r="45" spans="1:14" s="3" customFormat="1" ht="26.25" customHeight="1" x14ac:dyDescent="0.3">
      <c r="A45" s="25"/>
      <c r="B45" s="25"/>
      <c r="C45" s="629"/>
      <c r="D45" s="25"/>
      <c r="E45" s="25"/>
      <c r="F45" s="26"/>
      <c r="G45" s="25"/>
      <c r="H45" s="25"/>
      <c r="I45" s="25"/>
      <c r="J45" s="25"/>
      <c r="K45" s="25"/>
      <c r="L45" s="25"/>
      <c r="M45" s="28"/>
      <c r="N45" s="26"/>
    </row>
    <row r="46" spans="1:14" s="3" customFormat="1" ht="26.25" customHeight="1" x14ac:dyDescent="0.3">
      <c r="A46" s="25"/>
      <c r="B46" s="25"/>
      <c r="C46" s="629"/>
      <c r="D46" s="25"/>
      <c r="E46" s="25"/>
      <c r="F46" s="26"/>
      <c r="G46" s="25"/>
      <c r="H46" s="25"/>
      <c r="I46" s="25"/>
      <c r="J46" s="25"/>
      <c r="K46" s="25"/>
      <c r="L46" s="25"/>
      <c r="M46" s="28"/>
      <c r="N46" s="26"/>
    </row>
    <row r="47" spans="1:14" s="3" customFormat="1" ht="26.25" customHeight="1" x14ac:dyDescent="0.3">
      <c r="A47" s="29"/>
      <c r="B47" s="25"/>
      <c r="C47" s="629"/>
      <c r="D47" s="29"/>
      <c r="E47" s="29"/>
      <c r="F47" s="26"/>
      <c r="G47" s="29"/>
      <c r="H47" s="25"/>
      <c r="I47" s="25"/>
      <c r="J47" s="25"/>
      <c r="K47" s="25"/>
      <c r="L47" s="27"/>
      <c r="M47" s="28"/>
      <c r="N47" s="26"/>
    </row>
    <row r="48" spans="1:14" s="30" customFormat="1" ht="17.25" x14ac:dyDescent="0.3">
      <c r="A48" s="25" t="s">
        <v>48</v>
      </c>
      <c r="B48" s="25"/>
      <c r="C48" s="629"/>
      <c r="D48" s="25" t="s">
        <v>82</v>
      </c>
      <c r="E48" s="25"/>
      <c r="G48" s="25">
        <f>B17</f>
        <v>0</v>
      </c>
      <c r="H48" s="25"/>
      <c r="I48" s="25"/>
      <c r="J48" s="25"/>
      <c r="K48" s="829" t="s">
        <v>90</v>
      </c>
      <c r="L48" s="829"/>
      <c r="M48" s="829"/>
      <c r="N48" s="829"/>
    </row>
    <row r="49" spans="1:3" s="30" customFormat="1" ht="16.5" x14ac:dyDescent="0.3">
      <c r="A49" s="32"/>
      <c r="C49" s="630"/>
    </row>
    <row r="50" spans="1:3" s="30" customFormat="1" ht="16.5" x14ac:dyDescent="0.3">
      <c r="A50" s="32"/>
      <c r="C50" s="630"/>
    </row>
    <row r="51" spans="1:3" s="30" customFormat="1" ht="16.5" x14ac:dyDescent="0.3">
      <c r="A51" s="32"/>
      <c r="C51" s="630"/>
    </row>
    <row r="52" spans="1:3" s="30" customFormat="1" ht="16.5" x14ac:dyDescent="0.3">
      <c r="A52" s="32"/>
      <c r="C52" s="630"/>
    </row>
    <row r="53" spans="1:3" s="30" customFormat="1" ht="16.5" x14ac:dyDescent="0.3">
      <c r="A53" s="32"/>
      <c r="C53" s="630"/>
    </row>
    <row r="54" spans="1:3" s="30" customFormat="1" ht="16.5" x14ac:dyDescent="0.3">
      <c r="A54" s="32"/>
      <c r="C54" s="630"/>
    </row>
    <row r="55" spans="1:3" s="30" customFormat="1" ht="16.5" x14ac:dyDescent="0.3">
      <c r="A55" s="32"/>
      <c r="C55" s="630"/>
    </row>
    <row r="56" spans="1:3" s="30" customFormat="1" ht="16.5" x14ac:dyDescent="0.3">
      <c r="A56" s="32"/>
      <c r="C56" s="630"/>
    </row>
    <row r="57" spans="1:3" s="30" customFormat="1" ht="16.5" x14ac:dyDescent="0.3">
      <c r="A57" s="32"/>
      <c r="C57" s="630"/>
    </row>
  </sheetData>
  <mergeCells count="54">
    <mergeCell ref="C37:D37"/>
    <mergeCell ref="E37:F37"/>
    <mergeCell ref="E38:F38"/>
    <mergeCell ref="E39:F39"/>
    <mergeCell ref="E40:F40"/>
    <mergeCell ref="K12:L12"/>
    <mergeCell ref="K13:L13"/>
    <mergeCell ref="K14:L14"/>
    <mergeCell ref="K15:L15"/>
    <mergeCell ref="K16:L16"/>
    <mergeCell ref="K48:N48"/>
    <mergeCell ref="M27:N27"/>
    <mergeCell ref="A25:F25"/>
    <mergeCell ref="A28:F28"/>
    <mergeCell ref="C29:D29"/>
    <mergeCell ref="E29:F29"/>
    <mergeCell ref="A26:G26"/>
    <mergeCell ref="K25:L25"/>
    <mergeCell ref="C27:D27"/>
    <mergeCell ref="E27:F27"/>
    <mergeCell ref="K27:L27"/>
    <mergeCell ref="C30:D30"/>
    <mergeCell ref="E30:F30"/>
    <mergeCell ref="A41:D41"/>
    <mergeCell ref="E41:F41"/>
    <mergeCell ref="E42:F42"/>
    <mergeCell ref="A1:XFD7"/>
    <mergeCell ref="A8:N8"/>
    <mergeCell ref="K9:L9"/>
    <mergeCell ref="K17:L17"/>
    <mergeCell ref="A24:D24"/>
    <mergeCell ref="K24:L24"/>
    <mergeCell ref="K23:L23"/>
    <mergeCell ref="K18:L18"/>
    <mergeCell ref="K19:L19"/>
    <mergeCell ref="K20:L20"/>
    <mergeCell ref="K21:L21"/>
    <mergeCell ref="K22:L22"/>
    <mergeCell ref="K10:L10"/>
    <mergeCell ref="K11:L11"/>
    <mergeCell ref="B10:B23"/>
    <mergeCell ref="C10:C23"/>
    <mergeCell ref="C31:D31"/>
    <mergeCell ref="E31:F31"/>
    <mergeCell ref="C34:D34"/>
    <mergeCell ref="E34:F34"/>
    <mergeCell ref="C36:D36"/>
    <mergeCell ref="E36:F36"/>
    <mergeCell ref="E32:F32"/>
    <mergeCell ref="E33:F33"/>
    <mergeCell ref="C32:D32"/>
    <mergeCell ref="C33:D33"/>
    <mergeCell ref="C35:D35"/>
    <mergeCell ref="E35:F35"/>
  </mergeCells>
  <hyperlinks>
    <hyperlink ref="M27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5"/>
  <sheetViews>
    <sheetView zoomScale="80" workbookViewId="0">
      <pane ySplit="9" topLeftCell="A28" activePane="bottomLeft" state="frozen"/>
      <selection pane="bottomLeft" activeCell="A18" sqref="A18:G18"/>
    </sheetView>
  </sheetViews>
  <sheetFormatPr defaultRowHeight="13.5" x14ac:dyDescent="0.25"/>
  <cols>
    <col min="1" max="1" width="15" style="33" customWidth="1"/>
    <col min="2" max="2" width="21.28515625" style="1" customWidth="1"/>
    <col min="3" max="3" width="5.5703125" style="1" customWidth="1"/>
    <col min="4" max="4" width="23.42578125" style="1" customWidth="1"/>
    <col min="5" max="5" width="8.42578125" style="1" customWidth="1"/>
    <col min="6" max="6" width="8" style="1" customWidth="1"/>
    <col min="7" max="7" width="16.42578125" style="1" customWidth="1"/>
    <col min="8" max="8" width="3.7109375" style="1" customWidth="1"/>
    <col min="9" max="9" width="3.85546875" style="1" customWidth="1"/>
    <col min="10" max="10" width="5" style="1" customWidth="1"/>
    <col min="11" max="11" width="8" style="1" customWidth="1"/>
    <col min="12" max="12" width="5.28515625" style="1" customWidth="1"/>
    <col min="13" max="13" width="12.140625" style="1" bestFit="1" customWidth="1"/>
    <col min="14" max="14" width="10.28515625" style="1" bestFit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20" s="866" customFormat="1" ht="15" x14ac:dyDescent="0.25"/>
    <row r="2" spans="1:20" s="866" customFormat="1" ht="15" x14ac:dyDescent="0.25"/>
    <row r="3" spans="1:20" s="866" customFormat="1" ht="15" x14ac:dyDescent="0.25"/>
    <row r="4" spans="1:20" s="866" customFormat="1" ht="15" x14ac:dyDescent="0.25"/>
    <row r="5" spans="1:20" s="866" customFormat="1" ht="15" x14ac:dyDescent="0.25"/>
    <row r="6" spans="1:20" s="866" customFormat="1" ht="15" x14ac:dyDescent="0.25"/>
    <row r="7" spans="1:20" s="866" customFormat="1" ht="15.75" thickBot="1" x14ac:dyDescent="0.3"/>
    <row r="8" spans="1:20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20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20" s="59" customFormat="1" ht="26.25" customHeight="1" x14ac:dyDescent="0.25">
      <c r="A10" s="91">
        <v>1</v>
      </c>
      <c r="B10" s="295" t="s">
        <v>93</v>
      </c>
      <c r="C10" s="890" t="s">
        <v>31</v>
      </c>
      <c r="D10" s="77" t="s">
        <v>110</v>
      </c>
      <c r="E10" s="214">
        <v>45</v>
      </c>
      <c r="F10" s="55">
        <v>7</v>
      </c>
      <c r="G10" s="56">
        <f>E10*F10</f>
        <v>315</v>
      </c>
      <c r="H10" s="214"/>
      <c r="I10" s="214">
        <v>1</v>
      </c>
      <c r="J10" s="214">
        <v>11</v>
      </c>
      <c r="K10" s="878" t="s">
        <v>114</v>
      </c>
      <c r="L10" s="879"/>
      <c r="M10" s="92"/>
      <c r="N10" s="58"/>
    </row>
    <row r="11" spans="1:20" s="59" customFormat="1" ht="26.25" customHeight="1" x14ac:dyDescent="0.25">
      <c r="A11" s="93">
        <v>2</v>
      </c>
      <c r="B11" s="296"/>
      <c r="C11" s="891"/>
      <c r="D11" s="77" t="s">
        <v>111</v>
      </c>
      <c r="E11" s="80">
        <v>45</v>
      </c>
      <c r="F11" s="55">
        <v>7</v>
      </c>
      <c r="G11" s="56">
        <f t="shared" ref="G11:G16" si="0">E11*F11</f>
        <v>315</v>
      </c>
      <c r="H11" s="80"/>
      <c r="I11" s="80">
        <v>1</v>
      </c>
      <c r="J11" s="80">
        <v>11</v>
      </c>
      <c r="K11" s="876" t="s">
        <v>114</v>
      </c>
      <c r="L11" s="877"/>
      <c r="M11" s="92"/>
      <c r="N11" s="84"/>
    </row>
    <row r="12" spans="1:20" s="59" customFormat="1" ht="26.25" customHeight="1" x14ac:dyDescent="0.25">
      <c r="A12" s="93">
        <v>3</v>
      </c>
      <c r="B12" s="296"/>
      <c r="C12" s="891"/>
      <c r="D12" s="77" t="s">
        <v>112</v>
      </c>
      <c r="E12" s="80">
        <f>6+9+3+9+9+9</f>
        <v>45</v>
      </c>
      <c r="F12" s="55">
        <v>8</v>
      </c>
      <c r="G12" s="56">
        <f t="shared" si="0"/>
        <v>360</v>
      </c>
      <c r="H12" s="80" t="s">
        <v>53</v>
      </c>
      <c r="I12" s="80">
        <v>2</v>
      </c>
      <c r="J12" s="80">
        <v>11</v>
      </c>
      <c r="K12" s="876" t="s">
        <v>74</v>
      </c>
      <c r="L12" s="877"/>
      <c r="M12" s="94">
        <v>41505</v>
      </c>
      <c r="N12" s="84"/>
      <c r="O12" s="931" t="s">
        <v>131</v>
      </c>
      <c r="P12" s="932"/>
      <c r="Q12" s="932"/>
      <c r="R12" s="932"/>
      <c r="S12" s="932"/>
      <c r="T12" s="932"/>
    </row>
    <row r="13" spans="1:20" s="59" customFormat="1" ht="26.25" customHeight="1" x14ac:dyDescent="0.25">
      <c r="A13" s="93">
        <v>4</v>
      </c>
      <c r="B13" s="296"/>
      <c r="C13" s="891"/>
      <c r="D13" s="77" t="s">
        <v>235</v>
      </c>
      <c r="E13" s="80">
        <f>6+6+3+15+9+6</f>
        <v>45</v>
      </c>
      <c r="F13" s="55">
        <v>8</v>
      </c>
      <c r="G13" s="56">
        <f t="shared" si="0"/>
        <v>360</v>
      </c>
      <c r="H13" s="80" t="s">
        <v>53</v>
      </c>
      <c r="I13" s="80">
        <v>2</v>
      </c>
      <c r="J13" s="80">
        <v>11</v>
      </c>
      <c r="K13" s="876" t="s">
        <v>74</v>
      </c>
      <c r="L13" s="877"/>
      <c r="M13" s="94">
        <v>41523</v>
      </c>
      <c r="N13" s="84"/>
    </row>
    <row r="14" spans="1:20" s="59" customFormat="1" ht="26.25" customHeight="1" x14ac:dyDescent="0.25">
      <c r="A14" s="93"/>
      <c r="B14" s="296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20" s="59" customFormat="1" ht="26.25" customHeight="1" x14ac:dyDescent="0.25">
      <c r="A15" s="93"/>
      <c r="B15" s="297"/>
      <c r="C15" s="891"/>
      <c r="D15" s="77"/>
      <c r="E15" s="80"/>
      <c r="F15" s="55"/>
      <c r="G15" s="56">
        <f t="shared" si="0"/>
        <v>0</v>
      </c>
      <c r="H15" s="80"/>
      <c r="I15" s="80"/>
      <c r="J15" s="80"/>
      <c r="K15" s="876"/>
      <c r="L15" s="877"/>
      <c r="M15" s="94"/>
      <c r="N15" s="84"/>
    </row>
    <row r="16" spans="1:20" s="59" customFormat="1" ht="26.25" customHeight="1" x14ac:dyDescent="0.25">
      <c r="A16" s="925" t="s">
        <v>11</v>
      </c>
      <c r="B16" s="926"/>
      <c r="C16" s="926"/>
      <c r="D16" s="926"/>
      <c r="E16" s="216">
        <f>SUM(E10:E15)</f>
        <v>180</v>
      </c>
      <c r="F16" s="76"/>
      <c r="G16" s="56">
        <f t="shared" si="0"/>
        <v>0</v>
      </c>
      <c r="H16" s="215"/>
      <c r="I16" s="215"/>
      <c r="J16" s="215"/>
      <c r="K16" s="876"/>
      <c r="L16" s="877"/>
      <c r="M16" s="215"/>
      <c r="N16" s="63"/>
    </row>
    <row r="17" spans="1:14" s="59" customFormat="1" ht="26.25" customHeight="1" x14ac:dyDescent="0.25">
      <c r="A17" s="927" t="s">
        <v>24</v>
      </c>
      <c r="B17" s="928"/>
      <c r="C17" s="928"/>
      <c r="D17" s="928"/>
      <c r="E17" s="928"/>
      <c r="F17" s="928"/>
      <c r="G17" s="64">
        <f>SUM(G10:G16)</f>
        <v>1350</v>
      </c>
      <c r="H17" s="217"/>
      <c r="I17" s="217"/>
      <c r="J17" s="217"/>
      <c r="K17" s="859"/>
      <c r="L17" s="860"/>
      <c r="M17" s="217"/>
      <c r="N17" s="66"/>
    </row>
    <row r="18" spans="1:14" s="48" customFormat="1" ht="26.25" customHeight="1" x14ac:dyDescent="0.25">
      <c r="A18" s="929" t="s">
        <v>32</v>
      </c>
      <c r="B18" s="930"/>
      <c r="C18" s="930"/>
      <c r="D18" s="930"/>
      <c r="E18" s="930"/>
      <c r="F18" s="930"/>
      <c r="G18" s="900"/>
      <c r="H18" s="67"/>
      <c r="I18" s="67"/>
      <c r="J18" s="68" t="s">
        <v>44</v>
      </c>
      <c r="K18" s="67"/>
      <c r="L18" s="68"/>
      <c r="M18" s="69"/>
      <c r="N18" s="70"/>
    </row>
    <row r="19" spans="1:14" s="48" customFormat="1" ht="22.5" customHeight="1" thickBot="1" x14ac:dyDescent="0.3">
      <c r="A19" s="72" t="s">
        <v>5</v>
      </c>
      <c r="B19" s="71" t="s">
        <v>33</v>
      </c>
      <c r="C19" s="857" t="s">
        <v>21</v>
      </c>
      <c r="D19" s="858"/>
      <c r="E19" s="857" t="s">
        <v>34</v>
      </c>
      <c r="F19" s="858"/>
      <c r="G19" s="71" t="s">
        <v>0</v>
      </c>
      <c r="H19" s="71" t="s">
        <v>96</v>
      </c>
      <c r="I19" s="71" t="s">
        <v>26</v>
      </c>
      <c r="J19" s="71" t="s">
        <v>27</v>
      </c>
      <c r="K19" s="863" t="s">
        <v>28</v>
      </c>
      <c r="L19" s="857"/>
      <c r="M19" s="901" t="s">
        <v>43</v>
      </c>
      <c r="N19" s="902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1350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 t="s">
        <v>94</v>
      </c>
      <c r="B21" s="166">
        <v>41492</v>
      </c>
      <c r="C21" s="924" t="s">
        <v>110</v>
      </c>
      <c r="D21" s="924"/>
      <c r="E21" s="918">
        <v>189</v>
      </c>
      <c r="F21" s="918"/>
      <c r="G21" s="167">
        <f>G20-E21</f>
        <v>1161</v>
      </c>
      <c r="H21" s="218"/>
      <c r="I21" s="218"/>
      <c r="J21" s="218"/>
      <c r="K21" s="218"/>
      <c r="L21" s="218"/>
      <c r="M21" s="218"/>
      <c r="N21" s="168"/>
    </row>
    <row r="22" spans="1:14" s="3" customFormat="1" ht="26.25" customHeight="1" x14ac:dyDescent="0.25">
      <c r="A22" s="10" t="s">
        <v>214</v>
      </c>
      <c r="B22" s="11">
        <v>41515</v>
      </c>
      <c r="C22" s="924" t="s">
        <v>110</v>
      </c>
      <c r="D22" s="924"/>
      <c r="E22" s="918">
        <v>441</v>
      </c>
      <c r="F22" s="918"/>
      <c r="G22" s="167">
        <f t="shared" ref="G22:G27" si="1">G21-E22</f>
        <v>720</v>
      </c>
      <c r="H22" s="218"/>
      <c r="I22" s="218"/>
      <c r="J22" s="218"/>
      <c r="K22" s="218"/>
      <c r="L22" s="218"/>
      <c r="M22" s="218"/>
      <c r="N22" s="168"/>
    </row>
    <row r="23" spans="1:14" s="3" customFormat="1" ht="26.25" customHeight="1" x14ac:dyDescent="0.25">
      <c r="A23" s="10" t="s">
        <v>263</v>
      </c>
      <c r="B23" s="11">
        <v>41549</v>
      </c>
      <c r="C23" s="470" t="s">
        <v>112</v>
      </c>
      <c r="D23" s="471"/>
      <c r="E23" s="918">
        <v>80</v>
      </c>
      <c r="F23" s="918"/>
      <c r="G23" s="167">
        <f t="shared" si="1"/>
        <v>640</v>
      </c>
      <c r="H23" s="218"/>
      <c r="I23" s="218"/>
      <c r="J23" s="218"/>
      <c r="K23" s="218"/>
      <c r="L23" s="218"/>
      <c r="M23" s="218"/>
      <c r="N23" s="168"/>
    </row>
    <row r="24" spans="1:14" s="3" customFormat="1" ht="26.25" customHeight="1" x14ac:dyDescent="0.25">
      <c r="A24" s="10" t="s">
        <v>300</v>
      </c>
      <c r="B24" s="11">
        <v>41578</v>
      </c>
      <c r="C24" s="470" t="s">
        <v>112</v>
      </c>
      <c r="D24" s="471"/>
      <c r="E24" s="918">
        <v>80</v>
      </c>
      <c r="F24" s="918"/>
      <c r="G24" s="167">
        <f t="shared" si="1"/>
        <v>560</v>
      </c>
      <c r="H24" s="218"/>
      <c r="I24" s="218"/>
      <c r="J24" s="218"/>
      <c r="K24" s="218"/>
      <c r="L24" s="218"/>
      <c r="M24" s="218"/>
      <c r="N24" s="168"/>
    </row>
    <row r="25" spans="1:14" s="3" customFormat="1" ht="26.25" customHeight="1" x14ac:dyDescent="0.25">
      <c r="A25" s="10" t="s">
        <v>321</v>
      </c>
      <c r="B25" s="11">
        <v>41612</v>
      </c>
      <c r="C25" s="552" t="s">
        <v>112</v>
      </c>
      <c r="D25" s="553"/>
      <c r="E25" s="845">
        <v>80</v>
      </c>
      <c r="F25" s="920"/>
      <c r="G25" s="167">
        <f t="shared" si="1"/>
        <v>480</v>
      </c>
      <c r="H25" s="488"/>
      <c r="I25" s="488"/>
      <c r="J25" s="488"/>
      <c r="K25" s="488"/>
      <c r="L25" s="488"/>
      <c r="M25" s="488"/>
      <c r="N25" s="168"/>
    </row>
    <row r="26" spans="1:14" s="3" customFormat="1" ht="26.25" customHeight="1" x14ac:dyDescent="0.25">
      <c r="A26" s="10" t="s">
        <v>370</v>
      </c>
      <c r="B26" s="11">
        <v>41645</v>
      </c>
      <c r="C26" s="489" t="s">
        <v>112</v>
      </c>
      <c r="D26" s="490"/>
      <c r="E26" s="921">
        <v>100</v>
      </c>
      <c r="F26" s="920"/>
      <c r="G26" s="167">
        <f t="shared" si="1"/>
        <v>380</v>
      </c>
      <c r="H26" s="488"/>
      <c r="I26" s="488"/>
      <c r="J26" s="488"/>
      <c r="K26" s="488"/>
      <c r="L26" s="488"/>
      <c r="M26" s="488"/>
      <c r="N26" s="168"/>
    </row>
    <row r="27" spans="1:14" s="3" customFormat="1" ht="26.25" customHeight="1" x14ac:dyDescent="0.25">
      <c r="A27" s="491" t="s">
        <v>465</v>
      </c>
      <c r="B27" s="492">
        <v>41703</v>
      </c>
      <c r="C27" s="669" t="s">
        <v>112</v>
      </c>
      <c r="D27" s="670"/>
      <c r="E27" s="921">
        <v>150</v>
      </c>
      <c r="F27" s="920"/>
      <c r="G27" s="167">
        <f t="shared" si="1"/>
        <v>230</v>
      </c>
      <c r="H27" s="488"/>
      <c r="I27" s="488"/>
      <c r="J27" s="488"/>
      <c r="K27" s="488"/>
      <c r="L27" s="488"/>
      <c r="M27" s="488"/>
      <c r="N27" s="168"/>
    </row>
    <row r="28" spans="1:14" s="3" customFormat="1" ht="26.25" customHeight="1" x14ac:dyDescent="0.25">
      <c r="A28" s="491" t="s">
        <v>537</v>
      </c>
      <c r="B28" s="492">
        <v>41739</v>
      </c>
      <c r="C28" s="742" t="s">
        <v>112</v>
      </c>
      <c r="D28" s="743"/>
      <c r="E28" s="919">
        <v>230</v>
      </c>
      <c r="F28" s="919"/>
      <c r="G28" s="167">
        <f>G27-E28</f>
        <v>0</v>
      </c>
      <c r="H28" s="218"/>
      <c r="I28" s="218"/>
      <c r="J28" s="218"/>
      <c r="K28" s="218"/>
      <c r="L28" s="218"/>
      <c r="M28" s="218"/>
      <c r="N28" s="168"/>
    </row>
    <row r="29" spans="1:14" s="23" customFormat="1" ht="26.25" customHeight="1" thickBot="1" x14ac:dyDescent="0.3">
      <c r="A29" s="914" t="s">
        <v>36</v>
      </c>
      <c r="B29" s="915"/>
      <c r="C29" s="915"/>
      <c r="D29" s="915"/>
      <c r="E29" s="916">
        <f>SUM(E21:F28)</f>
        <v>1350</v>
      </c>
      <c r="F29" s="917"/>
      <c r="G29" s="171"/>
      <c r="H29" s="172"/>
      <c r="I29" s="172"/>
      <c r="J29" s="172"/>
      <c r="K29" s="172"/>
      <c r="L29" s="172"/>
      <c r="M29" s="172"/>
      <c r="N29" s="173"/>
    </row>
    <row r="30" spans="1:14" s="3" customFormat="1" ht="26.25" customHeight="1" thickTop="1" x14ac:dyDescent="0.25">
      <c r="A30" s="24"/>
      <c r="E30" s="844"/>
      <c r="F30" s="844"/>
    </row>
    <row r="31" spans="1:14" s="3" customFormat="1" ht="26.25" customHeight="1" x14ac:dyDescent="0.3">
      <c r="A31" s="25" t="s">
        <v>41</v>
      </c>
      <c r="B31" s="25"/>
      <c r="C31" s="25"/>
      <c r="D31" s="25" t="s">
        <v>81</v>
      </c>
      <c r="E31" s="25"/>
      <c r="F31" s="26"/>
      <c r="G31" s="25" t="s">
        <v>38</v>
      </c>
      <c r="H31" s="25"/>
      <c r="I31" s="25"/>
      <c r="J31" s="25"/>
      <c r="K31" s="25"/>
      <c r="L31" s="25" t="s">
        <v>39</v>
      </c>
      <c r="M31" s="28"/>
      <c r="N31" s="26"/>
    </row>
    <row r="32" spans="1:14" s="3" customFormat="1" ht="26.25" customHeight="1" x14ac:dyDescent="0.3">
      <c r="A32" s="25"/>
      <c r="B32" s="25"/>
      <c r="C32" s="25"/>
      <c r="D32" s="25"/>
      <c r="E32" s="25"/>
      <c r="F32" s="26"/>
      <c r="G32" s="25"/>
      <c r="H32" s="25"/>
      <c r="I32" s="25"/>
      <c r="J32" s="25"/>
      <c r="K32" s="25"/>
      <c r="L32" s="25"/>
      <c r="M32" s="28"/>
      <c r="N32" s="26"/>
    </row>
    <row r="33" spans="1:14" s="3" customFormat="1" ht="26.25" customHeight="1" x14ac:dyDescent="0.3">
      <c r="A33" s="25"/>
      <c r="B33" s="25"/>
      <c r="C33" s="25"/>
      <c r="D33" s="25"/>
      <c r="E33" s="25"/>
      <c r="F33" s="26"/>
      <c r="G33" s="25"/>
      <c r="H33" s="25"/>
      <c r="I33" s="25"/>
      <c r="J33" s="25"/>
      <c r="K33" s="25"/>
      <c r="L33" s="25"/>
      <c r="M33" s="28"/>
      <c r="N33" s="26"/>
    </row>
    <row r="34" spans="1:14" s="3" customFormat="1" ht="26.25" customHeight="1" x14ac:dyDescent="0.3">
      <c r="A34" s="25"/>
      <c r="B34" s="25"/>
      <c r="C34" s="25"/>
      <c r="D34" s="25"/>
      <c r="E34" s="25"/>
      <c r="F34" s="26"/>
      <c r="G34" s="25"/>
      <c r="H34" s="25"/>
      <c r="I34" s="25"/>
      <c r="J34" s="25"/>
      <c r="K34" s="25"/>
      <c r="L34" s="25"/>
      <c r="M34" s="28"/>
      <c r="N34" s="26"/>
    </row>
    <row r="35" spans="1:14" s="3" customFormat="1" ht="26.25" customHeight="1" x14ac:dyDescent="0.3">
      <c r="A35" s="29"/>
      <c r="B35" s="25"/>
      <c r="C35" s="25"/>
      <c r="D35" s="29"/>
      <c r="E35" s="29"/>
      <c r="F35" s="26"/>
      <c r="G35" s="29"/>
      <c r="H35" s="25"/>
      <c r="I35" s="25"/>
      <c r="J35" s="25"/>
      <c r="K35" s="25"/>
      <c r="L35" s="27"/>
      <c r="M35" s="28"/>
      <c r="N35" s="26"/>
    </row>
    <row r="36" spans="1:14" s="30" customFormat="1" ht="17.25" x14ac:dyDescent="0.3">
      <c r="A36" s="25" t="s">
        <v>48</v>
      </c>
      <c r="B36" s="25"/>
      <c r="C36" s="25" t="s">
        <v>80</v>
      </c>
      <c r="D36" s="25"/>
      <c r="G36" s="25" t="str">
        <f>B10</f>
        <v>Katam Sonavan</v>
      </c>
      <c r="H36" s="25"/>
      <c r="I36" s="25"/>
      <c r="J36" s="25"/>
      <c r="K36" s="829" t="s">
        <v>90</v>
      </c>
      <c r="L36" s="829"/>
      <c r="M36" s="829"/>
      <c r="N36" s="829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  <row r="43" spans="1:14" s="30" customFormat="1" ht="16.5" x14ac:dyDescent="0.3">
      <c r="A43" s="32"/>
    </row>
    <row r="44" spans="1:14" s="30" customFormat="1" ht="16.5" x14ac:dyDescent="0.3">
      <c r="A44" s="32"/>
    </row>
    <row r="45" spans="1:14" s="30" customFormat="1" ht="16.5" x14ac:dyDescent="0.3">
      <c r="A45" s="32"/>
    </row>
  </sheetData>
  <mergeCells count="34">
    <mergeCell ref="A1:XFD7"/>
    <mergeCell ref="A8:N8"/>
    <mergeCell ref="K9:L9"/>
    <mergeCell ref="C10:C15"/>
    <mergeCell ref="K10:L10"/>
    <mergeCell ref="K11:L11"/>
    <mergeCell ref="K15:L15"/>
    <mergeCell ref="K12:L12"/>
    <mergeCell ref="O12:T12"/>
    <mergeCell ref="K13:L13"/>
    <mergeCell ref="A16:D16"/>
    <mergeCell ref="K16:L16"/>
    <mergeCell ref="A17:F17"/>
    <mergeCell ref="K17:L17"/>
    <mergeCell ref="A18:G18"/>
    <mergeCell ref="M19:N19"/>
    <mergeCell ref="A20:F20"/>
    <mergeCell ref="C21:D21"/>
    <mergeCell ref="E21:F21"/>
    <mergeCell ref="C22:D22"/>
    <mergeCell ref="E22:F22"/>
    <mergeCell ref="C19:D19"/>
    <mergeCell ref="E19:F19"/>
    <mergeCell ref="K19:L19"/>
    <mergeCell ref="A29:D29"/>
    <mergeCell ref="E29:F29"/>
    <mergeCell ref="E30:F30"/>
    <mergeCell ref="K36:N36"/>
    <mergeCell ref="E23:F23"/>
    <mergeCell ref="E24:F24"/>
    <mergeCell ref="E28:F28"/>
    <mergeCell ref="E25:F25"/>
    <mergeCell ref="E26:F26"/>
    <mergeCell ref="E27:F27"/>
  </mergeCells>
  <hyperlinks>
    <hyperlink ref="M19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="80" workbookViewId="0">
      <pane xSplit="3" ySplit="9" topLeftCell="D31" activePane="bottomRight" state="frozen"/>
      <selection pane="topRight" activeCell="D1" sqref="D1"/>
      <selection pane="bottomLeft" activeCell="A10" sqref="A10"/>
      <selection pane="bottomRight" activeCell="R21" sqref="R21"/>
    </sheetView>
  </sheetViews>
  <sheetFormatPr defaultRowHeight="13.5" x14ac:dyDescent="0.25"/>
  <cols>
    <col min="1" max="1" width="14.140625" style="33" customWidth="1"/>
    <col min="2" max="2" width="16.85546875" style="1" customWidth="1"/>
    <col min="3" max="3" width="5.5703125" style="1" customWidth="1"/>
    <col min="4" max="4" width="25.140625" style="1" customWidth="1"/>
    <col min="5" max="5" width="8.42578125" style="1" customWidth="1"/>
    <col min="6" max="6" width="8.5703125" style="1" customWidth="1"/>
    <col min="7" max="7" width="16.42578125" style="1" customWidth="1"/>
    <col min="8" max="8" width="3.7109375" style="1" customWidth="1"/>
    <col min="9" max="9" width="3.85546875" style="1" customWidth="1"/>
    <col min="10" max="10" width="5.140625" style="1" customWidth="1"/>
    <col min="11" max="11" width="5.85546875" style="1" customWidth="1"/>
    <col min="12" max="12" width="6.5703125" style="1" customWidth="1"/>
    <col min="13" max="13" width="11.85546875" style="1" customWidth="1"/>
    <col min="14" max="14" width="10.5703125" style="1" customWidth="1"/>
    <col min="15" max="256" width="8.8554687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8.8554687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8.8554687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8.8554687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8.8554687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8.8554687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8.8554687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8.8554687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8.8554687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8.8554687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8.8554687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8.8554687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8.8554687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8.8554687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8.8554687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8.8554687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8.8554687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8.8554687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8.8554687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8.8554687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8.8554687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8.8554687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8.8554687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8.8554687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8.8554687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8.8554687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8.8554687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8.8554687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8.8554687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8.8554687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8.8554687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8.8554687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8.8554687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8.8554687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8.8554687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8.8554687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8.8554687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8.8554687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8.8554687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8.8554687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8.8554687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8.8554687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8.8554687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8.8554687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8.8554687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8.8554687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8.8554687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8.8554687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8.8554687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8.8554687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8.8554687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8.8554687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8.8554687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8.8554687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8.8554687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8.8554687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8.8554687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8.8554687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8.8554687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8.8554687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8.8554687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8.8554687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8.8554687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8.85546875" style="1"/>
  </cols>
  <sheetData>
    <row r="1" spans="1:19" s="866" customFormat="1" ht="15" x14ac:dyDescent="0.25"/>
    <row r="2" spans="1:19" s="866" customFormat="1" ht="15" x14ac:dyDescent="0.25"/>
    <row r="3" spans="1:19" s="866" customFormat="1" ht="15" x14ac:dyDescent="0.25"/>
    <row r="4" spans="1:19" s="866" customFormat="1" ht="15" x14ac:dyDescent="0.25"/>
    <row r="5" spans="1:19" s="866" customFormat="1" ht="15" x14ac:dyDescent="0.25"/>
    <row r="6" spans="1:19" s="866" customFormat="1" ht="15" x14ac:dyDescent="0.25"/>
    <row r="7" spans="1:19" s="866" customFormat="1" ht="15.75" thickBot="1" x14ac:dyDescent="0.3"/>
    <row r="8" spans="1:19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9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9" s="59" customFormat="1" ht="26.25" customHeight="1" x14ac:dyDescent="0.25">
      <c r="A10" s="102">
        <v>1</v>
      </c>
      <c r="B10" s="295" t="s">
        <v>113</v>
      </c>
      <c r="C10" s="890" t="s">
        <v>31</v>
      </c>
      <c r="D10" s="51" t="s">
        <v>76</v>
      </c>
      <c r="E10" s="54">
        <f>12+15</f>
        <v>27</v>
      </c>
      <c r="F10" s="55">
        <v>7</v>
      </c>
      <c r="G10" s="56">
        <f>E10*F10</f>
        <v>189</v>
      </c>
      <c r="H10" s="226" t="s">
        <v>107</v>
      </c>
      <c r="I10" s="54">
        <v>2</v>
      </c>
      <c r="J10" s="54">
        <v>11</v>
      </c>
      <c r="K10" s="878" t="s">
        <v>42</v>
      </c>
      <c r="L10" s="879"/>
      <c r="M10" s="57">
        <v>41504</v>
      </c>
      <c r="N10" s="58"/>
    </row>
    <row r="11" spans="1:19" s="59" customFormat="1" ht="26.25" customHeight="1" x14ac:dyDescent="0.25">
      <c r="A11" s="90"/>
      <c r="B11" s="296"/>
      <c r="C11" s="891"/>
      <c r="D11" s="79"/>
      <c r="E11" s="80"/>
      <c r="F11" s="55"/>
      <c r="G11" s="56">
        <f t="shared" ref="G11:G15" si="0">E11*F11</f>
        <v>0</v>
      </c>
      <c r="H11" s="80"/>
      <c r="I11" s="80"/>
      <c r="J11" s="80"/>
      <c r="K11" s="876"/>
      <c r="L11" s="877"/>
      <c r="M11" s="83"/>
      <c r="N11" s="84"/>
    </row>
    <row r="12" spans="1:19" s="59" customFormat="1" ht="26.25" customHeight="1" x14ac:dyDescent="0.25">
      <c r="A12" s="102"/>
      <c r="B12" s="296"/>
      <c r="C12" s="891"/>
      <c r="D12" s="79"/>
      <c r="E12" s="80"/>
      <c r="F12" s="55"/>
      <c r="G12" s="56">
        <f t="shared" si="0"/>
        <v>0</v>
      </c>
      <c r="H12" s="80"/>
      <c r="I12" s="80"/>
      <c r="J12" s="80"/>
      <c r="K12" s="876"/>
      <c r="L12" s="877"/>
      <c r="M12" s="83"/>
      <c r="N12" s="84"/>
    </row>
    <row r="13" spans="1:19" s="59" customFormat="1" ht="26.25" customHeight="1" x14ac:dyDescent="0.25">
      <c r="A13" s="90"/>
      <c r="B13" s="296"/>
      <c r="C13" s="891"/>
      <c r="D13" s="79"/>
      <c r="E13" s="80"/>
      <c r="F13" s="55"/>
      <c r="G13" s="56">
        <f t="shared" si="0"/>
        <v>0</v>
      </c>
      <c r="H13" s="80"/>
      <c r="I13" s="80"/>
      <c r="J13" s="80"/>
      <c r="K13" s="876"/>
      <c r="L13" s="877"/>
      <c r="M13" s="83"/>
      <c r="N13" s="84"/>
    </row>
    <row r="14" spans="1:19" s="59" customFormat="1" ht="26.25" customHeight="1" x14ac:dyDescent="0.25">
      <c r="A14" s="102"/>
      <c r="B14" s="296"/>
      <c r="C14" s="891"/>
      <c r="D14" s="79"/>
      <c r="E14" s="80"/>
      <c r="F14" s="55"/>
      <c r="G14" s="56">
        <f t="shared" si="0"/>
        <v>0</v>
      </c>
      <c r="H14" s="80"/>
      <c r="I14" s="80"/>
      <c r="J14" s="80"/>
      <c r="K14" s="876"/>
      <c r="L14" s="877"/>
      <c r="M14" s="83"/>
      <c r="N14" s="84"/>
    </row>
    <row r="15" spans="1:19" s="59" customFormat="1" ht="26.25" customHeight="1" x14ac:dyDescent="0.25">
      <c r="A15" s="102"/>
      <c r="B15" s="297"/>
      <c r="C15" s="892"/>
      <c r="D15" s="77"/>
      <c r="E15" s="80"/>
      <c r="F15" s="81"/>
      <c r="G15" s="56">
        <f t="shared" si="0"/>
        <v>0</v>
      </c>
      <c r="H15" s="80"/>
      <c r="I15" s="80"/>
      <c r="J15" s="80"/>
      <c r="K15" s="876"/>
      <c r="L15" s="877"/>
      <c r="M15" s="83"/>
      <c r="N15" s="84"/>
      <c r="S15" s="59" t="s">
        <v>89</v>
      </c>
    </row>
    <row r="16" spans="1:19" s="59" customFormat="1" ht="26.25" customHeight="1" x14ac:dyDescent="0.25">
      <c r="A16" s="925" t="s">
        <v>11</v>
      </c>
      <c r="B16" s="926"/>
      <c r="C16" s="926"/>
      <c r="D16" s="926"/>
      <c r="E16" s="75">
        <f>SUM(E10:E15)</f>
        <v>27</v>
      </c>
      <c r="F16" s="76"/>
      <c r="G16" s="56">
        <f>SUM(G10:G15)</f>
        <v>189</v>
      </c>
      <c r="H16" s="60"/>
      <c r="I16" s="60"/>
      <c r="J16" s="60"/>
      <c r="K16" s="876"/>
      <c r="L16" s="877"/>
      <c r="M16" s="60"/>
      <c r="N16" s="63"/>
    </row>
    <row r="17" spans="1:14" s="59" customFormat="1" ht="26.25" customHeight="1" x14ac:dyDescent="0.25">
      <c r="A17" s="897" t="s">
        <v>24</v>
      </c>
      <c r="B17" s="898"/>
      <c r="C17" s="898"/>
      <c r="D17" s="898"/>
      <c r="E17" s="898"/>
      <c r="F17" s="898"/>
      <c r="G17" s="56">
        <f>G16</f>
        <v>189</v>
      </c>
      <c r="H17" s="65"/>
      <c r="I17" s="65"/>
      <c r="J17" s="65"/>
      <c r="K17" s="859"/>
      <c r="L17" s="860"/>
      <c r="M17" s="65"/>
      <c r="N17" s="66"/>
    </row>
    <row r="18" spans="1:14" s="48" customFormat="1" ht="26.25" customHeight="1" x14ac:dyDescent="0.25">
      <c r="A18" s="899" t="s">
        <v>32</v>
      </c>
      <c r="B18" s="900"/>
      <c r="C18" s="900"/>
      <c r="D18" s="900"/>
      <c r="E18" s="900"/>
      <c r="F18" s="900"/>
      <c r="G18" s="900"/>
      <c r="H18" s="67"/>
      <c r="I18" s="67"/>
      <c r="J18" s="68" t="s">
        <v>44</v>
      </c>
      <c r="K18" s="67"/>
      <c r="L18" s="68"/>
      <c r="M18" s="69"/>
      <c r="N18" s="70"/>
    </row>
    <row r="19" spans="1:14" s="48" customFormat="1" ht="22.5" customHeight="1" thickBot="1" x14ac:dyDescent="0.3">
      <c r="A19" s="72" t="s">
        <v>5</v>
      </c>
      <c r="B19" s="71" t="s">
        <v>33</v>
      </c>
      <c r="C19" s="857" t="s">
        <v>21</v>
      </c>
      <c r="D19" s="858"/>
      <c r="E19" s="857" t="s">
        <v>34</v>
      </c>
      <c r="F19" s="858"/>
      <c r="G19" s="71" t="s">
        <v>0</v>
      </c>
      <c r="H19" s="71" t="s">
        <v>96</v>
      </c>
      <c r="I19" s="71" t="s">
        <v>26</v>
      </c>
      <c r="J19" s="71" t="s">
        <v>27</v>
      </c>
      <c r="K19" s="863" t="s">
        <v>28</v>
      </c>
      <c r="L19" s="857"/>
      <c r="M19" s="901" t="s">
        <v>50</v>
      </c>
      <c r="N19" s="902"/>
    </row>
    <row r="20" spans="1:14" s="3" customFormat="1" ht="26.25" customHeight="1" x14ac:dyDescent="0.25">
      <c r="A20" s="861" t="s">
        <v>35</v>
      </c>
      <c r="B20" s="862"/>
      <c r="C20" s="862"/>
      <c r="D20" s="862"/>
      <c r="E20" s="862"/>
      <c r="F20" s="862"/>
      <c r="G20" s="7">
        <f>G17</f>
        <v>189</v>
      </c>
      <c r="H20" s="8"/>
      <c r="I20" s="8"/>
      <c r="J20" s="8"/>
      <c r="K20" s="8"/>
      <c r="L20" s="8"/>
      <c r="M20" s="8"/>
      <c r="N20" s="9"/>
    </row>
    <row r="21" spans="1:14" s="3" customFormat="1" ht="26.25" customHeight="1" x14ac:dyDescent="0.25">
      <c r="A21" s="10" t="s">
        <v>214</v>
      </c>
      <c r="B21" s="11">
        <v>41515</v>
      </c>
      <c r="C21" s="888" t="s">
        <v>76</v>
      </c>
      <c r="D21" s="889"/>
      <c r="E21" s="855">
        <v>84</v>
      </c>
      <c r="F21" s="855"/>
      <c r="G21" s="231">
        <f>G20-E21</f>
        <v>105</v>
      </c>
      <c r="H21" s="47"/>
      <c r="I21" s="47"/>
      <c r="J21" s="47"/>
      <c r="K21" s="47"/>
      <c r="L21" s="47"/>
      <c r="M21" s="47"/>
      <c r="N21" s="13"/>
    </row>
    <row r="22" spans="1:14" s="3" customFormat="1" ht="26.25" customHeight="1" x14ac:dyDescent="0.25">
      <c r="A22" s="10" t="s">
        <v>265</v>
      </c>
      <c r="B22" s="11">
        <v>41557</v>
      </c>
      <c r="C22" s="905" t="s">
        <v>76</v>
      </c>
      <c r="D22" s="906"/>
      <c r="E22" s="856">
        <v>52.5</v>
      </c>
      <c r="F22" s="856"/>
      <c r="G22" s="233">
        <f>G21-E22</f>
        <v>52.5</v>
      </c>
      <c r="H22" s="46"/>
      <c r="I22" s="46"/>
      <c r="M22" s="46"/>
      <c r="N22" s="6"/>
    </row>
    <row r="23" spans="1:14" s="3" customFormat="1" ht="36.75" customHeight="1" x14ac:dyDescent="0.25">
      <c r="A23" s="14"/>
      <c r="B23" s="15"/>
      <c r="C23" s="933"/>
      <c r="D23" s="934"/>
      <c r="E23" s="856"/>
      <c r="F23" s="856"/>
      <c r="G23" s="231">
        <f t="shared" ref="G23:G31" si="1">G22-E23</f>
        <v>52.5</v>
      </c>
      <c r="H23" s="936" t="s">
        <v>348</v>
      </c>
      <c r="I23" s="937"/>
      <c r="J23" s="937"/>
      <c r="K23" s="937"/>
      <c r="L23" s="937"/>
      <c r="M23" s="937"/>
      <c r="N23" s="938"/>
    </row>
    <row r="24" spans="1:14" s="3" customFormat="1" ht="26.25" customHeight="1" x14ac:dyDescent="0.25">
      <c r="A24" s="14"/>
      <c r="B24" s="15"/>
      <c r="C24" s="933"/>
      <c r="D24" s="934"/>
      <c r="E24" s="845"/>
      <c r="F24" s="846"/>
      <c r="G24" s="231">
        <f t="shared" si="1"/>
        <v>52.5</v>
      </c>
      <c r="H24" s="46"/>
      <c r="I24" s="46"/>
      <c r="J24" s="46"/>
      <c r="K24" s="46"/>
      <c r="L24" s="46"/>
      <c r="M24" s="46"/>
      <c r="N24" s="6"/>
    </row>
    <row r="25" spans="1:14" s="3" customFormat="1" ht="26.25" customHeight="1" x14ac:dyDescent="0.25">
      <c r="A25" s="14"/>
      <c r="B25" s="15"/>
      <c r="C25" s="933"/>
      <c r="D25" s="934"/>
      <c r="E25" s="842"/>
      <c r="F25" s="843"/>
      <c r="G25" s="231">
        <f t="shared" si="1"/>
        <v>52.5</v>
      </c>
      <c r="H25" s="46"/>
      <c r="I25" s="46"/>
      <c r="J25" s="46"/>
      <c r="K25" s="46"/>
      <c r="L25" s="46"/>
      <c r="M25" s="46"/>
      <c r="N25" s="6"/>
    </row>
    <row r="26" spans="1:14" s="3" customFormat="1" ht="26.25" customHeight="1" x14ac:dyDescent="0.25">
      <c r="A26" s="14"/>
      <c r="B26" s="15"/>
      <c r="C26" s="935"/>
      <c r="D26" s="877"/>
      <c r="E26" s="845"/>
      <c r="F26" s="846"/>
      <c r="G26" s="233">
        <f t="shared" si="1"/>
        <v>52.5</v>
      </c>
      <c r="H26" s="46"/>
      <c r="I26" s="46"/>
      <c r="J26" s="46"/>
      <c r="K26" s="46"/>
      <c r="L26" s="46"/>
      <c r="M26" s="46"/>
      <c r="N26" s="6"/>
    </row>
    <row r="27" spans="1:14" s="3" customFormat="1" ht="26.25" customHeight="1" x14ac:dyDescent="0.25">
      <c r="A27" s="14"/>
      <c r="B27" s="15"/>
      <c r="C27" s="935"/>
      <c r="D27" s="877"/>
      <c r="E27" s="845"/>
      <c r="F27" s="846"/>
      <c r="G27" s="231">
        <f t="shared" si="1"/>
        <v>52.5</v>
      </c>
      <c r="H27" s="114"/>
      <c r="I27" s="114"/>
      <c r="J27" s="114"/>
      <c r="K27" s="114"/>
      <c r="L27" s="114"/>
      <c r="M27" s="114"/>
      <c r="N27" s="6"/>
    </row>
    <row r="28" spans="1:14" s="3" customFormat="1" ht="26.25" customHeight="1" x14ac:dyDescent="0.25">
      <c r="A28" s="14"/>
      <c r="B28" s="15"/>
      <c r="C28" s="935"/>
      <c r="D28" s="877"/>
      <c r="E28" s="845"/>
      <c r="F28" s="846"/>
      <c r="G28" s="233">
        <f t="shared" si="1"/>
        <v>52.5</v>
      </c>
      <c r="H28" s="121"/>
      <c r="I28" s="121"/>
      <c r="J28" s="121"/>
      <c r="K28" s="121"/>
      <c r="L28" s="121"/>
      <c r="M28" s="121"/>
      <c r="N28" s="6"/>
    </row>
    <row r="29" spans="1:14" s="3" customFormat="1" ht="26.25" customHeight="1" x14ac:dyDescent="0.25">
      <c r="A29" s="14"/>
      <c r="B29" s="15"/>
      <c r="C29" s="935"/>
      <c r="D29" s="877"/>
      <c r="E29" s="845"/>
      <c r="F29" s="846"/>
      <c r="G29" s="231">
        <f t="shared" si="1"/>
        <v>52.5</v>
      </c>
      <c r="H29" s="121"/>
      <c r="I29" s="121"/>
      <c r="J29" s="121"/>
      <c r="K29" s="121"/>
      <c r="L29" s="121"/>
      <c r="M29" s="121"/>
      <c r="N29" s="6"/>
    </row>
    <row r="30" spans="1:14" s="3" customFormat="1" ht="26.25" customHeight="1" x14ac:dyDescent="0.25">
      <c r="A30" s="14"/>
      <c r="B30" s="15"/>
      <c r="C30" s="935"/>
      <c r="D30" s="939"/>
      <c r="E30" s="845"/>
      <c r="F30" s="846"/>
      <c r="G30" s="233">
        <f t="shared" si="1"/>
        <v>52.5</v>
      </c>
      <c r="H30" s="121"/>
      <c r="I30" s="121"/>
      <c r="J30" s="121"/>
      <c r="K30" s="121"/>
      <c r="L30" s="121"/>
      <c r="M30" s="121"/>
      <c r="N30" s="6"/>
    </row>
    <row r="31" spans="1:14" s="3" customFormat="1" ht="26.25" customHeight="1" thickBot="1" x14ac:dyDescent="0.3">
      <c r="A31" s="14"/>
      <c r="B31" s="15"/>
      <c r="C31" s="935"/>
      <c r="D31" s="939"/>
      <c r="E31" s="845"/>
      <c r="F31" s="846"/>
      <c r="G31" s="233">
        <f t="shared" si="1"/>
        <v>52.5</v>
      </c>
      <c r="H31" s="128"/>
      <c r="I31" s="128"/>
      <c r="J31" s="128"/>
      <c r="K31" s="128"/>
      <c r="L31" s="128"/>
      <c r="M31" s="128"/>
      <c r="N31" s="6"/>
    </row>
    <row r="32" spans="1:14" s="3" customFormat="1" ht="26.25" customHeight="1" x14ac:dyDescent="0.25">
      <c r="A32" s="14"/>
      <c r="B32" s="15"/>
      <c r="C32" s="935"/>
      <c r="D32" s="939"/>
      <c r="E32" s="845"/>
      <c r="F32" s="846"/>
      <c r="G32" s="7">
        <f>G31-E32</f>
        <v>52.5</v>
      </c>
      <c r="H32" s="128"/>
      <c r="I32" s="128"/>
      <c r="J32" s="128"/>
      <c r="K32" s="128"/>
      <c r="L32" s="128"/>
      <c r="M32" s="128"/>
      <c r="N32" s="6"/>
    </row>
    <row r="33" spans="1:14" s="23" customFormat="1" ht="26.25" customHeight="1" thickBot="1" x14ac:dyDescent="0.3">
      <c r="A33" s="851" t="s">
        <v>36</v>
      </c>
      <c r="B33" s="852"/>
      <c r="C33" s="852"/>
      <c r="D33" s="852"/>
      <c r="E33" s="853">
        <f>SUM(E21:F32)</f>
        <v>136.5</v>
      </c>
      <c r="F33" s="854"/>
      <c r="G33" s="232"/>
      <c r="H33" s="21"/>
      <c r="I33" s="21"/>
      <c r="J33" s="21"/>
      <c r="K33" s="21"/>
      <c r="L33" s="21"/>
      <c r="M33" s="21"/>
      <c r="N33" s="22"/>
    </row>
    <row r="34" spans="1:14" s="3" customFormat="1" ht="26.25" customHeight="1" thickTop="1" x14ac:dyDescent="0.25">
      <c r="A34" s="24"/>
      <c r="E34" s="844" t="s">
        <v>65</v>
      </c>
      <c r="F34" s="844"/>
    </row>
    <row r="35" spans="1:14" s="3" customFormat="1" ht="26.25" customHeight="1" x14ac:dyDescent="0.3">
      <c r="A35" s="25" t="s">
        <v>41</v>
      </c>
      <c r="B35" s="25"/>
      <c r="C35" s="25"/>
      <c r="D35" s="25" t="s">
        <v>81</v>
      </c>
      <c r="E35" s="25"/>
      <c r="F35" s="26"/>
      <c r="G35" s="25" t="s">
        <v>38</v>
      </c>
      <c r="H35" s="25"/>
      <c r="I35" s="25"/>
      <c r="J35" s="25"/>
      <c r="K35" s="25"/>
      <c r="L35" s="25" t="s">
        <v>39</v>
      </c>
      <c r="M35" s="28"/>
      <c r="N35" s="26"/>
    </row>
    <row r="36" spans="1:14" s="3" customFormat="1" ht="26.25" customHeight="1" x14ac:dyDescent="0.3">
      <c r="A36" s="25"/>
      <c r="B36" s="25"/>
      <c r="C36" s="25"/>
      <c r="D36" s="25"/>
      <c r="E36" s="25"/>
      <c r="F36" s="26"/>
      <c r="G36" s="25"/>
      <c r="H36" s="25"/>
      <c r="I36" s="25"/>
      <c r="J36" s="25"/>
      <c r="K36" s="25"/>
      <c r="L36" s="25"/>
      <c r="M36" s="28"/>
      <c r="N36" s="26"/>
    </row>
    <row r="37" spans="1:14" s="3" customFormat="1" ht="26.25" customHeight="1" x14ac:dyDescent="0.3">
      <c r="A37" s="25"/>
      <c r="B37" s="25"/>
      <c r="C37" s="25"/>
      <c r="D37" s="25"/>
      <c r="E37" s="25"/>
      <c r="F37" s="26"/>
      <c r="G37" s="25"/>
      <c r="H37" s="25"/>
      <c r="I37" s="25"/>
      <c r="J37" s="25"/>
      <c r="K37" s="25"/>
      <c r="L37" s="25"/>
      <c r="M37" s="28"/>
      <c r="N37" s="26"/>
    </row>
    <row r="38" spans="1:14" s="3" customFormat="1" ht="26.25" customHeight="1" x14ac:dyDescent="0.3">
      <c r="A38" s="25"/>
      <c r="B38" s="25"/>
      <c r="C38" s="25"/>
      <c r="D38" s="25"/>
      <c r="E38" s="25"/>
      <c r="F38" s="26"/>
      <c r="G38" s="25"/>
      <c r="H38" s="25"/>
      <c r="I38" s="25"/>
      <c r="J38" s="25"/>
      <c r="K38" s="25"/>
      <c r="L38" s="25"/>
      <c r="M38" s="28"/>
      <c r="N38" s="26"/>
    </row>
    <row r="39" spans="1:14" s="3" customFormat="1" ht="26.25" customHeight="1" x14ac:dyDescent="0.3">
      <c r="A39" s="29"/>
      <c r="B39" s="25"/>
      <c r="C39" s="25"/>
      <c r="D39" s="29"/>
      <c r="E39" s="29"/>
      <c r="F39" s="26"/>
      <c r="G39" s="29"/>
      <c r="H39" s="25"/>
      <c r="I39" s="25"/>
      <c r="J39" s="25"/>
      <c r="K39" s="25"/>
      <c r="L39" s="27"/>
      <c r="M39" s="28"/>
      <c r="N39" s="26"/>
    </row>
    <row r="40" spans="1:14" s="30" customFormat="1" ht="17.25" x14ac:dyDescent="0.3">
      <c r="A40" s="25" t="s">
        <v>48</v>
      </c>
      <c r="B40" s="25"/>
      <c r="C40" s="25" t="s">
        <v>80</v>
      </c>
      <c r="D40" s="25"/>
      <c r="G40" s="25" t="str">
        <f>B10</f>
        <v>Oeam Sary</v>
      </c>
      <c r="H40" s="25"/>
      <c r="I40" s="25"/>
      <c r="J40" s="25"/>
      <c r="K40" s="829" t="s">
        <v>90</v>
      </c>
      <c r="L40" s="829"/>
      <c r="M40" s="829"/>
      <c r="N40" s="829"/>
    </row>
    <row r="41" spans="1:14" s="30" customFormat="1" ht="16.5" x14ac:dyDescent="0.3">
      <c r="A41" s="32"/>
    </row>
    <row r="42" spans="1:14" s="30" customFormat="1" ht="16.5" x14ac:dyDescent="0.3">
      <c r="A42" s="32"/>
    </row>
    <row r="43" spans="1:14" s="30" customFormat="1" ht="16.5" x14ac:dyDescent="0.3">
      <c r="A43" s="32"/>
    </row>
    <row r="44" spans="1:14" s="30" customFormat="1" ht="16.5" x14ac:dyDescent="0.3">
      <c r="A44" s="32"/>
    </row>
    <row r="45" spans="1:14" s="30" customFormat="1" ht="16.5" x14ac:dyDescent="0.3">
      <c r="A45" s="32"/>
    </row>
    <row r="46" spans="1:14" s="30" customFormat="1" ht="16.5" x14ac:dyDescent="0.3">
      <c r="A46" s="32"/>
    </row>
    <row r="47" spans="1:14" s="30" customFormat="1" ht="16.5" x14ac:dyDescent="0.3">
      <c r="A47" s="32"/>
    </row>
    <row r="48" spans="1:14" s="30" customFormat="1" ht="16.5" x14ac:dyDescent="0.3">
      <c r="A48" s="32"/>
    </row>
    <row r="49" spans="1:1" s="30" customFormat="1" ht="16.5" x14ac:dyDescent="0.3">
      <c r="A49" s="32"/>
    </row>
  </sheetData>
  <mergeCells count="49">
    <mergeCell ref="K40:N40"/>
    <mergeCell ref="E34:F34"/>
    <mergeCell ref="A33:D33"/>
    <mergeCell ref="E33:F33"/>
    <mergeCell ref="C31:D31"/>
    <mergeCell ref="C32:D32"/>
    <mergeCell ref="E31:F31"/>
    <mergeCell ref="E32:F32"/>
    <mergeCell ref="C28:D28"/>
    <mergeCell ref="C29:D29"/>
    <mergeCell ref="E28:F28"/>
    <mergeCell ref="E29:F29"/>
    <mergeCell ref="E30:F30"/>
    <mergeCell ref="C30:D30"/>
    <mergeCell ref="A1:XFD7"/>
    <mergeCell ref="A8:N8"/>
    <mergeCell ref="K9:L9"/>
    <mergeCell ref="K10:L10"/>
    <mergeCell ref="A16:D16"/>
    <mergeCell ref="K16:L16"/>
    <mergeCell ref="C10:C15"/>
    <mergeCell ref="K15:L15"/>
    <mergeCell ref="K11:L11"/>
    <mergeCell ref="K13:L13"/>
    <mergeCell ref="K14:L14"/>
    <mergeCell ref="K12:L12"/>
    <mergeCell ref="M19:N19"/>
    <mergeCell ref="A20:F20"/>
    <mergeCell ref="C21:D21"/>
    <mergeCell ref="E21:F21"/>
    <mergeCell ref="C27:D27"/>
    <mergeCell ref="E27:F27"/>
    <mergeCell ref="C19:D19"/>
    <mergeCell ref="C26:D26"/>
    <mergeCell ref="E26:F26"/>
    <mergeCell ref="C23:D23"/>
    <mergeCell ref="E23:F23"/>
    <mergeCell ref="C24:D24"/>
    <mergeCell ref="E24:F24"/>
    <mergeCell ref="E19:F19"/>
    <mergeCell ref="K19:L19"/>
    <mergeCell ref="H23:N23"/>
    <mergeCell ref="A17:F17"/>
    <mergeCell ref="K17:L17"/>
    <mergeCell ref="A18:G18"/>
    <mergeCell ref="C25:D25"/>
    <mergeCell ref="E25:F25"/>
    <mergeCell ref="C22:D22"/>
    <mergeCell ref="E22:F22"/>
  </mergeCells>
  <printOptions horizontalCentered="1"/>
  <pageMargins left="0.25" right="0.25" top="0.47" bottom="0.25" header="0.5" footer="0.5"/>
  <pageSetup scale="70" orientation="portrait" verticalDpi="300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2"/>
  <sheetViews>
    <sheetView zoomScale="80" workbookViewId="0">
      <pane ySplit="9" topLeftCell="A25" activePane="bottomLeft" state="frozen"/>
      <selection pane="bottomLeft" activeCell="K35" sqref="K35"/>
    </sheetView>
  </sheetViews>
  <sheetFormatPr defaultRowHeight="13.5" x14ac:dyDescent="0.25"/>
  <cols>
    <col min="1" max="1" width="14.7109375" style="33" customWidth="1"/>
    <col min="2" max="2" width="19.140625" style="1" customWidth="1"/>
    <col min="3" max="3" width="5.5703125" style="1" customWidth="1"/>
    <col min="4" max="4" width="31" style="1" customWidth="1"/>
    <col min="5" max="5" width="8.42578125" style="1" customWidth="1"/>
    <col min="6" max="6" width="8.28515625" style="1" customWidth="1"/>
    <col min="7" max="7" width="16.42578125" style="1" customWidth="1"/>
    <col min="8" max="8" width="4.285156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2.7109375" style="1" customWidth="1"/>
    <col min="14" max="14" width="10.28515625" style="1" bestFit="1" customWidth="1"/>
    <col min="15" max="256" width="8.8554687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8.8554687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8.8554687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8.8554687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8.8554687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8.8554687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8.8554687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8.8554687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8.8554687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8.8554687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8.8554687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8.8554687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8.8554687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8.8554687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8.8554687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8.8554687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8.8554687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8.8554687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8.8554687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8.8554687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8.8554687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8.8554687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8.8554687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8.8554687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8.8554687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8.8554687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8.8554687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8.8554687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8.8554687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8.8554687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8.8554687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8.8554687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8.8554687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8.8554687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8.8554687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8.8554687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8.8554687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8.8554687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8.8554687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8.8554687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8.8554687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8.8554687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8.8554687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8.8554687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8.8554687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8.8554687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8.8554687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8.8554687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8.8554687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8.8554687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8.8554687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8.8554687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8.8554687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8.8554687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8.8554687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8.8554687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8.8554687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8.8554687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8.8554687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8.8554687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8.8554687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8.8554687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8.8554687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8.85546875" style="1"/>
  </cols>
  <sheetData>
    <row r="1" spans="1:14" s="866" customFormat="1" ht="15" x14ac:dyDescent="0.25"/>
    <row r="2" spans="1:14" s="866" customFormat="1" ht="15" x14ac:dyDescent="0.25"/>
    <row r="3" spans="1:14" s="866" customFormat="1" ht="15" x14ac:dyDescent="0.25"/>
    <row r="4" spans="1:14" s="866" customFormat="1" ht="15" x14ac:dyDescent="0.25"/>
    <row r="5" spans="1:14" s="866" customFormat="1" ht="15" x14ac:dyDescent="0.25"/>
    <row r="6" spans="1:14" s="866" customFormat="1" ht="15" x14ac:dyDescent="0.25"/>
    <row r="7" spans="1:14" s="866" customFormat="1" ht="15.75" thickBot="1" x14ac:dyDescent="0.3"/>
    <row r="8" spans="1:14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4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66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4" s="48" customFormat="1" ht="19.5" customHeight="1" x14ac:dyDescent="0.25">
      <c r="A10" s="91"/>
      <c r="B10" s="295" t="s">
        <v>58</v>
      </c>
      <c r="C10" s="149" t="s">
        <v>31</v>
      </c>
      <c r="D10" s="77" t="s">
        <v>115</v>
      </c>
      <c r="E10" s="148">
        <f>18+12+15</f>
        <v>45</v>
      </c>
      <c r="F10" s="55">
        <v>6</v>
      </c>
      <c r="G10" s="56">
        <f>E10*F10</f>
        <v>270</v>
      </c>
      <c r="H10" s="226" t="s">
        <v>86</v>
      </c>
      <c r="I10" s="148">
        <v>3</v>
      </c>
      <c r="J10" s="148">
        <v>10</v>
      </c>
      <c r="K10" s="940" t="s">
        <v>42</v>
      </c>
      <c r="L10" s="941"/>
      <c r="M10" s="92">
        <v>41503</v>
      </c>
      <c r="N10" s="52"/>
    </row>
    <row r="11" spans="1:14" s="48" customFormat="1" ht="19.5" customHeight="1" x14ac:dyDescent="0.25">
      <c r="A11" s="91"/>
      <c r="B11" s="296"/>
      <c r="C11" s="149" t="s">
        <v>31</v>
      </c>
      <c r="D11" s="77" t="s">
        <v>291</v>
      </c>
      <c r="E11" s="148">
        <f>24+12+9+3</f>
        <v>48</v>
      </c>
      <c r="F11" s="55">
        <v>6</v>
      </c>
      <c r="G11" s="56">
        <f t="shared" ref="G11:G20" si="0">E11*F11</f>
        <v>288</v>
      </c>
      <c r="H11" s="468" t="s">
        <v>86</v>
      </c>
      <c r="I11" s="51">
        <v>2</v>
      </c>
      <c r="J11" s="51">
        <v>11</v>
      </c>
      <c r="K11" s="940" t="s">
        <v>42</v>
      </c>
      <c r="L11" s="941"/>
      <c r="M11" s="92">
        <v>41539</v>
      </c>
      <c r="N11" s="52"/>
    </row>
    <row r="12" spans="1:14" s="48" customFormat="1" ht="19.5" customHeight="1" x14ac:dyDescent="0.25">
      <c r="A12" s="91"/>
      <c r="B12" s="296"/>
      <c r="C12" s="195"/>
      <c r="D12" s="77"/>
      <c r="E12" s="193"/>
      <c r="F12" s="55"/>
      <c r="G12" s="56">
        <f t="shared" si="0"/>
        <v>0</v>
      </c>
      <c r="H12" s="193"/>
      <c r="I12" s="51"/>
      <c r="J12" s="51"/>
      <c r="K12" s="940"/>
      <c r="L12" s="941"/>
      <c r="M12" s="51"/>
      <c r="N12" s="52"/>
    </row>
    <row r="13" spans="1:14" s="48" customFormat="1" ht="19.5" customHeight="1" x14ac:dyDescent="0.25">
      <c r="A13" s="91"/>
      <c r="B13" s="296"/>
      <c r="C13" s="211" t="s">
        <v>31</v>
      </c>
      <c r="D13" s="77" t="s">
        <v>575</v>
      </c>
      <c r="E13" s="212">
        <f>21+15</f>
        <v>36</v>
      </c>
      <c r="F13" s="55">
        <v>6</v>
      </c>
      <c r="G13" s="56">
        <f t="shared" si="0"/>
        <v>216</v>
      </c>
      <c r="H13" s="212" t="s">
        <v>86</v>
      </c>
      <c r="I13" s="51">
        <v>1</v>
      </c>
      <c r="J13" s="51">
        <v>12</v>
      </c>
      <c r="K13" s="940" t="s">
        <v>487</v>
      </c>
      <c r="L13" s="941"/>
      <c r="M13" s="92">
        <v>41705</v>
      </c>
      <c r="N13" s="52"/>
    </row>
    <row r="14" spans="1:14" s="48" customFormat="1" ht="19.5" customHeight="1" x14ac:dyDescent="0.25">
      <c r="A14" s="91"/>
      <c r="B14" s="297"/>
      <c r="C14" s="211" t="s">
        <v>31</v>
      </c>
      <c r="D14" s="77" t="s">
        <v>584</v>
      </c>
      <c r="E14" s="193">
        <f>15+13</f>
        <v>28</v>
      </c>
      <c r="F14" s="55">
        <v>6</v>
      </c>
      <c r="G14" s="56">
        <f t="shared" si="0"/>
        <v>168</v>
      </c>
      <c r="H14" s="212" t="s">
        <v>585</v>
      </c>
      <c r="I14" s="51">
        <v>2</v>
      </c>
      <c r="J14" s="51">
        <v>11</v>
      </c>
      <c r="K14" s="940" t="s">
        <v>42</v>
      </c>
      <c r="L14" s="941"/>
      <c r="M14" s="92">
        <v>41728</v>
      </c>
      <c r="N14" s="52"/>
    </row>
    <row r="15" spans="1:14" s="48" customFormat="1" ht="19.5" customHeight="1" x14ac:dyDescent="0.25">
      <c r="A15" s="91"/>
      <c r="B15" s="296"/>
      <c r="C15" s="782"/>
      <c r="D15" s="77" t="s">
        <v>586</v>
      </c>
      <c r="E15" s="788">
        <v>13</v>
      </c>
      <c r="F15" s="55">
        <v>6</v>
      </c>
      <c r="G15" s="56">
        <f t="shared" si="0"/>
        <v>78</v>
      </c>
      <c r="H15" s="788" t="s">
        <v>86</v>
      </c>
      <c r="I15" s="51">
        <v>3</v>
      </c>
      <c r="J15" s="51">
        <v>10</v>
      </c>
      <c r="K15" s="940" t="s">
        <v>42</v>
      </c>
      <c r="L15" s="941"/>
      <c r="M15" s="92">
        <v>41741</v>
      </c>
      <c r="N15" s="52"/>
    </row>
    <row r="16" spans="1:14" s="48" customFormat="1" ht="19.5" customHeight="1" x14ac:dyDescent="0.25">
      <c r="A16" s="91"/>
      <c r="B16" s="296"/>
      <c r="C16" s="782"/>
      <c r="D16" s="77"/>
      <c r="E16" s="788"/>
      <c r="F16" s="55"/>
      <c r="G16" s="56"/>
      <c r="H16" s="788"/>
      <c r="I16" s="51"/>
      <c r="J16" s="51"/>
      <c r="K16" s="940"/>
      <c r="L16" s="941"/>
      <c r="M16" s="92"/>
      <c r="N16" s="52"/>
    </row>
    <row r="17" spans="1:14" s="48" customFormat="1" ht="19.5" customHeight="1" x14ac:dyDescent="0.25">
      <c r="A17" s="91"/>
      <c r="B17" s="296"/>
      <c r="C17" s="782"/>
      <c r="D17" s="77"/>
      <c r="E17" s="788"/>
      <c r="F17" s="55"/>
      <c r="G17" s="56"/>
      <c r="H17" s="788"/>
      <c r="I17" s="51"/>
      <c r="J17" s="51"/>
      <c r="K17" s="940"/>
      <c r="L17" s="941"/>
      <c r="M17" s="92"/>
      <c r="N17" s="52"/>
    </row>
    <row r="18" spans="1:14" s="48" customFormat="1" ht="19.5" customHeight="1" x14ac:dyDescent="0.25">
      <c r="A18" s="91"/>
      <c r="B18" s="296"/>
      <c r="C18" s="782"/>
      <c r="D18" s="77"/>
      <c r="E18" s="788"/>
      <c r="F18" s="55"/>
      <c r="G18" s="56"/>
      <c r="H18" s="788"/>
      <c r="I18" s="51"/>
      <c r="J18" s="51"/>
      <c r="K18" s="940"/>
      <c r="L18" s="941"/>
      <c r="M18" s="92"/>
      <c r="N18" s="52"/>
    </row>
    <row r="19" spans="1:14" s="48" customFormat="1" ht="19.5" customHeight="1" x14ac:dyDescent="0.25">
      <c r="A19" s="91"/>
      <c r="B19" s="296"/>
      <c r="C19" s="782"/>
      <c r="D19" s="77"/>
      <c r="E19" s="788"/>
      <c r="F19" s="55"/>
      <c r="G19" s="56"/>
      <c r="H19" s="788"/>
      <c r="I19" s="51"/>
      <c r="J19" s="51"/>
      <c r="K19" s="940"/>
      <c r="L19" s="941"/>
      <c r="M19" s="92"/>
      <c r="N19" s="52"/>
    </row>
    <row r="20" spans="1:14" s="59" customFormat="1" ht="19.5" customHeight="1" x14ac:dyDescent="0.25">
      <c r="A20" s="91"/>
      <c r="B20" s="149"/>
      <c r="C20" s="110"/>
      <c r="D20" s="77"/>
      <c r="E20" s="54"/>
      <c r="F20" s="55"/>
      <c r="G20" s="56">
        <f t="shared" si="0"/>
        <v>0</v>
      </c>
      <c r="H20" s="153"/>
      <c r="I20" s="54"/>
      <c r="J20" s="54"/>
      <c r="K20" s="940"/>
      <c r="L20" s="941"/>
      <c r="M20" s="92"/>
      <c r="N20" s="58"/>
    </row>
    <row r="21" spans="1:14" s="59" customFormat="1" ht="26.25" customHeight="1" x14ac:dyDescent="0.25">
      <c r="A21" s="874" t="s">
        <v>11</v>
      </c>
      <c r="B21" s="875"/>
      <c r="C21" s="875"/>
      <c r="D21" s="875"/>
      <c r="E21" s="75">
        <f>SUM(E10:E20)</f>
        <v>170</v>
      </c>
      <c r="F21" s="76"/>
      <c r="G21" s="56">
        <f>E21*F21</f>
        <v>0</v>
      </c>
      <c r="H21" s="60"/>
      <c r="I21" s="60"/>
      <c r="J21" s="60"/>
      <c r="K21" s="876"/>
      <c r="L21" s="877"/>
      <c r="M21" s="60"/>
      <c r="N21" s="63"/>
    </row>
    <row r="22" spans="1:14" s="59" customFormat="1" ht="26.25" customHeight="1" x14ac:dyDescent="0.25">
      <c r="A22" s="897" t="s">
        <v>24</v>
      </c>
      <c r="B22" s="898"/>
      <c r="C22" s="898"/>
      <c r="D22" s="898"/>
      <c r="E22" s="898"/>
      <c r="F22" s="898"/>
      <c r="G22" s="64">
        <f>SUM(G10:G21)</f>
        <v>1020</v>
      </c>
      <c r="H22" s="65"/>
      <c r="I22" s="65"/>
      <c r="J22" s="65"/>
      <c r="K22" s="859"/>
      <c r="L22" s="860"/>
      <c r="M22" s="65"/>
      <c r="N22" s="66"/>
    </row>
    <row r="23" spans="1:14" s="48" customFormat="1" ht="26.25" customHeight="1" x14ac:dyDescent="0.25">
      <c r="A23" s="899" t="s">
        <v>32</v>
      </c>
      <c r="B23" s="900"/>
      <c r="C23" s="900"/>
      <c r="D23" s="900"/>
      <c r="E23" s="900"/>
      <c r="F23" s="900"/>
      <c r="G23" s="900"/>
      <c r="H23" s="67"/>
      <c r="I23" s="67"/>
      <c r="J23" s="68" t="s">
        <v>44</v>
      </c>
      <c r="K23" s="67"/>
      <c r="L23" s="68"/>
      <c r="M23" s="69"/>
      <c r="N23" s="70"/>
    </row>
    <row r="24" spans="1:14" s="48" customFormat="1" ht="22.5" customHeight="1" thickBot="1" x14ac:dyDescent="0.3">
      <c r="A24" s="72" t="s">
        <v>5</v>
      </c>
      <c r="B24" s="71" t="s">
        <v>33</v>
      </c>
      <c r="C24" s="857" t="s">
        <v>21</v>
      </c>
      <c r="D24" s="858"/>
      <c r="E24" s="857" t="s">
        <v>34</v>
      </c>
      <c r="F24" s="858"/>
      <c r="G24" s="71" t="s">
        <v>0</v>
      </c>
      <c r="H24" s="71" t="s">
        <v>25</v>
      </c>
      <c r="I24" s="71" t="s">
        <v>26</v>
      </c>
      <c r="J24" s="71" t="s">
        <v>27</v>
      </c>
      <c r="K24" s="863" t="s">
        <v>28</v>
      </c>
      <c r="L24" s="857"/>
      <c r="M24" s="901" t="s">
        <v>59</v>
      </c>
      <c r="N24" s="902"/>
    </row>
    <row r="25" spans="1:14" s="3" customFormat="1" ht="26.25" customHeight="1" x14ac:dyDescent="0.25">
      <c r="A25" s="861" t="s">
        <v>35</v>
      </c>
      <c r="B25" s="862"/>
      <c r="C25" s="862"/>
      <c r="D25" s="862"/>
      <c r="E25" s="862"/>
      <c r="F25" s="862"/>
      <c r="G25" s="7">
        <f>G22</f>
        <v>1020</v>
      </c>
      <c r="H25" s="8"/>
      <c r="I25" s="8"/>
      <c r="J25" s="8"/>
      <c r="K25" s="8"/>
      <c r="L25" s="8"/>
      <c r="M25" s="8"/>
      <c r="N25" s="9"/>
    </row>
    <row r="26" spans="1:14" s="3" customFormat="1" ht="26.25" customHeight="1" x14ac:dyDescent="0.25">
      <c r="A26" s="10" t="s">
        <v>214</v>
      </c>
      <c r="B26" s="11">
        <v>41515</v>
      </c>
      <c r="C26" s="888" t="s">
        <v>115</v>
      </c>
      <c r="D26" s="889"/>
      <c r="E26" s="855">
        <v>72</v>
      </c>
      <c r="F26" s="855"/>
      <c r="G26" s="12">
        <f>G25-E26</f>
        <v>948</v>
      </c>
      <c r="H26" s="108"/>
      <c r="I26" s="108"/>
      <c r="J26" s="108"/>
      <c r="K26" s="108"/>
      <c r="L26" s="108"/>
      <c r="M26" s="108"/>
      <c r="N26" s="13"/>
    </row>
    <row r="27" spans="1:14" s="3" customFormat="1" ht="26.25" customHeight="1" x14ac:dyDescent="0.25">
      <c r="A27" s="10" t="s">
        <v>265</v>
      </c>
      <c r="B27" s="11">
        <v>41557</v>
      </c>
      <c r="C27" s="888" t="s">
        <v>115</v>
      </c>
      <c r="D27" s="889"/>
      <c r="E27" s="856">
        <v>54.5</v>
      </c>
      <c r="F27" s="856"/>
      <c r="G27" s="12">
        <f t="shared" ref="G27:G34" si="1">G26-E27</f>
        <v>893.5</v>
      </c>
      <c r="H27" s="109"/>
      <c r="I27" s="109"/>
      <c r="J27" s="109"/>
      <c r="K27" s="109"/>
      <c r="L27" s="109"/>
      <c r="M27" s="109"/>
      <c r="N27" s="6"/>
    </row>
    <row r="28" spans="1:14" s="3" customFormat="1" ht="26.25" customHeight="1" x14ac:dyDescent="0.25">
      <c r="A28" s="10" t="s">
        <v>300</v>
      </c>
      <c r="B28" s="11">
        <v>41578</v>
      </c>
      <c r="C28" s="888" t="s">
        <v>115</v>
      </c>
      <c r="D28" s="889"/>
      <c r="E28" s="856">
        <v>144</v>
      </c>
      <c r="F28" s="856"/>
      <c r="G28" s="12">
        <f t="shared" si="1"/>
        <v>749.5</v>
      </c>
      <c r="H28" s="109"/>
      <c r="I28" s="109"/>
      <c r="J28" s="109"/>
      <c r="K28" s="109"/>
      <c r="L28" s="109"/>
      <c r="M28" s="109"/>
      <c r="N28" s="6"/>
    </row>
    <row r="29" spans="1:14" s="3" customFormat="1" ht="26.25" customHeight="1" x14ac:dyDescent="0.25">
      <c r="A29" s="10" t="s">
        <v>321</v>
      </c>
      <c r="B29" s="11">
        <v>41612</v>
      </c>
      <c r="C29" s="905" t="s">
        <v>115</v>
      </c>
      <c r="D29" s="906"/>
      <c r="E29" s="845">
        <v>100</v>
      </c>
      <c r="F29" s="846"/>
      <c r="G29" s="12">
        <f t="shared" si="1"/>
        <v>649.5</v>
      </c>
      <c r="H29" s="109"/>
      <c r="I29" s="109"/>
      <c r="J29" s="109"/>
      <c r="K29" s="109"/>
      <c r="L29" s="109"/>
      <c r="M29" s="109"/>
      <c r="N29" s="6"/>
    </row>
    <row r="30" spans="1:14" s="3" customFormat="1" ht="26.25" customHeight="1" x14ac:dyDescent="0.25">
      <c r="A30" s="10" t="s">
        <v>370</v>
      </c>
      <c r="B30" s="11">
        <v>41645</v>
      </c>
      <c r="C30" s="905" t="s">
        <v>115</v>
      </c>
      <c r="D30" s="906"/>
      <c r="E30" s="842">
        <v>80</v>
      </c>
      <c r="F30" s="843"/>
      <c r="G30" s="12">
        <f t="shared" si="1"/>
        <v>569.5</v>
      </c>
      <c r="H30" s="109"/>
      <c r="I30" s="109"/>
      <c r="J30" s="109"/>
      <c r="K30" s="109"/>
      <c r="L30" s="109"/>
      <c r="M30" s="109"/>
      <c r="N30" s="6"/>
    </row>
    <row r="31" spans="1:14" s="3" customFormat="1" ht="26.25" customHeight="1" x14ac:dyDescent="0.25">
      <c r="A31" s="10" t="s">
        <v>537</v>
      </c>
      <c r="B31" s="11">
        <v>41739</v>
      </c>
      <c r="C31" s="905" t="s">
        <v>115</v>
      </c>
      <c r="D31" s="906"/>
      <c r="E31" s="845">
        <v>107.5</v>
      </c>
      <c r="F31" s="846"/>
      <c r="G31" s="12">
        <f t="shared" si="1"/>
        <v>462</v>
      </c>
      <c r="H31" s="109"/>
      <c r="I31" s="109"/>
      <c r="J31" s="109"/>
      <c r="K31" s="109"/>
      <c r="L31" s="109"/>
      <c r="M31" s="109"/>
      <c r="N31" s="6"/>
    </row>
    <row r="32" spans="1:14" s="3" customFormat="1" ht="26.25" customHeight="1" x14ac:dyDescent="0.25">
      <c r="A32" s="14"/>
      <c r="B32" s="15"/>
      <c r="C32" s="934"/>
      <c r="D32" s="934"/>
      <c r="E32" s="845"/>
      <c r="F32" s="846"/>
      <c r="G32" s="12">
        <f t="shared" si="1"/>
        <v>462</v>
      </c>
      <c r="H32" s="109"/>
      <c r="I32" s="109"/>
      <c r="J32" s="109"/>
      <c r="K32" s="109"/>
      <c r="L32" s="109"/>
      <c r="M32" s="109"/>
      <c r="N32" s="6"/>
    </row>
    <row r="33" spans="1:14" s="3" customFormat="1" ht="26.25" customHeight="1" x14ac:dyDescent="0.25">
      <c r="A33" s="14"/>
      <c r="B33" s="15"/>
      <c r="C33" s="893"/>
      <c r="D33" s="894"/>
      <c r="E33" s="845"/>
      <c r="F33" s="846"/>
      <c r="G33" s="12">
        <f t="shared" si="1"/>
        <v>462</v>
      </c>
      <c r="H33" s="109"/>
      <c r="I33" s="109"/>
      <c r="J33" s="109"/>
      <c r="K33" s="109"/>
      <c r="L33" s="109"/>
      <c r="M33" s="109"/>
      <c r="N33" s="6"/>
    </row>
    <row r="34" spans="1:14" s="3" customFormat="1" ht="26.25" customHeight="1" x14ac:dyDescent="0.25">
      <c r="A34" s="14"/>
      <c r="B34" s="15"/>
      <c r="C34" s="893"/>
      <c r="D34" s="894"/>
      <c r="E34" s="845"/>
      <c r="F34" s="846"/>
      <c r="G34" s="12">
        <f t="shared" si="1"/>
        <v>462</v>
      </c>
      <c r="H34" s="109"/>
      <c r="I34" s="109"/>
      <c r="J34" s="109"/>
      <c r="K34" s="109"/>
      <c r="L34" s="109"/>
      <c r="M34" s="109"/>
      <c r="N34" s="6"/>
    </row>
    <row r="35" spans="1:14" s="3" customFormat="1" ht="26.25" customHeight="1" x14ac:dyDescent="0.25">
      <c r="A35" s="16"/>
      <c r="B35" s="17"/>
      <c r="C35" s="847"/>
      <c r="D35" s="848"/>
      <c r="E35" s="907"/>
      <c r="F35" s="908"/>
      <c r="G35" s="12">
        <f>G34-E35</f>
        <v>462</v>
      </c>
      <c r="H35" s="18"/>
      <c r="I35" s="18"/>
      <c r="J35" s="18"/>
      <c r="K35" s="18"/>
      <c r="L35" s="18"/>
      <c r="M35" s="18"/>
      <c r="N35" s="19"/>
    </row>
    <row r="36" spans="1:14" s="23" customFormat="1" ht="26.25" customHeight="1" thickBot="1" x14ac:dyDescent="0.3">
      <c r="A36" s="851" t="s">
        <v>36</v>
      </c>
      <c r="B36" s="852"/>
      <c r="C36" s="852"/>
      <c r="D36" s="852"/>
      <c r="E36" s="853">
        <f>SUM(E26:F35)</f>
        <v>558</v>
      </c>
      <c r="F36" s="854"/>
      <c r="G36" s="20"/>
      <c r="H36" s="21"/>
      <c r="I36" s="21"/>
      <c r="J36" s="21"/>
      <c r="K36" s="21"/>
      <c r="L36" s="21"/>
      <c r="M36" s="21"/>
      <c r="N36" s="22"/>
    </row>
    <row r="37" spans="1:14" s="3" customFormat="1" ht="26.25" customHeight="1" thickTop="1" x14ac:dyDescent="0.25">
      <c r="A37" s="24"/>
      <c r="E37" s="844"/>
      <c r="F37" s="844"/>
    </row>
    <row r="38" spans="1:14" s="3" customFormat="1" ht="26.25" customHeight="1" x14ac:dyDescent="0.3">
      <c r="A38" s="25" t="s">
        <v>41</v>
      </c>
      <c r="B38" s="25"/>
      <c r="C38" s="25"/>
      <c r="D38" s="25" t="s">
        <v>81</v>
      </c>
      <c r="E38" s="25"/>
      <c r="F38" s="26"/>
      <c r="G38" s="25" t="s">
        <v>38</v>
      </c>
      <c r="H38" s="25"/>
      <c r="I38" s="25"/>
      <c r="J38" s="25"/>
      <c r="K38" s="25"/>
      <c r="L38" s="25" t="s">
        <v>39</v>
      </c>
      <c r="M38" s="28"/>
      <c r="N38" s="26"/>
    </row>
    <row r="39" spans="1:14" s="3" customFormat="1" ht="26.25" customHeight="1" x14ac:dyDescent="0.3">
      <c r="A39" s="25"/>
      <c r="B39" s="25"/>
      <c r="C39" s="25"/>
      <c r="D39" s="25"/>
      <c r="E39" s="25"/>
      <c r="F39" s="26"/>
      <c r="G39" s="25"/>
      <c r="H39" s="25"/>
      <c r="I39" s="25"/>
      <c r="J39" s="25"/>
      <c r="K39" s="25"/>
      <c r="L39" s="25"/>
      <c r="M39" s="28"/>
      <c r="N39" s="26"/>
    </row>
    <row r="40" spans="1:14" s="3" customFormat="1" ht="26.25" customHeight="1" x14ac:dyDescent="0.3">
      <c r="A40" s="25"/>
      <c r="B40" s="25"/>
      <c r="C40" s="25"/>
      <c r="D40" s="25"/>
      <c r="E40" s="25"/>
      <c r="F40" s="26"/>
      <c r="G40" s="25"/>
      <c r="H40" s="25"/>
      <c r="I40" s="25"/>
      <c r="J40" s="25"/>
      <c r="K40" s="25"/>
      <c r="L40" s="25"/>
      <c r="M40" s="28"/>
      <c r="N40" s="26"/>
    </row>
    <row r="41" spans="1:14" s="3" customFormat="1" ht="26.25" customHeight="1" x14ac:dyDescent="0.3">
      <c r="A41" s="25"/>
      <c r="B41" s="25"/>
      <c r="C41" s="25"/>
      <c r="D41" s="25"/>
      <c r="E41" s="25"/>
      <c r="F41" s="26"/>
      <c r="G41" s="25"/>
      <c r="H41" s="25"/>
      <c r="I41" s="25"/>
      <c r="J41" s="25"/>
      <c r="K41" s="25"/>
      <c r="L41" s="25"/>
      <c r="M41" s="28"/>
      <c r="N41" s="26"/>
    </row>
    <row r="42" spans="1:14" s="3" customFormat="1" ht="26.25" customHeight="1" x14ac:dyDescent="0.3">
      <c r="A42" s="29"/>
      <c r="B42" s="25"/>
      <c r="C42" s="25"/>
      <c r="D42" s="29"/>
      <c r="E42" s="29"/>
      <c r="F42" s="26"/>
      <c r="G42" s="29"/>
      <c r="H42" s="25"/>
      <c r="I42" s="25"/>
      <c r="J42" s="25"/>
      <c r="K42" s="25"/>
      <c r="L42" s="27"/>
      <c r="M42" s="28"/>
      <c r="N42" s="26"/>
    </row>
    <row r="43" spans="1:14" s="30" customFormat="1" ht="17.25" x14ac:dyDescent="0.3">
      <c r="A43" s="25" t="s">
        <v>48</v>
      </c>
      <c r="B43" s="25"/>
      <c r="C43" s="25" t="s">
        <v>80</v>
      </c>
      <c r="D43" s="25"/>
      <c r="G43" s="25" t="str">
        <f>B10</f>
        <v>Soy Sareth</v>
      </c>
      <c r="H43" s="25"/>
      <c r="I43" s="25"/>
      <c r="J43" s="25"/>
      <c r="K43" s="829" t="s">
        <v>90</v>
      </c>
      <c r="L43" s="829"/>
      <c r="M43" s="829"/>
      <c r="N43" s="829"/>
    </row>
    <row r="44" spans="1:14" s="30" customFormat="1" ht="16.5" x14ac:dyDescent="0.3">
      <c r="A44" s="32"/>
    </row>
    <row r="45" spans="1:14" s="30" customFormat="1" ht="16.5" x14ac:dyDescent="0.3">
      <c r="A45" s="32"/>
    </row>
    <row r="46" spans="1:14" s="30" customFormat="1" ht="16.5" x14ac:dyDescent="0.3">
      <c r="A46" s="32"/>
    </row>
    <row r="47" spans="1:14" s="30" customFormat="1" ht="16.5" x14ac:dyDescent="0.3">
      <c r="A47" s="32"/>
    </row>
    <row r="48" spans="1:14" s="30" customFormat="1" ht="16.5" x14ac:dyDescent="0.3">
      <c r="A48" s="32"/>
    </row>
    <row r="49" spans="1:1" s="30" customFormat="1" ht="16.5" x14ac:dyDescent="0.3">
      <c r="A49" s="32"/>
    </row>
    <row r="50" spans="1:1" s="30" customFormat="1" ht="16.5" x14ac:dyDescent="0.3">
      <c r="A50" s="32"/>
    </row>
    <row r="51" spans="1:1" s="30" customFormat="1" ht="16.5" x14ac:dyDescent="0.3">
      <c r="A51" s="32"/>
    </row>
    <row r="52" spans="1:1" s="30" customFormat="1" ht="16.5" x14ac:dyDescent="0.3">
      <c r="A52" s="32"/>
    </row>
  </sheetData>
  <mergeCells count="48">
    <mergeCell ref="M24:N24"/>
    <mergeCell ref="E37:F37"/>
    <mergeCell ref="A22:F22"/>
    <mergeCell ref="K22:L22"/>
    <mergeCell ref="A23:G23"/>
    <mergeCell ref="C24:D24"/>
    <mergeCell ref="E24:F24"/>
    <mergeCell ref="K24:L24"/>
    <mergeCell ref="C35:D35"/>
    <mergeCell ref="E35:F35"/>
    <mergeCell ref="A36:D36"/>
    <mergeCell ref="E36:F36"/>
    <mergeCell ref="A25:F25"/>
    <mergeCell ref="E32:F32"/>
    <mergeCell ref="C26:D26"/>
    <mergeCell ref="E26:F26"/>
    <mergeCell ref="A1:XFD7"/>
    <mergeCell ref="A8:N8"/>
    <mergeCell ref="K9:L9"/>
    <mergeCell ref="K20:L20"/>
    <mergeCell ref="A21:D21"/>
    <mergeCell ref="K21:L21"/>
    <mergeCell ref="K13:L13"/>
    <mergeCell ref="K14:L14"/>
    <mergeCell ref="K10:L10"/>
    <mergeCell ref="K11:L11"/>
    <mergeCell ref="K12:L12"/>
    <mergeCell ref="K15:L15"/>
    <mergeCell ref="K16:L16"/>
    <mergeCell ref="K17:L17"/>
    <mergeCell ref="K18:L18"/>
    <mergeCell ref="K19:L19"/>
    <mergeCell ref="K43:N43"/>
    <mergeCell ref="C27:D27"/>
    <mergeCell ref="E27:F27"/>
    <mergeCell ref="C28:D28"/>
    <mergeCell ref="C34:D34"/>
    <mergeCell ref="E34:F34"/>
    <mergeCell ref="C33:D33"/>
    <mergeCell ref="E33:F33"/>
    <mergeCell ref="C29:D29"/>
    <mergeCell ref="E29:F29"/>
    <mergeCell ref="C30:D30"/>
    <mergeCell ref="E30:F30"/>
    <mergeCell ref="C31:D31"/>
    <mergeCell ref="E31:F31"/>
    <mergeCell ref="E28:F28"/>
    <mergeCell ref="C32:D32"/>
  </mergeCells>
  <hyperlinks>
    <hyperlink ref="M24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2"/>
  <sheetViews>
    <sheetView zoomScale="80" workbookViewId="0">
      <pane ySplit="9" topLeftCell="A19" activePane="bottomLeft" state="frozen"/>
      <selection pane="bottomLeft" activeCell="V29" sqref="V29"/>
    </sheetView>
  </sheetViews>
  <sheetFormatPr defaultRowHeight="13.5" x14ac:dyDescent="0.25"/>
  <cols>
    <col min="1" max="1" width="15" style="33" customWidth="1"/>
    <col min="2" max="2" width="18" style="1" customWidth="1"/>
    <col min="3" max="3" width="7.7109375" style="1" customWidth="1"/>
    <col min="4" max="4" width="27.5703125" style="1" customWidth="1"/>
    <col min="5" max="5" width="8.42578125" style="1" customWidth="1"/>
    <col min="6" max="6" width="10.85546875" style="1" customWidth="1"/>
    <col min="7" max="7" width="16.42578125" style="1" customWidth="1"/>
    <col min="8" max="8" width="3.7109375" style="1" customWidth="1"/>
    <col min="9" max="9" width="3.85546875" style="1" customWidth="1"/>
    <col min="10" max="10" width="5" style="1" customWidth="1"/>
    <col min="11" max="11" width="7.28515625" style="1" customWidth="1"/>
    <col min="12" max="12" width="7.5703125" style="1" customWidth="1"/>
    <col min="13" max="13" width="12" style="1" bestFit="1" customWidth="1"/>
    <col min="14" max="14" width="10.28515625" style="1" bestFit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20" s="866" customFormat="1" ht="15" x14ac:dyDescent="0.25"/>
    <row r="2" spans="1:20" s="866" customFormat="1" ht="15" x14ac:dyDescent="0.25"/>
    <row r="3" spans="1:20" s="866" customFormat="1" ht="15" x14ac:dyDescent="0.25"/>
    <row r="4" spans="1:20" s="866" customFormat="1" ht="15" x14ac:dyDescent="0.25"/>
    <row r="5" spans="1:20" s="866" customFormat="1" ht="15" x14ac:dyDescent="0.25"/>
    <row r="6" spans="1:20" s="866" customFormat="1" ht="15" x14ac:dyDescent="0.25"/>
    <row r="7" spans="1:20" s="866" customFormat="1" ht="15.75" thickBot="1" x14ac:dyDescent="0.3"/>
    <row r="8" spans="1:20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20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20" s="59" customFormat="1" ht="26.25" customHeight="1" x14ac:dyDescent="0.25">
      <c r="A10" s="91">
        <v>1</v>
      </c>
      <c r="B10" s="295" t="s">
        <v>71</v>
      </c>
      <c r="C10" s="890" t="s">
        <v>31</v>
      </c>
      <c r="D10" s="53" t="s">
        <v>116</v>
      </c>
      <c r="E10" s="174">
        <f>21+15+3</f>
        <v>39</v>
      </c>
      <c r="F10" s="55">
        <v>8</v>
      </c>
      <c r="G10" s="56">
        <f>E10*F10</f>
        <v>312</v>
      </c>
      <c r="H10" s="226" t="s">
        <v>102</v>
      </c>
      <c r="I10" s="174">
        <v>3</v>
      </c>
      <c r="J10" s="174">
        <v>10</v>
      </c>
      <c r="K10" s="878" t="s">
        <v>42</v>
      </c>
      <c r="L10" s="879"/>
      <c r="M10" s="92">
        <v>41503</v>
      </c>
      <c r="N10" s="58"/>
      <c r="O10" s="931" t="s">
        <v>132</v>
      </c>
      <c r="P10" s="932"/>
      <c r="Q10" s="932"/>
      <c r="R10" s="932"/>
      <c r="S10" s="932"/>
      <c r="T10" s="932"/>
    </row>
    <row r="11" spans="1:20" s="59" customFormat="1" ht="26.25" customHeight="1" x14ac:dyDescent="0.25">
      <c r="A11" s="93">
        <v>2</v>
      </c>
      <c r="B11" s="296"/>
      <c r="C11" s="891"/>
      <c r="D11" s="77"/>
      <c r="E11" s="80"/>
      <c r="F11" s="55"/>
      <c r="G11" s="56">
        <f t="shared" ref="G11:G16" si="0">E11*F11</f>
        <v>0</v>
      </c>
      <c r="H11" s="80"/>
      <c r="I11" s="80"/>
      <c r="J11" s="80"/>
      <c r="K11" s="181"/>
      <c r="L11" s="182"/>
      <c r="M11" s="94"/>
      <c r="N11" s="84"/>
    </row>
    <row r="12" spans="1:20" s="59" customFormat="1" ht="26.25" customHeight="1" x14ac:dyDescent="0.25">
      <c r="A12" s="91">
        <v>3</v>
      </c>
      <c r="B12" s="296"/>
      <c r="C12" s="891"/>
      <c r="D12" s="77"/>
      <c r="E12" s="80"/>
      <c r="F12" s="55"/>
      <c r="G12" s="56">
        <f t="shared" si="0"/>
        <v>0</v>
      </c>
      <c r="H12" s="80"/>
      <c r="I12" s="80"/>
      <c r="J12" s="80"/>
      <c r="K12" s="181"/>
      <c r="L12" s="182"/>
      <c r="M12" s="94"/>
      <c r="N12" s="84"/>
    </row>
    <row r="13" spans="1:20" s="59" customFormat="1" ht="26.25" customHeight="1" x14ac:dyDescent="0.25">
      <c r="A13" s="93">
        <v>4</v>
      </c>
      <c r="B13" s="296"/>
      <c r="C13" s="891"/>
      <c r="D13" s="77"/>
      <c r="E13" s="80"/>
      <c r="F13" s="55"/>
      <c r="G13" s="56">
        <f t="shared" si="0"/>
        <v>0</v>
      </c>
      <c r="H13" s="80"/>
      <c r="I13" s="80"/>
      <c r="J13" s="80"/>
      <c r="K13" s="181"/>
      <c r="L13" s="182"/>
      <c r="M13" s="94"/>
      <c r="N13" s="84"/>
    </row>
    <row r="14" spans="1:20" s="59" customFormat="1" ht="26.25" customHeight="1" x14ac:dyDescent="0.25">
      <c r="A14" s="91">
        <v>5</v>
      </c>
      <c r="B14" s="296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20" s="59" customFormat="1" ht="26.25" customHeight="1" x14ac:dyDescent="0.25">
      <c r="A15" s="93">
        <v>6</v>
      </c>
      <c r="B15" s="297"/>
      <c r="C15" s="891"/>
      <c r="D15" s="77"/>
      <c r="E15" s="80"/>
      <c r="F15" s="55"/>
      <c r="G15" s="56">
        <f t="shared" si="0"/>
        <v>0</v>
      </c>
      <c r="H15" s="80"/>
      <c r="I15" s="80"/>
      <c r="J15" s="80"/>
      <c r="K15" s="876"/>
      <c r="L15" s="877"/>
      <c r="M15" s="94"/>
      <c r="N15" s="84"/>
    </row>
    <row r="16" spans="1:20" s="59" customFormat="1" ht="26.25" customHeight="1" x14ac:dyDescent="0.25">
      <c r="A16" s="925" t="s">
        <v>11</v>
      </c>
      <c r="B16" s="926"/>
      <c r="C16" s="926"/>
      <c r="D16" s="926"/>
      <c r="E16" s="178">
        <f>SUM(E10:E15)</f>
        <v>39</v>
      </c>
      <c r="F16" s="76"/>
      <c r="G16" s="56">
        <f t="shared" si="0"/>
        <v>0</v>
      </c>
      <c r="H16" s="175"/>
      <c r="I16" s="175"/>
      <c r="J16" s="175"/>
      <c r="K16" s="876"/>
      <c r="L16" s="877"/>
      <c r="M16" s="175"/>
      <c r="N16" s="63"/>
    </row>
    <row r="17" spans="1:21" s="59" customFormat="1" ht="26.25" customHeight="1" x14ac:dyDescent="0.25">
      <c r="A17" s="927" t="s">
        <v>24</v>
      </c>
      <c r="B17" s="928"/>
      <c r="C17" s="928"/>
      <c r="D17" s="928"/>
      <c r="E17" s="928"/>
      <c r="F17" s="928"/>
      <c r="G17" s="64">
        <f>SUM(G10:G16)</f>
        <v>312</v>
      </c>
      <c r="H17" s="179"/>
      <c r="I17" s="179"/>
      <c r="J17" s="179"/>
      <c r="K17" s="859"/>
      <c r="L17" s="860"/>
      <c r="M17" s="179"/>
      <c r="N17" s="66"/>
    </row>
    <row r="18" spans="1:21" s="48" customFormat="1" ht="26.25" customHeight="1" x14ac:dyDescent="0.25">
      <c r="A18" s="929" t="s">
        <v>32</v>
      </c>
      <c r="B18" s="930"/>
      <c r="C18" s="930"/>
      <c r="D18" s="930"/>
      <c r="E18" s="930"/>
      <c r="F18" s="930"/>
      <c r="G18" s="900"/>
      <c r="H18" s="67"/>
      <c r="I18" s="67"/>
      <c r="J18" s="68" t="s">
        <v>44</v>
      </c>
      <c r="K18" s="67"/>
      <c r="L18" s="68"/>
      <c r="M18" s="69"/>
      <c r="N18" s="70"/>
    </row>
    <row r="19" spans="1:21" s="48" customFormat="1" ht="22.5" customHeight="1" thickBot="1" x14ac:dyDescent="0.3">
      <c r="A19" s="72" t="s">
        <v>5</v>
      </c>
      <c r="B19" s="71" t="s">
        <v>33</v>
      </c>
      <c r="C19" s="857" t="s">
        <v>21</v>
      </c>
      <c r="D19" s="858"/>
      <c r="E19" s="857" t="s">
        <v>34</v>
      </c>
      <c r="F19" s="858"/>
      <c r="G19" s="71" t="s">
        <v>0</v>
      </c>
      <c r="H19" s="71" t="s">
        <v>96</v>
      </c>
      <c r="I19" s="71" t="s">
        <v>26</v>
      </c>
      <c r="J19" s="71" t="s">
        <v>27</v>
      </c>
      <c r="K19" s="863" t="s">
        <v>28</v>
      </c>
      <c r="L19" s="857"/>
      <c r="M19" s="901" t="s">
        <v>43</v>
      </c>
      <c r="N19" s="902"/>
    </row>
    <row r="20" spans="1:21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312</v>
      </c>
      <c r="H20" s="163"/>
      <c r="I20" s="163"/>
      <c r="J20" s="163"/>
      <c r="K20" s="163"/>
      <c r="L20" s="163"/>
      <c r="M20" s="163"/>
      <c r="N20" s="164"/>
    </row>
    <row r="21" spans="1:21" s="3" customFormat="1" ht="26.25" customHeight="1" x14ac:dyDescent="0.25">
      <c r="A21" s="366" t="s">
        <v>214</v>
      </c>
      <c r="B21" s="367">
        <v>41515</v>
      </c>
      <c r="C21" s="893" t="s">
        <v>116</v>
      </c>
      <c r="D21" s="944"/>
      <c r="E21" s="918">
        <v>120</v>
      </c>
      <c r="F21" s="918"/>
      <c r="G21" s="167">
        <f>G20-E21</f>
        <v>192</v>
      </c>
      <c r="H21" s="180"/>
      <c r="I21" s="180"/>
      <c r="J21" s="180"/>
      <c r="K21" s="180"/>
      <c r="L21" s="180"/>
      <c r="M21" s="180"/>
      <c r="N21" s="168"/>
    </row>
    <row r="22" spans="1:21" s="3" customFormat="1" ht="26.25" customHeight="1" x14ac:dyDescent="0.25">
      <c r="A22" s="366" t="s">
        <v>263</v>
      </c>
      <c r="B22" s="367">
        <v>41549</v>
      </c>
      <c r="C22" s="893" t="s">
        <v>116</v>
      </c>
      <c r="D22" s="944"/>
      <c r="E22" s="918">
        <v>80</v>
      </c>
      <c r="F22" s="918"/>
      <c r="G22" s="167">
        <f t="shared" ref="G22:G25" si="1">G21-E22</f>
        <v>112</v>
      </c>
      <c r="H22" s="180"/>
      <c r="I22" s="180"/>
      <c r="J22" s="180"/>
      <c r="K22" s="180"/>
      <c r="L22" s="180"/>
      <c r="M22" s="180"/>
      <c r="N22" s="168"/>
    </row>
    <row r="23" spans="1:21" s="3" customFormat="1" ht="26.25" customHeight="1" x14ac:dyDescent="0.25">
      <c r="A23" s="366" t="s">
        <v>477</v>
      </c>
      <c r="B23" s="367">
        <v>41699</v>
      </c>
      <c r="C23" s="893" t="s">
        <v>116</v>
      </c>
      <c r="D23" s="944"/>
      <c r="E23" s="918">
        <v>38</v>
      </c>
      <c r="F23" s="918"/>
      <c r="G23" s="167">
        <f t="shared" si="1"/>
        <v>74</v>
      </c>
      <c r="H23" s="180"/>
      <c r="I23" s="180"/>
      <c r="J23" s="180"/>
      <c r="K23" s="180"/>
      <c r="L23" s="180"/>
      <c r="M23" s="180"/>
      <c r="N23" s="168"/>
      <c r="O23" s="678" t="s">
        <v>478</v>
      </c>
      <c r="P23" s="679"/>
      <c r="Q23" s="679"/>
      <c r="R23" s="679"/>
      <c r="S23" s="679"/>
      <c r="T23" s="679"/>
      <c r="U23" s="679"/>
    </row>
    <row r="24" spans="1:21" s="3" customFormat="1" ht="26.25" customHeight="1" x14ac:dyDescent="0.25">
      <c r="A24" s="366" t="s">
        <v>537</v>
      </c>
      <c r="B24" s="367">
        <v>41739</v>
      </c>
      <c r="C24" s="893" t="s">
        <v>116</v>
      </c>
      <c r="D24" s="944"/>
      <c r="E24" s="918">
        <v>74</v>
      </c>
      <c r="F24" s="918"/>
      <c r="G24" s="167">
        <f t="shared" si="1"/>
        <v>0</v>
      </c>
      <c r="H24" s="180"/>
      <c r="I24" s="180"/>
      <c r="J24" s="180"/>
      <c r="K24" s="180"/>
      <c r="L24" s="180"/>
      <c r="M24" s="180"/>
      <c r="N24" s="168"/>
      <c r="O24" s="942" t="s">
        <v>538</v>
      </c>
      <c r="P24" s="943"/>
      <c r="Q24" s="943"/>
      <c r="R24" s="943"/>
      <c r="S24" s="943"/>
      <c r="T24" s="943"/>
      <c r="U24" s="943"/>
    </row>
    <row r="25" spans="1:21" s="3" customFormat="1" ht="26.25" customHeight="1" x14ac:dyDescent="0.25">
      <c r="A25" s="169"/>
      <c r="B25" s="166"/>
      <c r="C25" s="945"/>
      <c r="D25" s="945"/>
      <c r="E25" s="919"/>
      <c r="F25" s="919"/>
      <c r="G25" s="167">
        <f t="shared" si="1"/>
        <v>0</v>
      </c>
      <c r="H25" s="180"/>
      <c r="I25" s="180"/>
      <c r="J25" s="180"/>
      <c r="K25" s="180"/>
      <c r="L25" s="180"/>
      <c r="M25" s="180"/>
      <c r="N25" s="168"/>
    </row>
    <row r="26" spans="1:21" s="23" customFormat="1" ht="26.25" customHeight="1" thickBot="1" x14ac:dyDescent="0.3">
      <c r="A26" s="914" t="s">
        <v>36</v>
      </c>
      <c r="B26" s="915"/>
      <c r="C26" s="915"/>
      <c r="D26" s="915"/>
      <c r="E26" s="916">
        <f>SUM(E21:F25)</f>
        <v>312</v>
      </c>
      <c r="F26" s="917"/>
      <c r="G26" s="171"/>
      <c r="H26" s="172"/>
      <c r="I26" s="172"/>
      <c r="J26" s="172"/>
      <c r="K26" s="172"/>
      <c r="L26" s="172"/>
      <c r="M26" s="172"/>
      <c r="N26" s="173"/>
    </row>
    <row r="27" spans="1:21" s="3" customFormat="1" ht="26.25" customHeight="1" thickTop="1" x14ac:dyDescent="0.25">
      <c r="A27" s="24"/>
      <c r="E27" s="844"/>
      <c r="F27" s="844"/>
    </row>
    <row r="28" spans="1:21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21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21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21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21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">
        <v>72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2">
    <mergeCell ref="K33:N33"/>
    <mergeCell ref="A1:XFD7"/>
    <mergeCell ref="A8:N8"/>
    <mergeCell ref="K9:L9"/>
    <mergeCell ref="C10:C15"/>
    <mergeCell ref="K10:L10"/>
    <mergeCell ref="K15:L15"/>
    <mergeCell ref="A16:D16"/>
    <mergeCell ref="K16:L16"/>
    <mergeCell ref="A17:F17"/>
    <mergeCell ref="K17:L17"/>
    <mergeCell ref="A18:G18"/>
    <mergeCell ref="M19:N19"/>
    <mergeCell ref="A20:F20"/>
    <mergeCell ref="C21:D21"/>
    <mergeCell ref="O10:T10"/>
    <mergeCell ref="O24:U24"/>
    <mergeCell ref="K19:L19"/>
    <mergeCell ref="A26:D26"/>
    <mergeCell ref="E26:F26"/>
    <mergeCell ref="E27:F27"/>
    <mergeCell ref="C23:D23"/>
    <mergeCell ref="E23:F23"/>
    <mergeCell ref="C24:D24"/>
    <mergeCell ref="E24:F24"/>
    <mergeCell ref="C25:D25"/>
    <mergeCell ref="E25:F25"/>
    <mergeCell ref="E21:F21"/>
    <mergeCell ref="C22:D22"/>
    <mergeCell ref="E22:F22"/>
    <mergeCell ref="C19:D19"/>
    <mergeCell ref="E19:F19"/>
  </mergeCells>
  <hyperlinks>
    <hyperlink ref="M19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7"/>
  <sheetViews>
    <sheetView zoomScale="80" workbookViewId="0">
      <pane ySplit="9" topLeftCell="A10" activePane="bottomLeft" state="frozen"/>
      <selection pane="bottomLeft" activeCell="R19" sqref="R18:R19"/>
    </sheetView>
  </sheetViews>
  <sheetFormatPr defaultRowHeight="13.5" x14ac:dyDescent="0.25"/>
  <cols>
    <col min="1" max="1" width="15" style="33" customWidth="1"/>
    <col min="2" max="2" width="19.42578125" style="1" customWidth="1"/>
    <col min="3" max="3" width="5.5703125" style="1" customWidth="1"/>
    <col min="4" max="4" width="24.42578125" style="1" customWidth="1"/>
    <col min="5" max="5" width="8.42578125" style="1" customWidth="1"/>
    <col min="6" max="6" width="9.28515625" style="1" customWidth="1"/>
    <col min="7" max="7" width="13.7109375" style="1" customWidth="1"/>
    <col min="8" max="8" width="3.7109375" style="1" customWidth="1"/>
    <col min="9" max="9" width="3.85546875" style="1" customWidth="1"/>
    <col min="10" max="10" width="5" style="1" customWidth="1"/>
    <col min="11" max="11" width="8.28515625" style="240" customWidth="1"/>
    <col min="12" max="12" width="7.5703125" style="240" customWidth="1"/>
    <col min="13" max="13" width="12.140625" style="1" bestFit="1" customWidth="1"/>
    <col min="14" max="14" width="10.28515625" style="1" bestFit="1" customWidth="1"/>
    <col min="15" max="15" width="9.140625" style="1"/>
    <col min="16" max="16" width="21.42578125" style="1" customWidth="1"/>
    <col min="17" max="17" width="9.7109375" style="1" customWidth="1"/>
    <col min="18" max="18" width="19.5703125" style="1" customWidth="1"/>
    <col min="19" max="19" width="9.28515625" style="1" customWidth="1"/>
    <col min="20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9" s="866" customFormat="1" ht="15" x14ac:dyDescent="0.25"/>
    <row r="2" spans="1:19" s="866" customFormat="1" ht="15" x14ac:dyDescent="0.25"/>
    <row r="3" spans="1:19" s="866" customFormat="1" ht="15" x14ac:dyDescent="0.25"/>
    <row r="4" spans="1:19" s="866" customFormat="1" ht="15" x14ac:dyDescent="0.25"/>
    <row r="5" spans="1:19" s="866" customFormat="1" ht="15" x14ac:dyDescent="0.25"/>
    <row r="6" spans="1:19" s="866" customFormat="1" ht="15" x14ac:dyDescent="0.25"/>
    <row r="7" spans="1:19" s="866" customFormat="1" ht="15.75" thickBot="1" x14ac:dyDescent="0.3"/>
    <row r="8" spans="1:19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9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946" t="s">
        <v>28</v>
      </c>
      <c r="L9" s="947"/>
      <c r="M9" s="51" t="s">
        <v>29</v>
      </c>
      <c r="N9" s="52" t="s">
        <v>30</v>
      </c>
    </row>
    <row r="10" spans="1:19" s="59" customFormat="1" ht="26.25" customHeight="1" x14ac:dyDescent="0.25">
      <c r="A10" s="91">
        <v>1</v>
      </c>
      <c r="B10" s="295" t="s">
        <v>87</v>
      </c>
      <c r="C10" s="890" t="s">
        <v>31</v>
      </c>
      <c r="D10" s="77" t="s">
        <v>117</v>
      </c>
      <c r="E10" s="199">
        <f>6+24+15</f>
        <v>45</v>
      </c>
      <c r="F10" s="55">
        <v>7</v>
      </c>
      <c r="G10" s="56">
        <f>E10*F10</f>
        <v>315</v>
      </c>
      <c r="H10" s="226" t="s">
        <v>25</v>
      </c>
      <c r="I10" s="199">
        <v>4</v>
      </c>
      <c r="J10" s="199">
        <v>9</v>
      </c>
      <c r="K10" s="948" t="s">
        <v>118</v>
      </c>
      <c r="L10" s="949"/>
      <c r="M10" s="241">
        <v>41504</v>
      </c>
      <c r="N10" s="242"/>
    </row>
    <row r="11" spans="1:19" s="59" customFormat="1" ht="26.25" customHeight="1" x14ac:dyDescent="0.25">
      <c r="A11" s="93">
        <v>2</v>
      </c>
      <c r="B11" s="296"/>
      <c r="C11" s="891"/>
      <c r="D11" s="77" t="s">
        <v>278</v>
      </c>
      <c r="E11" s="80">
        <f>15+9+18+3</f>
        <v>45</v>
      </c>
      <c r="F11" s="55">
        <v>5</v>
      </c>
      <c r="G11" s="56">
        <f>E11*F11</f>
        <v>225</v>
      </c>
      <c r="H11" s="80" t="s">
        <v>64</v>
      </c>
      <c r="I11" s="80">
        <v>1</v>
      </c>
      <c r="J11" s="80">
        <v>12</v>
      </c>
      <c r="K11" s="950" t="s">
        <v>227</v>
      </c>
      <c r="L11" s="951"/>
      <c r="M11" s="94">
        <v>41650</v>
      </c>
      <c r="N11" s="84"/>
      <c r="P11" s="59" t="s">
        <v>278</v>
      </c>
      <c r="Q11" s="59" t="s">
        <v>405</v>
      </c>
      <c r="R11" s="59" t="s">
        <v>423</v>
      </c>
    </row>
    <row r="12" spans="1:19" s="59" customFormat="1" ht="26.25" customHeight="1" x14ac:dyDescent="0.25">
      <c r="A12" s="93">
        <v>3</v>
      </c>
      <c r="B12" s="296"/>
      <c r="C12" s="891"/>
      <c r="D12" s="77" t="s">
        <v>278</v>
      </c>
      <c r="E12" s="80">
        <f>6+10.5+6</f>
        <v>22.5</v>
      </c>
      <c r="F12" s="55">
        <v>5</v>
      </c>
      <c r="G12" s="56">
        <f t="shared" ref="G12:G15" si="0">E12*F12</f>
        <v>112.5</v>
      </c>
      <c r="H12" s="80" t="s">
        <v>63</v>
      </c>
      <c r="I12" s="80">
        <v>1</v>
      </c>
      <c r="J12" s="80">
        <v>12</v>
      </c>
      <c r="K12" s="950" t="s">
        <v>483</v>
      </c>
      <c r="L12" s="951"/>
      <c r="M12" s="94">
        <v>41710</v>
      </c>
      <c r="N12" s="84"/>
      <c r="P12" s="932" t="s">
        <v>484</v>
      </c>
      <c r="Q12" s="932"/>
      <c r="R12" s="932"/>
      <c r="S12" s="932"/>
    </row>
    <row r="13" spans="1:19" s="59" customFormat="1" ht="26.25" customHeight="1" x14ac:dyDescent="0.25">
      <c r="A13" s="93"/>
      <c r="B13" s="296"/>
      <c r="C13" s="891"/>
      <c r="D13" s="77"/>
      <c r="E13" s="80"/>
      <c r="F13" s="55"/>
      <c r="G13" s="56">
        <f t="shared" si="0"/>
        <v>0</v>
      </c>
      <c r="H13" s="80"/>
      <c r="I13" s="80"/>
      <c r="J13" s="80"/>
      <c r="K13" s="950"/>
      <c r="L13" s="951"/>
      <c r="M13" s="94"/>
      <c r="N13" s="84"/>
    </row>
    <row r="14" spans="1:19" s="59" customFormat="1" ht="26.25" customHeight="1" x14ac:dyDescent="0.25">
      <c r="A14" s="93"/>
      <c r="B14" s="296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950"/>
      <c r="L14" s="951"/>
      <c r="M14" s="94"/>
      <c r="N14" s="84"/>
    </row>
    <row r="15" spans="1:19" s="59" customFormat="1" ht="26.25" customHeight="1" x14ac:dyDescent="0.25">
      <c r="A15" s="93"/>
      <c r="B15" s="297"/>
      <c r="C15" s="891"/>
      <c r="D15" s="77"/>
      <c r="E15" s="80"/>
      <c r="F15" s="55"/>
      <c r="G15" s="56">
        <f t="shared" si="0"/>
        <v>0</v>
      </c>
      <c r="H15" s="80"/>
      <c r="I15" s="80"/>
      <c r="J15" s="80"/>
      <c r="K15" s="950"/>
      <c r="L15" s="951"/>
      <c r="M15" s="94"/>
      <c r="N15" s="84"/>
    </row>
    <row r="16" spans="1:19" s="59" customFormat="1" ht="26.25" customHeight="1" x14ac:dyDescent="0.25">
      <c r="A16" s="925" t="s">
        <v>11</v>
      </c>
      <c r="B16" s="926"/>
      <c r="C16" s="926"/>
      <c r="D16" s="926"/>
      <c r="E16" s="201">
        <f>SUM(E10:E15)</f>
        <v>112.5</v>
      </c>
      <c r="F16" s="76"/>
      <c r="G16" s="56">
        <f t="shared" ref="G16" si="1">E16*F16</f>
        <v>0</v>
      </c>
      <c r="H16" s="200"/>
      <c r="I16" s="200"/>
      <c r="J16" s="200"/>
      <c r="K16" s="950"/>
      <c r="L16" s="951"/>
      <c r="M16" s="200"/>
      <c r="N16" s="63"/>
    </row>
    <row r="17" spans="1:14" s="59" customFormat="1" ht="26.25" customHeight="1" x14ac:dyDescent="0.25">
      <c r="A17" s="927" t="s">
        <v>24</v>
      </c>
      <c r="B17" s="928"/>
      <c r="C17" s="928"/>
      <c r="D17" s="928"/>
      <c r="E17" s="928"/>
      <c r="F17" s="928"/>
      <c r="G17" s="64">
        <f>SUM(G10:G16)</f>
        <v>652.5</v>
      </c>
      <c r="H17" s="202"/>
      <c r="I17" s="202"/>
      <c r="J17" s="202"/>
      <c r="K17" s="952"/>
      <c r="L17" s="953"/>
      <c r="M17" s="202"/>
      <c r="N17" s="66"/>
    </row>
    <row r="18" spans="1:14" s="48" customFormat="1" ht="26.25" customHeight="1" x14ac:dyDescent="0.25">
      <c r="A18" s="929" t="s">
        <v>32</v>
      </c>
      <c r="B18" s="930"/>
      <c r="C18" s="930"/>
      <c r="D18" s="930"/>
      <c r="E18" s="930"/>
      <c r="F18" s="930"/>
      <c r="G18" s="900"/>
      <c r="H18" s="954" t="s">
        <v>415</v>
      </c>
      <c r="I18" s="954"/>
      <c r="J18" s="954"/>
      <c r="K18" s="954"/>
      <c r="L18" s="955">
        <v>1234000000064910</v>
      </c>
      <c r="M18" s="955"/>
      <c r="N18" s="956"/>
    </row>
    <row r="19" spans="1:14" s="48" customFormat="1" ht="22.5" customHeight="1" thickBot="1" x14ac:dyDescent="0.3">
      <c r="A19" s="72" t="s">
        <v>5</v>
      </c>
      <c r="B19" s="71" t="s">
        <v>33</v>
      </c>
      <c r="C19" s="857" t="s">
        <v>21</v>
      </c>
      <c r="D19" s="858"/>
      <c r="E19" s="857" t="s">
        <v>34</v>
      </c>
      <c r="F19" s="858"/>
      <c r="G19" s="71" t="s">
        <v>0</v>
      </c>
      <c r="H19" s="71" t="s">
        <v>96</v>
      </c>
      <c r="I19" s="71" t="s">
        <v>26</v>
      </c>
      <c r="J19" s="71" t="s">
        <v>27</v>
      </c>
      <c r="K19" s="957" t="s">
        <v>28</v>
      </c>
      <c r="L19" s="958"/>
      <c r="M19" s="901" t="s">
        <v>424</v>
      </c>
      <c r="N19" s="902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652.5</v>
      </c>
      <c r="H20" s="163"/>
      <c r="I20" s="163"/>
      <c r="J20" s="163"/>
      <c r="K20" s="234"/>
      <c r="L20" s="234"/>
      <c r="M20" s="163"/>
      <c r="N20" s="164"/>
    </row>
    <row r="21" spans="1:14" s="3" customFormat="1" ht="26.25" customHeight="1" x14ac:dyDescent="0.25">
      <c r="A21" s="366" t="s">
        <v>214</v>
      </c>
      <c r="B21" s="367">
        <v>41515</v>
      </c>
      <c r="C21" s="893" t="s">
        <v>117</v>
      </c>
      <c r="D21" s="944"/>
      <c r="E21" s="918">
        <v>42</v>
      </c>
      <c r="F21" s="918"/>
      <c r="G21" s="167">
        <f>G20-E21</f>
        <v>610.5</v>
      </c>
      <c r="H21" s="203"/>
      <c r="I21" s="203"/>
      <c r="J21" s="203"/>
      <c r="K21" s="166"/>
      <c r="L21" s="166"/>
      <c r="M21" s="203"/>
      <c r="N21" s="168"/>
    </row>
    <row r="22" spans="1:14" s="3" customFormat="1" ht="26.25" customHeight="1" x14ac:dyDescent="0.25">
      <c r="A22" s="366" t="s">
        <v>263</v>
      </c>
      <c r="B22" s="367">
        <v>41549</v>
      </c>
      <c r="C22" s="893" t="s">
        <v>117</v>
      </c>
      <c r="D22" s="944"/>
      <c r="E22" s="918">
        <v>80</v>
      </c>
      <c r="F22" s="918"/>
      <c r="G22" s="167">
        <f t="shared" ref="G22:G24" si="2">G21-E22</f>
        <v>530.5</v>
      </c>
      <c r="H22" s="203"/>
      <c r="I22" s="203"/>
      <c r="J22" s="203"/>
      <c r="K22" s="166"/>
      <c r="L22" s="166"/>
      <c r="M22" s="203"/>
      <c r="N22" s="168"/>
    </row>
    <row r="23" spans="1:14" s="3" customFormat="1" ht="26.25" customHeight="1" x14ac:dyDescent="0.25">
      <c r="A23" s="366" t="s">
        <v>300</v>
      </c>
      <c r="B23" s="367">
        <v>41578</v>
      </c>
      <c r="C23" s="893" t="s">
        <v>117</v>
      </c>
      <c r="D23" s="944"/>
      <c r="E23" s="918">
        <v>128</v>
      </c>
      <c r="F23" s="918"/>
      <c r="G23" s="167">
        <f t="shared" si="2"/>
        <v>402.5</v>
      </c>
      <c r="H23" s="203"/>
      <c r="I23" s="203"/>
      <c r="J23" s="203"/>
      <c r="K23" s="166"/>
      <c r="L23" s="166"/>
      <c r="M23" s="203"/>
      <c r="N23" s="168"/>
    </row>
    <row r="24" spans="1:14" s="3" customFormat="1" ht="26.25" customHeight="1" x14ac:dyDescent="0.25">
      <c r="A24" s="366" t="s">
        <v>539</v>
      </c>
      <c r="B24" s="367">
        <v>41374</v>
      </c>
      <c r="C24" s="893" t="s">
        <v>117</v>
      </c>
      <c r="D24" s="944"/>
      <c r="E24" s="918">
        <v>100</v>
      </c>
      <c r="F24" s="918"/>
      <c r="G24" s="167">
        <f t="shared" si="2"/>
        <v>302.5</v>
      </c>
      <c r="H24" s="203"/>
      <c r="I24" s="203"/>
      <c r="J24" s="203"/>
      <c r="K24" s="166"/>
      <c r="L24" s="166"/>
      <c r="M24" s="203"/>
      <c r="N24" s="168"/>
    </row>
    <row r="25" spans="1:14" s="3" customFormat="1" ht="26.25" customHeight="1" x14ac:dyDescent="0.25">
      <c r="A25" s="14" t="s">
        <v>563</v>
      </c>
      <c r="B25" s="15">
        <v>41768</v>
      </c>
      <c r="C25" s="893" t="s">
        <v>117</v>
      </c>
      <c r="D25" s="944"/>
      <c r="E25" s="919">
        <v>150</v>
      </c>
      <c r="F25" s="919"/>
      <c r="G25" s="167">
        <f>G24-E25</f>
        <v>152.5</v>
      </c>
      <c r="H25" s="203"/>
      <c r="I25" s="203"/>
      <c r="J25" s="203"/>
      <c r="K25" s="166"/>
      <c r="L25" s="166"/>
      <c r="M25" s="203"/>
      <c r="N25" s="168"/>
    </row>
    <row r="26" spans="1:14" s="785" customFormat="1" ht="26.25" customHeight="1" x14ac:dyDescent="0.25">
      <c r="A26" s="14" t="s">
        <v>592</v>
      </c>
      <c r="B26" s="15">
        <v>41793</v>
      </c>
      <c r="C26" s="893" t="s">
        <v>117</v>
      </c>
      <c r="D26" s="944"/>
      <c r="E26" s="919">
        <v>80</v>
      </c>
      <c r="F26" s="919"/>
      <c r="G26" s="167">
        <f t="shared" ref="G26:G30" si="3">G25-E26</f>
        <v>72.5</v>
      </c>
      <c r="H26" s="784"/>
      <c r="I26" s="784"/>
      <c r="J26" s="784"/>
      <c r="K26" s="166"/>
      <c r="L26" s="166"/>
      <c r="M26" s="784"/>
      <c r="N26" s="168"/>
    </row>
    <row r="27" spans="1:14" s="785" customFormat="1" ht="26.25" customHeight="1" x14ac:dyDescent="0.25">
      <c r="A27" s="14"/>
      <c r="B27" s="15"/>
      <c r="C27" s="893"/>
      <c r="D27" s="944"/>
      <c r="E27" s="919"/>
      <c r="F27" s="919"/>
      <c r="G27" s="167">
        <f t="shared" si="3"/>
        <v>72.5</v>
      </c>
      <c r="H27" s="784"/>
      <c r="I27" s="784"/>
      <c r="J27" s="784"/>
      <c r="K27" s="166"/>
      <c r="L27" s="166"/>
      <c r="M27" s="784"/>
      <c r="N27" s="168"/>
    </row>
    <row r="28" spans="1:14" s="785" customFormat="1" ht="26.25" customHeight="1" x14ac:dyDescent="0.25">
      <c r="A28" s="14"/>
      <c r="B28" s="15"/>
      <c r="C28" s="893"/>
      <c r="D28" s="944"/>
      <c r="E28" s="919"/>
      <c r="F28" s="919"/>
      <c r="G28" s="167">
        <f t="shared" si="3"/>
        <v>72.5</v>
      </c>
      <c r="H28" s="784"/>
      <c r="I28" s="784"/>
      <c r="J28" s="784"/>
      <c r="K28" s="166"/>
      <c r="L28" s="166"/>
      <c r="M28" s="784"/>
      <c r="N28" s="168"/>
    </row>
    <row r="29" spans="1:14" s="785" customFormat="1" ht="26.25" customHeight="1" x14ac:dyDescent="0.25">
      <c r="A29" s="14"/>
      <c r="B29" s="15"/>
      <c r="C29" s="893"/>
      <c r="D29" s="944"/>
      <c r="E29" s="919"/>
      <c r="F29" s="919"/>
      <c r="G29" s="167">
        <f t="shared" si="3"/>
        <v>72.5</v>
      </c>
      <c r="H29" s="784"/>
      <c r="I29" s="784"/>
      <c r="J29" s="784"/>
      <c r="K29" s="166"/>
      <c r="L29" s="166"/>
      <c r="M29" s="784"/>
      <c r="N29" s="168"/>
    </row>
    <row r="30" spans="1:14" s="785" customFormat="1" ht="26.25" customHeight="1" x14ac:dyDescent="0.25">
      <c r="A30" s="14"/>
      <c r="B30" s="15"/>
      <c r="C30" s="893"/>
      <c r="D30" s="944"/>
      <c r="E30" s="919"/>
      <c r="F30" s="919"/>
      <c r="G30" s="167">
        <f t="shared" si="3"/>
        <v>72.5</v>
      </c>
      <c r="H30" s="784"/>
      <c r="I30" s="784"/>
      <c r="J30" s="784"/>
      <c r="K30" s="166"/>
      <c r="L30" s="166"/>
      <c r="M30" s="784"/>
      <c r="N30" s="168"/>
    </row>
    <row r="31" spans="1:14" s="23" customFormat="1" ht="26.25" customHeight="1" thickBot="1" x14ac:dyDescent="0.3">
      <c r="A31" s="914" t="s">
        <v>36</v>
      </c>
      <c r="B31" s="915"/>
      <c r="C31" s="915"/>
      <c r="D31" s="915"/>
      <c r="E31" s="916">
        <f>SUM(E21:F30)</f>
        <v>580</v>
      </c>
      <c r="F31" s="917"/>
      <c r="G31" s="171"/>
      <c r="H31" s="172"/>
      <c r="I31" s="172"/>
      <c r="J31" s="172"/>
      <c r="K31" s="235"/>
      <c r="L31" s="235"/>
      <c r="M31" s="172"/>
      <c r="N31" s="173"/>
    </row>
    <row r="32" spans="1:14" s="3" customFormat="1" ht="26.25" customHeight="1" thickTop="1" x14ac:dyDescent="0.25">
      <c r="A32" s="24"/>
      <c r="E32" s="844"/>
      <c r="F32" s="844"/>
      <c r="K32" s="236"/>
      <c r="L32" s="236"/>
    </row>
    <row r="33" spans="1:14" s="3" customFormat="1" ht="26.25" customHeight="1" x14ac:dyDescent="0.3">
      <c r="A33" s="25" t="s">
        <v>41</v>
      </c>
      <c r="B33" s="25"/>
      <c r="C33" s="25"/>
      <c r="D33" s="25" t="s">
        <v>81</v>
      </c>
      <c r="E33" s="25"/>
      <c r="F33" s="26"/>
      <c r="G33" s="25" t="s">
        <v>38</v>
      </c>
      <c r="H33" s="25"/>
      <c r="I33" s="25"/>
      <c r="J33" s="25"/>
      <c r="K33" s="237"/>
      <c r="L33" s="237" t="s">
        <v>39</v>
      </c>
      <c r="M33" s="28"/>
      <c r="N33" s="26"/>
    </row>
    <row r="34" spans="1:14" s="3" customFormat="1" ht="26.25" customHeight="1" x14ac:dyDescent="0.3">
      <c r="A34" s="25"/>
      <c r="B34" s="25"/>
      <c r="C34" s="25"/>
      <c r="D34" s="25"/>
      <c r="E34" s="25"/>
      <c r="F34" s="26"/>
      <c r="G34" s="25"/>
      <c r="H34" s="25"/>
      <c r="I34" s="25"/>
      <c r="J34" s="25"/>
      <c r="K34" s="237"/>
      <c r="L34" s="237"/>
      <c r="M34" s="28"/>
      <c r="N34" s="26"/>
    </row>
    <row r="35" spans="1:14" s="3" customFormat="1" ht="26.25" customHeight="1" x14ac:dyDescent="0.3">
      <c r="A35" s="25"/>
      <c r="B35" s="25"/>
      <c r="C35" s="25"/>
      <c r="D35" s="25"/>
      <c r="E35" s="25"/>
      <c r="F35" s="26"/>
      <c r="G35" s="25"/>
      <c r="H35" s="25"/>
      <c r="I35" s="25"/>
      <c r="J35" s="25"/>
      <c r="K35" s="237"/>
      <c r="L35" s="237"/>
      <c r="M35" s="28"/>
      <c r="N35" s="26"/>
    </row>
    <row r="36" spans="1:14" s="3" customFormat="1" ht="26.25" customHeight="1" x14ac:dyDescent="0.3">
      <c r="A36" s="25"/>
      <c r="B36" s="25"/>
      <c r="C36" s="25"/>
      <c r="D36" s="25"/>
      <c r="E36" s="25"/>
      <c r="F36" s="26"/>
      <c r="G36" s="25"/>
      <c r="H36" s="25"/>
      <c r="I36" s="25"/>
      <c r="J36" s="25"/>
      <c r="K36" s="237"/>
      <c r="L36" s="237"/>
      <c r="M36" s="28"/>
      <c r="N36" s="26"/>
    </row>
    <row r="37" spans="1:14" s="3" customFormat="1" ht="26.25" customHeight="1" x14ac:dyDescent="0.3">
      <c r="A37" s="29"/>
      <c r="B37" s="25"/>
      <c r="C37" s="25"/>
      <c r="D37" s="29"/>
      <c r="E37" s="29"/>
      <c r="F37" s="26"/>
      <c r="G37" s="29"/>
      <c r="H37" s="25"/>
      <c r="I37" s="25"/>
      <c r="J37" s="25"/>
      <c r="K37" s="237"/>
      <c r="L37" s="238"/>
      <c r="M37" s="28"/>
      <c r="N37" s="26"/>
    </row>
    <row r="38" spans="1:14" s="30" customFormat="1" ht="17.25" x14ac:dyDescent="0.3">
      <c r="A38" s="25" t="s">
        <v>48</v>
      </c>
      <c r="B38" s="25"/>
      <c r="C38" s="25" t="s">
        <v>80</v>
      </c>
      <c r="D38" s="25"/>
      <c r="G38" s="25" t="str">
        <f>B10</f>
        <v>Teap Soklin</v>
      </c>
      <c r="H38" s="25"/>
      <c r="I38" s="25"/>
      <c r="J38" s="25"/>
      <c r="K38" s="829" t="s">
        <v>90</v>
      </c>
      <c r="L38" s="829"/>
      <c r="M38" s="829"/>
      <c r="N38" s="829"/>
    </row>
    <row r="39" spans="1:14" s="30" customFormat="1" ht="16.5" x14ac:dyDescent="0.3">
      <c r="A39" s="32"/>
      <c r="K39" s="239"/>
      <c r="L39" s="239"/>
    </row>
    <row r="40" spans="1:14" s="30" customFormat="1" ht="16.5" x14ac:dyDescent="0.3">
      <c r="A40" s="32"/>
      <c r="K40" s="239"/>
      <c r="L40" s="239"/>
    </row>
    <row r="41" spans="1:14" s="30" customFormat="1" ht="16.5" x14ac:dyDescent="0.3">
      <c r="A41" s="32"/>
      <c r="K41" s="239"/>
      <c r="L41" s="239"/>
    </row>
    <row r="42" spans="1:14" s="30" customFormat="1" ht="16.5" x14ac:dyDescent="0.3">
      <c r="A42" s="32"/>
      <c r="K42" s="239"/>
      <c r="L42" s="239"/>
    </row>
    <row r="43" spans="1:14" s="30" customFormat="1" ht="16.5" x14ac:dyDescent="0.3">
      <c r="A43" s="32"/>
      <c r="K43" s="239"/>
      <c r="L43" s="239"/>
    </row>
    <row r="44" spans="1:14" s="30" customFormat="1" ht="16.5" x14ac:dyDescent="0.3">
      <c r="A44" s="32"/>
      <c r="K44" s="239"/>
      <c r="L44" s="239"/>
    </row>
    <row r="45" spans="1:14" s="30" customFormat="1" ht="16.5" x14ac:dyDescent="0.3">
      <c r="A45" s="32"/>
      <c r="K45" s="239"/>
      <c r="L45" s="239"/>
    </row>
    <row r="46" spans="1:14" s="30" customFormat="1" ht="16.5" x14ac:dyDescent="0.3">
      <c r="A46" s="32"/>
      <c r="K46" s="239"/>
      <c r="L46" s="239"/>
    </row>
    <row r="47" spans="1:14" s="30" customFormat="1" ht="16.5" x14ac:dyDescent="0.3">
      <c r="A47" s="32"/>
      <c r="K47" s="239"/>
      <c r="L47" s="239"/>
    </row>
  </sheetData>
  <mergeCells count="47">
    <mergeCell ref="E30:F30"/>
    <mergeCell ref="A31:D31"/>
    <mergeCell ref="E31:F31"/>
    <mergeCell ref="E32:F32"/>
    <mergeCell ref="K38:N38"/>
    <mergeCell ref="C28:D28"/>
    <mergeCell ref="E28:F28"/>
    <mergeCell ref="C23:D23"/>
    <mergeCell ref="E23:F23"/>
    <mergeCell ref="C24:D24"/>
    <mergeCell ref="E24:F24"/>
    <mergeCell ref="C25:D25"/>
    <mergeCell ref="E25:F25"/>
    <mergeCell ref="C29:D29"/>
    <mergeCell ref="E29:F29"/>
    <mergeCell ref="C30:D30"/>
    <mergeCell ref="M19:N19"/>
    <mergeCell ref="A20:F20"/>
    <mergeCell ref="C21:D21"/>
    <mergeCell ref="E21:F21"/>
    <mergeCell ref="C22:D22"/>
    <mergeCell ref="E22:F22"/>
    <mergeCell ref="C19:D19"/>
    <mergeCell ref="E19:F19"/>
    <mergeCell ref="K19:L19"/>
    <mergeCell ref="C26:D26"/>
    <mergeCell ref="E26:F26"/>
    <mergeCell ref="C27:D27"/>
    <mergeCell ref="E27:F27"/>
    <mergeCell ref="A16:D16"/>
    <mergeCell ref="K16:L16"/>
    <mergeCell ref="A17:F17"/>
    <mergeCell ref="K17:L17"/>
    <mergeCell ref="A18:G18"/>
    <mergeCell ref="H18:K18"/>
    <mergeCell ref="L18:N18"/>
    <mergeCell ref="A1:XFD7"/>
    <mergeCell ref="A8:N8"/>
    <mergeCell ref="K9:L9"/>
    <mergeCell ref="C10:C15"/>
    <mergeCell ref="K10:L10"/>
    <mergeCell ref="K11:L11"/>
    <mergeCell ref="K15:L15"/>
    <mergeCell ref="K12:L12"/>
    <mergeCell ref="K13:L13"/>
    <mergeCell ref="K14:L14"/>
    <mergeCell ref="P12:S12"/>
  </mergeCells>
  <hyperlinks>
    <hyperlink ref="M19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9"/>
  <sheetViews>
    <sheetView zoomScale="80" workbookViewId="0">
      <pane xSplit="3" ySplit="9" topLeftCell="D19" activePane="bottomRight" state="frozen"/>
      <selection pane="topRight" activeCell="D1" sqref="D1"/>
      <selection pane="bottomLeft" activeCell="A10" sqref="A10"/>
      <selection pane="bottomRight" activeCell="V27" sqref="V27"/>
    </sheetView>
  </sheetViews>
  <sheetFormatPr defaultRowHeight="13.5" x14ac:dyDescent="0.25"/>
  <cols>
    <col min="1" max="1" width="17" style="33" customWidth="1"/>
    <col min="2" max="2" width="19.85546875" style="1" customWidth="1"/>
    <col min="3" max="3" width="5.5703125" style="1" customWidth="1"/>
    <col min="4" max="4" width="25.140625" style="1" customWidth="1"/>
    <col min="5" max="5" width="8.42578125" style="1" customWidth="1"/>
    <col min="6" max="6" width="8.5703125" style="1" customWidth="1"/>
    <col min="7" max="7" width="16.42578125" style="1" customWidth="1"/>
    <col min="8" max="8" width="3.7109375" style="1" customWidth="1"/>
    <col min="9" max="9" width="3.85546875" style="1" customWidth="1"/>
    <col min="10" max="10" width="5.140625" style="1" customWidth="1"/>
    <col min="11" max="11" width="5.85546875" style="1" customWidth="1"/>
    <col min="12" max="12" width="6.5703125" style="1" customWidth="1"/>
    <col min="13" max="13" width="11.85546875" style="1" customWidth="1"/>
    <col min="14" max="14" width="10.5703125" style="1" customWidth="1"/>
    <col min="15" max="15" width="9.140625" style="1"/>
    <col min="16" max="16" width="24.5703125" style="1" customWidth="1"/>
    <col min="17" max="17" width="19.85546875" style="1" customWidth="1"/>
    <col min="18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20" s="866" customFormat="1" ht="15" x14ac:dyDescent="0.25"/>
    <row r="2" spans="1:20" s="866" customFormat="1" ht="15" x14ac:dyDescent="0.25"/>
    <row r="3" spans="1:20" s="866" customFormat="1" ht="15" x14ac:dyDescent="0.25"/>
    <row r="4" spans="1:20" s="866" customFormat="1" ht="15" x14ac:dyDescent="0.25"/>
    <row r="5" spans="1:20" s="866" customFormat="1" ht="15" x14ac:dyDescent="0.25"/>
    <row r="6" spans="1:20" s="866" customFormat="1" ht="15" x14ac:dyDescent="0.25"/>
    <row r="7" spans="1:20" s="866" customFormat="1" ht="15.75" thickBot="1" x14ac:dyDescent="0.3"/>
    <row r="8" spans="1:20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20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20" s="59" customFormat="1" ht="26.25" customHeight="1" x14ac:dyDescent="0.25">
      <c r="A10" s="102">
        <v>1</v>
      </c>
      <c r="B10" s="295" t="s">
        <v>47</v>
      </c>
      <c r="C10" s="890" t="s">
        <v>31</v>
      </c>
      <c r="D10" s="51" t="s">
        <v>119</v>
      </c>
      <c r="E10" s="226">
        <f>6+18+21+1.5</f>
        <v>46.5</v>
      </c>
      <c r="F10" s="55">
        <v>8</v>
      </c>
      <c r="G10" s="56">
        <f>E10*F10</f>
        <v>372</v>
      </c>
      <c r="H10" s="226" t="s">
        <v>98</v>
      </c>
      <c r="I10" s="226">
        <v>2</v>
      </c>
      <c r="J10" s="226">
        <v>11</v>
      </c>
      <c r="K10" s="878" t="s">
        <v>42</v>
      </c>
      <c r="L10" s="879"/>
      <c r="M10" s="57">
        <v>41503</v>
      </c>
      <c r="N10" s="58"/>
      <c r="O10" s="931" t="s">
        <v>382</v>
      </c>
      <c r="P10" s="932"/>
      <c r="Q10" s="932"/>
      <c r="R10" s="932"/>
      <c r="S10" s="932"/>
      <c r="T10" s="932"/>
    </row>
    <row r="11" spans="1:20" s="59" customFormat="1" ht="26.25" customHeight="1" x14ac:dyDescent="0.25">
      <c r="A11" s="90">
        <v>2</v>
      </c>
      <c r="B11" s="296"/>
      <c r="C11" s="891"/>
      <c r="D11" s="79" t="s">
        <v>260</v>
      </c>
      <c r="E11" s="80">
        <f>18+15+12+1.5</f>
        <v>46.5</v>
      </c>
      <c r="F11" s="55">
        <v>8</v>
      </c>
      <c r="G11" s="56">
        <f t="shared" ref="G11:G16" si="0">E11*F11</f>
        <v>372</v>
      </c>
      <c r="H11" s="80" t="s">
        <v>98</v>
      </c>
      <c r="I11" s="80"/>
      <c r="J11" s="80"/>
      <c r="K11" s="878" t="s">
        <v>42</v>
      </c>
      <c r="L11" s="879"/>
      <c r="M11" s="57">
        <v>41503</v>
      </c>
      <c r="N11" s="84"/>
      <c r="P11" s="59" t="s">
        <v>396</v>
      </c>
    </row>
    <row r="12" spans="1:20" s="59" customFormat="1" ht="26.25" customHeight="1" x14ac:dyDescent="0.25">
      <c r="A12" s="102"/>
      <c r="B12" s="296"/>
      <c r="C12" s="891"/>
      <c r="D12" s="79"/>
      <c r="E12" s="80"/>
      <c r="F12" s="55"/>
      <c r="G12" s="56">
        <f t="shared" si="0"/>
        <v>0</v>
      </c>
      <c r="H12" s="80"/>
      <c r="I12" s="80"/>
      <c r="J12" s="80"/>
      <c r="K12" s="876"/>
      <c r="L12" s="877"/>
      <c r="M12" s="83"/>
      <c r="N12" s="84"/>
    </row>
    <row r="13" spans="1:20" s="59" customFormat="1" ht="26.25" customHeight="1" x14ac:dyDescent="0.25">
      <c r="A13" s="90"/>
      <c r="B13" s="296"/>
      <c r="C13" s="891"/>
      <c r="D13" s="79"/>
      <c r="E13" s="80"/>
      <c r="F13" s="55"/>
      <c r="G13" s="56">
        <f t="shared" si="0"/>
        <v>0</v>
      </c>
      <c r="H13" s="80"/>
      <c r="I13" s="80"/>
      <c r="J13" s="80"/>
      <c r="K13" s="876"/>
      <c r="L13" s="877"/>
      <c r="M13" s="83"/>
      <c r="N13" s="84"/>
    </row>
    <row r="14" spans="1:20" s="59" customFormat="1" ht="26.25" customHeight="1" x14ac:dyDescent="0.25">
      <c r="A14" s="102"/>
      <c r="B14" s="296"/>
      <c r="C14" s="891"/>
      <c r="D14" s="79"/>
      <c r="E14" s="80"/>
      <c r="F14" s="55"/>
      <c r="G14" s="56">
        <f t="shared" si="0"/>
        <v>0</v>
      </c>
      <c r="H14" s="80"/>
      <c r="I14" s="80"/>
      <c r="J14" s="80"/>
      <c r="K14" s="876"/>
      <c r="L14" s="877"/>
      <c r="M14" s="83"/>
      <c r="N14" s="84"/>
    </row>
    <row r="15" spans="1:20" s="59" customFormat="1" ht="26.25" customHeight="1" x14ac:dyDescent="0.25">
      <c r="A15" s="102"/>
      <c r="B15" s="297"/>
      <c r="C15" s="892"/>
      <c r="D15" s="77"/>
      <c r="E15" s="80"/>
      <c r="F15" s="81"/>
      <c r="G15" s="56">
        <f t="shared" si="0"/>
        <v>0</v>
      </c>
      <c r="H15" s="80"/>
      <c r="I15" s="80"/>
      <c r="J15" s="80"/>
      <c r="K15" s="876"/>
      <c r="L15" s="877"/>
      <c r="M15" s="83"/>
      <c r="N15" s="84"/>
    </row>
    <row r="16" spans="1:20" s="59" customFormat="1" ht="26.25" customHeight="1" x14ac:dyDescent="0.25">
      <c r="A16" s="925" t="s">
        <v>11</v>
      </c>
      <c r="B16" s="926"/>
      <c r="C16" s="926"/>
      <c r="D16" s="926"/>
      <c r="E16" s="228">
        <f>SUM(E10:E15)</f>
        <v>93</v>
      </c>
      <c r="F16" s="76"/>
      <c r="G16" s="56">
        <f t="shared" si="0"/>
        <v>0</v>
      </c>
      <c r="H16" s="227"/>
      <c r="I16" s="227"/>
      <c r="J16" s="227"/>
      <c r="K16" s="876"/>
      <c r="L16" s="877"/>
      <c r="M16" s="227"/>
      <c r="N16" s="63"/>
    </row>
    <row r="17" spans="1:16" s="59" customFormat="1" ht="26.25" customHeight="1" x14ac:dyDescent="0.25">
      <c r="A17" s="897" t="s">
        <v>24</v>
      </c>
      <c r="B17" s="898"/>
      <c r="C17" s="898"/>
      <c r="D17" s="898"/>
      <c r="E17" s="898"/>
      <c r="F17" s="898"/>
      <c r="G17" s="64">
        <f>SUM(G10:G16)</f>
        <v>744</v>
      </c>
      <c r="H17" s="229"/>
      <c r="I17" s="229"/>
      <c r="J17" s="229"/>
      <c r="K17" s="859"/>
      <c r="L17" s="860"/>
      <c r="M17" s="229"/>
      <c r="N17" s="66"/>
    </row>
    <row r="18" spans="1:16" s="48" customFormat="1" ht="26.25" customHeight="1" x14ac:dyDescent="0.25">
      <c r="A18" s="899" t="s">
        <v>32</v>
      </c>
      <c r="B18" s="900"/>
      <c r="C18" s="900"/>
      <c r="D18" s="900"/>
      <c r="E18" s="900"/>
      <c r="F18" s="900"/>
      <c r="G18" s="900"/>
      <c r="H18" s="67"/>
      <c r="I18" s="67"/>
      <c r="J18" s="68" t="s">
        <v>44</v>
      </c>
      <c r="K18" s="67"/>
      <c r="L18" s="68"/>
      <c r="M18" s="69"/>
      <c r="N18" s="70"/>
    </row>
    <row r="19" spans="1:16" s="48" customFormat="1" ht="22.5" customHeight="1" thickBot="1" x14ac:dyDescent="0.3">
      <c r="A19" s="72" t="s">
        <v>5</v>
      </c>
      <c r="B19" s="71" t="s">
        <v>33</v>
      </c>
      <c r="C19" s="857" t="s">
        <v>21</v>
      </c>
      <c r="D19" s="858"/>
      <c r="E19" s="857" t="s">
        <v>34</v>
      </c>
      <c r="F19" s="858"/>
      <c r="G19" s="71" t="s">
        <v>0</v>
      </c>
      <c r="H19" s="71" t="s">
        <v>96</v>
      </c>
      <c r="I19" s="71" t="s">
        <v>26</v>
      </c>
      <c r="J19" s="71" t="s">
        <v>27</v>
      </c>
      <c r="K19" s="863" t="s">
        <v>28</v>
      </c>
      <c r="L19" s="857"/>
      <c r="M19" s="901" t="s">
        <v>50</v>
      </c>
      <c r="N19" s="902"/>
    </row>
    <row r="20" spans="1:16" s="3" customFormat="1" ht="26.25" customHeight="1" x14ac:dyDescent="0.25">
      <c r="A20" s="861" t="s">
        <v>35</v>
      </c>
      <c r="B20" s="862"/>
      <c r="C20" s="862"/>
      <c r="D20" s="862"/>
      <c r="E20" s="862"/>
      <c r="F20" s="862"/>
      <c r="G20" s="7">
        <f>G17</f>
        <v>744</v>
      </c>
      <c r="H20" s="8"/>
      <c r="I20" s="8"/>
      <c r="J20" s="8"/>
      <c r="K20" s="8"/>
      <c r="L20" s="8"/>
      <c r="M20" s="8"/>
      <c r="N20" s="9"/>
    </row>
    <row r="21" spans="1:16" s="3" customFormat="1" ht="26.25" customHeight="1" x14ac:dyDescent="0.25">
      <c r="A21" s="366" t="s">
        <v>214</v>
      </c>
      <c r="B21" s="367">
        <v>41515</v>
      </c>
      <c r="C21" s="841" t="s">
        <v>119</v>
      </c>
      <c r="D21" s="841"/>
      <c r="E21" s="855">
        <v>48</v>
      </c>
      <c r="F21" s="855"/>
      <c r="G21" s="12">
        <f>G20-E21</f>
        <v>696</v>
      </c>
      <c r="H21" s="220"/>
      <c r="I21" s="220"/>
      <c r="J21" s="220"/>
      <c r="K21" s="220"/>
      <c r="L21" s="220"/>
      <c r="M21" s="220"/>
      <c r="N21" s="13"/>
      <c r="P21" s="3" t="s">
        <v>589</v>
      </c>
    </row>
    <row r="22" spans="1:16" s="3" customFormat="1" ht="26.25" customHeight="1" x14ac:dyDescent="0.25">
      <c r="A22" s="366" t="s">
        <v>263</v>
      </c>
      <c r="B22" s="367">
        <v>41549</v>
      </c>
      <c r="C22" s="888" t="s">
        <v>119</v>
      </c>
      <c r="D22" s="889"/>
      <c r="E22" s="856">
        <v>50</v>
      </c>
      <c r="F22" s="856"/>
      <c r="G22" s="12">
        <f t="shared" ref="G22:G31" si="1">G21-E22</f>
        <v>646</v>
      </c>
      <c r="H22" s="223"/>
      <c r="I22" s="223"/>
      <c r="J22" s="223"/>
      <c r="K22" s="223"/>
      <c r="L22" s="223"/>
      <c r="M22" s="223"/>
      <c r="N22" s="6"/>
    </row>
    <row r="23" spans="1:16" s="3" customFormat="1" ht="26.25" customHeight="1" x14ac:dyDescent="0.25">
      <c r="A23" s="366" t="s">
        <v>300</v>
      </c>
      <c r="B23" s="367">
        <v>41578</v>
      </c>
      <c r="C23" s="888" t="s">
        <v>119</v>
      </c>
      <c r="D23" s="889"/>
      <c r="E23" s="856">
        <v>263</v>
      </c>
      <c r="F23" s="856"/>
      <c r="G23" s="12">
        <f t="shared" si="1"/>
        <v>383</v>
      </c>
      <c r="H23" s="223"/>
      <c r="I23" s="223"/>
      <c r="J23" s="223"/>
      <c r="K23" s="223"/>
      <c r="L23" s="223"/>
      <c r="M23" s="223"/>
      <c r="N23" s="6"/>
    </row>
    <row r="24" spans="1:16" s="3" customFormat="1" ht="26.25" customHeight="1" x14ac:dyDescent="0.25">
      <c r="A24" s="366" t="s">
        <v>321</v>
      </c>
      <c r="B24" s="367">
        <v>41612</v>
      </c>
      <c r="C24" s="905" t="s">
        <v>119</v>
      </c>
      <c r="D24" s="906"/>
      <c r="E24" s="845">
        <v>170</v>
      </c>
      <c r="F24" s="846"/>
      <c r="G24" s="12">
        <f t="shared" si="1"/>
        <v>213</v>
      </c>
      <c r="H24" s="223"/>
      <c r="I24" s="223"/>
      <c r="J24" s="223"/>
      <c r="K24" s="223"/>
      <c r="L24" s="223"/>
      <c r="M24" s="223"/>
      <c r="N24" s="6"/>
    </row>
    <row r="25" spans="1:16" s="3" customFormat="1" ht="26.25" customHeight="1" x14ac:dyDescent="0.25">
      <c r="A25" s="10" t="s">
        <v>370</v>
      </c>
      <c r="B25" s="11">
        <v>41645</v>
      </c>
      <c r="C25" s="905" t="s">
        <v>119</v>
      </c>
      <c r="D25" s="906"/>
      <c r="E25" s="842">
        <v>90</v>
      </c>
      <c r="F25" s="843"/>
      <c r="G25" s="12">
        <f t="shared" si="1"/>
        <v>123</v>
      </c>
      <c r="H25" s="223"/>
      <c r="I25" s="223"/>
      <c r="J25" s="223"/>
      <c r="K25" s="223"/>
      <c r="L25" s="223"/>
      <c r="M25" s="223"/>
      <c r="N25" s="6"/>
    </row>
    <row r="26" spans="1:16" s="3" customFormat="1" ht="26.25" customHeight="1" x14ac:dyDescent="0.25">
      <c r="A26" s="10" t="s">
        <v>537</v>
      </c>
      <c r="B26" s="11">
        <v>41739</v>
      </c>
      <c r="C26" s="905" t="s">
        <v>119</v>
      </c>
      <c r="D26" s="906"/>
      <c r="E26" s="845">
        <v>60</v>
      </c>
      <c r="F26" s="846"/>
      <c r="G26" s="12">
        <f t="shared" si="1"/>
        <v>63</v>
      </c>
      <c r="H26" s="223"/>
      <c r="I26" s="223"/>
      <c r="J26" s="223"/>
      <c r="K26" s="223"/>
      <c r="L26" s="223"/>
      <c r="M26" s="223"/>
      <c r="N26" s="6"/>
    </row>
    <row r="27" spans="1:16" s="3" customFormat="1" ht="26.25" customHeight="1" x14ac:dyDescent="0.25">
      <c r="A27" s="14" t="s">
        <v>563</v>
      </c>
      <c r="B27" s="15">
        <v>41768</v>
      </c>
      <c r="C27" s="905" t="s">
        <v>119</v>
      </c>
      <c r="D27" s="906"/>
      <c r="E27" s="959">
        <v>63</v>
      </c>
      <c r="F27" s="960"/>
      <c r="G27" s="804">
        <f t="shared" si="1"/>
        <v>0</v>
      </c>
      <c r="H27" s="532"/>
      <c r="I27" s="532"/>
      <c r="J27" s="532"/>
      <c r="K27" s="532"/>
      <c r="L27" s="532"/>
      <c r="M27" s="532"/>
      <c r="N27" s="805"/>
      <c r="O27" s="806" t="s">
        <v>588</v>
      </c>
      <c r="P27" s="806"/>
    </row>
    <row r="28" spans="1:16" s="3" customFormat="1" ht="26.25" customHeight="1" x14ac:dyDescent="0.25">
      <c r="A28" s="14"/>
      <c r="B28" s="15"/>
      <c r="C28" s="935"/>
      <c r="D28" s="877"/>
      <c r="E28" s="845"/>
      <c r="F28" s="846"/>
      <c r="G28" s="12">
        <f t="shared" si="1"/>
        <v>0</v>
      </c>
      <c r="H28" s="223"/>
      <c r="I28" s="223"/>
      <c r="J28" s="223"/>
      <c r="K28" s="223"/>
      <c r="L28" s="223"/>
      <c r="M28" s="223"/>
      <c r="N28" s="6"/>
    </row>
    <row r="29" spans="1:16" s="3" customFormat="1" ht="26.25" customHeight="1" x14ac:dyDescent="0.25">
      <c r="A29" s="14"/>
      <c r="B29" s="15"/>
      <c r="C29" s="935"/>
      <c r="D29" s="877"/>
      <c r="E29" s="845"/>
      <c r="F29" s="846"/>
      <c r="G29" s="12">
        <f t="shared" si="1"/>
        <v>0</v>
      </c>
      <c r="H29" s="223"/>
      <c r="I29" s="223"/>
      <c r="J29" s="223"/>
      <c r="K29" s="223"/>
      <c r="L29" s="223"/>
      <c r="M29" s="223"/>
      <c r="N29" s="6"/>
    </row>
    <row r="30" spans="1:16" s="3" customFormat="1" ht="26.25" customHeight="1" x14ac:dyDescent="0.25">
      <c r="A30" s="14"/>
      <c r="B30" s="15"/>
      <c r="C30" s="935"/>
      <c r="D30" s="939"/>
      <c r="E30" s="845"/>
      <c r="F30" s="846"/>
      <c r="G30" s="12">
        <f t="shared" si="1"/>
        <v>0</v>
      </c>
      <c r="H30" s="223"/>
      <c r="I30" s="223"/>
      <c r="J30" s="223"/>
      <c r="K30" s="223"/>
      <c r="L30" s="223"/>
      <c r="M30" s="223"/>
      <c r="N30" s="6"/>
    </row>
    <row r="31" spans="1:16" s="3" customFormat="1" ht="26.25" customHeight="1" x14ac:dyDescent="0.25">
      <c r="A31" s="14"/>
      <c r="B31" s="15"/>
      <c r="C31" s="935"/>
      <c r="D31" s="939"/>
      <c r="E31" s="845"/>
      <c r="F31" s="846"/>
      <c r="G31" s="12">
        <f t="shared" si="1"/>
        <v>0</v>
      </c>
      <c r="H31" s="223"/>
      <c r="I31" s="223"/>
      <c r="J31" s="223"/>
      <c r="K31" s="223"/>
      <c r="L31" s="223"/>
      <c r="M31" s="223"/>
      <c r="N31" s="6"/>
    </row>
    <row r="32" spans="1:16" s="3" customFormat="1" ht="26.25" customHeight="1" x14ac:dyDescent="0.25">
      <c r="A32" s="14"/>
      <c r="B32" s="15"/>
      <c r="C32" s="935"/>
      <c r="D32" s="939"/>
      <c r="E32" s="845"/>
      <c r="F32" s="846"/>
      <c r="G32" s="5">
        <f>G31-E32</f>
        <v>0</v>
      </c>
      <c r="H32" s="223"/>
      <c r="I32" s="223"/>
      <c r="J32" s="223"/>
      <c r="K32" s="223"/>
      <c r="L32" s="223"/>
      <c r="M32" s="223"/>
      <c r="N32" s="6"/>
    </row>
    <row r="33" spans="1:14" s="23" customFormat="1" ht="26.25" customHeight="1" thickBot="1" x14ac:dyDescent="0.3">
      <c r="A33" s="851" t="s">
        <v>36</v>
      </c>
      <c r="B33" s="852"/>
      <c r="C33" s="852"/>
      <c r="D33" s="852"/>
      <c r="E33" s="853">
        <f>SUM(E21:F32)</f>
        <v>744</v>
      </c>
      <c r="F33" s="854"/>
      <c r="G33" s="20"/>
      <c r="H33" s="21"/>
      <c r="I33" s="21"/>
      <c r="J33" s="21"/>
      <c r="K33" s="21"/>
      <c r="L33" s="21"/>
      <c r="M33" s="21"/>
      <c r="N33" s="22"/>
    </row>
    <row r="34" spans="1:14" s="3" customFormat="1" ht="26.25" customHeight="1" thickTop="1" x14ac:dyDescent="0.25">
      <c r="A34" s="24"/>
      <c r="E34" s="844" t="s">
        <v>65</v>
      </c>
      <c r="F34" s="844"/>
    </row>
    <row r="35" spans="1:14" s="3" customFormat="1" ht="26.25" customHeight="1" x14ac:dyDescent="0.3">
      <c r="A35" s="25" t="s">
        <v>41</v>
      </c>
      <c r="B35" s="25"/>
      <c r="C35" s="25"/>
      <c r="D35" s="25" t="s">
        <v>81</v>
      </c>
      <c r="E35" s="25"/>
      <c r="F35" s="26"/>
      <c r="G35" s="25" t="s">
        <v>38</v>
      </c>
      <c r="H35" s="25"/>
      <c r="I35" s="25"/>
      <c r="J35" s="25"/>
      <c r="K35" s="25"/>
      <c r="L35" s="25" t="s">
        <v>39</v>
      </c>
      <c r="M35" s="28"/>
      <c r="N35" s="26"/>
    </row>
    <row r="36" spans="1:14" s="3" customFormat="1" ht="26.25" customHeight="1" x14ac:dyDescent="0.3">
      <c r="A36" s="25"/>
      <c r="B36" s="25"/>
      <c r="C36" s="25"/>
      <c r="D36" s="25"/>
      <c r="E36" s="25"/>
      <c r="F36" s="26"/>
      <c r="G36" s="25"/>
      <c r="H36" s="25"/>
      <c r="I36" s="25"/>
      <c r="J36" s="25"/>
      <c r="K36" s="25"/>
      <c r="L36" s="25"/>
      <c r="M36" s="28"/>
      <c r="N36" s="26"/>
    </row>
    <row r="37" spans="1:14" s="3" customFormat="1" ht="26.25" customHeight="1" x14ac:dyDescent="0.3">
      <c r="A37" s="25"/>
      <c r="B37" s="25"/>
      <c r="C37" s="25"/>
      <c r="D37" s="25"/>
      <c r="E37" s="25"/>
      <c r="F37" s="26"/>
      <c r="G37" s="25"/>
      <c r="H37" s="25"/>
      <c r="I37" s="25"/>
      <c r="J37" s="25"/>
      <c r="K37" s="25"/>
      <c r="L37" s="25"/>
      <c r="M37" s="28"/>
      <c r="N37" s="26"/>
    </row>
    <row r="38" spans="1:14" s="3" customFormat="1" ht="26.25" customHeight="1" x14ac:dyDescent="0.3">
      <c r="A38" s="25"/>
      <c r="B38" s="25"/>
      <c r="C38" s="25"/>
      <c r="D38" s="25"/>
      <c r="E38" s="25"/>
      <c r="F38" s="26"/>
      <c r="G38" s="25"/>
      <c r="H38" s="25"/>
      <c r="I38" s="25"/>
      <c r="J38" s="25"/>
      <c r="K38" s="25"/>
      <c r="L38" s="25"/>
      <c r="M38" s="28"/>
      <c r="N38" s="26"/>
    </row>
    <row r="39" spans="1:14" s="3" customFormat="1" ht="26.25" customHeight="1" x14ac:dyDescent="0.3">
      <c r="A39" s="29"/>
      <c r="B39" s="25"/>
      <c r="C39" s="25"/>
      <c r="D39" s="29"/>
      <c r="E39" s="29"/>
      <c r="F39" s="26"/>
      <c r="G39" s="29"/>
      <c r="H39" s="25"/>
      <c r="I39" s="25"/>
      <c r="J39" s="25"/>
      <c r="K39" s="25"/>
      <c r="L39" s="27"/>
      <c r="M39" s="28"/>
      <c r="N39" s="26"/>
    </row>
    <row r="40" spans="1:14" s="30" customFormat="1" ht="17.25" x14ac:dyDescent="0.3">
      <c r="A40" s="25" t="s">
        <v>48</v>
      </c>
      <c r="B40" s="25"/>
      <c r="C40" s="25" t="s">
        <v>80</v>
      </c>
      <c r="D40" s="25"/>
      <c r="G40" s="25" t="str">
        <f>B10</f>
        <v>Ang Assaravuth</v>
      </c>
      <c r="H40" s="25"/>
      <c r="I40" s="25"/>
      <c r="J40" s="25"/>
      <c r="K40" s="829" t="s">
        <v>90</v>
      </c>
      <c r="L40" s="829"/>
      <c r="M40" s="829"/>
      <c r="N40" s="829"/>
    </row>
    <row r="41" spans="1:14" s="30" customFormat="1" ht="16.5" x14ac:dyDescent="0.3">
      <c r="A41" s="32"/>
    </row>
    <row r="42" spans="1:14" s="30" customFormat="1" ht="16.5" x14ac:dyDescent="0.3">
      <c r="A42" s="32"/>
    </row>
    <row r="43" spans="1:14" s="30" customFormat="1" ht="16.5" x14ac:dyDescent="0.3">
      <c r="A43" s="32"/>
    </row>
    <row r="44" spans="1:14" s="30" customFormat="1" ht="16.5" x14ac:dyDescent="0.3">
      <c r="A44" s="32"/>
    </row>
    <row r="45" spans="1:14" s="30" customFormat="1" ht="16.5" x14ac:dyDescent="0.3">
      <c r="A45" s="32"/>
    </row>
    <row r="46" spans="1:14" s="30" customFormat="1" ht="16.5" x14ac:dyDescent="0.3">
      <c r="A46" s="32"/>
    </row>
    <row r="47" spans="1:14" s="30" customFormat="1" ht="16.5" x14ac:dyDescent="0.3">
      <c r="A47" s="32"/>
    </row>
    <row r="48" spans="1:14" s="30" customFormat="1" ht="16.5" x14ac:dyDescent="0.3">
      <c r="A48" s="32"/>
    </row>
    <row r="49" spans="1:1" s="30" customFormat="1" ht="16.5" x14ac:dyDescent="0.3">
      <c r="A49" s="32"/>
    </row>
  </sheetData>
  <mergeCells count="49">
    <mergeCell ref="A16:D16"/>
    <mergeCell ref="K16:L16"/>
    <mergeCell ref="A1:XFD7"/>
    <mergeCell ref="A8:N8"/>
    <mergeCell ref="K9:L9"/>
    <mergeCell ref="C10:C15"/>
    <mergeCell ref="K10:L10"/>
    <mergeCell ref="K11:L11"/>
    <mergeCell ref="K12:L12"/>
    <mergeCell ref="K13:L13"/>
    <mergeCell ref="K14:L14"/>
    <mergeCell ref="K15:L15"/>
    <mergeCell ref="O10:T10"/>
    <mergeCell ref="A17:F17"/>
    <mergeCell ref="K17:L17"/>
    <mergeCell ref="M19:N19"/>
    <mergeCell ref="A20:F20"/>
    <mergeCell ref="C22:D22"/>
    <mergeCell ref="E22:F22"/>
    <mergeCell ref="A18:G18"/>
    <mergeCell ref="C19:D19"/>
    <mergeCell ref="E19:F19"/>
    <mergeCell ref="K19:L19"/>
    <mergeCell ref="C23:D23"/>
    <mergeCell ref="E23:F23"/>
    <mergeCell ref="C21:D21"/>
    <mergeCell ref="E21:F21"/>
    <mergeCell ref="C24:D24"/>
    <mergeCell ref="E24:F24"/>
    <mergeCell ref="C25:D25"/>
    <mergeCell ref="E25:F25"/>
    <mergeCell ref="C26:D26"/>
    <mergeCell ref="E26:F26"/>
    <mergeCell ref="C27:D27"/>
    <mergeCell ref="E27:F27"/>
    <mergeCell ref="C28:D28"/>
    <mergeCell ref="E28:F28"/>
    <mergeCell ref="C29:D29"/>
    <mergeCell ref="E29:F29"/>
    <mergeCell ref="C30:D30"/>
    <mergeCell ref="E30:F30"/>
    <mergeCell ref="E34:F34"/>
    <mergeCell ref="K40:N40"/>
    <mergeCell ref="C31:D31"/>
    <mergeCell ref="E31:F31"/>
    <mergeCell ref="C32:D32"/>
    <mergeCell ref="E32:F32"/>
    <mergeCell ref="A33:D33"/>
    <mergeCell ref="E33:F33"/>
  </mergeCells>
  <printOptions horizontalCentered="1"/>
  <pageMargins left="0.25" right="0.25" top="0.47" bottom="0.25" header="0.5" footer="0.5"/>
  <pageSetup scale="70" orientation="portrait" verticalDpi="300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7"/>
  <sheetViews>
    <sheetView zoomScale="80" workbookViewId="0">
      <pane xSplit="3" ySplit="9" topLeftCell="D19" activePane="bottomRight" state="frozen"/>
      <selection pane="topRight" activeCell="D1" sqref="D1"/>
      <selection pane="bottomLeft" activeCell="A10" sqref="A10"/>
      <selection pane="bottomRight" activeCell="S18" sqref="S18"/>
    </sheetView>
  </sheetViews>
  <sheetFormatPr defaultRowHeight="13.5" x14ac:dyDescent="0.25"/>
  <cols>
    <col min="1" max="1" width="16" style="33" customWidth="1"/>
    <col min="2" max="2" width="19.140625" style="1" customWidth="1"/>
    <col min="3" max="3" width="6.7109375" style="1" customWidth="1"/>
    <col min="4" max="4" width="23.85546875" style="1" customWidth="1"/>
    <col min="5" max="5" width="8.42578125" style="1" customWidth="1"/>
    <col min="6" max="6" width="8.28515625" style="1" customWidth="1"/>
    <col min="7" max="7" width="16.42578125" style="1" customWidth="1"/>
    <col min="8" max="8" width="4.85546875" style="1" customWidth="1"/>
    <col min="9" max="9" width="3.85546875" style="1" customWidth="1"/>
    <col min="10" max="10" width="5" style="1" customWidth="1"/>
    <col min="11" max="11" width="8" style="1" customWidth="1"/>
    <col min="12" max="12" width="11.5703125" style="1" customWidth="1"/>
    <col min="13" max="13" width="11.7109375" style="1" bestFit="1" customWidth="1"/>
    <col min="14" max="14" width="10.28515625" style="1" bestFit="1" customWidth="1"/>
    <col min="15" max="19" width="8.85546875" style="1"/>
    <col min="20" max="20" width="22.28515625" style="1" customWidth="1"/>
    <col min="21" max="256" width="8.8554687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8.8554687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8.8554687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8.8554687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8.8554687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8.8554687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8.8554687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8.8554687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8.8554687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8.8554687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8.8554687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8.8554687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8.8554687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8.8554687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8.8554687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8.8554687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8.8554687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8.8554687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8.8554687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8.8554687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8.8554687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8.8554687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8.8554687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8.8554687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8.8554687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8.8554687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8.8554687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8.8554687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8.8554687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8.8554687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8.8554687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8.8554687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8.8554687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8.8554687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8.8554687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8.8554687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8.8554687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8.8554687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8.8554687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8.8554687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8.8554687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8.8554687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8.8554687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8.8554687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8.8554687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8.8554687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8.8554687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8.8554687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8.8554687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8.8554687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8.8554687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8.8554687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8.8554687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8.8554687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8.8554687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8.8554687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8.8554687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8.8554687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8.8554687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8.8554687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8.8554687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8.8554687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8.8554687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8.85546875" style="1"/>
  </cols>
  <sheetData>
    <row r="1" spans="1:22" s="866" customFormat="1" ht="15" x14ac:dyDescent="0.25"/>
    <row r="2" spans="1:22" s="866" customFormat="1" ht="15" x14ac:dyDescent="0.25"/>
    <row r="3" spans="1:22" s="866" customFormat="1" ht="15" x14ac:dyDescent="0.25"/>
    <row r="4" spans="1:22" s="866" customFormat="1" ht="15" x14ac:dyDescent="0.25"/>
    <row r="5" spans="1:22" s="866" customFormat="1" ht="15" x14ac:dyDescent="0.25"/>
    <row r="6" spans="1:22" s="866" customFormat="1" ht="15" x14ac:dyDescent="0.25"/>
    <row r="7" spans="1:22" s="866" customFormat="1" ht="15.75" thickBot="1" x14ac:dyDescent="0.3"/>
    <row r="8" spans="1:22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22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22" s="59" customFormat="1" ht="26.25" customHeight="1" x14ac:dyDescent="0.25">
      <c r="A10" s="102">
        <v>1</v>
      </c>
      <c r="B10" s="295" t="s">
        <v>236</v>
      </c>
      <c r="C10" s="964" t="s">
        <v>31</v>
      </c>
      <c r="D10" s="53" t="s">
        <v>237</v>
      </c>
      <c r="E10" s="129">
        <f>12+24+9</f>
        <v>45</v>
      </c>
      <c r="F10" s="55">
        <v>7</v>
      </c>
      <c r="G10" s="56">
        <f>E10*F10</f>
        <v>315</v>
      </c>
      <c r="H10" s="54" t="s">
        <v>86</v>
      </c>
      <c r="I10" s="54">
        <v>3</v>
      </c>
      <c r="J10" s="54">
        <v>10</v>
      </c>
      <c r="K10" s="878" t="s">
        <v>42</v>
      </c>
      <c r="L10" s="879"/>
      <c r="M10" s="57">
        <v>41532</v>
      </c>
      <c r="N10" s="58"/>
      <c r="O10" s="968" t="s">
        <v>561</v>
      </c>
      <c r="P10" s="969"/>
      <c r="Q10" s="969"/>
      <c r="R10" s="969"/>
      <c r="S10" s="969"/>
      <c r="T10" s="969"/>
    </row>
    <row r="11" spans="1:22" s="59" customFormat="1" ht="26.25" customHeight="1" x14ac:dyDescent="0.25">
      <c r="A11" s="90">
        <v>2</v>
      </c>
      <c r="B11" s="296"/>
      <c r="C11" s="965"/>
      <c r="D11" s="107" t="s">
        <v>292</v>
      </c>
      <c r="E11" s="130">
        <f>36+9+3</f>
        <v>48</v>
      </c>
      <c r="F11" s="61">
        <v>7</v>
      </c>
      <c r="G11" s="82">
        <f>E11*F11</f>
        <v>336</v>
      </c>
      <c r="H11" s="468" t="s">
        <v>86</v>
      </c>
      <c r="I11" s="468">
        <v>2</v>
      </c>
      <c r="J11" s="468">
        <v>11</v>
      </c>
      <c r="K11" s="878" t="s">
        <v>42</v>
      </c>
      <c r="L11" s="879"/>
      <c r="M11" s="83"/>
      <c r="N11" s="84"/>
      <c r="O11" s="968"/>
      <c r="P11" s="969"/>
      <c r="Q11" s="969"/>
      <c r="R11" s="969"/>
      <c r="S11" s="969"/>
      <c r="T11" s="969"/>
    </row>
    <row r="12" spans="1:22" s="59" customFormat="1" ht="26.25" customHeight="1" x14ac:dyDescent="0.25">
      <c r="A12" s="102"/>
      <c r="B12" s="296"/>
      <c r="C12" s="966"/>
      <c r="D12" s="112"/>
      <c r="E12" s="75" t="s">
        <v>433</v>
      </c>
      <c r="F12" s="76"/>
      <c r="G12" s="82"/>
      <c r="H12" s="80"/>
      <c r="I12" s="80"/>
      <c r="J12" s="80"/>
      <c r="K12" s="133"/>
      <c r="L12" s="134"/>
      <c r="M12" s="83"/>
      <c r="N12" s="762"/>
      <c r="O12" s="762"/>
      <c r="P12" s="762"/>
      <c r="Q12" s="762"/>
      <c r="R12" s="762"/>
      <c r="S12" s="762"/>
      <c r="T12" s="762"/>
      <c r="U12" s="762"/>
      <c r="V12" s="762"/>
    </row>
    <row r="13" spans="1:22" s="751" customFormat="1" ht="26.25" customHeight="1" x14ac:dyDescent="0.25">
      <c r="A13" s="721">
        <v>3</v>
      </c>
      <c r="B13" s="296"/>
      <c r="C13" s="966"/>
      <c r="D13" s="112" t="s">
        <v>549</v>
      </c>
      <c r="E13" s="757">
        <f>12</f>
        <v>12</v>
      </c>
      <c r="F13" s="76">
        <v>7</v>
      </c>
      <c r="G13" s="82">
        <f>SUM(E13*F13)</f>
        <v>84</v>
      </c>
      <c r="H13" s="80" t="s">
        <v>550</v>
      </c>
      <c r="I13" s="80">
        <v>3</v>
      </c>
      <c r="J13" s="80">
        <v>10</v>
      </c>
      <c r="K13" s="878" t="s">
        <v>42</v>
      </c>
      <c r="L13" s="879"/>
      <c r="M13" s="83">
        <v>41755</v>
      </c>
      <c r="N13" s="84"/>
      <c r="O13" s="970" t="s">
        <v>562</v>
      </c>
      <c r="P13" s="971"/>
      <c r="Q13" s="971"/>
      <c r="R13" s="971"/>
      <c r="S13" s="971"/>
      <c r="T13" s="971"/>
      <c r="U13" s="762"/>
      <c r="V13" s="762"/>
    </row>
    <row r="14" spans="1:22" s="751" customFormat="1" ht="26.25" customHeight="1" x14ac:dyDescent="0.25">
      <c r="A14" s="721">
        <v>4</v>
      </c>
      <c r="B14" s="296"/>
      <c r="C14" s="966"/>
      <c r="D14" s="112" t="s">
        <v>551</v>
      </c>
      <c r="E14" s="757">
        <f>13.5+12</f>
        <v>25.5</v>
      </c>
      <c r="F14" s="76">
        <v>7</v>
      </c>
      <c r="G14" s="82">
        <f t="shared" ref="G14:G16" si="0">SUM(E14*F14)</f>
        <v>178.5</v>
      </c>
      <c r="H14" s="80" t="s">
        <v>387</v>
      </c>
      <c r="I14" s="80">
        <v>2</v>
      </c>
      <c r="J14" s="80">
        <v>11</v>
      </c>
      <c r="K14" s="878" t="s">
        <v>42</v>
      </c>
      <c r="L14" s="879"/>
      <c r="M14" s="83">
        <v>41748</v>
      </c>
      <c r="N14" s="761"/>
      <c r="O14" s="970"/>
      <c r="P14" s="971"/>
      <c r="Q14" s="971"/>
      <c r="R14" s="971"/>
      <c r="S14" s="971"/>
      <c r="T14" s="971"/>
    </row>
    <row r="15" spans="1:22" s="751" customFormat="1" ht="26.25" customHeight="1" x14ac:dyDescent="0.25">
      <c r="A15" s="721"/>
      <c r="B15" s="296"/>
      <c r="C15" s="966"/>
      <c r="D15" s="112"/>
      <c r="E15" s="757"/>
      <c r="F15" s="76"/>
      <c r="G15" s="82">
        <f t="shared" si="0"/>
        <v>0</v>
      </c>
      <c r="H15" s="80"/>
      <c r="I15" s="80"/>
      <c r="J15" s="80"/>
      <c r="K15" s="878"/>
      <c r="L15" s="879"/>
      <c r="M15" s="83"/>
      <c r="N15" s="761"/>
      <c r="O15" s="762"/>
      <c r="P15" s="762"/>
      <c r="Q15" s="762"/>
      <c r="R15" s="762"/>
      <c r="S15" s="762"/>
    </row>
    <row r="16" spans="1:22" s="59" customFormat="1" ht="26.25" customHeight="1" x14ac:dyDescent="0.25">
      <c r="A16" s="90"/>
      <c r="B16" s="297"/>
      <c r="C16" s="967"/>
      <c r="D16" s="112"/>
      <c r="E16" s="75"/>
      <c r="F16" s="76"/>
      <c r="G16" s="82">
        <f t="shared" si="0"/>
        <v>0</v>
      </c>
      <c r="H16" s="80"/>
      <c r="I16" s="80"/>
      <c r="J16" s="80"/>
      <c r="K16" s="876"/>
      <c r="L16" s="877"/>
      <c r="M16" s="83"/>
      <c r="N16" s="84"/>
    </row>
    <row r="17" spans="1:14" s="59" customFormat="1" ht="26.25" customHeight="1" thickBot="1" x14ac:dyDescent="0.3">
      <c r="A17" s="961" t="s">
        <v>11</v>
      </c>
      <c r="B17" s="962"/>
      <c r="C17" s="962"/>
      <c r="D17" s="963"/>
      <c r="E17" s="106">
        <f>SUM(E10:E16)</f>
        <v>130.5</v>
      </c>
      <c r="F17" s="76"/>
      <c r="G17" s="62"/>
      <c r="H17" s="60"/>
      <c r="I17" s="60"/>
      <c r="J17" s="60"/>
      <c r="K17" s="876"/>
      <c r="L17" s="877"/>
      <c r="M17" s="60"/>
      <c r="N17" s="63"/>
    </row>
    <row r="18" spans="1:14" s="59" customFormat="1" ht="26.25" customHeight="1" thickBot="1" x14ac:dyDescent="0.3">
      <c r="A18" s="972" t="s">
        <v>24</v>
      </c>
      <c r="B18" s="973"/>
      <c r="C18" s="973"/>
      <c r="D18" s="973"/>
      <c r="E18" s="974"/>
      <c r="F18" s="975"/>
      <c r="G18" s="88">
        <f>SUM(G10:G17)</f>
        <v>913.5</v>
      </c>
      <c r="H18" s="65"/>
      <c r="I18" s="65"/>
      <c r="J18" s="65"/>
      <c r="K18" s="859"/>
      <c r="L18" s="860"/>
      <c r="M18" s="65"/>
      <c r="N18" s="66"/>
    </row>
    <row r="19" spans="1:14" s="48" customFormat="1" ht="26.25" customHeight="1" x14ac:dyDescent="0.25">
      <c r="A19" s="929" t="s">
        <v>65</v>
      </c>
      <c r="B19" s="930"/>
      <c r="C19" s="930"/>
      <c r="D19" s="930"/>
      <c r="E19" s="930"/>
      <c r="F19" s="930"/>
      <c r="G19" s="900"/>
      <c r="H19" s="67"/>
      <c r="I19" s="67"/>
      <c r="J19" s="68" t="s">
        <v>44</v>
      </c>
      <c r="K19" s="67"/>
      <c r="L19" s="68"/>
      <c r="M19" s="69"/>
      <c r="N19" s="70"/>
    </row>
    <row r="20" spans="1:14" s="48" customFormat="1" ht="22.5" customHeight="1" thickBot="1" x14ac:dyDescent="0.3">
      <c r="A20" s="72" t="s">
        <v>5</v>
      </c>
      <c r="B20" s="71" t="s">
        <v>33</v>
      </c>
      <c r="C20" s="857" t="s">
        <v>21</v>
      </c>
      <c r="D20" s="858"/>
      <c r="E20" s="857" t="s">
        <v>34</v>
      </c>
      <c r="F20" s="858"/>
      <c r="G20" s="71" t="s">
        <v>0</v>
      </c>
      <c r="H20" s="71" t="s">
        <v>96</v>
      </c>
      <c r="I20" s="71" t="s">
        <v>26</v>
      </c>
      <c r="J20" s="71" t="s">
        <v>27</v>
      </c>
      <c r="K20" s="863" t="s">
        <v>28</v>
      </c>
      <c r="L20" s="857"/>
      <c r="M20" s="901" t="s">
        <v>54</v>
      </c>
      <c r="N20" s="902"/>
    </row>
    <row r="21" spans="1:14" s="3" customFormat="1" ht="26.25" customHeight="1" x14ac:dyDescent="0.25">
      <c r="A21" s="861" t="s">
        <v>35</v>
      </c>
      <c r="B21" s="862"/>
      <c r="C21" s="862"/>
      <c r="D21" s="862"/>
      <c r="E21" s="862"/>
      <c r="F21" s="862"/>
      <c r="G21" s="7">
        <f>G18</f>
        <v>913.5</v>
      </c>
      <c r="H21" s="8"/>
      <c r="I21" s="8"/>
      <c r="J21" s="8"/>
      <c r="K21" s="8"/>
      <c r="L21" s="8"/>
      <c r="M21" s="8"/>
      <c r="N21" s="9"/>
    </row>
    <row r="22" spans="1:14" s="3" customFormat="1" ht="26.25" customHeight="1" x14ac:dyDescent="0.25">
      <c r="A22" s="366" t="s">
        <v>263</v>
      </c>
      <c r="B22" s="367">
        <v>41549</v>
      </c>
      <c r="C22" s="976" t="s">
        <v>237</v>
      </c>
      <c r="D22" s="977"/>
      <c r="E22" s="855">
        <v>40</v>
      </c>
      <c r="F22" s="855"/>
      <c r="G22" s="12">
        <f>G21-E22</f>
        <v>873.5</v>
      </c>
      <c r="H22" s="104"/>
      <c r="I22" s="104"/>
      <c r="J22" s="104"/>
      <c r="K22" s="104"/>
      <c r="L22" s="104"/>
      <c r="M22" s="104"/>
      <c r="N22" s="13"/>
    </row>
    <row r="23" spans="1:14" s="3" customFormat="1" ht="26.25" customHeight="1" x14ac:dyDescent="0.25">
      <c r="A23" s="366" t="s">
        <v>300</v>
      </c>
      <c r="B23" s="367">
        <v>41578</v>
      </c>
      <c r="C23" s="976" t="s">
        <v>237</v>
      </c>
      <c r="D23" s="977"/>
      <c r="E23" s="856">
        <v>148</v>
      </c>
      <c r="F23" s="856"/>
      <c r="G23" s="12">
        <f t="shared" ref="G23:G29" si="1">G22-E23</f>
        <v>725.5</v>
      </c>
      <c r="H23" s="105"/>
      <c r="I23" s="105"/>
      <c r="J23" s="105"/>
      <c r="K23" s="105"/>
      <c r="L23" s="105"/>
      <c r="M23" s="105"/>
      <c r="N23" s="6"/>
    </row>
    <row r="24" spans="1:14" s="3" customFormat="1" ht="26.25" customHeight="1" x14ac:dyDescent="0.25">
      <c r="A24" s="366" t="s">
        <v>300</v>
      </c>
      <c r="B24" s="367">
        <v>41612</v>
      </c>
      <c r="C24" s="976" t="s">
        <v>237</v>
      </c>
      <c r="D24" s="977"/>
      <c r="E24" s="856">
        <v>230</v>
      </c>
      <c r="F24" s="856"/>
      <c r="G24" s="12">
        <f t="shared" si="1"/>
        <v>495.5</v>
      </c>
      <c r="H24" s="105"/>
      <c r="I24" s="105"/>
      <c r="J24" s="105"/>
      <c r="K24" s="105"/>
      <c r="L24" s="105"/>
      <c r="M24" s="105"/>
      <c r="N24" s="6"/>
    </row>
    <row r="25" spans="1:14" s="3" customFormat="1" ht="26.25" customHeight="1" x14ac:dyDescent="0.25">
      <c r="A25" s="10" t="s">
        <v>370</v>
      </c>
      <c r="B25" s="11">
        <v>41645</v>
      </c>
      <c r="C25" s="976" t="s">
        <v>237</v>
      </c>
      <c r="D25" s="977"/>
      <c r="E25" s="845">
        <v>100</v>
      </c>
      <c r="F25" s="846"/>
      <c r="G25" s="12">
        <f t="shared" si="1"/>
        <v>395.5</v>
      </c>
      <c r="H25" s="105"/>
      <c r="I25" s="105"/>
      <c r="J25" s="105"/>
      <c r="K25" s="105"/>
      <c r="L25" s="105"/>
      <c r="M25" s="105"/>
      <c r="N25" s="6"/>
    </row>
    <row r="26" spans="1:14" s="3" customFormat="1" ht="26.25" customHeight="1" x14ac:dyDescent="0.25">
      <c r="A26" s="10" t="s">
        <v>537</v>
      </c>
      <c r="B26" s="11">
        <v>41739</v>
      </c>
      <c r="C26" s="976" t="s">
        <v>237</v>
      </c>
      <c r="D26" s="977"/>
      <c r="E26" s="842">
        <v>60</v>
      </c>
      <c r="F26" s="843"/>
      <c r="G26" s="12">
        <f t="shared" si="1"/>
        <v>335.5</v>
      </c>
      <c r="H26" s="105"/>
      <c r="I26" s="105"/>
      <c r="J26" s="105"/>
      <c r="K26" s="105"/>
      <c r="L26" s="105"/>
      <c r="M26" s="105"/>
      <c r="N26" s="6"/>
    </row>
    <row r="27" spans="1:14" s="3" customFormat="1" ht="26.25" customHeight="1" x14ac:dyDescent="0.25">
      <c r="A27" s="14" t="s">
        <v>563</v>
      </c>
      <c r="B27" s="15">
        <v>41768</v>
      </c>
      <c r="C27" s="976" t="s">
        <v>237</v>
      </c>
      <c r="D27" s="977"/>
      <c r="E27" s="845">
        <v>150</v>
      </c>
      <c r="F27" s="846"/>
      <c r="G27" s="12">
        <f t="shared" si="1"/>
        <v>185.5</v>
      </c>
      <c r="H27" s="105"/>
      <c r="I27" s="105"/>
      <c r="J27" s="105"/>
      <c r="K27" s="105"/>
      <c r="L27" s="105"/>
      <c r="M27" s="105"/>
      <c r="N27" s="6"/>
    </row>
    <row r="28" spans="1:14" s="3" customFormat="1" ht="26.25" customHeight="1" x14ac:dyDescent="0.25">
      <c r="A28" s="16"/>
      <c r="B28" s="17"/>
      <c r="C28" s="934"/>
      <c r="D28" s="934"/>
      <c r="E28" s="907"/>
      <c r="F28" s="908"/>
      <c r="G28" s="12">
        <f t="shared" si="1"/>
        <v>185.5</v>
      </c>
      <c r="H28" s="18"/>
      <c r="I28" s="18"/>
      <c r="J28" s="18"/>
      <c r="K28" s="18"/>
      <c r="L28" s="18"/>
      <c r="M28" s="18"/>
      <c r="N28" s="19"/>
    </row>
    <row r="29" spans="1:14" s="3" customFormat="1" ht="26.25" customHeight="1" x14ac:dyDescent="0.25">
      <c r="A29" s="16"/>
      <c r="B29" s="17"/>
      <c r="C29" s="934"/>
      <c r="D29" s="934"/>
      <c r="E29" s="907"/>
      <c r="F29" s="908"/>
      <c r="G29" s="12">
        <f t="shared" si="1"/>
        <v>185.5</v>
      </c>
      <c r="H29" s="18"/>
      <c r="I29" s="18"/>
      <c r="J29" s="18"/>
      <c r="K29" s="18"/>
      <c r="L29" s="18"/>
      <c r="M29" s="18"/>
      <c r="N29" s="19"/>
    </row>
    <row r="30" spans="1:14" s="3" customFormat="1" ht="26.25" customHeight="1" x14ac:dyDescent="0.25">
      <c r="A30" s="16"/>
      <c r="B30" s="17"/>
      <c r="C30" s="934"/>
      <c r="D30" s="934"/>
      <c r="E30" s="907"/>
      <c r="F30" s="908"/>
      <c r="G30" s="12">
        <f>G29-E30</f>
        <v>185.5</v>
      </c>
      <c r="H30" s="18"/>
      <c r="I30" s="18"/>
      <c r="J30" s="18"/>
      <c r="K30" s="18"/>
      <c r="L30" s="18"/>
      <c r="M30" s="18"/>
      <c r="N30" s="19"/>
    </row>
    <row r="31" spans="1:14" s="23" customFormat="1" ht="26.25" customHeight="1" thickBot="1" x14ac:dyDescent="0.3">
      <c r="A31" s="851" t="s">
        <v>36</v>
      </c>
      <c r="B31" s="852"/>
      <c r="C31" s="852"/>
      <c r="D31" s="852"/>
      <c r="E31" s="853">
        <f>SUM(E22:F30)</f>
        <v>728</v>
      </c>
      <c r="F31" s="854"/>
      <c r="G31" s="20"/>
      <c r="H31" s="21"/>
      <c r="I31" s="21"/>
      <c r="J31" s="21"/>
      <c r="K31" s="21"/>
      <c r="L31" s="21"/>
      <c r="M31" s="21"/>
      <c r="N31" s="22"/>
    </row>
    <row r="32" spans="1:14" s="3" customFormat="1" ht="26.25" customHeight="1" thickTop="1" x14ac:dyDescent="0.25">
      <c r="A32" s="24"/>
      <c r="E32" s="844"/>
      <c r="F32" s="844"/>
    </row>
    <row r="33" spans="1:14" s="3" customFormat="1" ht="26.25" customHeight="1" x14ac:dyDescent="0.3">
      <c r="A33" s="25" t="s">
        <v>41</v>
      </c>
      <c r="B33" s="25"/>
      <c r="C33" s="25"/>
      <c r="D33" s="25"/>
      <c r="E33" s="25" t="s">
        <v>38</v>
      </c>
      <c r="F33" s="26"/>
      <c r="G33" s="27"/>
      <c r="H33" s="25"/>
      <c r="I33" s="25"/>
      <c r="J33" s="25"/>
      <c r="K33" s="25"/>
      <c r="L33" s="25" t="s">
        <v>39</v>
      </c>
      <c r="M33" s="28"/>
      <c r="N33" s="26"/>
    </row>
    <row r="34" spans="1:14" s="3" customFormat="1" ht="26.25" customHeight="1" x14ac:dyDescent="0.3">
      <c r="A34" s="25"/>
      <c r="B34" s="25"/>
      <c r="C34" s="25"/>
      <c r="D34" s="25"/>
      <c r="E34" s="25"/>
      <c r="F34" s="26"/>
      <c r="G34" s="27"/>
      <c r="H34" s="25"/>
      <c r="I34" s="25"/>
      <c r="J34" s="25"/>
      <c r="K34" s="25"/>
      <c r="L34" s="25"/>
      <c r="M34" s="28"/>
      <c r="N34" s="26"/>
    </row>
    <row r="35" spans="1:14" s="3" customFormat="1" ht="26.25" customHeight="1" x14ac:dyDescent="0.3">
      <c r="A35" s="25"/>
      <c r="B35" s="25"/>
      <c r="C35" s="25"/>
      <c r="D35" s="25"/>
      <c r="E35" s="25"/>
      <c r="F35" s="26"/>
      <c r="G35" s="27"/>
      <c r="H35" s="25"/>
      <c r="I35" s="25"/>
      <c r="J35" s="25"/>
      <c r="K35" s="25"/>
      <c r="L35" s="25"/>
      <c r="M35" s="28"/>
      <c r="N35" s="26"/>
    </row>
    <row r="36" spans="1:14" s="3" customFormat="1" ht="26.25" customHeight="1" x14ac:dyDescent="0.3">
      <c r="A36" s="25"/>
      <c r="B36" s="25"/>
      <c r="C36" s="25"/>
      <c r="D36" s="25"/>
      <c r="E36" s="25"/>
      <c r="F36" s="26"/>
      <c r="G36" s="27"/>
      <c r="H36" s="25"/>
      <c r="I36" s="25"/>
      <c r="J36" s="25"/>
      <c r="K36" s="25"/>
      <c r="L36" s="25"/>
      <c r="M36" s="28"/>
      <c r="N36" s="26"/>
    </row>
    <row r="37" spans="1:14" s="3" customFormat="1" ht="26.25" customHeight="1" x14ac:dyDescent="0.3">
      <c r="A37" s="29"/>
      <c r="B37" s="25"/>
      <c r="C37" s="25"/>
      <c r="D37" s="25"/>
      <c r="E37" s="29"/>
      <c r="F37" s="26"/>
      <c r="G37" s="27"/>
      <c r="H37" s="25"/>
      <c r="I37" s="25"/>
      <c r="J37" s="25"/>
      <c r="K37" s="25"/>
      <c r="L37" s="27"/>
      <c r="M37" s="28"/>
      <c r="N37" s="26"/>
    </row>
    <row r="38" spans="1:14" s="30" customFormat="1" ht="17.25" x14ac:dyDescent="0.3">
      <c r="A38" s="25" t="s">
        <v>40</v>
      </c>
      <c r="B38" s="25"/>
      <c r="C38" s="25"/>
      <c r="D38" s="25"/>
      <c r="E38" s="25" t="str">
        <f>B10</f>
        <v>Chea Bunthan</v>
      </c>
      <c r="G38" s="31"/>
      <c r="H38" s="25"/>
      <c r="I38" s="25"/>
      <c r="J38" s="25"/>
      <c r="K38" s="25"/>
      <c r="L38" s="25" t="s">
        <v>91</v>
      </c>
      <c r="M38" s="28"/>
      <c r="N38" s="31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  <row r="43" spans="1:14" s="30" customFormat="1" ht="16.5" x14ac:dyDescent="0.3">
      <c r="A43" s="32"/>
    </row>
    <row r="44" spans="1:14" s="30" customFormat="1" ht="16.5" x14ac:dyDescent="0.3">
      <c r="A44" s="32"/>
    </row>
    <row r="45" spans="1:14" s="30" customFormat="1" ht="16.5" x14ac:dyDescent="0.3">
      <c r="A45" s="32"/>
    </row>
    <row r="46" spans="1:14" s="30" customFormat="1" ht="16.5" x14ac:dyDescent="0.3">
      <c r="A46" s="32"/>
    </row>
    <row r="47" spans="1:14" s="30" customFormat="1" ht="16.5" x14ac:dyDescent="0.3">
      <c r="A47" s="32"/>
    </row>
  </sheetData>
  <mergeCells count="43">
    <mergeCell ref="E32:F32"/>
    <mergeCell ref="C27:D27"/>
    <mergeCell ref="E27:F27"/>
    <mergeCell ref="C30:D30"/>
    <mergeCell ref="E30:F30"/>
    <mergeCell ref="A31:D31"/>
    <mergeCell ref="E31:F31"/>
    <mergeCell ref="C28:D28"/>
    <mergeCell ref="E28:F28"/>
    <mergeCell ref="C29:D29"/>
    <mergeCell ref="E29:F29"/>
    <mergeCell ref="C24:D24"/>
    <mergeCell ref="E24:F24"/>
    <mergeCell ref="C25:D25"/>
    <mergeCell ref="E25:F25"/>
    <mergeCell ref="C26:D26"/>
    <mergeCell ref="E26:F26"/>
    <mergeCell ref="C22:D22"/>
    <mergeCell ref="E22:F22"/>
    <mergeCell ref="C23:D23"/>
    <mergeCell ref="E23:F23"/>
    <mergeCell ref="C20:D20"/>
    <mergeCell ref="E20:F20"/>
    <mergeCell ref="A18:F18"/>
    <mergeCell ref="K18:L18"/>
    <mergeCell ref="A19:G19"/>
    <mergeCell ref="M20:N20"/>
    <mergeCell ref="A21:F21"/>
    <mergeCell ref="K20:L20"/>
    <mergeCell ref="A1:XFD7"/>
    <mergeCell ref="A8:N8"/>
    <mergeCell ref="K9:L9"/>
    <mergeCell ref="K10:L10"/>
    <mergeCell ref="A17:D17"/>
    <mergeCell ref="K17:L17"/>
    <mergeCell ref="C10:C16"/>
    <mergeCell ref="K11:L11"/>
    <mergeCell ref="K16:L16"/>
    <mergeCell ref="O10:T11"/>
    <mergeCell ref="O13:T14"/>
    <mergeCell ref="K13:L13"/>
    <mergeCell ref="K14:L14"/>
    <mergeCell ref="K15:L15"/>
  </mergeCells>
  <hyperlinks>
    <hyperlink ref="M20" r:id="rId1" display="Tel:012 718 611"/>
  </hyperlinks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0"/>
  <sheetViews>
    <sheetView zoomScale="80" workbookViewId="0">
      <pane xSplit="3" ySplit="9" topLeftCell="D13" activePane="bottomRight" state="frozen"/>
      <selection activeCell="Q11" sqref="Q11"/>
      <selection pane="topRight" activeCell="Q11" sqref="Q11"/>
      <selection pane="bottomLeft" activeCell="Q11" sqref="Q11"/>
      <selection pane="bottomRight" activeCell="A29" sqref="A29:B29"/>
    </sheetView>
  </sheetViews>
  <sheetFormatPr defaultRowHeight="13.5" x14ac:dyDescent="0.25"/>
  <cols>
    <col min="1" max="1" width="15.5703125" style="33" customWidth="1"/>
    <col min="2" max="2" width="16.85546875" style="1" customWidth="1"/>
    <col min="3" max="3" width="5.5703125" style="1" customWidth="1"/>
    <col min="4" max="4" width="25.140625" style="1" customWidth="1"/>
    <col min="5" max="5" width="8.42578125" style="1" customWidth="1"/>
    <col min="6" max="6" width="8.5703125" style="1" customWidth="1"/>
    <col min="7" max="7" width="16.42578125" style="1" customWidth="1"/>
    <col min="8" max="8" width="3.7109375" style="1" customWidth="1"/>
    <col min="9" max="9" width="3.85546875" style="1" customWidth="1"/>
    <col min="10" max="10" width="5.140625" style="1" customWidth="1"/>
    <col min="11" max="11" width="5.85546875" style="1" customWidth="1"/>
    <col min="12" max="12" width="6.5703125" style="1" customWidth="1"/>
    <col min="13" max="13" width="16.85546875" style="1" customWidth="1"/>
    <col min="14" max="14" width="10.5703125" style="1" customWidth="1"/>
    <col min="15" max="16" width="9.140625" style="1"/>
    <col min="17" max="17" width="19.7109375" style="1" customWidth="1"/>
    <col min="18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20" s="866" customFormat="1" ht="15" x14ac:dyDescent="0.25"/>
    <row r="2" spans="1:20" s="866" customFormat="1" ht="15" x14ac:dyDescent="0.25"/>
    <row r="3" spans="1:20" s="866" customFormat="1" ht="15" x14ac:dyDescent="0.25"/>
    <row r="4" spans="1:20" s="866" customFormat="1" ht="15" x14ac:dyDescent="0.25"/>
    <row r="5" spans="1:20" s="866" customFormat="1" ht="15" x14ac:dyDescent="0.25"/>
    <row r="6" spans="1:20" s="866" customFormat="1" ht="15" x14ac:dyDescent="0.25"/>
    <row r="7" spans="1:20" s="866" customFormat="1" ht="15.75" thickBot="1" x14ac:dyDescent="0.3"/>
    <row r="8" spans="1:20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20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20" s="59" customFormat="1" ht="26.25" customHeight="1" x14ac:dyDescent="0.25">
      <c r="A10" s="102">
        <v>1</v>
      </c>
      <c r="B10" s="890" t="s">
        <v>2</v>
      </c>
      <c r="C10" s="890" t="s">
        <v>31</v>
      </c>
      <c r="D10" s="79" t="s">
        <v>122</v>
      </c>
      <c r="E10" s="441">
        <f>3+12+12+12+6</f>
        <v>45</v>
      </c>
      <c r="F10" s="55">
        <v>8</v>
      </c>
      <c r="G10" s="56">
        <f>E10*F10</f>
        <v>360</v>
      </c>
      <c r="H10" s="226" t="s">
        <v>64</v>
      </c>
      <c r="I10" s="226">
        <v>2</v>
      </c>
      <c r="J10" s="226">
        <v>11</v>
      </c>
      <c r="K10" s="878" t="s">
        <v>74</v>
      </c>
      <c r="L10" s="879"/>
      <c r="M10" s="57">
        <v>41509</v>
      </c>
      <c r="N10" s="58"/>
      <c r="P10" s="59" t="s">
        <v>229</v>
      </c>
    </row>
    <row r="11" spans="1:20" s="59" customFormat="1" ht="26.25" customHeight="1" x14ac:dyDescent="0.25">
      <c r="A11" s="90">
        <v>2</v>
      </c>
      <c r="B11" s="891"/>
      <c r="C11" s="891"/>
      <c r="D11" s="79" t="s">
        <v>123</v>
      </c>
      <c r="E11" s="442">
        <f>36+6+3</f>
        <v>45</v>
      </c>
      <c r="F11" s="55">
        <v>9</v>
      </c>
      <c r="G11" s="56">
        <f>E11*F11</f>
        <v>405</v>
      </c>
      <c r="H11" s="80" t="s">
        <v>25</v>
      </c>
      <c r="I11" s="80">
        <v>4</v>
      </c>
      <c r="J11" s="80">
        <v>9</v>
      </c>
      <c r="K11" s="878" t="s">
        <v>42</v>
      </c>
      <c r="L11" s="879"/>
      <c r="M11" s="83" t="s">
        <v>121</v>
      </c>
      <c r="N11" s="84"/>
      <c r="O11" s="425"/>
      <c r="P11" s="425" t="s">
        <v>229</v>
      </c>
      <c r="Q11" s="425"/>
      <c r="R11" s="425" t="s">
        <v>289</v>
      </c>
      <c r="S11" s="425"/>
      <c r="T11" s="432"/>
    </row>
    <row r="12" spans="1:20" s="59" customFormat="1" ht="26.25" customHeight="1" x14ac:dyDescent="0.25">
      <c r="A12" s="102">
        <v>3</v>
      </c>
      <c r="B12" s="891"/>
      <c r="C12" s="891"/>
      <c r="D12" s="79" t="s">
        <v>122</v>
      </c>
      <c r="E12" s="442">
        <f>6+12+12+15</f>
        <v>45</v>
      </c>
      <c r="F12" s="55">
        <v>8</v>
      </c>
      <c r="G12" s="56">
        <f t="shared" ref="G12:G16" si="0">E12*F12</f>
        <v>360</v>
      </c>
      <c r="H12" s="80" t="s">
        <v>107</v>
      </c>
      <c r="I12" s="80"/>
      <c r="J12" s="80"/>
      <c r="K12" s="876" t="s">
        <v>74</v>
      </c>
      <c r="L12" s="877"/>
      <c r="M12" s="83"/>
      <c r="N12" s="84"/>
    </row>
    <row r="13" spans="1:20" s="59" customFormat="1" ht="26.25" customHeight="1" x14ac:dyDescent="0.25">
      <c r="A13" s="90">
        <v>4</v>
      </c>
      <c r="B13" s="891"/>
      <c r="C13" s="891"/>
      <c r="D13" s="79" t="s">
        <v>122</v>
      </c>
      <c r="E13" s="442">
        <f>6+12+12+15</f>
        <v>45</v>
      </c>
      <c r="F13" s="55">
        <v>8</v>
      </c>
      <c r="G13" s="56">
        <f t="shared" si="0"/>
        <v>360</v>
      </c>
      <c r="H13" s="80" t="s">
        <v>64</v>
      </c>
      <c r="I13" s="80"/>
      <c r="J13" s="80"/>
      <c r="K13" s="876" t="s">
        <v>75</v>
      </c>
      <c r="L13" s="877"/>
      <c r="M13" s="83"/>
      <c r="N13" s="84" t="s">
        <v>230</v>
      </c>
      <c r="O13" s="931" t="s">
        <v>133</v>
      </c>
      <c r="P13" s="932"/>
      <c r="Q13" s="932"/>
      <c r="R13" s="932"/>
      <c r="S13" s="932"/>
      <c r="T13" s="932"/>
    </row>
    <row r="14" spans="1:20" s="59" customFormat="1" ht="26.25" customHeight="1" x14ac:dyDescent="0.25">
      <c r="A14" s="102">
        <v>5</v>
      </c>
      <c r="B14" s="891"/>
      <c r="C14" s="891"/>
      <c r="D14" s="79" t="s">
        <v>122</v>
      </c>
      <c r="E14" s="442">
        <f>12+12+12+9</f>
        <v>45</v>
      </c>
      <c r="F14" s="55">
        <v>8</v>
      </c>
      <c r="G14" s="56">
        <f>E14*F14</f>
        <v>360</v>
      </c>
      <c r="H14" s="80" t="s">
        <v>107</v>
      </c>
      <c r="I14" s="80"/>
      <c r="J14" s="80"/>
      <c r="K14" s="876" t="s">
        <v>231</v>
      </c>
      <c r="L14" s="877"/>
      <c r="M14" s="83"/>
      <c r="N14" s="84"/>
      <c r="O14" s="931" t="s">
        <v>365</v>
      </c>
      <c r="P14" s="932"/>
      <c r="Q14" s="932"/>
      <c r="R14" s="932"/>
      <c r="S14" s="932"/>
      <c r="T14" s="932"/>
    </row>
    <row r="15" spans="1:20" s="59" customFormat="1" ht="26.25" customHeight="1" x14ac:dyDescent="0.25">
      <c r="A15" s="102">
        <v>6</v>
      </c>
      <c r="B15" s="891"/>
      <c r="C15" s="891"/>
      <c r="D15" s="79" t="s">
        <v>122</v>
      </c>
      <c r="E15" s="80">
        <f>9+15+21</f>
        <v>45</v>
      </c>
      <c r="F15" s="81">
        <v>8</v>
      </c>
      <c r="G15" s="56">
        <f t="shared" si="0"/>
        <v>360</v>
      </c>
      <c r="H15" s="80" t="s">
        <v>107</v>
      </c>
      <c r="I15" s="80">
        <v>2</v>
      </c>
      <c r="J15" s="80">
        <v>11</v>
      </c>
      <c r="K15" s="876" t="s">
        <v>42</v>
      </c>
      <c r="L15" s="877"/>
      <c r="M15" s="83">
        <v>41615</v>
      </c>
      <c r="N15" s="84"/>
      <c r="O15" s="931" t="s">
        <v>381</v>
      </c>
      <c r="P15" s="932"/>
      <c r="Q15" s="932"/>
      <c r="R15" s="932"/>
      <c r="S15" s="932"/>
    </row>
    <row r="16" spans="1:20" s="557" customFormat="1" ht="26.25" customHeight="1" x14ac:dyDescent="0.25">
      <c r="A16" s="558">
        <v>7</v>
      </c>
      <c r="B16" s="892"/>
      <c r="C16" s="892"/>
      <c r="D16" s="567" t="s">
        <v>122</v>
      </c>
      <c r="E16" s="556">
        <v>45</v>
      </c>
      <c r="F16" s="101">
        <v>8</v>
      </c>
      <c r="G16" s="82">
        <f t="shared" si="0"/>
        <v>360</v>
      </c>
      <c r="H16" s="80" t="s">
        <v>63</v>
      </c>
      <c r="I16" s="80">
        <v>3</v>
      </c>
      <c r="J16" s="80">
        <v>10</v>
      </c>
      <c r="K16" s="876" t="s">
        <v>74</v>
      </c>
      <c r="L16" s="877"/>
      <c r="M16" s="83">
        <v>41999</v>
      </c>
      <c r="N16" s="84"/>
      <c r="O16" s="931" t="s">
        <v>133</v>
      </c>
      <c r="P16" s="932"/>
      <c r="Q16" s="932"/>
      <c r="R16" s="932"/>
      <c r="S16" s="932"/>
      <c r="T16" s="932"/>
    </row>
    <row r="17" spans="1:19" s="59" customFormat="1" ht="26.25" customHeight="1" x14ac:dyDescent="0.25">
      <c r="A17" s="925" t="s">
        <v>11</v>
      </c>
      <c r="B17" s="926"/>
      <c r="C17" s="926"/>
      <c r="D17" s="926"/>
      <c r="E17" s="228">
        <f>SUM(E10:E16)</f>
        <v>315</v>
      </c>
      <c r="F17" s="76"/>
      <c r="G17" s="62">
        <f>SUM(G10:G16)</f>
        <v>2565</v>
      </c>
      <c r="H17" s="227"/>
      <c r="I17" s="227"/>
      <c r="J17" s="227"/>
      <c r="K17" s="876"/>
      <c r="L17" s="877"/>
      <c r="M17" s="227"/>
      <c r="N17" s="63"/>
    </row>
    <row r="18" spans="1:19" s="59" customFormat="1" ht="26.25" customHeight="1" x14ac:dyDescent="0.25">
      <c r="A18" s="897" t="s">
        <v>24</v>
      </c>
      <c r="B18" s="898"/>
      <c r="C18" s="898"/>
      <c r="D18" s="898"/>
      <c r="E18" s="898"/>
      <c r="F18" s="898"/>
      <c r="G18" s="64">
        <f>G17</f>
        <v>2565</v>
      </c>
      <c r="H18" s="229"/>
      <c r="I18" s="229"/>
      <c r="J18" s="229"/>
      <c r="K18" s="859"/>
      <c r="L18" s="860"/>
      <c r="M18" s="229"/>
      <c r="N18" s="66"/>
    </row>
    <row r="19" spans="1:19" s="48" customFormat="1" ht="26.25" customHeight="1" x14ac:dyDescent="0.25">
      <c r="A19" s="899" t="s">
        <v>32</v>
      </c>
      <c r="B19" s="900"/>
      <c r="C19" s="900"/>
      <c r="D19" s="900"/>
      <c r="E19" s="900"/>
      <c r="F19" s="900"/>
      <c r="G19" s="900"/>
      <c r="H19" s="67"/>
      <c r="I19" s="67"/>
      <c r="J19" s="68" t="s">
        <v>44</v>
      </c>
      <c r="K19" s="67"/>
      <c r="L19" s="68"/>
      <c r="M19" s="69"/>
      <c r="N19" s="70"/>
    </row>
    <row r="20" spans="1:19" s="48" customFormat="1" ht="22.5" customHeight="1" thickBot="1" x14ac:dyDescent="0.3">
      <c r="A20" s="72" t="s">
        <v>5</v>
      </c>
      <c r="B20" s="71" t="s">
        <v>33</v>
      </c>
      <c r="C20" s="857" t="s">
        <v>21</v>
      </c>
      <c r="D20" s="858"/>
      <c r="E20" s="857" t="s">
        <v>34</v>
      </c>
      <c r="F20" s="858"/>
      <c r="G20" s="71" t="s">
        <v>0</v>
      </c>
      <c r="H20" s="71" t="s">
        <v>96</v>
      </c>
      <c r="I20" s="71" t="s">
        <v>26</v>
      </c>
      <c r="J20" s="71" t="s">
        <v>27</v>
      </c>
      <c r="K20" s="863" t="s">
        <v>28</v>
      </c>
      <c r="L20" s="857"/>
      <c r="M20" s="901" t="s">
        <v>50</v>
      </c>
      <c r="N20" s="902"/>
      <c r="Q20" s="48" t="s">
        <v>408</v>
      </c>
      <c r="R20" s="48" t="s">
        <v>409</v>
      </c>
      <c r="S20" s="48" t="s">
        <v>410</v>
      </c>
    </row>
    <row r="21" spans="1:19" s="3" customFormat="1" ht="26.25" customHeight="1" x14ac:dyDescent="0.25">
      <c r="A21" s="861" t="s">
        <v>35</v>
      </c>
      <c r="B21" s="862"/>
      <c r="C21" s="862"/>
      <c r="D21" s="862"/>
      <c r="E21" s="862"/>
      <c r="F21" s="862"/>
      <c r="G21" s="7">
        <f>G18</f>
        <v>2565</v>
      </c>
      <c r="H21" s="8"/>
      <c r="I21" s="8"/>
      <c r="J21" s="8"/>
      <c r="K21" s="8"/>
      <c r="L21" s="8"/>
      <c r="M21" s="8"/>
      <c r="N21" s="9"/>
    </row>
    <row r="22" spans="1:19" s="3" customFormat="1" ht="26.25" customHeight="1" x14ac:dyDescent="0.25">
      <c r="A22" s="366" t="s">
        <v>214</v>
      </c>
      <c r="B22" s="367">
        <v>41515</v>
      </c>
      <c r="C22" s="888" t="s">
        <v>123</v>
      </c>
      <c r="D22" s="889"/>
      <c r="E22" s="855">
        <v>252</v>
      </c>
      <c r="F22" s="855"/>
      <c r="G22" s="12">
        <f>G21-E22</f>
        <v>2313</v>
      </c>
      <c r="H22" s="220"/>
      <c r="I22" s="220"/>
      <c r="J22" s="220"/>
      <c r="K22" s="220"/>
      <c r="L22" s="220"/>
      <c r="M22" s="220"/>
      <c r="N22" s="13"/>
    </row>
    <row r="23" spans="1:19" s="3" customFormat="1" ht="26.25" customHeight="1" x14ac:dyDescent="0.25">
      <c r="A23" s="366" t="s">
        <v>263</v>
      </c>
      <c r="B23" s="367">
        <v>41549</v>
      </c>
      <c r="C23" s="905" t="s">
        <v>123</v>
      </c>
      <c r="D23" s="906"/>
      <c r="E23" s="856">
        <v>150</v>
      </c>
      <c r="F23" s="856"/>
      <c r="G23" s="12">
        <f t="shared" ref="G23:G33" si="1">G22-E23</f>
        <v>2163</v>
      </c>
      <c r="H23" s="223"/>
      <c r="I23" s="223"/>
      <c r="J23" s="223"/>
      <c r="K23" s="223"/>
      <c r="L23" s="223"/>
      <c r="M23" s="223"/>
      <c r="N23" s="6"/>
    </row>
    <row r="24" spans="1:19" s="3" customFormat="1" ht="26.25" customHeight="1" x14ac:dyDescent="0.25">
      <c r="A24" s="366" t="s">
        <v>300</v>
      </c>
      <c r="B24" s="367">
        <v>41578</v>
      </c>
      <c r="C24" s="888" t="s">
        <v>123</v>
      </c>
      <c r="D24" s="889"/>
      <c r="E24" s="856">
        <v>336</v>
      </c>
      <c r="F24" s="856"/>
      <c r="G24" s="12">
        <f>G23-E24</f>
        <v>1827</v>
      </c>
      <c r="H24" s="223"/>
      <c r="I24" s="223"/>
      <c r="J24" s="223"/>
      <c r="K24" s="223"/>
      <c r="L24" s="223"/>
      <c r="M24" s="223"/>
      <c r="N24" s="6"/>
    </row>
    <row r="25" spans="1:19" s="3" customFormat="1" ht="26.25" customHeight="1" x14ac:dyDescent="0.25">
      <c r="A25" s="366" t="s">
        <v>321</v>
      </c>
      <c r="B25" s="367">
        <v>41612</v>
      </c>
      <c r="C25" s="905" t="s">
        <v>123</v>
      </c>
      <c r="D25" s="906"/>
      <c r="E25" s="845">
        <v>270</v>
      </c>
      <c r="F25" s="846"/>
      <c r="G25" s="12">
        <f>G24-E25</f>
        <v>1557</v>
      </c>
      <c r="H25" s="223"/>
      <c r="I25" s="223"/>
      <c r="J25" s="223"/>
      <c r="K25" s="223"/>
      <c r="L25" s="223"/>
      <c r="M25" s="223"/>
      <c r="N25" s="6"/>
    </row>
    <row r="26" spans="1:19" s="3" customFormat="1" ht="26.25" customHeight="1" x14ac:dyDescent="0.25">
      <c r="A26" s="10" t="s">
        <v>370</v>
      </c>
      <c r="B26" s="11">
        <v>41645</v>
      </c>
      <c r="C26" s="905" t="s">
        <v>123</v>
      </c>
      <c r="D26" s="906"/>
      <c r="E26" s="842">
        <v>300</v>
      </c>
      <c r="F26" s="843"/>
      <c r="G26" s="12">
        <f>G25-E26</f>
        <v>1257</v>
      </c>
      <c r="H26" s="223"/>
      <c r="I26" s="223"/>
      <c r="J26" s="223"/>
      <c r="K26" s="223"/>
      <c r="L26" s="223"/>
      <c r="M26" s="223"/>
      <c r="N26" s="6"/>
    </row>
    <row r="27" spans="1:19" s="3" customFormat="1" ht="26.25" customHeight="1" x14ac:dyDescent="0.25">
      <c r="A27" s="14" t="s">
        <v>465</v>
      </c>
      <c r="B27" s="15">
        <v>41703</v>
      </c>
      <c r="C27" s="905" t="s">
        <v>123</v>
      </c>
      <c r="D27" s="906"/>
      <c r="E27" s="845">
        <v>400</v>
      </c>
      <c r="F27" s="846"/>
      <c r="G27" s="12">
        <f t="shared" si="1"/>
        <v>857</v>
      </c>
      <c r="H27" s="223"/>
      <c r="I27" s="223"/>
      <c r="J27" s="223"/>
      <c r="K27" s="223"/>
      <c r="L27" s="223"/>
      <c r="M27" s="223"/>
      <c r="N27" s="6"/>
    </row>
    <row r="28" spans="1:19" s="3" customFormat="1" ht="26.25" customHeight="1" x14ac:dyDescent="0.25">
      <c r="A28" s="14" t="s">
        <v>537</v>
      </c>
      <c r="B28" s="15">
        <v>41739</v>
      </c>
      <c r="C28" s="905" t="s">
        <v>123</v>
      </c>
      <c r="D28" s="906"/>
      <c r="E28" s="845">
        <v>220</v>
      </c>
      <c r="F28" s="846"/>
      <c r="G28" s="12">
        <f t="shared" si="1"/>
        <v>637</v>
      </c>
      <c r="H28" s="223"/>
      <c r="I28" s="223"/>
      <c r="J28" s="223"/>
      <c r="K28" s="223"/>
      <c r="L28" s="223"/>
      <c r="M28" s="223"/>
      <c r="N28" s="6"/>
    </row>
    <row r="29" spans="1:19" s="3" customFormat="1" ht="26.25" customHeight="1" x14ac:dyDescent="0.25">
      <c r="A29" s="14" t="s">
        <v>563</v>
      </c>
      <c r="B29" s="15">
        <v>41768</v>
      </c>
      <c r="C29" s="905" t="s">
        <v>123</v>
      </c>
      <c r="D29" s="906"/>
      <c r="E29" s="845">
        <v>637</v>
      </c>
      <c r="F29" s="846"/>
      <c r="G29" s="12">
        <f t="shared" si="1"/>
        <v>0</v>
      </c>
      <c r="H29" s="223"/>
      <c r="I29" s="223"/>
      <c r="J29" s="223"/>
      <c r="K29" s="223"/>
      <c r="L29" s="223"/>
      <c r="M29" s="223"/>
      <c r="N29" s="6"/>
    </row>
    <row r="30" spans="1:19" s="3" customFormat="1" ht="26.25" customHeight="1" x14ac:dyDescent="0.25">
      <c r="A30" s="14"/>
      <c r="B30" s="15"/>
      <c r="C30" s="935"/>
      <c r="D30" s="877"/>
      <c r="E30" s="845"/>
      <c r="F30" s="846"/>
      <c r="G30" s="12">
        <f t="shared" si="1"/>
        <v>0</v>
      </c>
      <c r="H30" s="223"/>
      <c r="I30" s="223"/>
      <c r="J30" s="223"/>
      <c r="K30" s="223"/>
      <c r="L30" s="223"/>
      <c r="M30" s="223"/>
      <c r="N30" s="6"/>
    </row>
    <row r="31" spans="1:19" s="3" customFormat="1" ht="26.25" customHeight="1" x14ac:dyDescent="0.25">
      <c r="A31" s="14"/>
      <c r="B31" s="15"/>
      <c r="C31" s="935"/>
      <c r="D31" s="939"/>
      <c r="E31" s="845"/>
      <c r="F31" s="846"/>
      <c r="G31" s="12">
        <f t="shared" si="1"/>
        <v>0</v>
      </c>
      <c r="H31" s="223"/>
      <c r="I31" s="223"/>
      <c r="J31" s="223"/>
      <c r="K31" s="223"/>
      <c r="L31" s="223"/>
      <c r="M31" s="223"/>
      <c r="N31" s="6"/>
    </row>
    <row r="32" spans="1:19" s="3" customFormat="1" ht="26.25" customHeight="1" x14ac:dyDescent="0.25">
      <c r="A32" s="14"/>
      <c r="B32" s="15"/>
      <c r="C32" s="935"/>
      <c r="D32" s="939"/>
      <c r="E32" s="845"/>
      <c r="F32" s="846"/>
      <c r="G32" s="12">
        <f t="shared" si="1"/>
        <v>0</v>
      </c>
      <c r="H32" s="223"/>
      <c r="I32" s="223"/>
      <c r="J32" s="223"/>
      <c r="K32" s="223"/>
      <c r="L32" s="223"/>
      <c r="M32" s="223"/>
      <c r="N32" s="6"/>
    </row>
    <row r="33" spans="1:14" s="3" customFormat="1" ht="26.25" customHeight="1" x14ac:dyDescent="0.25">
      <c r="A33" s="14"/>
      <c r="B33" s="15"/>
      <c r="C33" s="935"/>
      <c r="D33" s="939"/>
      <c r="E33" s="845"/>
      <c r="F33" s="846"/>
      <c r="G33" s="12">
        <f t="shared" si="1"/>
        <v>0</v>
      </c>
      <c r="H33" s="223"/>
      <c r="I33" s="223"/>
      <c r="J33" s="223"/>
      <c r="K33" s="223"/>
      <c r="L33" s="223"/>
      <c r="M33" s="223"/>
      <c r="N33" s="6"/>
    </row>
    <row r="34" spans="1:14" s="23" customFormat="1" ht="26.25" customHeight="1" thickBot="1" x14ac:dyDescent="0.3">
      <c r="A34" s="851" t="s">
        <v>36</v>
      </c>
      <c r="B34" s="852"/>
      <c r="C34" s="852"/>
      <c r="D34" s="852"/>
      <c r="E34" s="853">
        <f>SUM(E22:F33)</f>
        <v>2565</v>
      </c>
      <c r="F34" s="854"/>
      <c r="G34" s="20"/>
      <c r="H34" s="21"/>
      <c r="I34" s="21"/>
      <c r="J34" s="21"/>
      <c r="K34" s="21"/>
      <c r="L34" s="21"/>
      <c r="M34" s="21"/>
      <c r="N34" s="22"/>
    </row>
    <row r="35" spans="1:14" s="3" customFormat="1" ht="26.25" customHeight="1" thickTop="1" x14ac:dyDescent="0.25">
      <c r="A35" s="24"/>
      <c r="E35" s="844" t="s">
        <v>65</v>
      </c>
      <c r="F35" s="844"/>
    </row>
    <row r="36" spans="1:14" s="3" customFormat="1" ht="26.25" customHeight="1" x14ac:dyDescent="0.3">
      <c r="A36" s="25" t="s">
        <v>41</v>
      </c>
      <c r="B36" s="25"/>
      <c r="C36" s="25"/>
      <c r="D36" s="25" t="s">
        <v>81</v>
      </c>
      <c r="E36" s="25"/>
      <c r="F36" s="26"/>
      <c r="G36" s="25" t="s">
        <v>38</v>
      </c>
      <c r="H36" s="25"/>
      <c r="I36" s="25"/>
      <c r="J36" s="25"/>
      <c r="K36" s="25"/>
      <c r="L36" s="25" t="s">
        <v>39</v>
      </c>
      <c r="M36" s="28"/>
      <c r="N36" s="26"/>
    </row>
    <row r="37" spans="1:14" s="3" customFormat="1" ht="26.25" customHeight="1" x14ac:dyDescent="0.3">
      <c r="A37" s="25"/>
      <c r="B37" s="25"/>
      <c r="C37" s="25"/>
      <c r="D37" s="25"/>
      <c r="E37" s="25"/>
      <c r="F37" s="26"/>
      <c r="G37" s="25"/>
      <c r="H37" s="25"/>
      <c r="I37" s="25"/>
      <c r="J37" s="25"/>
      <c r="K37" s="25"/>
      <c r="L37" s="25"/>
      <c r="M37" s="28"/>
      <c r="N37" s="26"/>
    </row>
    <row r="38" spans="1:14" s="3" customFormat="1" ht="26.25" customHeight="1" x14ac:dyDescent="0.3">
      <c r="A38" s="25"/>
      <c r="B38" s="25"/>
      <c r="C38" s="25"/>
      <c r="D38" s="25"/>
      <c r="E38" s="25"/>
      <c r="F38" s="26"/>
      <c r="G38" s="25"/>
      <c r="H38" s="25"/>
      <c r="I38" s="25"/>
      <c r="J38" s="25"/>
      <c r="K38" s="25"/>
      <c r="L38" s="25"/>
      <c r="M38" s="28"/>
      <c r="N38" s="26"/>
    </row>
    <row r="39" spans="1:14" s="3" customFormat="1" ht="26.25" customHeight="1" x14ac:dyDescent="0.3">
      <c r="A39" s="25"/>
      <c r="B39" s="25"/>
      <c r="C39" s="25"/>
      <c r="D39" s="25"/>
      <c r="E39" s="25"/>
      <c r="F39" s="26"/>
      <c r="G39" s="25"/>
      <c r="H39" s="25"/>
      <c r="I39" s="25"/>
      <c r="J39" s="25"/>
      <c r="K39" s="25"/>
      <c r="L39" s="25"/>
      <c r="M39" s="28"/>
      <c r="N39" s="26"/>
    </row>
    <row r="40" spans="1:14" s="3" customFormat="1" ht="26.25" customHeight="1" x14ac:dyDescent="0.3">
      <c r="A40" s="29"/>
      <c r="B40" s="25"/>
      <c r="C40" s="25"/>
      <c r="D40" s="29"/>
      <c r="E40" s="29"/>
      <c r="F40" s="26"/>
      <c r="G40" s="29"/>
      <c r="H40" s="25"/>
      <c r="I40" s="25"/>
      <c r="J40" s="25"/>
      <c r="K40" s="25"/>
      <c r="L40" s="27"/>
      <c r="M40" s="28"/>
      <c r="N40" s="26"/>
    </row>
    <row r="41" spans="1:14" s="30" customFormat="1" ht="17.25" x14ac:dyDescent="0.3">
      <c r="A41" s="25" t="s">
        <v>48</v>
      </c>
      <c r="B41" s="25"/>
      <c r="C41" s="25" t="s">
        <v>80</v>
      </c>
      <c r="D41" s="25"/>
      <c r="G41" s="25" t="str">
        <f>B10</f>
        <v>Thim Tharith</v>
      </c>
      <c r="H41" s="25"/>
      <c r="I41" s="25"/>
      <c r="J41" s="25"/>
      <c r="K41" s="829" t="s">
        <v>90</v>
      </c>
      <c r="L41" s="829"/>
      <c r="M41" s="829"/>
      <c r="N41" s="829"/>
    </row>
    <row r="42" spans="1:14" s="30" customFormat="1" ht="16.5" x14ac:dyDescent="0.3">
      <c r="A42" s="32"/>
    </row>
    <row r="43" spans="1:14" s="30" customFormat="1" ht="16.5" x14ac:dyDescent="0.3">
      <c r="A43" s="32"/>
    </row>
    <row r="44" spans="1:14" s="30" customFormat="1" ht="16.5" x14ac:dyDescent="0.3">
      <c r="A44" s="32"/>
    </row>
    <row r="45" spans="1:14" s="30" customFormat="1" ht="16.5" x14ac:dyDescent="0.3">
      <c r="A45" s="32"/>
    </row>
    <row r="46" spans="1:14" s="30" customFormat="1" ht="16.5" x14ac:dyDescent="0.3">
      <c r="A46" s="32"/>
    </row>
    <row r="47" spans="1:14" s="30" customFormat="1" ht="16.5" x14ac:dyDescent="0.3">
      <c r="A47" s="32"/>
    </row>
    <row r="48" spans="1:14" s="30" customFormat="1" ht="16.5" x14ac:dyDescent="0.3">
      <c r="A48" s="32"/>
    </row>
    <row r="49" spans="1:1" s="30" customFormat="1" ht="16.5" x14ac:dyDescent="0.3">
      <c r="A49" s="32"/>
    </row>
    <row r="50" spans="1:1" s="30" customFormat="1" ht="16.5" x14ac:dyDescent="0.3">
      <c r="A50" s="32"/>
    </row>
  </sheetData>
  <mergeCells count="54">
    <mergeCell ref="A17:D17"/>
    <mergeCell ref="K17:L17"/>
    <mergeCell ref="K12:L12"/>
    <mergeCell ref="K13:L13"/>
    <mergeCell ref="K14:L14"/>
    <mergeCell ref="K15:L15"/>
    <mergeCell ref="A1:XFD7"/>
    <mergeCell ref="A8:N8"/>
    <mergeCell ref="K9:L9"/>
    <mergeCell ref="K10:L10"/>
    <mergeCell ref="K11:L11"/>
    <mergeCell ref="C10:C16"/>
    <mergeCell ref="B10:B16"/>
    <mergeCell ref="K16:L16"/>
    <mergeCell ref="O16:T16"/>
    <mergeCell ref="O13:T13"/>
    <mergeCell ref="O14:T14"/>
    <mergeCell ref="O15:S15"/>
    <mergeCell ref="A18:F18"/>
    <mergeCell ref="K18:L18"/>
    <mergeCell ref="M20:N20"/>
    <mergeCell ref="A21:F21"/>
    <mergeCell ref="C23:D23"/>
    <mergeCell ref="E23:F23"/>
    <mergeCell ref="A19:G19"/>
    <mergeCell ref="C20:D20"/>
    <mergeCell ref="E20:F20"/>
    <mergeCell ref="K20:L20"/>
    <mergeCell ref="C24:D24"/>
    <mergeCell ref="E24:F24"/>
    <mergeCell ref="C22:D22"/>
    <mergeCell ref="E22:F22"/>
    <mergeCell ref="K41:N41"/>
    <mergeCell ref="A34:D34"/>
    <mergeCell ref="E34:F34"/>
    <mergeCell ref="E28:F28"/>
    <mergeCell ref="E35:F35"/>
    <mergeCell ref="C27:D27"/>
    <mergeCell ref="E27:F27"/>
    <mergeCell ref="C32:D32"/>
    <mergeCell ref="E32:F32"/>
    <mergeCell ref="C33:D33"/>
    <mergeCell ref="E33:F33"/>
    <mergeCell ref="C29:D29"/>
    <mergeCell ref="E29:F29"/>
    <mergeCell ref="C30:D30"/>
    <mergeCell ref="E30:F30"/>
    <mergeCell ref="C31:D31"/>
    <mergeCell ref="C25:D25"/>
    <mergeCell ref="E25:F25"/>
    <mergeCell ref="E26:F26"/>
    <mergeCell ref="E31:F31"/>
    <mergeCell ref="C26:D26"/>
    <mergeCell ref="C28:D28"/>
  </mergeCells>
  <printOptions horizontalCentered="1"/>
  <pageMargins left="0.25" right="0.25" top="0.47" bottom="0.25" header="0.5" footer="0.5"/>
  <pageSetup scale="70" orientation="portrait" verticalDpi="300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9"/>
  <sheetViews>
    <sheetView zoomScale="80" workbookViewId="0">
      <pane xSplit="3" ySplit="9" topLeftCell="E10" activePane="bottomRight" state="frozen"/>
      <selection activeCell="Q11" sqref="Q11"/>
      <selection pane="topRight" activeCell="Q11" sqref="Q11"/>
      <selection pane="bottomLeft" activeCell="Q11" sqref="Q11"/>
      <selection pane="bottomRight" activeCell="B24" sqref="B24"/>
    </sheetView>
  </sheetViews>
  <sheetFormatPr defaultRowHeight="13.5" x14ac:dyDescent="0.25"/>
  <cols>
    <col min="1" max="1" width="14.140625" style="33" customWidth="1"/>
    <col min="2" max="2" width="16.85546875" style="1" customWidth="1"/>
    <col min="3" max="3" width="5.5703125" style="1" customWidth="1"/>
    <col min="4" max="4" width="25.140625" style="1" customWidth="1"/>
    <col min="5" max="5" width="6.5703125" style="1" customWidth="1"/>
    <col min="6" max="6" width="11.28515625" style="1" customWidth="1"/>
    <col min="7" max="7" width="16.42578125" style="1" customWidth="1"/>
    <col min="8" max="8" width="3.7109375" style="1" customWidth="1"/>
    <col min="9" max="9" width="3.85546875" style="1" customWidth="1"/>
    <col min="10" max="10" width="5.140625" style="1" customWidth="1"/>
    <col min="11" max="11" width="5.85546875" style="1" customWidth="1"/>
    <col min="12" max="12" width="6.5703125" style="1" customWidth="1"/>
    <col min="13" max="13" width="16.85546875" style="1" customWidth="1"/>
    <col min="14" max="14" width="10.5703125" style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66" customFormat="1" ht="15" x14ac:dyDescent="0.25"/>
    <row r="2" spans="1:18" s="866" customFormat="1" ht="15" x14ac:dyDescent="0.25"/>
    <row r="3" spans="1:18" s="866" customFormat="1" ht="15" x14ac:dyDescent="0.25"/>
    <row r="4" spans="1:18" s="866" customFormat="1" ht="15" x14ac:dyDescent="0.25"/>
    <row r="5" spans="1:18" s="866" customFormat="1" ht="15" x14ac:dyDescent="0.25"/>
    <row r="6" spans="1:18" s="866" customFormat="1" ht="15" x14ac:dyDescent="0.25"/>
    <row r="7" spans="1:18" s="866" customFormat="1" ht="15.75" thickBot="1" x14ac:dyDescent="0.3"/>
    <row r="8" spans="1:18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8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8" s="59" customFormat="1" ht="26.25" customHeight="1" x14ac:dyDescent="0.25">
      <c r="A10" s="102">
        <v>1</v>
      </c>
      <c r="B10" s="295" t="s">
        <v>124</v>
      </c>
      <c r="C10" s="890" t="s">
        <v>31</v>
      </c>
      <c r="D10" s="51" t="s">
        <v>125</v>
      </c>
      <c r="E10" s="226">
        <f>24+8+13</f>
        <v>45</v>
      </c>
      <c r="F10" s="55"/>
      <c r="G10" s="56">
        <v>600</v>
      </c>
      <c r="H10" s="226"/>
      <c r="I10" s="878" t="s">
        <v>126</v>
      </c>
      <c r="J10" s="879"/>
      <c r="K10" s="878" t="s">
        <v>42</v>
      </c>
      <c r="L10" s="879"/>
      <c r="M10" s="57">
        <v>41503</v>
      </c>
      <c r="N10" s="58"/>
      <c r="O10" s="931" t="s">
        <v>131</v>
      </c>
      <c r="P10" s="932"/>
      <c r="Q10" s="932"/>
      <c r="R10" s="932"/>
    </row>
    <row r="11" spans="1:18" s="59" customFormat="1" ht="26.25" customHeight="1" x14ac:dyDescent="0.25">
      <c r="A11" s="90"/>
      <c r="B11" s="296"/>
      <c r="C11" s="891"/>
      <c r="D11" s="79"/>
      <c r="E11" s="80"/>
      <c r="F11" s="55"/>
      <c r="G11" s="56">
        <f>E11*F11</f>
        <v>0</v>
      </c>
      <c r="H11" s="80"/>
      <c r="I11" s="80"/>
      <c r="J11" s="80"/>
      <c r="K11" s="878"/>
      <c r="L11" s="879"/>
      <c r="M11" s="83"/>
      <c r="N11" s="84"/>
    </row>
    <row r="12" spans="1:18" s="59" customFormat="1" ht="26.25" customHeight="1" x14ac:dyDescent="0.25">
      <c r="A12" s="102"/>
      <c r="B12" s="296"/>
      <c r="C12" s="891"/>
      <c r="D12" s="79"/>
      <c r="E12" s="80"/>
      <c r="F12" s="55"/>
      <c r="G12" s="82"/>
      <c r="H12" s="80"/>
      <c r="I12" s="80"/>
      <c r="J12" s="80"/>
      <c r="K12" s="876"/>
      <c r="L12" s="877"/>
      <c r="M12" s="83"/>
      <c r="N12" s="84"/>
    </row>
    <row r="13" spans="1:18" s="59" customFormat="1" ht="26.25" customHeight="1" x14ac:dyDescent="0.25">
      <c r="A13" s="90"/>
      <c r="B13" s="296"/>
      <c r="C13" s="891"/>
      <c r="D13" s="79"/>
      <c r="E13" s="80"/>
      <c r="F13" s="55"/>
      <c r="G13" s="82"/>
      <c r="H13" s="80"/>
      <c r="I13" s="80"/>
      <c r="J13" s="80"/>
      <c r="K13" s="876"/>
      <c r="L13" s="877"/>
      <c r="M13" s="83"/>
      <c r="N13" s="84"/>
    </row>
    <row r="14" spans="1:18" s="59" customFormat="1" ht="26.25" customHeight="1" x14ac:dyDescent="0.25">
      <c r="A14" s="102"/>
      <c r="B14" s="296"/>
      <c r="C14" s="891"/>
      <c r="D14" s="79"/>
      <c r="E14" s="80"/>
      <c r="F14" s="55"/>
      <c r="G14" s="82"/>
      <c r="H14" s="80"/>
      <c r="I14" s="80"/>
      <c r="J14" s="80"/>
      <c r="K14" s="876"/>
      <c r="L14" s="877"/>
      <c r="M14" s="83"/>
      <c r="N14" s="84"/>
    </row>
    <row r="15" spans="1:18" s="59" customFormat="1" ht="26.25" customHeight="1" x14ac:dyDescent="0.25">
      <c r="A15" s="102"/>
      <c r="B15" s="297"/>
      <c r="C15" s="892"/>
      <c r="D15" s="77"/>
      <c r="E15" s="80"/>
      <c r="F15" s="81"/>
      <c r="G15" s="82"/>
      <c r="H15" s="80"/>
      <c r="I15" s="80"/>
      <c r="J15" s="80"/>
      <c r="K15" s="876"/>
      <c r="L15" s="877"/>
      <c r="M15" s="83"/>
      <c r="N15" s="84"/>
    </row>
    <row r="16" spans="1:18" s="59" customFormat="1" ht="26.25" customHeight="1" x14ac:dyDescent="0.25">
      <c r="A16" s="925" t="s">
        <v>11</v>
      </c>
      <c r="B16" s="926"/>
      <c r="C16" s="926"/>
      <c r="D16" s="926"/>
      <c r="E16" s="228">
        <f>SUM(E10:E15)</f>
        <v>45</v>
      </c>
      <c r="F16" s="76"/>
      <c r="G16" s="62">
        <f>SUM(G10:G15)</f>
        <v>600</v>
      </c>
      <c r="H16" s="227"/>
      <c r="I16" s="227"/>
      <c r="J16" s="227"/>
      <c r="K16" s="876"/>
      <c r="L16" s="877"/>
      <c r="M16" s="227"/>
      <c r="N16" s="63"/>
    </row>
    <row r="17" spans="1:14" s="59" customFormat="1" ht="26.25" customHeight="1" x14ac:dyDescent="0.25">
      <c r="A17" s="897" t="s">
        <v>24</v>
      </c>
      <c r="B17" s="898"/>
      <c r="C17" s="898"/>
      <c r="D17" s="898"/>
      <c r="E17" s="898"/>
      <c r="F17" s="898"/>
      <c r="G17" s="64">
        <f>G16</f>
        <v>600</v>
      </c>
      <c r="H17" s="229"/>
      <c r="I17" s="229"/>
      <c r="J17" s="229"/>
      <c r="K17" s="859"/>
      <c r="L17" s="860"/>
      <c r="M17" s="229"/>
      <c r="N17" s="66"/>
    </row>
    <row r="18" spans="1:14" s="48" customFormat="1" ht="26.25" customHeight="1" x14ac:dyDescent="0.25">
      <c r="A18" s="899" t="s">
        <v>32</v>
      </c>
      <c r="B18" s="900"/>
      <c r="C18" s="900"/>
      <c r="D18" s="900"/>
      <c r="E18" s="900"/>
      <c r="F18" s="900"/>
      <c r="G18" s="900"/>
      <c r="H18" s="67"/>
      <c r="I18" s="67"/>
      <c r="J18" s="68" t="s">
        <v>44</v>
      </c>
      <c r="K18" s="67"/>
      <c r="L18" s="68"/>
      <c r="M18" s="69"/>
      <c r="N18" s="70"/>
    </row>
    <row r="19" spans="1:14" s="48" customFormat="1" ht="22.5" customHeight="1" thickBot="1" x14ac:dyDescent="0.3">
      <c r="A19" s="72" t="s">
        <v>5</v>
      </c>
      <c r="B19" s="71" t="s">
        <v>33</v>
      </c>
      <c r="C19" s="857" t="s">
        <v>21</v>
      </c>
      <c r="D19" s="858"/>
      <c r="E19" s="857" t="s">
        <v>34</v>
      </c>
      <c r="F19" s="858"/>
      <c r="G19" s="71" t="s">
        <v>0</v>
      </c>
      <c r="H19" s="71" t="s">
        <v>96</v>
      </c>
      <c r="I19" s="71" t="s">
        <v>26</v>
      </c>
      <c r="J19" s="71" t="s">
        <v>27</v>
      </c>
      <c r="K19" s="863" t="s">
        <v>28</v>
      </c>
      <c r="L19" s="857"/>
      <c r="M19" s="901" t="s">
        <v>50</v>
      </c>
      <c r="N19" s="902"/>
    </row>
    <row r="20" spans="1:14" s="3" customFormat="1" ht="26.25" customHeight="1" x14ac:dyDescent="0.25">
      <c r="A20" s="861" t="s">
        <v>35</v>
      </c>
      <c r="B20" s="862"/>
      <c r="C20" s="862"/>
      <c r="D20" s="862"/>
      <c r="E20" s="862"/>
      <c r="F20" s="862"/>
      <c r="G20" s="7">
        <f>G17</f>
        <v>600</v>
      </c>
      <c r="H20" s="8"/>
      <c r="I20" s="8"/>
      <c r="J20" s="8"/>
      <c r="K20" s="8"/>
      <c r="L20" s="8"/>
      <c r="M20" s="8"/>
      <c r="N20" s="9"/>
    </row>
    <row r="21" spans="1:14" s="3" customFormat="1" ht="26.25" customHeight="1" x14ac:dyDescent="0.25">
      <c r="A21" s="14" t="s">
        <v>564</v>
      </c>
      <c r="B21" s="15">
        <v>41771</v>
      </c>
      <c r="C21" s="841"/>
      <c r="D21" s="841"/>
      <c r="E21" s="855">
        <v>600</v>
      </c>
      <c r="F21" s="855"/>
      <c r="G21" s="12">
        <f>G20-E21</f>
        <v>0</v>
      </c>
      <c r="H21" s="220"/>
      <c r="I21" s="220"/>
      <c r="J21" s="220"/>
      <c r="K21" s="220"/>
      <c r="L21" s="220"/>
      <c r="M21" s="220"/>
      <c r="N21" s="13"/>
    </row>
    <row r="22" spans="1:14" s="3" customFormat="1" ht="26.25" customHeight="1" x14ac:dyDescent="0.25">
      <c r="A22" s="14"/>
      <c r="B22" s="15"/>
      <c r="C22" s="933"/>
      <c r="D22" s="934"/>
      <c r="E22" s="856"/>
      <c r="F22" s="856"/>
      <c r="G22" s="12">
        <f t="shared" ref="G22:G32" si="0">G21-E22</f>
        <v>0</v>
      </c>
      <c r="H22" s="223"/>
      <c r="I22" s="223"/>
      <c r="J22" s="223"/>
      <c r="K22" s="223"/>
      <c r="L22" s="223"/>
      <c r="M22" s="223"/>
      <c r="N22" s="6"/>
    </row>
    <row r="23" spans="1:14" s="3" customFormat="1" ht="26.25" customHeight="1" x14ac:dyDescent="0.25">
      <c r="A23" s="14"/>
      <c r="B23" s="15"/>
      <c r="C23" s="933"/>
      <c r="D23" s="934"/>
      <c r="E23" s="856"/>
      <c r="F23" s="856"/>
      <c r="G23" s="12">
        <f t="shared" si="0"/>
        <v>0</v>
      </c>
      <c r="H23" s="223"/>
      <c r="I23" s="223"/>
      <c r="J23" s="223"/>
      <c r="K23" s="223"/>
      <c r="L23" s="223"/>
      <c r="M23" s="223"/>
      <c r="N23" s="6"/>
    </row>
    <row r="24" spans="1:14" s="3" customFormat="1" ht="26.25" customHeight="1" x14ac:dyDescent="0.25">
      <c r="A24" s="14"/>
      <c r="B24" s="15"/>
      <c r="C24" s="933"/>
      <c r="D24" s="934"/>
      <c r="E24" s="845"/>
      <c r="F24" s="846"/>
      <c r="G24" s="12">
        <f t="shared" si="0"/>
        <v>0</v>
      </c>
      <c r="H24" s="223"/>
      <c r="I24" s="223"/>
      <c r="J24" s="223"/>
      <c r="K24" s="223"/>
      <c r="L24" s="223"/>
      <c r="M24" s="223"/>
      <c r="N24" s="6"/>
    </row>
    <row r="25" spans="1:14" s="3" customFormat="1" ht="26.25" customHeight="1" x14ac:dyDescent="0.25">
      <c r="A25" s="14"/>
      <c r="B25" s="15"/>
      <c r="C25" s="933"/>
      <c r="D25" s="934"/>
      <c r="E25" s="842"/>
      <c r="F25" s="843"/>
      <c r="G25" s="12">
        <f t="shared" si="0"/>
        <v>0</v>
      </c>
      <c r="H25" s="223"/>
      <c r="I25" s="223"/>
      <c r="J25" s="223"/>
      <c r="K25" s="223"/>
      <c r="L25" s="223"/>
      <c r="M25" s="223"/>
      <c r="N25" s="6"/>
    </row>
    <row r="26" spans="1:14" s="3" customFormat="1" ht="26.25" customHeight="1" x14ac:dyDescent="0.25">
      <c r="A26" s="14"/>
      <c r="B26" s="15"/>
      <c r="C26" s="935"/>
      <c r="D26" s="877"/>
      <c r="E26" s="845"/>
      <c r="F26" s="846"/>
      <c r="G26" s="12">
        <f t="shared" si="0"/>
        <v>0</v>
      </c>
      <c r="H26" s="223"/>
      <c r="I26" s="223"/>
      <c r="J26" s="223"/>
      <c r="K26" s="223"/>
      <c r="L26" s="223"/>
      <c r="M26" s="223"/>
      <c r="N26" s="6"/>
    </row>
    <row r="27" spans="1:14" s="3" customFormat="1" ht="26.25" customHeight="1" x14ac:dyDescent="0.25">
      <c r="A27" s="14"/>
      <c r="B27" s="15"/>
      <c r="C27" s="935"/>
      <c r="D27" s="877"/>
      <c r="E27" s="845"/>
      <c r="F27" s="846"/>
      <c r="G27" s="12">
        <f t="shared" si="0"/>
        <v>0</v>
      </c>
      <c r="H27" s="223"/>
      <c r="I27" s="223"/>
      <c r="J27" s="223"/>
      <c r="K27" s="223"/>
      <c r="L27" s="223"/>
      <c r="M27" s="223"/>
      <c r="N27" s="6"/>
    </row>
    <row r="28" spans="1:14" s="3" customFormat="1" ht="26.25" customHeight="1" x14ac:dyDescent="0.25">
      <c r="A28" s="14"/>
      <c r="B28" s="15"/>
      <c r="C28" s="935"/>
      <c r="D28" s="877"/>
      <c r="E28" s="845"/>
      <c r="F28" s="846"/>
      <c r="G28" s="12">
        <f t="shared" si="0"/>
        <v>0</v>
      </c>
      <c r="H28" s="223"/>
      <c r="I28" s="223"/>
      <c r="J28" s="223"/>
      <c r="K28" s="223"/>
      <c r="L28" s="223"/>
      <c r="M28" s="223"/>
      <c r="N28" s="6"/>
    </row>
    <row r="29" spans="1:14" s="3" customFormat="1" ht="26.25" customHeight="1" x14ac:dyDescent="0.25">
      <c r="A29" s="14"/>
      <c r="B29" s="15"/>
      <c r="C29" s="935"/>
      <c r="D29" s="877"/>
      <c r="E29" s="845"/>
      <c r="F29" s="846"/>
      <c r="G29" s="12">
        <f t="shared" si="0"/>
        <v>0</v>
      </c>
      <c r="H29" s="223"/>
      <c r="I29" s="223"/>
      <c r="J29" s="223"/>
      <c r="K29" s="223"/>
      <c r="L29" s="223"/>
      <c r="M29" s="223"/>
      <c r="N29" s="6"/>
    </row>
    <row r="30" spans="1:14" s="3" customFormat="1" ht="26.25" customHeight="1" x14ac:dyDescent="0.25">
      <c r="A30" s="14"/>
      <c r="B30" s="15"/>
      <c r="C30" s="935"/>
      <c r="D30" s="939"/>
      <c r="E30" s="845"/>
      <c r="F30" s="846"/>
      <c r="G30" s="12">
        <f t="shared" si="0"/>
        <v>0</v>
      </c>
      <c r="H30" s="223"/>
      <c r="I30" s="223"/>
      <c r="J30" s="223"/>
      <c r="K30" s="223"/>
      <c r="L30" s="223"/>
      <c r="M30" s="223"/>
      <c r="N30" s="6"/>
    </row>
    <row r="31" spans="1:14" s="3" customFormat="1" ht="26.25" customHeight="1" x14ac:dyDescent="0.25">
      <c r="A31" s="14"/>
      <c r="B31" s="15"/>
      <c r="C31" s="935"/>
      <c r="D31" s="939"/>
      <c r="E31" s="845"/>
      <c r="F31" s="846"/>
      <c r="G31" s="12">
        <f t="shared" si="0"/>
        <v>0</v>
      </c>
      <c r="H31" s="223"/>
      <c r="I31" s="223"/>
      <c r="J31" s="223"/>
      <c r="K31" s="223"/>
      <c r="L31" s="223"/>
      <c r="M31" s="223"/>
      <c r="N31" s="6"/>
    </row>
    <row r="32" spans="1:14" s="3" customFormat="1" ht="26.25" customHeight="1" x14ac:dyDescent="0.25">
      <c r="A32" s="14"/>
      <c r="B32" s="15"/>
      <c r="C32" s="935"/>
      <c r="D32" s="939"/>
      <c r="E32" s="845"/>
      <c r="F32" s="846"/>
      <c r="G32" s="12">
        <f t="shared" si="0"/>
        <v>0</v>
      </c>
      <c r="H32" s="223"/>
      <c r="I32" s="223"/>
      <c r="J32" s="223"/>
      <c r="K32" s="223"/>
      <c r="L32" s="223"/>
      <c r="M32" s="223"/>
      <c r="N32" s="6"/>
    </row>
    <row r="33" spans="1:14" s="23" customFormat="1" ht="26.25" customHeight="1" thickBot="1" x14ac:dyDescent="0.3">
      <c r="A33" s="851" t="s">
        <v>36</v>
      </c>
      <c r="B33" s="852"/>
      <c r="C33" s="852"/>
      <c r="D33" s="852"/>
      <c r="E33" s="853">
        <f>SUM(E21:F32)</f>
        <v>600</v>
      </c>
      <c r="F33" s="854"/>
      <c r="G33" s="20"/>
      <c r="H33" s="21"/>
      <c r="I33" s="21"/>
      <c r="J33" s="21"/>
      <c r="K33" s="21"/>
      <c r="L33" s="21"/>
      <c r="M33" s="21"/>
      <c r="N33" s="22"/>
    </row>
    <row r="34" spans="1:14" s="3" customFormat="1" ht="26.25" customHeight="1" thickTop="1" x14ac:dyDescent="0.25">
      <c r="A34" s="24"/>
      <c r="E34" s="844" t="s">
        <v>65</v>
      </c>
      <c r="F34" s="844"/>
    </row>
    <row r="35" spans="1:14" s="3" customFormat="1" ht="26.25" customHeight="1" x14ac:dyDescent="0.3">
      <c r="A35" s="25" t="s">
        <v>41</v>
      </c>
      <c r="B35" s="25"/>
      <c r="C35" s="25"/>
      <c r="D35" s="25" t="s">
        <v>81</v>
      </c>
      <c r="E35" s="25"/>
      <c r="F35" s="26"/>
      <c r="G35" s="25" t="s">
        <v>38</v>
      </c>
      <c r="H35" s="25"/>
      <c r="I35" s="25"/>
      <c r="J35" s="25"/>
      <c r="K35" s="25"/>
      <c r="L35" s="25" t="s">
        <v>39</v>
      </c>
      <c r="M35" s="28"/>
      <c r="N35" s="26"/>
    </row>
    <row r="36" spans="1:14" s="3" customFormat="1" ht="26.25" customHeight="1" x14ac:dyDescent="0.3">
      <c r="A36" s="25"/>
      <c r="B36" s="25"/>
      <c r="C36" s="25"/>
      <c r="D36" s="25"/>
      <c r="E36" s="25"/>
      <c r="F36" s="26"/>
      <c r="G36" s="25"/>
      <c r="H36" s="25"/>
      <c r="I36" s="25"/>
      <c r="J36" s="25"/>
      <c r="K36" s="25"/>
      <c r="L36" s="25"/>
      <c r="M36" s="28"/>
      <c r="N36" s="26"/>
    </row>
    <row r="37" spans="1:14" s="3" customFormat="1" ht="26.25" customHeight="1" x14ac:dyDescent="0.3">
      <c r="A37" s="25"/>
      <c r="B37" s="25"/>
      <c r="C37" s="25"/>
      <c r="D37" s="25"/>
      <c r="E37" s="25"/>
      <c r="F37" s="26"/>
      <c r="G37" s="25"/>
      <c r="H37" s="25"/>
      <c r="I37" s="25"/>
      <c r="J37" s="25"/>
      <c r="K37" s="25"/>
      <c r="L37" s="25"/>
      <c r="M37" s="28"/>
      <c r="N37" s="26"/>
    </row>
    <row r="38" spans="1:14" s="3" customFormat="1" ht="26.25" customHeight="1" x14ac:dyDescent="0.3">
      <c r="A38" s="25"/>
      <c r="B38" s="25"/>
      <c r="C38" s="25"/>
      <c r="D38" s="25"/>
      <c r="E38" s="25"/>
      <c r="F38" s="26"/>
      <c r="G38" s="25"/>
      <c r="H38" s="25"/>
      <c r="I38" s="25"/>
      <c r="J38" s="25"/>
      <c r="K38" s="25"/>
      <c r="L38" s="25"/>
      <c r="M38" s="28"/>
      <c r="N38" s="26"/>
    </row>
    <row r="39" spans="1:14" s="3" customFormat="1" ht="26.25" customHeight="1" x14ac:dyDescent="0.3">
      <c r="A39" s="29"/>
      <c r="B39" s="25"/>
      <c r="C39" s="25"/>
      <c r="D39" s="29"/>
      <c r="E39" s="29"/>
      <c r="F39" s="26"/>
      <c r="G39" s="29"/>
      <c r="H39" s="25"/>
      <c r="I39" s="25"/>
      <c r="J39" s="25"/>
      <c r="K39" s="25"/>
      <c r="L39" s="27"/>
      <c r="M39" s="28"/>
      <c r="N39" s="26"/>
    </row>
    <row r="40" spans="1:14" s="30" customFormat="1" ht="17.25" x14ac:dyDescent="0.3">
      <c r="A40" s="25" t="s">
        <v>48</v>
      </c>
      <c r="B40" s="25"/>
      <c r="C40" s="25" t="s">
        <v>80</v>
      </c>
      <c r="D40" s="25"/>
      <c r="G40" s="25" t="str">
        <f>B10</f>
        <v>Tek Vannara</v>
      </c>
      <c r="H40" s="25"/>
      <c r="I40" s="25"/>
      <c r="J40" s="25"/>
      <c r="K40" s="829" t="s">
        <v>90</v>
      </c>
      <c r="L40" s="829"/>
      <c r="M40" s="829"/>
      <c r="N40" s="829"/>
    </row>
    <row r="41" spans="1:14" s="30" customFormat="1" ht="16.5" x14ac:dyDescent="0.3">
      <c r="A41" s="32"/>
    </row>
    <row r="42" spans="1:14" s="30" customFormat="1" ht="16.5" x14ac:dyDescent="0.3">
      <c r="A42" s="32"/>
    </row>
    <row r="43" spans="1:14" s="30" customFormat="1" ht="16.5" x14ac:dyDescent="0.3">
      <c r="A43" s="32"/>
    </row>
    <row r="44" spans="1:14" s="30" customFormat="1" ht="16.5" x14ac:dyDescent="0.3">
      <c r="A44" s="32"/>
    </row>
    <row r="45" spans="1:14" s="30" customFormat="1" ht="16.5" x14ac:dyDescent="0.3">
      <c r="A45" s="32"/>
    </row>
    <row r="46" spans="1:14" s="30" customFormat="1" ht="16.5" x14ac:dyDescent="0.3">
      <c r="A46" s="32"/>
    </row>
    <row r="47" spans="1:14" s="30" customFormat="1" ht="16.5" x14ac:dyDescent="0.3">
      <c r="A47" s="32"/>
    </row>
    <row r="48" spans="1:14" s="30" customFormat="1" ht="16.5" x14ac:dyDescent="0.3">
      <c r="A48" s="32"/>
    </row>
    <row r="49" spans="1:1" s="30" customFormat="1" ht="16.5" x14ac:dyDescent="0.3">
      <c r="A49" s="32"/>
    </row>
  </sheetData>
  <mergeCells count="50">
    <mergeCell ref="A1:XFD7"/>
    <mergeCell ref="A8:N8"/>
    <mergeCell ref="K9:L9"/>
    <mergeCell ref="C10:C15"/>
    <mergeCell ref="K10:L10"/>
    <mergeCell ref="K11:L11"/>
    <mergeCell ref="K12:L12"/>
    <mergeCell ref="K13:L13"/>
    <mergeCell ref="K14:L14"/>
    <mergeCell ref="O10:R10"/>
    <mergeCell ref="K15:L15"/>
    <mergeCell ref="I10:J10"/>
    <mergeCell ref="K16:L16"/>
    <mergeCell ref="A17:F17"/>
    <mergeCell ref="K17:L17"/>
    <mergeCell ref="M19:N19"/>
    <mergeCell ref="A20:F20"/>
    <mergeCell ref="A18:G18"/>
    <mergeCell ref="C19:D19"/>
    <mergeCell ref="E19:F19"/>
    <mergeCell ref="K19:L19"/>
    <mergeCell ref="A16:D16"/>
    <mergeCell ref="C22:D22"/>
    <mergeCell ref="E22:F22"/>
    <mergeCell ref="C23:D23"/>
    <mergeCell ref="E23:F23"/>
    <mergeCell ref="C21:D21"/>
    <mergeCell ref="E21:F21"/>
    <mergeCell ref="C24:D24"/>
    <mergeCell ref="E24:F24"/>
    <mergeCell ref="C25:D25"/>
    <mergeCell ref="E25:F25"/>
    <mergeCell ref="C26:D26"/>
    <mergeCell ref="E26:F26"/>
    <mergeCell ref="C27:D27"/>
    <mergeCell ref="E27:F27"/>
    <mergeCell ref="E34:F34"/>
    <mergeCell ref="K40:N40"/>
    <mergeCell ref="A33:D33"/>
    <mergeCell ref="E33:F33"/>
    <mergeCell ref="C31:D31"/>
    <mergeCell ref="E31:F31"/>
    <mergeCell ref="C32:D32"/>
    <mergeCell ref="E32:F32"/>
    <mergeCell ref="C28:D28"/>
    <mergeCell ref="E28:F28"/>
    <mergeCell ref="C29:D29"/>
    <mergeCell ref="E29:F29"/>
    <mergeCell ref="C30:D30"/>
    <mergeCell ref="E30:F30"/>
  </mergeCells>
  <printOptions horizontalCentered="1"/>
  <pageMargins left="0.25" right="0.25" top="0.47" bottom="0.25" header="0.5" footer="0.5"/>
  <pageSetup scale="70" orientation="portrait" verticalDpi="300" r:id="rId1"/>
  <headerFooter alignWithMargins="0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9"/>
  <sheetViews>
    <sheetView zoomScale="80" workbookViewId="0">
      <pane xSplit="3" ySplit="9" topLeftCell="D10" activePane="bottomRight" state="frozen"/>
      <selection activeCell="Q11" sqref="Q11"/>
      <selection pane="topRight" activeCell="Q11" sqref="Q11"/>
      <selection pane="bottomLeft" activeCell="Q11" sqref="Q11"/>
      <selection pane="bottomRight" activeCell="A18" sqref="A18:G18"/>
    </sheetView>
  </sheetViews>
  <sheetFormatPr defaultRowHeight="13.5" x14ac:dyDescent="0.25"/>
  <cols>
    <col min="1" max="1" width="14.140625" style="33" customWidth="1"/>
    <col min="2" max="2" width="16.85546875" style="1" customWidth="1"/>
    <col min="3" max="3" width="5.5703125" style="1" customWidth="1"/>
    <col min="4" max="4" width="25.140625" style="1" customWidth="1"/>
    <col min="5" max="5" width="8.42578125" style="1" customWidth="1"/>
    <col min="6" max="6" width="8.5703125" style="1" customWidth="1"/>
    <col min="7" max="7" width="16.42578125" style="1" customWidth="1"/>
    <col min="8" max="8" width="3.7109375" style="1" customWidth="1"/>
    <col min="9" max="9" width="3.85546875" style="1" customWidth="1"/>
    <col min="10" max="10" width="5.140625" style="1" customWidth="1"/>
    <col min="11" max="11" width="5.85546875" style="1" customWidth="1"/>
    <col min="12" max="12" width="6.5703125" style="1" customWidth="1"/>
    <col min="13" max="13" width="11.85546875" style="1" customWidth="1"/>
    <col min="14" max="14" width="10.5703125" style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66" customFormat="1" ht="15" x14ac:dyDescent="0.25"/>
    <row r="2" spans="1:18" s="866" customFormat="1" ht="15" x14ac:dyDescent="0.25"/>
    <row r="3" spans="1:18" s="866" customFormat="1" ht="15" x14ac:dyDescent="0.25"/>
    <row r="4" spans="1:18" s="866" customFormat="1" ht="15" x14ac:dyDescent="0.25"/>
    <row r="5" spans="1:18" s="866" customFormat="1" ht="15" x14ac:dyDescent="0.25"/>
    <row r="6" spans="1:18" s="866" customFormat="1" ht="15" x14ac:dyDescent="0.25"/>
    <row r="7" spans="1:18" s="866" customFormat="1" ht="15.75" thickBot="1" x14ac:dyDescent="0.3"/>
    <row r="8" spans="1:18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8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25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8" s="59" customFormat="1" ht="26.25" customHeight="1" x14ac:dyDescent="0.25">
      <c r="A10" s="102">
        <v>1</v>
      </c>
      <c r="B10" s="295" t="s">
        <v>4</v>
      </c>
      <c r="C10" s="890" t="s">
        <v>31</v>
      </c>
      <c r="D10" s="51" t="s">
        <v>127</v>
      </c>
      <c r="E10" s="226">
        <f>4+7+4</f>
        <v>15</v>
      </c>
      <c r="F10" s="55">
        <v>4</v>
      </c>
      <c r="G10" s="56">
        <f>E10*F10</f>
        <v>60</v>
      </c>
      <c r="H10" s="226"/>
      <c r="I10" s="878" t="s">
        <v>128</v>
      </c>
      <c r="J10" s="879"/>
      <c r="K10" s="878" t="s">
        <v>74</v>
      </c>
      <c r="L10" s="879"/>
      <c r="M10" s="57">
        <v>41501</v>
      </c>
      <c r="N10" s="58"/>
      <c r="O10" s="931" t="s">
        <v>134</v>
      </c>
      <c r="P10" s="932"/>
      <c r="Q10" s="932"/>
      <c r="R10" s="932"/>
    </row>
    <row r="11" spans="1:18" s="59" customFormat="1" ht="26.25" customHeight="1" x14ac:dyDescent="0.25">
      <c r="A11" s="90"/>
      <c r="B11" s="296"/>
      <c r="C11" s="891"/>
      <c r="D11" s="79" t="s">
        <v>318</v>
      </c>
      <c r="E11" s="80">
        <f>6+5+10</f>
        <v>21</v>
      </c>
      <c r="F11" s="55">
        <v>4</v>
      </c>
      <c r="G11" s="56">
        <f t="shared" ref="G11:G12" si="0">E11*F11</f>
        <v>84</v>
      </c>
      <c r="H11" s="80" t="s">
        <v>317</v>
      </c>
      <c r="I11" s="872" t="s">
        <v>128</v>
      </c>
      <c r="J11" s="873"/>
      <c r="K11" s="876" t="s">
        <v>308</v>
      </c>
      <c r="L11" s="877"/>
      <c r="M11" s="83">
        <v>41589</v>
      </c>
      <c r="N11" s="84"/>
    </row>
    <row r="12" spans="1:18" s="59" customFormat="1" ht="26.25" customHeight="1" x14ac:dyDescent="0.25">
      <c r="A12" s="102"/>
      <c r="B12" s="296"/>
      <c r="C12" s="891"/>
      <c r="D12" s="79" t="s">
        <v>318</v>
      </c>
      <c r="E12" s="80">
        <f>8+11</f>
        <v>19</v>
      </c>
      <c r="F12" s="55">
        <v>4</v>
      </c>
      <c r="G12" s="56">
        <f t="shared" si="0"/>
        <v>76</v>
      </c>
      <c r="H12" s="80" t="s">
        <v>317</v>
      </c>
      <c r="I12" s="878" t="s">
        <v>128</v>
      </c>
      <c r="J12" s="879"/>
      <c r="K12" s="876" t="s">
        <v>74</v>
      </c>
      <c r="L12" s="877"/>
      <c r="M12" s="83">
        <v>41589</v>
      </c>
      <c r="N12" s="84"/>
    </row>
    <row r="13" spans="1:18" s="59" customFormat="1" ht="26.25" customHeight="1" x14ac:dyDescent="0.25">
      <c r="A13" s="90"/>
      <c r="B13" s="296"/>
      <c r="C13" s="891"/>
      <c r="D13" s="79"/>
      <c r="E13" s="80"/>
      <c r="F13" s="55"/>
      <c r="G13" s="82"/>
      <c r="H13" s="80"/>
      <c r="I13" s="80"/>
      <c r="J13" s="80"/>
      <c r="K13" s="876"/>
      <c r="L13" s="877"/>
      <c r="M13" s="83"/>
      <c r="N13" s="84"/>
    </row>
    <row r="14" spans="1:18" s="59" customFormat="1" ht="26.25" customHeight="1" x14ac:dyDescent="0.25">
      <c r="A14" s="102"/>
      <c r="B14" s="296"/>
      <c r="C14" s="891"/>
      <c r="D14" s="79"/>
      <c r="E14" s="80"/>
      <c r="F14" s="55"/>
      <c r="G14" s="82"/>
      <c r="H14" s="80"/>
      <c r="I14" s="80"/>
      <c r="J14" s="80"/>
      <c r="K14" s="876"/>
      <c r="L14" s="877"/>
      <c r="M14" s="83"/>
      <c r="N14" s="84"/>
    </row>
    <row r="15" spans="1:18" s="59" customFormat="1" ht="26.25" customHeight="1" x14ac:dyDescent="0.25">
      <c r="A15" s="102"/>
      <c r="B15" s="297"/>
      <c r="C15" s="892"/>
      <c r="D15" s="77"/>
      <c r="E15" s="80"/>
      <c r="F15" s="81"/>
      <c r="G15" s="82"/>
      <c r="H15" s="80"/>
      <c r="I15" s="80"/>
      <c r="J15" s="80"/>
      <c r="K15" s="876"/>
      <c r="L15" s="877"/>
      <c r="M15" s="83"/>
      <c r="N15" s="84"/>
    </row>
    <row r="16" spans="1:18" s="59" customFormat="1" ht="26.25" customHeight="1" x14ac:dyDescent="0.25">
      <c r="A16" s="925" t="s">
        <v>11</v>
      </c>
      <c r="B16" s="926"/>
      <c r="C16" s="926"/>
      <c r="D16" s="926"/>
      <c r="E16" s="228">
        <f>SUM(E10:E15)</f>
        <v>55</v>
      </c>
      <c r="F16" s="76"/>
      <c r="G16" s="62">
        <f>SUM(G10:G15)</f>
        <v>220</v>
      </c>
      <c r="H16" s="227"/>
      <c r="I16" s="227"/>
      <c r="J16" s="227"/>
      <c r="K16" s="876"/>
      <c r="L16" s="877"/>
      <c r="M16" s="227"/>
      <c r="N16" s="63"/>
    </row>
    <row r="17" spans="1:14" s="59" customFormat="1" ht="26.25" customHeight="1" x14ac:dyDescent="0.25">
      <c r="A17" s="897" t="s">
        <v>24</v>
      </c>
      <c r="B17" s="898"/>
      <c r="C17" s="898"/>
      <c r="D17" s="898"/>
      <c r="E17" s="898"/>
      <c r="F17" s="898"/>
      <c r="G17" s="64">
        <f>G16</f>
        <v>220</v>
      </c>
      <c r="H17" s="229"/>
      <c r="I17" s="229"/>
      <c r="J17" s="229"/>
      <c r="K17" s="859"/>
      <c r="L17" s="860"/>
      <c r="M17" s="229"/>
      <c r="N17" s="66"/>
    </row>
    <row r="18" spans="1:14" s="48" customFormat="1" ht="26.25" customHeight="1" x14ac:dyDescent="0.25">
      <c r="A18" s="899" t="s">
        <v>32</v>
      </c>
      <c r="B18" s="900"/>
      <c r="C18" s="900"/>
      <c r="D18" s="900"/>
      <c r="E18" s="900"/>
      <c r="F18" s="900"/>
      <c r="G18" s="900"/>
      <c r="H18" s="67"/>
      <c r="I18" s="67"/>
      <c r="J18" s="68" t="s">
        <v>44</v>
      </c>
      <c r="K18" s="67"/>
      <c r="L18" s="68"/>
      <c r="M18" s="69"/>
      <c r="N18" s="70"/>
    </row>
    <row r="19" spans="1:14" s="48" customFormat="1" ht="22.5" customHeight="1" thickBot="1" x14ac:dyDescent="0.3">
      <c r="A19" s="72" t="s">
        <v>5</v>
      </c>
      <c r="B19" s="71" t="s">
        <v>33</v>
      </c>
      <c r="C19" s="857" t="s">
        <v>21</v>
      </c>
      <c r="D19" s="858"/>
      <c r="E19" s="857" t="s">
        <v>34</v>
      </c>
      <c r="F19" s="858"/>
      <c r="G19" s="71" t="s">
        <v>0</v>
      </c>
      <c r="H19" s="71" t="s">
        <v>25</v>
      </c>
      <c r="I19" s="71" t="s">
        <v>26</v>
      </c>
      <c r="J19" s="71" t="s">
        <v>27</v>
      </c>
      <c r="K19" s="863" t="s">
        <v>28</v>
      </c>
      <c r="L19" s="857"/>
      <c r="M19" s="901" t="s">
        <v>50</v>
      </c>
      <c r="N19" s="902"/>
    </row>
    <row r="20" spans="1:14" s="3" customFormat="1" ht="26.25" customHeight="1" x14ac:dyDescent="0.25">
      <c r="A20" s="861" t="s">
        <v>35</v>
      </c>
      <c r="B20" s="862"/>
      <c r="C20" s="862"/>
      <c r="D20" s="862"/>
      <c r="E20" s="862"/>
      <c r="F20" s="862"/>
      <c r="G20" s="7">
        <f>G17</f>
        <v>220</v>
      </c>
      <c r="H20" s="8"/>
      <c r="I20" s="8"/>
      <c r="J20" s="8"/>
      <c r="K20" s="8"/>
      <c r="L20" s="8"/>
      <c r="M20" s="8"/>
      <c r="N20" s="9"/>
    </row>
    <row r="21" spans="1:14" s="3" customFormat="1" ht="26.25" customHeight="1" x14ac:dyDescent="0.25">
      <c r="A21" s="366" t="s">
        <v>214</v>
      </c>
      <c r="B21" s="367">
        <v>41515</v>
      </c>
      <c r="C21" s="888" t="s">
        <v>127</v>
      </c>
      <c r="D21" s="889"/>
      <c r="E21" s="855">
        <v>16</v>
      </c>
      <c r="F21" s="855"/>
      <c r="G21" s="12">
        <f>G20-E21</f>
        <v>204</v>
      </c>
      <c r="H21" s="220"/>
      <c r="I21" s="220"/>
      <c r="J21" s="220"/>
      <c r="K21" s="220"/>
      <c r="L21" s="220"/>
      <c r="M21" s="220"/>
      <c r="N21" s="13"/>
    </row>
    <row r="22" spans="1:14" s="3" customFormat="1" ht="26.25" customHeight="1" x14ac:dyDescent="0.25">
      <c r="A22" s="366" t="s">
        <v>300</v>
      </c>
      <c r="B22" s="367">
        <v>41578</v>
      </c>
      <c r="C22" s="905" t="s">
        <v>127</v>
      </c>
      <c r="D22" s="906"/>
      <c r="E22" s="856">
        <v>44</v>
      </c>
      <c r="F22" s="856"/>
      <c r="G22" s="12">
        <f t="shared" ref="G22:G32" si="1">G21-E22</f>
        <v>160</v>
      </c>
      <c r="H22" s="223"/>
      <c r="I22" s="223"/>
      <c r="J22" s="223"/>
      <c r="K22" s="223"/>
      <c r="L22" s="223"/>
      <c r="M22" s="223"/>
      <c r="N22" s="6"/>
    </row>
    <row r="23" spans="1:14" s="3" customFormat="1" ht="26.25" customHeight="1" x14ac:dyDescent="0.25">
      <c r="A23" s="14" t="s">
        <v>537</v>
      </c>
      <c r="B23" s="623">
        <v>41739</v>
      </c>
      <c r="C23" s="905" t="s">
        <v>127</v>
      </c>
      <c r="D23" s="906"/>
      <c r="E23" s="856">
        <v>160</v>
      </c>
      <c r="F23" s="856"/>
      <c r="G23" s="12">
        <f t="shared" si="1"/>
        <v>0</v>
      </c>
      <c r="H23" s="223"/>
      <c r="I23" s="223"/>
      <c r="J23" s="223"/>
      <c r="K23" s="223"/>
      <c r="L23" s="223"/>
      <c r="M23" s="223"/>
      <c r="N23" s="6"/>
    </row>
    <row r="24" spans="1:14" s="3" customFormat="1" ht="26.25" customHeight="1" x14ac:dyDescent="0.25">
      <c r="A24" s="14"/>
      <c r="B24" s="15"/>
      <c r="C24" s="933"/>
      <c r="D24" s="934"/>
      <c r="E24" s="845"/>
      <c r="F24" s="846"/>
      <c r="G24" s="12">
        <f t="shared" si="1"/>
        <v>0</v>
      </c>
      <c r="H24" s="223"/>
      <c r="I24" s="223"/>
      <c r="J24" s="223"/>
      <c r="K24" s="223"/>
      <c r="L24" s="223"/>
      <c r="M24" s="223"/>
      <c r="N24" s="6"/>
    </row>
    <row r="25" spans="1:14" s="3" customFormat="1" ht="26.25" customHeight="1" x14ac:dyDescent="0.25">
      <c r="A25" s="14"/>
      <c r="B25" s="15"/>
      <c r="C25" s="933"/>
      <c r="D25" s="934"/>
      <c r="E25" s="842"/>
      <c r="F25" s="843"/>
      <c r="G25" s="12">
        <f t="shared" si="1"/>
        <v>0</v>
      </c>
      <c r="H25" s="223"/>
      <c r="I25" s="223"/>
      <c r="J25" s="223"/>
      <c r="K25" s="223"/>
      <c r="L25" s="223"/>
      <c r="M25" s="223"/>
      <c r="N25" s="6"/>
    </row>
    <row r="26" spans="1:14" s="3" customFormat="1" ht="26.25" customHeight="1" x14ac:dyDescent="0.25">
      <c r="A26" s="14"/>
      <c r="B26" s="15"/>
      <c r="C26" s="935"/>
      <c r="D26" s="877"/>
      <c r="E26" s="845"/>
      <c r="F26" s="846"/>
      <c r="G26" s="12">
        <f t="shared" si="1"/>
        <v>0</v>
      </c>
      <c r="H26" s="223"/>
      <c r="I26" s="223"/>
      <c r="J26" s="223"/>
      <c r="K26" s="223"/>
      <c r="L26" s="223"/>
      <c r="M26" s="223"/>
      <c r="N26" s="6"/>
    </row>
    <row r="27" spans="1:14" s="3" customFormat="1" ht="26.25" customHeight="1" x14ac:dyDescent="0.25">
      <c r="A27" s="14"/>
      <c r="B27" s="15"/>
      <c r="C27" s="935"/>
      <c r="D27" s="877"/>
      <c r="E27" s="845"/>
      <c r="F27" s="846"/>
      <c r="G27" s="12">
        <f t="shared" si="1"/>
        <v>0</v>
      </c>
      <c r="H27" s="223"/>
      <c r="I27" s="223"/>
      <c r="J27" s="223"/>
      <c r="K27" s="223"/>
      <c r="L27" s="223"/>
      <c r="M27" s="223"/>
      <c r="N27" s="6"/>
    </row>
    <row r="28" spans="1:14" s="3" customFormat="1" ht="26.25" customHeight="1" x14ac:dyDescent="0.25">
      <c r="A28" s="14"/>
      <c r="B28" s="15"/>
      <c r="C28" s="935"/>
      <c r="D28" s="877"/>
      <c r="E28" s="845"/>
      <c r="F28" s="846"/>
      <c r="G28" s="12">
        <f t="shared" si="1"/>
        <v>0</v>
      </c>
      <c r="H28" s="223"/>
      <c r="I28" s="223"/>
      <c r="J28" s="223"/>
      <c r="K28" s="223"/>
      <c r="L28" s="223"/>
      <c r="M28" s="223"/>
      <c r="N28" s="6"/>
    </row>
    <row r="29" spans="1:14" s="3" customFormat="1" ht="26.25" customHeight="1" x14ac:dyDescent="0.25">
      <c r="A29" s="14"/>
      <c r="B29" s="15"/>
      <c r="C29" s="935"/>
      <c r="D29" s="877"/>
      <c r="E29" s="845"/>
      <c r="F29" s="846"/>
      <c r="G29" s="12">
        <f t="shared" si="1"/>
        <v>0</v>
      </c>
      <c r="H29" s="223"/>
      <c r="I29" s="223"/>
      <c r="J29" s="223"/>
      <c r="K29" s="223"/>
      <c r="L29" s="223"/>
      <c r="M29" s="223"/>
      <c r="N29" s="6"/>
    </row>
    <row r="30" spans="1:14" s="3" customFormat="1" ht="26.25" customHeight="1" x14ac:dyDescent="0.25">
      <c r="A30" s="14"/>
      <c r="B30" s="15"/>
      <c r="C30" s="935"/>
      <c r="D30" s="939"/>
      <c r="E30" s="845"/>
      <c r="F30" s="846"/>
      <c r="G30" s="12">
        <f t="shared" si="1"/>
        <v>0</v>
      </c>
      <c r="H30" s="223"/>
      <c r="I30" s="223"/>
      <c r="J30" s="223"/>
      <c r="K30" s="223"/>
      <c r="L30" s="223"/>
      <c r="M30" s="223"/>
      <c r="N30" s="6"/>
    </row>
    <row r="31" spans="1:14" s="3" customFormat="1" ht="26.25" customHeight="1" x14ac:dyDescent="0.25">
      <c r="A31" s="14"/>
      <c r="B31" s="15"/>
      <c r="C31" s="935"/>
      <c r="D31" s="939"/>
      <c r="E31" s="845"/>
      <c r="F31" s="846"/>
      <c r="G31" s="12">
        <f t="shared" si="1"/>
        <v>0</v>
      </c>
      <c r="H31" s="223"/>
      <c r="I31" s="223"/>
      <c r="J31" s="223"/>
      <c r="K31" s="223"/>
      <c r="L31" s="223"/>
      <c r="M31" s="223"/>
      <c r="N31" s="6"/>
    </row>
    <row r="32" spans="1:14" s="3" customFormat="1" ht="26.25" customHeight="1" x14ac:dyDescent="0.25">
      <c r="A32" s="14"/>
      <c r="B32" s="15"/>
      <c r="C32" s="935"/>
      <c r="D32" s="939"/>
      <c r="E32" s="845"/>
      <c r="F32" s="846"/>
      <c r="G32" s="12">
        <f t="shared" si="1"/>
        <v>0</v>
      </c>
      <c r="H32" s="223"/>
      <c r="I32" s="223"/>
      <c r="J32" s="223"/>
      <c r="K32" s="223"/>
      <c r="L32" s="223"/>
      <c r="M32" s="223"/>
      <c r="N32" s="6"/>
    </row>
    <row r="33" spans="1:14" s="23" customFormat="1" ht="26.25" customHeight="1" thickBot="1" x14ac:dyDescent="0.3">
      <c r="A33" s="851" t="s">
        <v>36</v>
      </c>
      <c r="B33" s="852"/>
      <c r="C33" s="852"/>
      <c r="D33" s="852"/>
      <c r="E33" s="853">
        <f>SUM(E21:F32)</f>
        <v>220</v>
      </c>
      <c r="F33" s="854"/>
      <c r="G33" s="20"/>
      <c r="H33" s="21"/>
      <c r="I33" s="21"/>
      <c r="J33" s="21"/>
      <c r="K33" s="21"/>
      <c r="L33" s="21"/>
      <c r="M33" s="21"/>
      <c r="N33" s="22"/>
    </row>
    <row r="34" spans="1:14" s="3" customFormat="1" ht="26.25" customHeight="1" thickTop="1" x14ac:dyDescent="0.25">
      <c r="A34" s="24"/>
      <c r="E34" s="844" t="s">
        <v>65</v>
      </c>
      <c r="F34" s="844"/>
    </row>
    <row r="35" spans="1:14" s="3" customFormat="1" ht="26.25" customHeight="1" x14ac:dyDescent="0.3">
      <c r="A35" s="25" t="s">
        <v>41</v>
      </c>
      <c r="B35" s="25"/>
      <c r="C35" s="25"/>
      <c r="D35" s="25" t="s">
        <v>81</v>
      </c>
      <c r="E35" s="25"/>
      <c r="F35" s="26"/>
      <c r="G35" s="25" t="s">
        <v>38</v>
      </c>
      <c r="H35" s="25"/>
      <c r="I35" s="25"/>
      <c r="J35" s="25"/>
      <c r="K35" s="25"/>
      <c r="L35" s="25" t="s">
        <v>39</v>
      </c>
      <c r="M35" s="28"/>
      <c r="N35" s="26"/>
    </row>
    <row r="36" spans="1:14" s="3" customFormat="1" ht="26.25" customHeight="1" x14ac:dyDescent="0.3">
      <c r="A36" s="25"/>
      <c r="B36" s="25"/>
      <c r="C36" s="25"/>
      <c r="D36" s="25"/>
      <c r="E36" s="25"/>
      <c r="F36" s="26"/>
      <c r="G36" s="25"/>
      <c r="H36" s="25"/>
      <c r="I36" s="25"/>
      <c r="J36" s="25"/>
      <c r="K36" s="25"/>
      <c r="L36" s="25"/>
      <c r="M36" s="28"/>
      <c r="N36" s="26"/>
    </row>
    <row r="37" spans="1:14" s="3" customFormat="1" ht="26.25" customHeight="1" x14ac:dyDescent="0.3">
      <c r="A37" s="25"/>
      <c r="B37" s="25"/>
      <c r="C37" s="25"/>
      <c r="D37" s="25"/>
      <c r="E37" s="25"/>
      <c r="F37" s="26"/>
      <c r="G37" s="25"/>
      <c r="H37" s="25"/>
      <c r="I37" s="25"/>
      <c r="J37" s="25"/>
      <c r="K37" s="25"/>
      <c r="L37" s="25"/>
      <c r="M37" s="28"/>
      <c r="N37" s="26"/>
    </row>
    <row r="38" spans="1:14" s="3" customFormat="1" ht="26.25" customHeight="1" x14ac:dyDescent="0.3">
      <c r="A38" s="25"/>
      <c r="B38" s="25"/>
      <c r="C38" s="25"/>
      <c r="D38" s="25"/>
      <c r="E38" s="25"/>
      <c r="F38" s="26"/>
      <c r="G38" s="25"/>
      <c r="H38" s="25"/>
      <c r="I38" s="25"/>
      <c r="J38" s="25"/>
      <c r="K38" s="25"/>
      <c r="L38" s="25"/>
      <c r="M38" s="28"/>
      <c r="N38" s="26"/>
    </row>
    <row r="39" spans="1:14" s="3" customFormat="1" ht="26.25" customHeight="1" x14ac:dyDescent="0.3">
      <c r="A39" s="29"/>
      <c r="B39" s="25"/>
      <c r="C39" s="25"/>
      <c r="D39" s="29"/>
      <c r="E39" s="29"/>
      <c r="F39" s="26"/>
      <c r="G39" s="29"/>
      <c r="H39" s="25"/>
      <c r="I39" s="25"/>
      <c r="J39" s="25"/>
      <c r="K39" s="25"/>
      <c r="L39" s="27"/>
      <c r="M39" s="28"/>
      <c r="N39" s="26"/>
    </row>
    <row r="40" spans="1:14" s="30" customFormat="1" ht="17.25" x14ac:dyDescent="0.3">
      <c r="A40" s="25" t="s">
        <v>48</v>
      </c>
      <c r="B40" s="25"/>
      <c r="C40" s="25" t="s">
        <v>80</v>
      </c>
      <c r="D40" s="25"/>
      <c r="G40" s="25" t="str">
        <f>B10</f>
        <v>Sen Sareth</v>
      </c>
      <c r="H40" s="25"/>
      <c r="I40" s="25"/>
      <c r="J40" s="25"/>
      <c r="K40" s="829" t="s">
        <v>90</v>
      </c>
      <c r="L40" s="829"/>
      <c r="M40" s="829"/>
      <c r="N40" s="829"/>
    </row>
    <row r="41" spans="1:14" s="30" customFormat="1" ht="16.5" x14ac:dyDescent="0.3">
      <c r="A41" s="32"/>
    </row>
    <row r="42" spans="1:14" s="30" customFormat="1" ht="16.5" x14ac:dyDescent="0.3">
      <c r="A42" s="32"/>
    </row>
    <row r="43" spans="1:14" s="30" customFormat="1" ht="16.5" x14ac:dyDescent="0.3">
      <c r="A43" s="32"/>
    </row>
    <row r="44" spans="1:14" s="30" customFormat="1" ht="16.5" x14ac:dyDescent="0.3">
      <c r="A44" s="32"/>
    </row>
    <row r="45" spans="1:14" s="30" customFormat="1" ht="16.5" x14ac:dyDescent="0.3">
      <c r="A45" s="32"/>
    </row>
    <row r="46" spans="1:14" s="30" customFormat="1" ht="16.5" x14ac:dyDescent="0.3">
      <c r="A46" s="32"/>
    </row>
    <row r="47" spans="1:14" s="30" customFormat="1" ht="16.5" x14ac:dyDescent="0.3">
      <c r="A47" s="32"/>
    </row>
    <row r="48" spans="1:14" s="30" customFormat="1" ht="16.5" x14ac:dyDescent="0.3">
      <c r="A48" s="32"/>
    </row>
    <row r="49" spans="1:1" s="30" customFormat="1" ht="16.5" x14ac:dyDescent="0.3">
      <c r="A49" s="32"/>
    </row>
  </sheetData>
  <mergeCells count="52">
    <mergeCell ref="A1:XFD7"/>
    <mergeCell ref="A8:N8"/>
    <mergeCell ref="K9:L9"/>
    <mergeCell ref="C10:C15"/>
    <mergeCell ref="K10:L10"/>
    <mergeCell ref="K11:L11"/>
    <mergeCell ref="K12:L12"/>
    <mergeCell ref="K13:L13"/>
    <mergeCell ref="K14:L14"/>
    <mergeCell ref="O10:R10"/>
    <mergeCell ref="K15:L15"/>
    <mergeCell ref="I10:J10"/>
    <mergeCell ref="I11:J11"/>
    <mergeCell ref="I12:J12"/>
    <mergeCell ref="K16:L16"/>
    <mergeCell ref="A17:F17"/>
    <mergeCell ref="K17:L17"/>
    <mergeCell ref="M19:N19"/>
    <mergeCell ref="A20:F20"/>
    <mergeCell ref="A18:G18"/>
    <mergeCell ref="C19:D19"/>
    <mergeCell ref="E19:F19"/>
    <mergeCell ref="K19:L19"/>
    <mergeCell ref="A16:D16"/>
    <mergeCell ref="C22:D22"/>
    <mergeCell ref="E22:F22"/>
    <mergeCell ref="C23:D23"/>
    <mergeCell ref="E23:F23"/>
    <mergeCell ref="C21:D21"/>
    <mergeCell ref="E21:F21"/>
    <mergeCell ref="C24:D24"/>
    <mergeCell ref="E24:F24"/>
    <mergeCell ref="C25:D25"/>
    <mergeCell ref="E25:F25"/>
    <mergeCell ref="C26:D26"/>
    <mergeCell ref="E26:F26"/>
    <mergeCell ref="C27:D27"/>
    <mergeCell ref="E27:F27"/>
    <mergeCell ref="E34:F34"/>
    <mergeCell ref="K40:N40"/>
    <mergeCell ref="A33:D33"/>
    <mergeCell ref="E33:F33"/>
    <mergeCell ref="C31:D31"/>
    <mergeCell ref="E31:F31"/>
    <mergeCell ref="C32:D32"/>
    <mergeCell ref="E32:F32"/>
    <mergeCell ref="C28:D28"/>
    <mergeCell ref="E28:F28"/>
    <mergeCell ref="C29:D29"/>
    <mergeCell ref="E29:F29"/>
    <mergeCell ref="C30:D30"/>
    <mergeCell ref="E30:F30"/>
  </mergeCells>
  <printOptions horizontalCentered="1"/>
  <pageMargins left="0.25" right="0.25" top="0.47" bottom="0.25" header="0.5" footer="0.5"/>
  <pageSetup scale="70" orientation="portrait" verticalDpi="300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"/>
  <sheetViews>
    <sheetView zoomScale="80" workbookViewId="0">
      <pane xSplit="3" ySplit="9" topLeftCell="D10" activePane="bottomRight" state="frozen"/>
      <selection activeCell="Q11" sqref="Q11"/>
      <selection pane="topRight" activeCell="Q11" sqref="Q11"/>
      <selection pane="bottomLeft" activeCell="Q11" sqref="Q11"/>
      <selection pane="bottomRight" activeCell="A18" sqref="A18:G18"/>
    </sheetView>
  </sheetViews>
  <sheetFormatPr defaultRowHeight="13.5" x14ac:dyDescent="0.25"/>
  <cols>
    <col min="1" max="1" width="16.28515625" style="33" customWidth="1"/>
    <col min="2" max="2" width="20.85546875" style="1" customWidth="1"/>
    <col min="3" max="3" width="7.85546875" style="1" customWidth="1"/>
    <col min="4" max="4" width="25.140625" style="1" customWidth="1"/>
    <col min="5" max="5" width="8.42578125" style="1" customWidth="1"/>
    <col min="6" max="6" width="8.5703125" style="1" customWidth="1"/>
    <col min="7" max="7" width="12" style="1" customWidth="1"/>
    <col min="8" max="8" width="5.85546875" style="1" customWidth="1"/>
    <col min="9" max="9" width="3.85546875" style="1" customWidth="1"/>
    <col min="10" max="10" width="5.140625" style="1" customWidth="1"/>
    <col min="11" max="11" width="5.85546875" style="1" customWidth="1"/>
    <col min="12" max="12" width="2.85546875" style="1" customWidth="1"/>
    <col min="13" max="13" width="11.85546875" style="1" customWidth="1"/>
    <col min="14" max="14" width="10.5703125" style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4" s="866" customFormat="1" ht="15" x14ac:dyDescent="0.25"/>
    <row r="2" spans="1:14" s="866" customFormat="1" ht="15" x14ac:dyDescent="0.25"/>
    <row r="3" spans="1:14" s="866" customFormat="1" ht="15" x14ac:dyDescent="0.25"/>
    <row r="4" spans="1:14" s="866" customFormat="1" ht="15" x14ac:dyDescent="0.25"/>
    <row r="5" spans="1:14" s="866" customFormat="1" ht="15" x14ac:dyDescent="0.25"/>
    <row r="6" spans="1:14" s="866" customFormat="1" ht="15" x14ac:dyDescent="0.25"/>
    <row r="7" spans="1:14" s="866" customFormat="1" ht="15.75" thickBot="1" x14ac:dyDescent="0.3"/>
    <row r="8" spans="1:14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4" s="48" customFormat="1" ht="17.25" x14ac:dyDescent="0.25">
      <c r="A9" s="49" t="s">
        <v>13</v>
      </c>
      <c r="B9" s="50" t="s">
        <v>19</v>
      </c>
      <c r="C9" s="51" t="s">
        <v>20</v>
      </c>
      <c r="D9" s="51"/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4" s="425" customFormat="1" ht="26.25" customHeight="1" x14ac:dyDescent="0.25">
      <c r="A10" s="102">
        <v>1</v>
      </c>
      <c r="B10" s="890" t="s">
        <v>216</v>
      </c>
      <c r="C10" s="890" t="s">
        <v>31</v>
      </c>
      <c r="D10" s="51" t="s">
        <v>251</v>
      </c>
      <c r="E10" s="426">
        <f>12+9+9+9</f>
        <v>39</v>
      </c>
      <c r="F10" s="55">
        <v>5</v>
      </c>
      <c r="G10" s="56">
        <f>E10*F10</f>
        <v>195</v>
      </c>
      <c r="H10" s="426" t="s">
        <v>64</v>
      </c>
      <c r="I10" s="426"/>
      <c r="J10" s="426"/>
      <c r="K10" s="416" t="s">
        <v>75</v>
      </c>
      <c r="L10" s="417"/>
      <c r="M10" s="57">
        <v>41519</v>
      </c>
      <c r="N10" s="58"/>
    </row>
    <row r="11" spans="1:14" s="425" customFormat="1" ht="26.25" customHeight="1" x14ac:dyDescent="0.25">
      <c r="A11" s="90"/>
      <c r="B11" s="891"/>
      <c r="C11" s="891"/>
      <c r="D11" s="51"/>
      <c r="E11" s="80"/>
      <c r="F11" s="55"/>
      <c r="G11" s="56">
        <f>E11*F11</f>
        <v>0</v>
      </c>
      <c r="H11" s="80"/>
      <c r="I11" s="80"/>
      <c r="J11" s="80"/>
      <c r="K11" s="416"/>
      <c r="L11" s="417"/>
      <c r="M11" s="57"/>
      <c r="N11" s="84"/>
    </row>
    <row r="12" spans="1:14" s="425" customFormat="1" ht="26.25" customHeight="1" x14ac:dyDescent="0.25">
      <c r="A12" s="102"/>
      <c r="B12" s="891"/>
      <c r="C12" s="891"/>
      <c r="D12" s="79"/>
      <c r="E12" s="80"/>
      <c r="F12" s="55"/>
      <c r="G12" s="56">
        <f t="shared" ref="G12:G15" si="0">E12*F12</f>
        <v>0</v>
      </c>
      <c r="H12" s="80"/>
      <c r="I12" s="80"/>
      <c r="J12" s="80"/>
      <c r="K12" s="876"/>
      <c r="L12" s="877"/>
      <c r="M12" s="83"/>
      <c r="N12" s="84"/>
    </row>
    <row r="13" spans="1:14" s="425" customFormat="1" ht="26.25" customHeight="1" x14ac:dyDescent="0.25">
      <c r="A13" s="90"/>
      <c r="B13" s="891"/>
      <c r="C13" s="891"/>
      <c r="D13" s="79"/>
      <c r="E13" s="80"/>
      <c r="F13" s="55"/>
      <c r="G13" s="56">
        <f t="shared" si="0"/>
        <v>0</v>
      </c>
      <c r="H13" s="80"/>
      <c r="I13" s="80"/>
      <c r="J13" s="80"/>
      <c r="K13" s="876"/>
      <c r="L13" s="877"/>
      <c r="M13" s="83"/>
      <c r="N13" s="84"/>
    </row>
    <row r="14" spans="1:14" s="425" customFormat="1" ht="26.25" customHeight="1" x14ac:dyDescent="0.25">
      <c r="A14" s="102"/>
      <c r="B14" s="891"/>
      <c r="C14" s="891"/>
      <c r="D14" s="79"/>
      <c r="E14" s="80"/>
      <c r="F14" s="55"/>
      <c r="G14" s="56">
        <f t="shared" si="0"/>
        <v>0</v>
      </c>
      <c r="H14" s="80"/>
      <c r="I14" s="80"/>
      <c r="J14" s="80"/>
      <c r="K14" s="876"/>
      <c r="L14" s="877"/>
      <c r="M14" s="83"/>
      <c r="N14" s="84"/>
    </row>
    <row r="15" spans="1:14" s="425" customFormat="1" ht="26.25" customHeight="1" x14ac:dyDescent="0.25">
      <c r="A15" s="102"/>
      <c r="B15" s="892"/>
      <c r="C15" s="892"/>
      <c r="D15" s="77"/>
      <c r="E15" s="80"/>
      <c r="F15" s="81"/>
      <c r="G15" s="56">
        <f t="shared" si="0"/>
        <v>0</v>
      </c>
      <c r="H15" s="80"/>
      <c r="I15" s="80"/>
      <c r="J15" s="80"/>
      <c r="K15" s="876"/>
      <c r="L15" s="877"/>
      <c r="M15" s="83"/>
      <c r="N15" s="84"/>
    </row>
    <row r="16" spans="1:14" s="425" customFormat="1" ht="26.25" customHeight="1" x14ac:dyDescent="0.25">
      <c r="A16" s="925" t="s">
        <v>11</v>
      </c>
      <c r="B16" s="926"/>
      <c r="C16" s="926"/>
      <c r="D16" s="926"/>
      <c r="E16" s="428">
        <f>SUM(E10:E15)</f>
        <v>39</v>
      </c>
      <c r="F16" s="76">
        <v>5</v>
      </c>
      <c r="G16" s="62">
        <f>E16*F16</f>
        <v>195</v>
      </c>
      <c r="H16" s="427"/>
      <c r="I16" s="427"/>
      <c r="J16" s="427"/>
      <c r="K16" s="876"/>
      <c r="L16" s="877"/>
      <c r="M16" s="427"/>
      <c r="N16" s="63"/>
    </row>
    <row r="17" spans="1:14" s="425" customFormat="1" ht="26.25" customHeight="1" x14ac:dyDescent="0.25">
      <c r="A17" s="897" t="s">
        <v>24</v>
      </c>
      <c r="B17" s="898"/>
      <c r="C17" s="898"/>
      <c r="D17" s="898"/>
      <c r="E17" s="898"/>
      <c r="F17" s="898"/>
      <c r="G17" s="64">
        <f>G16</f>
        <v>195</v>
      </c>
      <c r="H17" s="429"/>
      <c r="I17" s="429"/>
      <c r="J17" s="429"/>
      <c r="K17" s="859"/>
      <c r="L17" s="860"/>
      <c r="M17" s="429"/>
      <c r="N17" s="66"/>
    </row>
    <row r="18" spans="1:14" s="48" customFormat="1" ht="26.25" customHeight="1" x14ac:dyDescent="0.25">
      <c r="A18" s="899" t="s">
        <v>32</v>
      </c>
      <c r="B18" s="900"/>
      <c r="C18" s="900"/>
      <c r="D18" s="900"/>
      <c r="E18" s="900"/>
      <c r="F18" s="900"/>
      <c r="G18" s="900"/>
      <c r="H18" s="67"/>
      <c r="I18" s="67"/>
      <c r="J18" s="68" t="s">
        <v>44</v>
      </c>
      <c r="K18" s="67"/>
      <c r="L18" s="68"/>
      <c r="M18" s="69"/>
      <c r="N18" s="70"/>
    </row>
    <row r="19" spans="1:14" s="48" customFormat="1" ht="22.5" customHeight="1" thickBot="1" x14ac:dyDescent="0.3">
      <c r="A19" s="72" t="s">
        <v>5</v>
      </c>
      <c r="B19" s="71" t="s">
        <v>33</v>
      </c>
      <c r="C19" s="857" t="s">
        <v>21</v>
      </c>
      <c r="D19" s="858"/>
      <c r="E19" s="857" t="s">
        <v>34</v>
      </c>
      <c r="F19" s="858"/>
      <c r="G19" s="71" t="s">
        <v>0</v>
      </c>
      <c r="H19" s="71" t="s">
        <v>96</v>
      </c>
      <c r="I19" s="71" t="s">
        <v>26</v>
      </c>
      <c r="J19" s="71" t="s">
        <v>27</v>
      </c>
      <c r="K19" s="863" t="s">
        <v>28</v>
      </c>
      <c r="L19" s="857"/>
      <c r="M19" s="901"/>
      <c r="N19" s="902"/>
    </row>
    <row r="20" spans="1:14" s="3" customFormat="1" ht="26.25" customHeight="1" x14ac:dyDescent="0.25">
      <c r="A20" s="861" t="s">
        <v>35</v>
      </c>
      <c r="B20" s="862"/>
      <c r="C20" s="862"/>
      <c r="D20" s="862"/>
      <c r="E20" s="862"/>
      <c r="F20" s="862"/>
      <c r="G20" s="7">
        <f>G17</f>
        <v>195</v>
      </c>
      <c r="H20" s="8"/>
      <c r="I20" s="8"/>
      <c r="J20" s="8"/>
      <c r="K20" s="8"/>
      <c r="L20" s="8"/>
      <c r="M20" s="8"/>
      <c r="N20" s="9"/>
    </row>
    <row r="21" spans="1:14" s="3" customFormat="1" ht="26.25" customHeight="1" x14ac:dyDescent="0.25">
      <c r="A21" s="366" t="s">
        <v>266</v>
      </c>
      <c r="B21" s="367">
        <v>41548</v>
      </c>
      <c r="C21" s="888" t="s">
        <v>251</v>
      </c>
      <c r="D21" s="889"/>
      <c r="E21" s="855">
        <v>60</v>
      </c>
      <c r="F21" s="855"/>
      <c r="G21" s="12">
        <f>G20-E21</f>
        <v>135</v>
      </c>
      <c r="H21" s="419"/>
      <c r="I21" s="419"/>
      <c r="J21" s="419"/>
      <c r="K21" s="419"/>
      <c r="L21" s="419"/>
      <c r="M21" s="419"/>
      <c r="N21" s="13"/>
    </row>
    <row r="22" spans="1:14" s="3" customFormat="1" ht="26.25" customHeight="1" x14ac:dyDescent="0.25">
      <c r="A22" s="366" t="s">
        <v>339</v>
      </c>
      <c r="B22" s="367">
        <v>41622</v>
      </c>
      <c r="C22" s="905" t="s">
        <v>251</v>
      </c>
      <c r="D22" s="906"/>
      <c r="E22" s="856">
        <v>50</v>
      </c>
      <c r="F22" s="856"/>
      <c r="G22" s="12">
        <f t="shared" ref="G22:G32" si="1">G21-E22</f>
        <v>85</v>
      </c>
      <c r="H22" s="422"/>
      <c r="I22" s="422"/>
      <c r="J22" s="422"/>
      <c r="K22" s="422"/>
      <c r="L22" s="422"/>
      <c r="M22" s="422"/>
      <c r="N22" s="6"/>
    </row>
    <row r="23" spans="1:14" s="3" customFormat="1" ht="26.25" customHeight="1" x14ac:dyDescent="0.25">
      <c r="A23" s="366" t="s">
        <v>364</v>
      </c>
      <c r="B23" s="367">
        <v>41638</v>
      </c>
      <c r="C23" s="888" t="s">
        <v>251</v>
      </c>
      <c r="D23" s="889"/>
      <c r="E23" s="856">
        <v>50</v>
      </c>
      <c r="F23" s="856"/>
      <c r="G23" s="12">
        <f t="shared" si="1"/>
        <v>35</v>
      </c>
      <c r="H23" s="422"/>
      <c r="I23" s="422"/>
      <c r="J23" s="422"/>
      <c r="K23" s="422"/>
      <c r="L23" s="422"/>
      <c r="M23" s="422"/>
      <c r="N23" s="6"/>
    </row>
    <row r="24" spans="1:14" s="3" customFormat="1" ht="26.25" customHeight="1" x14ac:dyDescent="0.25">
      <c r="A24" s="14" t="s">
        <v>380</v>
      </c>
      <c r="B24" s="367">
        <v>41661</v>
      </c>
      <c r="C24" s="905" t="s">
        <v>251</v>
      </c>
      <c r="D24" s="906"/>
      <c r="E24" s="845">
        <v>35</v>
      </c>
      <c r="F24" s="846"/>
      <c r="G24" s="12">
        <f t="shared" si="1"/>
        <v>0</v>
      </c>
      <c r="H24" s="422"/>
      <c r="I24" s="422"/>
      <c r="J24" s="422"/>
      <c r="K24" s="422"/>
      <c r="L24" s="422"/>
      <c r="M24" s="422"/>
      <c r="N24" s="6"/>
    </row>
    <row r="25" spans="1:14" s="3" customFormat="1" ht="26.25" customHeight="1" x14ac:dyDescent="0.25">
      <c r="A25" s="14"/>
      <c r="B25" s="15"/>
      <c r="C25" s="933"/>
      <c r="D25" s="934"/>
      <c r="E25" s="842"/>
      <c r="F25" s="843"/>
      <c r="G25" s="12">
        <f t="shared" si="1"/>
        <v>0</v>
      </c>
      <c r="H25" s="422"/>
      <c r="I25" s="422"/>
      <c r="J25" s="422"/>
      <c r="K25" s="422"/>
      <c r="L25" s="422"/>
      <c r="M25" s="422"/>
      <c r="N25" s="6"/>
    </row>
    <row r="26" spans="1:14" s="3" customFormat="1" ht="26.25" customHeight="1" x14ac:dyDescent="0.25">
      <c r="A26" s="14"/>
      <c r="B26" s="15"/>
      <c r="C26" s="935"/>
      <c r="D26" s="877"/>
      <c r="E26" s="845"/>
      <c r="F26" s="846"/>
      <c r="G26" s="12">
        <f t="shared" si="1"/>
        <v>0</v>
      </c>
      <c r="H26" s="422"/>
      <c r="I26" s="422"/>
      <c r="J26" s="422"/>
      <c r="K26" s="422"/>
      <c r="L26" s="422"/>
      <c r="M26" s="422"/>
      <c r="N26" s="6"/>
    </row>
    <row r="27" spans="1:14" s="3" customFormat="1" ht="26.25" customHeight="1" x14ac:dyDescent="0.25">
      <c r="A27" s="14"/>
      <c r="B27" s="15"/>
      <c r="C27" s="935"/>
      <c r="D27" s="877"/>
      <c r="E27" s="845"/>
      <c r="F27" s="846"/>
      <c r="G27" s="12">
        <f t="shared" si="1"/>
        <v>0</v>
      </c>
      <c r="H27" s="422"/>
      <c r="I27" s="422"/>
      <c r="J27" s="422"/>
      <c r="K27" s="422"/>
      <c r="L27" s="422"/>
      <c r="M27" s="422"/>
      <c r="N27" s="6"/>
    </row>
    <row r="28" spans="1:14" s="3" customFormat="1" ht="26.25" customHeight="1" x14ac:dyDescent="0.25">
      <c r="A28" s="14"/>
      <c r="B28" s="15"/>
      <c r="C28" s="935"/>
      <c r="D28" s="877"/>
      <c r="E28" s="845"/>
      <c r="F28" s="846"/>
      <c r="G28" s="12">
        <f t="shared" si="1"/>
        <v>0</v>
      </c>
      <c r="H28" s="422"/>
      <c r="I28" s="422"/>
      <c r="J28" s="422"/>
      <c r="K28" s="422"/>
      <c r="L28" s="422"/>
      <c r="M28" s="422"/>
      <c r="N28" s="6"/>
    </row>
    <row r="29" spans="1:14" s="3" customFormat="1" ht="26.25" customHeight="1" x14ac:dyDescent="0.25">
      <c r="A29" s="14"/>
      <c r="B29" s="15"/>
      <c r="C29" s="935"/>
      <c r="D29" s="877"/>
      <c r="E29" s="845"/>
      <c r="F29" s="846"/>
      <c r="G29" s="12">
        <f t="shared" si="1"/>
        <v>0</v>
      </c>
      <c r="H29" s="422"/>
      <c r="I29" s="422"/>
      <c r="J29" s="422"/>
      <c r="K29" s="422"/>
      <c r="L29" s="422"/>
      <c r="M29" s="422"/>
      <c r="N29" s="6"/>
    </row>
    <row r="30" spans="1:14" s="3" customFormat="1" ht="26.25" customHeight="1" x14ac:dyDescent="0.25">
      <c r="A30" s="14"/>
      <c r="B30" s="15"/>
      <c r="C30" s="935"/>
      <c r="D30" s="939"/>
      <c r="E30" s="845"/>
      <c r="F30" s="846"/>
      <c r="G30" s="12">
        <f t="shared" si="1"/>
        <v>0</v>
      </c>
      <c r="H30" s="422"/>
      <c r="I30" s="422"/>
      <c r="J30" s="422"/>
      <c r="K30" s="422"/>
      <c r="L30" s="422"/>
      <c r="M30" s="422"/>
      <c r="N30" s="6"/>
    </row>
    <row r="31" spans="1:14" s="3" customFormat="1" ht="26.25" customHeight="1" x14ac:dyDescent="0.25">
      <c r="A31" s="14"/>
      <c r="B31" s="15"/>
      <c r="C31" s="935"/>
      <c r="D31" s="939"/>
      <c r="E31" s="845"/>
      <c r="F31" s="846"/>
      <c r="G31" s="12">
        <f t="shared" si="1"/>
        <v>0</v>
      </c>
      <c r="H31" s="422"/>
      <c r="I31" s="422"/>
      <c r="J31" s="422"/>
      <c r="K31" s="422"/>
      <c r="L31" s="422"/>
      <c r="M31" s="422"/>
      <c r="N31" s="6"/>
    </row>
    <row r="32" spans="1:14" s="3" customFormat="1" ht="26.25" customHeight="1" x14ac:dyDescent="0.25">
      <c r="A32" s="14"/>
      <c r="B32" s="15"/>
      <c r="C32" s="935"/>
      <c r="D32" s="939"/>
      <c r="E32" s="845"/>
      <c r="F32" s="846"/>
      <c r="G32" s="12">
        <f t="shared" si="1"/>
        <v>0</v>
      </c>
      <c r="H32" s="422"/>
      <c r="I32" s="422"/>
      <c r="J32" s="422"/>
      <c r="K32" s="422"/>
      <c r="L32" s="422"/>
      <c r="M32" s="422"/>
      <c r="N32" s="6"/>
    </row>
    <row r="33" spans="1:14" s="23" customFormat="1" ht="26.25" customHeight="1" thickBot="1" x14ac:dyDescent="0.3">
      <c r="A33" s="851" t="s">
        <v>36</v>
      </c>
      <c r="B33" s="852"/>
      <c r="C33" s="852"/>
      <c r="D33" s="852"/>
      <c r="E33" s="853">
        <f>SUM(E21:F32)</f>
        <v>195</v>
      </c>
      <c r="F33" s="854"/>
      <c r="G33" s="20"/>
      <c r="H33" s="21"/>
      <c r="I33" s="21"/>
      <c r="J33" s="21"/>
      <c r="K33" s="21"/>
      <c r="L33" s="21"/>
      <c r="M33" s="21"/>
      <c r="N33" s="22"/>
    </row>
    <row r="34" spans="1:14" s="3" customFormat="1" ht="26.25" customHeight="1" thickTop="1" x14ac:dyDescent="0.25">
      <c r="A34" s="24"/>
      <c r="E34" s="844" t="s">
        <v>65</v>
      </c>
      <c r="F34" s="844"/>
    </row>
    <row r="35" spans="1:14" s="3" customFormat="1" ht="26.25" customHeight="1" x14ac:dyDescent="0.3">
      <c r="A35" s="25" t="s">
        <v>41</v>
      </c>
      <c r="B35" s="25"/>
      <c r="C35" s="25"/>
      <c r="D35" s="25" t="s">
        <v>81</v>
      </c>
      <c r="E35" s="25"/>
      <c r="F35" s="26"/>
      <c r="G35" s="25" t="s">
        <v>38</v>
      </c>
      <c r="H35" s="25"/>
      <c r="I35" s="25"/>
      <c r="J35" s="25"/>
      <c r="K35" s="25"/>
      <c r="L35" s="25" t="s">
        <v>39</v>
      </c>
      <c r="M35" s="28"/>
      <c r="N35" s="26"/>
    </row>
    <row r="36" spans="1:14" s="3" customFormat="1" ht="26.25" customHeight="1" x14ac:dyDescent="0.3">
      <c r="A36" s="25"/>
      <c r="B36" s="25"/>
      <c r="C36" s="25"/>
      <c r="D36" s="25"/>
      <c r="E36" s="25"/>
      <c r="F36" s="26"/>
      <c r="G36" s="25"/>
      <c r="H36" s="25"/>
      <c r="I36" s="25"/>
      <c r="J36" s="25"/>
      <c r="K36" s="25"/>
      <c r="L36" s="25"/>
      <c r="M36" s="28"/>
      <c r="N36" s="26"/>
    </row>
    <row r="37" spans="1:14" s="3" customFormat="1" ht="26.25" customHeight="1" x14ac:dyDescent="0.3">
      <c r="A37" s="25"/>
      <c r="B37" s="25"/>
      <c r="C37" s="25"/>
      <c r="D37" s="25"/>
      <c r="E37" s="25"/>
      <c r="F37" s="26"/>
      <c r="G37" s="25"/>
      <c r="H37" s="25"/>
      <c r="I37" s="25"/>
      <c r="J37" s="25"/>
      <c r="K37" s="25"/>
      <c r="L37" s="25"/>
      <c r="M37" s="28"/>
      <c r="N37" s="26"/>
    </row>
    <row r="38" spans="1:14" s="3" customFormat="1" ht="26.25" customHeight="1" x14ac:dyDescent="0.3">
      <c r="A38" s="25"/>
      <c r="B38" s="25"/>
      <c r="C38" s="25"/>
      <c r="D38" s="25"/>
      <c r="E38" s="25"/>
      <c r="F38" s="26"/>
      <c r="G38" s="25"/>
      <c r="H38" s="25"/>
      <c r="I38" s="25"/>
      <c r="J38" s="25"/>
      <c r="K38" s="25"/>
      <c r="L38" s="25"/>
      <c r="M38" s="28"/>
      <c r="N38" s="26"/>
    </row>
    <row r="39" spans="1:14" s="3" customFormat="1" ht="26.25" customHeight="1" x14ac:dyDescent="0.3">
      <c r="A39" s="29"/>
      <c r="B39" s="25"/>
      <c r="C39" s="25"/>
      <c r="D39" s="29"/>
      <c r="E39" s="29"/>
      <c r="F39" s="26"/>
      <c r="G39" s="29"/>
      <c r="H39" s="25"/>
      <c r="I39" s="25"/>
      <c r="J39" s="25"/>
      <c r="K39" s="25"/>
      <c r="L39" s="27"/>
      <c r="M39" s="28"/>
      <c r="N39" s="26"/>
    </row>
    <row r="40" spans="1:14" s="30" customFormat="1" ht="17.25" x14ac:dyDescent="0.3">
      <c r="A40" s="25" t="s">
        <v>48</v>
      </c>
      <c r="B40" s="25"/>
      <c r="C40" s="25" t="s">
        <v>80</v>
      </c>
      <c r="D40" s="25"/>
      <c r="G40" s="25" t="str">
        <f>B10</f>
        <v>Pascal</v>
      </c>
      <c r="H40" s="25"/>
      <c r="I40" s="25"/>
      <c r="J40" s="25"/>
      <c r="K40" s="829" t="s">
        <v>90</v>
      </c>
      <c r="L40" s="829"/>
      <c r="M40" s="829"/>
      <c r="N40" s="829"/>
    </row>
    <row r="41" spans="1:14" s="30" customFormat="1" ht="16.5" x14ac:dyDescent="0.3">
      <c r="A41" s="32"/>
    </row>
    <row r="42" spans="1:14" s="30" customFormat="1" ht="16.5" x14ac:dyDescent="0.3">
      <c r="A42" s="32"/>
    </row>
    <row r="43" spans="1:14" s="30" customFormat="1" ht="16.5" x14ac:dyDescent="0.3">
      <c r="A43" s="32"/>
    </row>
    <row r="44" spans="1:14" s="30" customFormat="1" ht="16.5" x14ac:dyDescent="0.3">
      <c r="A44" s="32"/>
    </row>
    <row r="45" spans="1:14" s="30" customFormat="1" ht="16.5" x14ac:dyDescent="0.3">
      <c r="A45" s="32"/>
    </row>
    <row r="46" spans="1:14" s="30" customFormat="1" ht="16.5" x14ac:dyDescent="0.3">
      <c r="A46" s="32"/>
    </row>
    <row r="47" spans="1:14" s="30" customFormat="1" ht="16.5" x14ac:dyDescent="0.3">
      <c r="A47" s="32"/>
    </row>
    <row r="48" spans="1:14" s="30" customFormat="1" ht="16.5" x14ac:dyDescent="0.3">
      <c r="A48" s="32"/>
    </row>
    <row r="49" spans="1:1" s="30" customFormat="1" ht="16.5" x14ac:dyDescent="0.3">
      <c r="A49" s="32"/>
    </row>
  </sheetData>
  <mergeCells count="47">
    <mergeCell ref="K40:N40"/>
    <mergeCell ref="C29:D29"/>
    <mergeCell ref="E29:F29"/>
    <mergeCell ref="C30:D30"/>
    <mergeCell ref="E30:F30"/>
    <mergeCell ref="C31:D31"/>
    <mergeCell ref="E31:F31"/>
    <mergeCell ref="C32:D32"/>
    <mergeCell ref="E32:F32"/>
    <mergeCell ref="A33:D33"/>
    <mergeCell ref="E33:F33"/>
    <mergeCell ref="E34:F34"/>
    <mergeCell ref="C26:D26"/>
    <mergeCell ref="E26:F26"/>
    <mergeCell ref="C27:D27"/>
    <mergeCell ref="E27:F27"/>
    <mergeCell ref="C28:D28"/>
    <mergeCell ref="E28:F28"/>
    <mergeCell ref="C23:D23"/>
    <mergeCell ref="E23:F23"/>
    <mergeCell ref="C24:D24"/>
    <mergeCell ref="E24:F24"/>
    <mergeCell ref="C25:D25"/>
    <mergeCell ref="E25:F25"/>
    <mergeCell ref="M19:N19"/>
    <mergeCell ref="A20:F20"/>
    <mergeCell ref="C21:D21"/>
    <mergeCell ref="E21:F21"/>
    <mergeCell ref="C22:D22"/>
    <mergeCell ref="E22:F22"/>
    <mergeCell ref="C19:D19"/>
    <mergeCell ref="E19:F19"/>
    <mergeCell ref="K19:L19"/>
    <mergeCell ref="A16:D16"/>
    <mergeCell ref="K16:L16"/>
    <mergeCell ref="A17:F17"/>
    <mergeCell ref="K17:L17"/>
    <mergeCell ref="A18:G18"/>
    <mergeCell ref="A1:XFD7"/>
    <mergeCell ref="A8:N8"/>
    <mergeCell ref="K9:L9"/>
    <mergeCell ref="B10:B15"/>
    <mergeCell ref="C10:C15"/>
    <mergeCell ref="K12:L12"/>
    <mergeCell ref="K13:L13"/>
    <mergeCell ref="K14:L14"/>
    <mergeCell ref="K15:L15"/>
  </mergeCells>
  <printOptions horizontalCentered="1"/>
  <pageMargins left="0.25" right="0.25" top="0.47" bottom="0.25" header="0.5" footer="0.5"/>
  <pageSetup scale="70" orientation="portrait" verticalDpi="300" r:id="rId1"/>
  <headerFooter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"/>
  <sheetViews>
    <sheetView zoomScale="80" workbookViewId="0">
      <pane xSplit="3" ySplit="9" topLeftCell="D13" activePane="bottomRight" state="frozen"/>
      <selection activeCell="Q11" sqref="Q11"/>
      <selection pane="topRight" activeCell="Q11" sqref="Q11"/>
      <selection pane="bottomLeft" activeCell="Q11" sqref="Q11"/>
      <selection pane="bottomRight" activeCell="A18" sqref="A18:G18"/>
    </sheetView>
  </sheetViews>
  <sheetFormatPr defaultRowHeight="13.5" x14ac:dyDescent="0.25"/>
  <cols>
    <col min="1" max="1" width="17.140625" style="33" customWidth="1"/>
    <col min="2" max="2" width="20.85546875" style="1" customWidth="1"/>
    <col min="3" max="3" width="5.5703125" style="1" customWidth="1"/>
    <col min="4" max="4" width="25.140625" style="1" customWidth="1"/>
    <col min="5" max="5" width="8.42578125" style="1" customWidth="1"/>
    <col min="6" max="6" width="8.5703125" style="1" customWidth="1"/>
    <col min="7" max="7" width="20.7109375" style="1" customWidth="1"/>
    <col min="8" max="8" width="5.85546875" style="1" customWidth="1"/>
    <col min="9" max="9" width="3.85546875" style="1" customWidth="1"/>
    <col min="10" max="10" width="5.140625" style="1" customWidth="1"/>
    <col min="11" max="11" width="5.85546875" style="1" customWidth="1"/>
    <col min="12" max="12" width="6.5703125" style="1" customWidth="1"/>
    <col min="13" max="13" width="11.85546875" style="1" customWidth="1"/>
    <col min="14" max="14" width="10.5703125" style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4" s="866" customFormat="1" ht="15" x14ac:dyDescent="0.25"/>
    <row r="2" spans="1:14" s="866" customFormat="1" ht="15" x14ac:dyDescent="0.25"/>
    <row r="3" spans="1:14" s="866" customFormat="1" ht="15" x14ac:dyDescent="0.25"/>
    <row r="4" spans="1:14" s="866" customFormat="1" ht="15" x14ac:dyDescent="0.25"/>
    <row r="5" spans="1:14" s="866" customFormat="1" ht="15" x14ac:dyDescent="0.25"/>
    <row r="6" spans="1:14" s="866" customFormat="1" ht="15" x14ac:dyDescent="0.25"/>
    <row r="7" spans="1:14" s="866" customFormat="1" ht="15.75" thickBot="1" x14ac:dyDescent="0.3"/>
    <row r="8" spans="1:14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4" s="48" customFormat="1" ht="17.25" x14ac:dyDescent="0.25">
      <c r="A9" s="49" t="s">
        <v>13</v>
      </c>
      <c r="B9" s="50" t="s">
        <v>19</v>
      </c>
      <c r="C9" s="51" t="s">
        <v>20</v>
      </c>
      <c r="D9" s="51"/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4" s="425" customFormat="1" ht="26.25" customHeight="1" x14ac:dyDescent="0.25">
      <c r="A10" s="102">
        <v>1</v>
      </c>
      <c r="B10" s="890" t="s">
        <v>221</v>
      </c>
      <c r="C10" s="890" t="s">
        <v>31</v>
      </c>
      <c r="D10" s="51" t="s">
        <v>252</v>
      </c>
      <c r="E10" s="426">
        <f>14+10+9+9</f>
        <v>42</v>
      </c>
      <c r="F10" s="55">
        <v>5</v>
      </c>
      <c r="G10" s="56">
        <f>E10*F10</f>
        <v>210</v>
      </c>
      <c r="H10" s="426" t="s">
        <v>102</v>
      </c>
      <c r="I10" s="426"/>
      <c r="J10" s="426"/>
      <c r="K10" s="416"/>
      <c r="L10" s="417"/>
      <c r="M10" s="57">
        <v>41512</v>
      </c>
      <c r="N10" s="58"/>
    </row>
    <row r="11" spans="1:14" s="425" customFormat="1" ht="26.25" customHeight="1" x14ac:dyDescent="0.25">
      <c r="A11" s="90">
        <v>2</v>
      </c>
      <c r="B11" s="891"/>
      <c r="C11" s="891"/>
      <c r="D11" s="51"/>
      <c r="E11" s="80"/>
      <c r="F11" s="55"/>
      <c r="G11" s="56">
        <f>E11*F11</f>
        <v>0</v>
      </c>
      <c r="H11" s="80"/>
      <c r="I11" s="80"/>
      <c r="J11" s="80"/>
      <c r="K11" s="416"/>
      <c r="L11" s="417"/>
      <c r="M11" s="57"/>
      <c r="N11" s="84"/>
    </row>
    <row r="12" spans="1:14" s="425" customFormat="1" ht="26.25" customHeight="1" x14ac:dyDescent="0.25">
      <c r="A12" s="102"/>
      <c r="B12" s="891"/>
      <c r="C12" s="891"/>
      <c r="D12" s="79"/>
      <c r="E12" s="80"/>
      <c r="F12" s="55"/>
      <c r="G12" s="82"/>
      <c r="H12" s="80"/>
      <c r="I12" s="80"/>
      <c r="J12" s="80"/>
      <c r="K12" s="876"/>
      <c r="L12" s="877"/>
      <c r="M12" s="83"/>
      <c r="N12" s="84"/>
    </row>
    <row r="13" spans="1:14" s="425" customFormat="1" ht="26.25" customHeight="1" x14ac:dyDescent="0.25">
      <c r="A13" s="90"/>
      <c r="B13" s="891"/>
      <c r="C13" s="891"/>
      <c r="D13" s="79"/>
      <c r="E13" s="80"/>
      <c r="F13" s="55"/>
      <c r="G13" s="82"/>
      <c r="H13" s="80"/>
      <c r="I13" s="80"/>
      <c r="J13" s="80"/>
      <c r="K13" s="876"/>
      <c r="L13" s="877"/>
      <c r="M13" s="83"/>
      <c r="N13" s="84"/>
    </row>
    <row r="14" spans="1:14" s="425" customFormat="1" ht="26.25" customHeight="1" x14ac:dyDescent="0.25">
      <c r="A14" s="102"/>
      <c r="B14" s="891"/>
      <c r="C14" s="891"/>
      <c r="D14" s="79"/>
      <c r="E14" s="80"/>
      <c r="F14" s="55"/>
      <c r="G14" s="82"/>
      <c r="H14" s="80"/>
      <c r="I14" s="80"/>
      <c r="J14" s="80"/>
      <c r="K14" s="876"/>
      <c r="L14" s="877"/>
      <c r="M14" s="83"/>
      <c r="N14" s="84"/>
    </row>
    <row r="15" spans="1:14" s="425" customFormat="1" ht="26.25" customHeight="1" x14ac:dyDescent="0.25">
      <c r="A15" s="102"/>
      <c r="B15" s="892"/>
      <c r="C15" s="892"/>
      <c r="D15" s="77"/>
      <c r="E15" s="80"/>
      <c r="F15" s="81"/>
      <c r="G15" s="82"/>
      <c r="H15" s="80"/>
      <c r="I15" s="80"/>
      <c r="J15" s="80"/>
      <c r="K15" s="876"/>
      <c r="L15" s="877"/>
      <c r="M15" s="83"/>
      <c r="N15" s="84"/>
    </row>
    <row r="16" spans="1:14" s="425" customFormat="1" ht="26.25" customHeight="1" x14ac:dyDescent="0.25">
      <c r="A16" s="925" t="s">
        <v>11</v>
      </c>
      <c r="B16" s="926"/>
      <c r="C16" s="926"/>
      <c r="D16" s="926"/>
      <c r="E16" s="428">
        <f>SUM(E10:E15)</f>
        <v>42</v>
      </c>
      <c r="F16" s="76">
        <v>5</v>
      </c>
      <c r="G16" s="62">
        <f>E16*F16</f>
        <v>210</v>
      </c>
      <c r="H16" s="427"/>
      <c r="I16" s="427"/>
      <c r="J16" s="427"/>
      <c r="K16" s="876"/>
      <c r="L16" s="877"/>
      <c r="M16" s="427"/>
      <c r="N16" s="63"/>
    </row>
    <row r="17" spans="1:14" s="425" customFormat="1" ht="26.25" customHeight="1" x14ac:dyDescent="0.25">
      <c r="A17" s="897" t="s">
        <v>24</v>
      </c>
      <c r="B17" s="898"/>
      <c r="C17" s="898"/>
      <c r="D17" s="898"/>
      <c r="E17" s="898"/>
      <c r="F17" s="898"/>
      <c r="G17" s="64">
        <f>G16</f>
        <v>210</v>
      </c>
      <c r="H17" s="429"/>
      <c r="I17" s="429"/>
      <c r="J17" s="429"/>
      <c r="K17" s="859"/>
      <c r="L17" s="860"/>
      <c r="M17" s="429"/>
      <c r="N17" s="66"/>
    </row>
    <row r="18" spans="1:14" s="48" customFormat="1" ht="26.25" customHeight="1" x14ac:dyDescent="0.25">
      <c r="A18" s="899" t="s">
        <v>32</v>
      </c>
      <c r="B18" s="900"/>
      <c r="C18" s="900"/>
      <c r="D18" s="900"/>
      <c r="E18" s="900"/>
      <c r="F18" s="900"/>
      <c r="G18" s="900"/>
      <c r="H18" s="67"/>
      <c r="I18" s="67"/>
      <c r="J18" s="68" t="s">
        <v>44</v>
      </c>
      <c r="K18" s="67"/>
      <c r="L18" s="68"/>
      <c r="M18" s="69"/>
      <c r="N18" s="70"/>
    </row>
    <row r="19" spans="1:14" s="48" customFormat="1" ht="22.5" customHeight="1" thickBot="1" x14ac:dyDescent="0.3">
      <c r="A19" s="72" t="s">
        <v>5</v>
      </c>
      <c r="B19" s="71" t="s">
        <v>33</v>
      </c>
      <c r="C19" s="857" t="s">
        <v>21</v>
      </c>
      <c r="D19" s="858"/>
      <c r="E19" s="857" t="s">
        <v>34</v>
      </c>
      <c r="F19" s="858"/>
      <c r="G19" s="71" t="s">
        <v>0</v>
      </c>
      <c r="H19" s="71" t="s">
        <v>96</v>
      </c>
      <c r="I19" s="71" t="s">
        <v>26</v>
      </c>
      <c r="J19" s="71" t="s">
        <v>27</v>
      </c>
      <c r="K19" s="863" t="s">
        <v>28</v>
      </c>
      <c r="L19" s="857"/>
      <c r="M19" s="901" t="s">
        <v>50</v>
      </c>
      <c r="N19" s="902"/>
    </row>
    <row r="20" spans="1:14" s="3" customFormat="1" ht="26.25" customHeight="1" x14ac:dyDescent="0.25">
      <c r="A20" s="861" t="s">
        <v>35</v>
      </c>
      <c r="B20" s="862"/>
      <c r="C20" s="862"/>
      <c r="D20" s="862"/>
      <c r="E20" s="862"/>
      <c r="F20" s="862"/>
      <c r="G20" s="7">
        <f>G17</f>
        <v>210</v>
      </c>
      <c r="H20" s="8"/>
      <c r="I20" s="8"/>
      <c r="J20" s="8"/>
      <c r="K20" s="8"/>
      <c r="L20" s="8"/>
      <c r="M20" s="8"/>
      <c r="N20" s="9"/>
    </row>
    <row r="21" spans="1:14" s="3" customFormat="1" ht="26.25" customHeight="1" x14ac:dyDescent="0.25">
      <c r="A21" s="366" t="s">
        <v>267</v>
      </c>
      <c r="B21" s="367">
        <v>41548</v>
      </c>
      <c r="C21" s="841" t="s">
        <v>252</v>
      </c>
      <c r="D21" s="841"/>
      <c r="E21" s="855">
        <v>70</v>
      </c>
      <c r="F21" s="855"/>
      <c r="G21" s="12">
        <f>G20-E21</f>
        <v>140</v>
      </c>
      <c r="H21" s="419"/>
      <c r="I21" s="419"/>
      <c r="J21" s="419"/>
      <c r="K21" s="419"/>
      <c r="L21" s="419"/>
      <c r="M21" s="419"/>
      <c r="N21" s="13"/>
    </row>
    <row r="22" spans="1:14" s="3" customFormat="1" ht="26.25" customHeight="1" x14ac:dyDescent="0.25">
      <c r="A22" s="10" t="s">
        <v>319</v>
      </c>
      <c r="B22" s="11">
        <v>41607</v>
      </c>
      <c r="C22" s="888" t="s">
        <v>252</v>
      </c>
      <c r="D22" s="889"/>
      <c r="E22" s="856">
        <v>30</v>
      </c>
      <c r="F22" s="856"/>
      <c r="G22" s="12">
        <f t="shared" ref="G22:G32" si="0">G21-E22</f>
        <v>110</v>
      </c>
      <c r="H22" s="422"/>
      <c r="I22" s="422"/>
      <c r="J22" s="422"/>
      <c r="K22" s="422"/>
      <c r="L22" s="422"/>
      <c r="M22" s="422"/>
      <c r="N22" s="6"/>
    </row>
    <row r="23" spans="1:14" s="3" customFormat="1" ht="26.25" customHeight="1" x14ac:dyDescent="0.25">
      <c r="A23" s="10" t="s">
        <v>319</v>
      </c>
      <c r="B23" s="11">
        <v>41622</v>
      </c>
      <c r="C23" s="888" t="s">
        <v>252</v>
      </c>
      <c r="D23" s="889"/>
      <c r="E23" s="856">
        <v>50</v>
      </c>
      <c r="F23" s="856"/>
      <c r="G23" s="12">
        <f t="shared" si="0"/>
        <v>60</v>
      </c>
      <c r="H23" s="422"/>
      <c r="I23" s="422"/>
      <c r="J23" s="422"/>
      <c r="K23" s="422"/>
      <c r="L23" s="422"/>
      <c r="M23" s="422"/>
      <c r="N23" s="6"/>
    </row>
    <row r="24" spans="1:14" s="3" customFormat="1" ht="26.25" customHeight="1" x14ac:dyDescent="0.25">
      <c r="A24" s="10" t="s">
        <v>340</v>
      </c>
      <c r="B24" s="11">
        <v>41625</v>
      </c>
      <c r="C24" s="888" t="s">
        <v>252</v>
      </c>
      <c r="D24" s="889"/>
      <c r="E24" s="845">
        <v>20</v>
      </c>
      <c r="F24" s="846"/>
      <c r="G24" s="12">
        <f t="shared" si="0"/>
        <v>40</v>
      </c>
      <c r="H24" s="422"/>
      <c r="I24" s="422"/>
      <c r="J24" s="422"/>
      <c r="K24" s="422"/>
      <c r="L24" s="422"/>
      <c r="M24" s="422"/>
      <c r="N24" s="6"/>
    </row>
    <row r="25" spans="1:14" s="3" customFormat="1" ht="26.25" customHeight="1" x14ac:dyDescent="0.25">
      <c r="A25" s="14" t="s">
        <v>379</v>
      </c>
      <c r="B25" s="11">
        <v>41296</v>
      </c>
      <c r="C25" s="905" t="s">
        <v>252</v>
      </c>
      <c r="D25" s="906"/>
      <c r="E25" s="842">
        <v>40</v>
      </c>
      <c r="F25" s="843"/>
      <c r="G25" s="12">
        <f t="shared" si="0"/>
        <v>0</v>
      </c>
      <c r="H25" s="422"/>
      <c r="I25" s="422"/>
      <c r="J25" s="422"/>
      <c r="K25" s="422"/>
      <c r="L25" s="422"/>
      <c r="M25" s="422"/>
      <c r="N25" s="6"/>
    </row>
    <row r="26" spans="1:14" s="3" customFormat="1" ht="26.25" customHeight="1" x14ac:dyDescent="0.25">
      <c r="A26" s="14"/>
      <c r="B26" s="15"/>
      <c r="C26" s="935"/>
      <c r="D26" s="877"/>
      <c r="E26" s="845"/>
      <c r="F26" s="846"/>
      <c r="G26" s="12">
        <f t="shared" si="0"/>
        <v>0</v>
      </c>
      <c r="H26" s="422"/>
      <c r="I26" s="422"/>
      <c r="J26" s="422"/>
      <c r="K26" s="422"/>
      <c r="L26" s="422"/>
      <c r="M26" s="422"/>
      <c r="N26" s="6"/>
    </row>
    <row r="27" spans="1:14" s="3" customFormat="1" ht="26.25" customHeight="1" x14ac:dyDescent="0.25">
      <c r="A27" s="14"/>
      <c r="B27" s="15"/>
      <c r="C27" s="935"/>
      <c r="D27" s="877"/>
      <c r="E27" s="845"/>
      <c r="F27" s="846"/>
      <c r="G27" s="12">
        <f t="shared" si="0"/>
        <v>0</v>
      </c>
      <c r="H27" s="422"/>
      <c r="I27" s="422"/>
      <c r="J27" s="422"/>
      <c r="K27" s="422"/>
      <c r="L27" s="422"/>
      <c r="M27" s="422"/>
      <c r="N27" s="6"/>
    </row>
    <row r="28" spans="1:14" s="3" customFormat="1" ht="26.25" customHeight="1" x14ac:dyDescent="0.25">
      <c r="A28" s="14"/>
      <c r="B28" s="15"/>
      <c r="C28" s="935"/>
      <c r="D28" s="877"/>
      <c r="E28" s="845"/>
      <c r="F28" s="846"/>
      <c r="G28" s="12">
        <f t="shared" si="0"/>
        <v>0</v>
      </c>
      <c r="H28" s="422"/>
      <c r="I28" s="422"/>
      <c r="J28" s="422"/>
      <c r="K28" s="422"/>
      <c r="L28" s="422"/>
      <c r="M28" s="422"/>
      <c r="N28" s="6"/>
    </row>
    <row r="29" spans="1:14" s="3" customFormat="1" ht="26.25" customHeight="1" x14ac:dyDescent="0.25">
      <c r="A29" s="14"/>
      <c r="B29" s="15"/>
      <c r="C29" s="935"/>
      <c r="D29" s="877"/>
      <c r="E29" s="845"/>
      <c r="F29" s="846"/>
      <c r="G29" s="12">
        <f t="shared" si="0"/>
        <v>0</v>
      </c>
      <c r="H29" s="422"/>
      <c r="I29" s="422"/>
      <c r="J29" s="422"/>
      <c r="K29" s="422"/>
      <c r="L29" s="422"/>
      <c r="M29" s="422"/>
      <c r="N29" s="6"/>
    </row>
    <row r="30" spans="1:14" s="3" customFormat="1" ht="26.25" customHeight="1" x14ac:dyDescent="0.25">
      <c r="A30" s="14"/>
      <c r="B30" s="15"/>
      <c r="C30" s="935"/>
      <c r="D30" s="939"/>
      <c r="E30" s="845"/>
      <c r="F30" s="846"/>
      <c r="G30" s="12">
        <f t="shared" si="0"/>
        <v>0</v>
      </c>
      <c r="H30" s="422"/>
      <c r="I30" s="422"/>
      <c r="J30" s="422"/>
      <c r="K30" s="422"/>
      <c r="L30" s="422"/>
      <c r="M30" s="422"/>
      <c r="N30" s="6"/>
    </row>
    <row r="31" spans="1:14" s="3" customFormat="1" ht="26.25" customHeight="1" x14ac:dyDescent="0.25">
      <c r="A31" s="14"/>
      <c r="B31" s="15"/>
      <c r="C31" s="935"/>
      <c r="D31" s="939"/>
      <c r="E31" s="845"/>
      <c r="F31" s="846"/>
      <c r="G31" s="12">
        <f t="shared" si="0"/>
        <v>0</v>
      </c>
      <c r="H31" s="422"/>
      <c r="I31" s="422"/>
      <c r="J31" s="422"/>
      <c r="K31" s="422"/>
      <c r="L31" s="422"/>
      <c r="M31" s="422"/>
      <c r="N31" s="6"/>
    </row>
    <row r="32" spans="1:14" s="3" customFormat="1" ht="26.25" customHeight="1" x14ac:dyDescent="0.25">
      <c r="A32" s="14"/>
      <c r="B32" s="15"/>
      <c r="C32" s="935"/>
      <c r="D32" s="939"/>
      <c r="E32" s="845"/>
      <c r="F32" s="846"/>
      <c r="G32" s="12">
        <f t="shared" si="0"/>
        <v>0</v>
      </c>
      <c r="H32" s="422"/>
      <c r="I32" s="422"/>
      <c r="J32" s="422"/>
      <c r="K32" s="422"/>
      <c r="L32" s="422"/>
      <c r="M32" s="422"/>
      <c r="N32" s="6"/>
    </row>
    <row r="33" spans="1:14" s="23" customFormat="1" ht="26.25" customHeight="1" thickBot="1" x14ac:dyDescent="0.3">
      <c r="A33" s="851" t="s">
        <v>36</v>
      </c>
      <c r="B33" s="852"/>
      <c r="C33" s="852"/>
      <c r="D33" s="852"/>
      <c r="E33" s="853">
        <f>SUM(E21:F32)</f>
        <v>210</v>
      </c>
      <c r="F33" s="854"/>
      <c r="G33" s="20"/>
      <c r="H33" s="21"/>
      <c r="I33" s="21"/>
      <c r="J33" s="21"/>
      <c r="K33" s="21"/>
      <c r="L33" s="21"/>
      <c r="M33" s="21"/>
      <c r="N33" s="22"/>
    </row>
    <row r="34" spans="1:14" s="3" customFormat="1" ht="26.25" customHeight="1" thickTop="1" x14ac:dyDescent="0.25">
      <c r="A34" s="24"/>
      <c r="E34" s="844" t="s">
        <v>65</v>
      </c>
      <c r="F34" s="844"/>
    </row>
    <row r="35" spans="1:14" s="3" customFormat="1" ht="26.25" customHeight="1" x14ac:dyDescent="0.3">
      <c r="A35" s="25" t="s">
        <v>41</v>
      </c>
      <c r="B35" s="25"/>
      <c r="C35" s="25"/>
      <c r="D35" s="25" t="s">
        <v>81</v>
      </c>
      <c r="E35" s="25"/>
      <c r="F35" s="26"/>
      <c r="G35" s="25" t="s">
        <v>38</v>
      </c>
      <c r="H35" s="25"/>
      <c r="I35" s="25"/>
      <c r="J35" s="25"/>
      <c r="K35" s="25"/>
      <c r="L35" s="25" t="s">
        <v>39</v>
      </c>
      <c r="M35" s="28"/>
      <c r="N35" s="26"/>
    </row>
    <row r="36" spans="1:14" s="3" customFormat="1" ht="26.25" customHeight="1" x14ac:dyDescent="0.3">
      <c r="A36" s="25"/>
      <c r="B36" s="25"/>
      <c r="C36" s="25"/>
      <c r="D36" s="25"/>
      <c r="E36" s="25"/>
      <c r="F36" s="26"/>
      <c r="G36" s="25"/>
      <c r="H36" s="25"/>
      <c r="I36" s="25"/>
      <c r="J36" s="25"/>
      <c r="K36" s="25"/>
      <c r="L36" s="25"/>
      <c r="M36" s="28"/>
      <c r="N36" s="26"/>
    </row>
    <row r="37" spans="1:14" s="3" customFormat="1" ht="26.25" customHeight="1" x14ac:dyDescent="0.3">
      <c r="A37" s="25"/>
      <c r="B37" s="25"/>
      <c r="C37" s="25"/>
      <c r="D37" s="25"/>
      <c r="E37" s="25"/>
      <c r="F37" s="26"/>
      <c r="G37" s="25"/>
      <c r="H37" s="25"/>
      <c r="I37" s="25"/>
      <c r="J37" s="25"/>
      <c r="K37" s="25"/>
      <c r="L37" s="25"/>
      <c r="M37" s="28"/>
      <c r="N37" s="26"/>
    </row>
    <row r="38" spans="1:14" s="3" customFormat="1" ht="26.25" customHeight="1" x14ac:dyDescent="0.3">
      <c r="A38" s="25"/>
      <c r="B38" s="25"/>
      <c r="C38" s="25"/>
      <c r="D38" s="25"/>
      <c r="E38" s="25"/>
      <c r="F38" s="26"/>
      <c r="G38" s="25"/>
      <c r="H38" s="25"/>
      <c r="I38" s="25"/>
      <c r="J38" s="25"/>
      <c r="K38" s="25"/>
      <c r="L38" s="25"/>
      <c r="M38" s="28"/>
      <c r="N38" s="26"/>
    </row>
    <row r="39" spans="1:14" s="3" customFormat="1" ht="26.25" customHeight="1" x14ac:dyDescent="0.3">
      <c r="A39" s="29"/>
      <c r="B39" s="25"/>
      <c r="C39" s="25"/>
      <c r="D39" s="29"/>
      <c r="E39" s="29"/>
      <c r="F39" s="26"/>
      <c r="G39" s="29"/>
      <c r="H39" s="25"/>
      <c r="I39" s="25"/>
      <c r="J39" s="25"/>
      <c r="K39" s="25"/>
      <c r="L39" s="27"/>
      <c r="M39" s="28"/>
      <c r="N39" s="26"/>
    </row>
    <row r="40" spans="1:14" s="30" customFormat="1" ht="17.25" x14ac:dyDescent="0.3">
      <c r="A40" s="25" t="s">
        <v>48</v>
      </c>
      <c r="B40" s="25"/>
      <c r="C40" s="25" t="s">
        <v>80</v>
      </c>
      <c r="D40" s="25"/>
      <c r="G40" s="25" t="str">
        <f>B10</f>
        <v>Jerry</v>
      </c>
      <c r="H40" s="25"/>
      <c r="I40" s="25"/>
      <c r="J40" s="25"/>
      <c r="K40" s="829" t="s">
        <v>90</v>
      </c>
      <c r="L40" s="829"/>
      <c r="M40" s="829"/>
      <c r="N40" s="829"/>
    </row>
    <row r="41" spans="1:14" s="30" customFormat="1" ht="16.5" x14ac:dyDescent="0.3">
      <c r="A41" s="32"/>
    </row>
    <row r="42" spans="1:14" s="30" customFormat="1" ht="16.5" x14ac:dyDescent="0.3">
      <c r="A42" s="32"/>
    </row>
    <row r="43" spans="1:14" s="30" customFormat="1" ht="16.5" x14ac:dyDescent="0.3">
      <c r="A43" s="32"/>
    </row>
    <row r="44" spans="1:14" s="30" customFormat="1" ht="16.5" x14ac:dyDescent="0.3">
      <c r="A44" s="32"/>
    </row>
    <row r="45" spans="1:14" s="30" customFormat="1" ht="16.5" x14ac:dyDescent="0.3">
      <c r="A45" s="32"/>
    </row>
    <row r="46" spans="1:14" s="30" customFormat="1" ht="16.5" x14ac:dyDescent="0.3">
      <c r="A46" s="32"/>
    </row>
    <row r="47" spans="1:14" s="30" customFormat="1" ht="16.5" x14ac:dyDescent="0.3">
      <c r="A47" s="32"/>
    </row>
    <row r="48" spans="1:14" s="30" customFormat="1" ht="16.5" x14ac:dyDescent="0.3">
      <c r="A48" s="32"/>
    </row>
    <row r="49" spans="1:1" s="30" customFormat="1" ht="16.5" x14ac:dyDescent="0.3">
      <c r="A49" s="32"/>
    </row>
  </sheetData>
  <mergeCells count="47">
    <mergeCell ref="K40:N40"/>
    <mergeCell ref="C29:D29"/>
    <mergeCell ref="E29:F29"/>
    <mergeCell ref="C30:D30"/>
    <mergeCell ref="E30:F30"/>
    <mergeCell ref="C31:D31"/>
    <mergeCell ref="E31:F31"/>
    <mergeCell ref="C32:D32"/>
    <mergeCell ref="E32:F32"/>
    <mergeCell ref="A33:D33"/>
    <mergeCell ref="E33:F33"/>
    <mergeCell ref="E34:F34"/>
    <mergeCell ref="C26:D26"/>
    <mergeCell ref="E26:F26"/>
    <mergeCell ref="C27:D27"/>
    <mergeCell ref="E27:F27"/>
    <mergeCell ref="C28:D28"/>
    <mergeCell ref="E28:F28"/>
    <mergeCell ref="C23:D23"/>
    <mergeCell ref="E23:F23"/>
    <mergeCell ref="C24:D24"/>
    <mergeCell ref="E24:F24"/>
    <mergeCell ref="C25:D25"/>
    <mergeCell ref="E25:F25"/>
    <mergeCell ref="M19:N19"/>
    <mergeCell ref="A20:F20"/>
    <mergeCell ref="C21:D21"/>
    <mergeCell ref="E21:F21"/>
    <mergeCell ref="C22:D22"/>
    <mergeCell ref="E22:F22"/>
    <mergeCell ref="C19:D19"/>
    <mergeCell ref="E19:F19"/>
    <mergeCell ref="K19:L19"/>
    <mergeCell ref="A16:D16"/>
    <mergeCell ref="K16:L16"/>
    <mergeCell ref="A17:F17"/>
    <mergeCell ref="K17:L17"/>
    <mergeCell ref="A18:G18"/>
    <mergeCell ref="A1:XFD7"/>
    <mergeCell ref="A8:N8"/>
    <mergeCell ref="K9:L9"/>
    <mergeCell ref="B10:B15"/>
    <mergeCell ref="C10:C15"/>
    <mergeCell ref="K12:L12"/>
    <mergeCell ref="K13:L13"/>
    <mergeCell ref="K14:L14"/>
    <mergeCell ref="K15:L15"/>
  </mergeCells>
  <printOptions horizontalCentered="1"/>
  <pageMargins left="0.25" right="0.25" top="0.47" bottom="0.25" header="0.5" footer="0.5"/>
  <pageSetup scale="70" orientation="portrait" verticalDpi="300" r:id="rId1"/>
  <headerFooter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="80" workbookViewId="0">
      <pane xSplit="3" ySplit="9" topLeftCell="D16" activePane="bottomRight" state="frozen"/>
      <selection activeCell="Q11" sqref="Q11"/>
      <selection pane="topRight" activeCell="Q11" sqref="Q11"/>
      <selection pane="bottomLeft" activeCell="Q11" sqref="Q11"/>
      <selection pane="bottomRight" activeCell="A18" sqref="A18:G18"/>
    </sheetView>
  </sheetViews>
  <sheetFormatPr defaultRowHeight="13.5" x14ac:dyDescent="0.25"/>
  <cols>
    <col min="1" max="1" width="14.140625" style="33" customWidth="1"/>
    <col min="2" max="2" width="16.85546875" style="1" customWidth="1"/>
    <col min="3" max="3" width="5.5703125" style="1" customWidth="1"/>
    <col min="4" max="4" width="27.42578125" style="1" customWidth="1"/>
    <col min="5" max="5" width="8.42578125" style="1" customWidth="1"/>
    <col min="6" max="6" width="8.5703125" style="1" customWidth="1"/>
    <col min="7" max="7" width="16.42578125" style="1" customWidth="1"/>
    <col min="8" max="8" width="3.7109375" style="1" customWidth="1"/>
    <col min="9" max="9" width="3.85546875" style="1" customWidth="1"/>
    <col min="10" max="10" width="5.140625" style="1" customWidth="1"/>
    <col min="11" max="11" width="5.85546875" style="1" customWidth="1"/>
    <col min="12" max="12" width="6.5703125" style="1" customWidth="1"/>
    <col min="13" max="13" width="11.85546875" style="1" customWidth="1"/>
    <col min="14" max="14" width="10.5703125" style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9" s="866" customFormat="1" ht="15" x14ac:dyDescent="0.25"/>
    <row r="2" spans="1:19" s="866" customFormat="1" ht="15" x14ac:dyDescent="0.25"/>
    <row r="3" spans="1:19" s="866" customFormat="1" ht="15" x14ac:dyDescent="0.25"/>
    <row r="4" spans="1:19" s="866" customFormat="1" ht="15" x14ac:dyDescent="0.25"/>
    <row r="5" spans="1:19" s="866" customFormat="1" ht="15" x14ac:dyDescent="0.25"/>
    <row r="6" spans="1:19" s="866" customFormat="1" ht="15" x14ac:dyDescent="0.25"/>
    <row r="7" spans="1:19" s="866" customFormat="1" ht="15.75" thickBot="1" x14ac:dyDescent="0.3"/>
    <row r="8" spans="1:19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9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25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9" s="59" customFormat="1" ht="26.25" customHeight="1" x14ac:dyDescent="0.25">
      <c r="A10" s="102">
        <v>1</v>
      </c>
      <c r="B10" s="295" t="s">
        <v>136</v>
      </c>
      <c r="C10" s="890" t="s">
        <v>31</v>
      </c>
      <c r="D10" s="51" t="s">
        <v>129</v>
      </c>
      <c r="E10" s="226">
        <f>35+4</f>
        <v>39</v>
      </c>
      <c r="F10" s="55">
        <v>4</v>
      </c>
      <c r="G10" s="56">
        <f>E10*F10</f>
        <v>156</v>
      </c>
      <c r="H10" s="226"/>
      <c r="I10" s="878" t="s">
        <v>128</v>
      </c>
      <c r="J10" s="879"/>
      <c r="K10" s="878" t="s">
        <v>74</v>
      </c>
      <c r="L10" s="879"/>
      <c r="M10" s="57">
        <v>41463</v>
      </c>
      <c r="N10" s="58"/>
      <c r="O10" s="931" t="s">
        <v>135</v>
      </c>
      <c r="P10" s="932"/>
      <c r="Q10" s="932"/>
      <c r="R10" s="932"/>
      <c r="S10" s="932"/>
    </row>
    <row r="11" spans="1:19" s="59" customFormat="1" ht="26.25" customHeight="1" x14ac:dyDescent="0.25">
      <c r="A11" s="90"/>
      <c r="B11" s="296"/>
      <c r="C11" s="891"/>
      <c r="D11" s="79"/>
      <c r="E11" s="80"/>
      <c r="F11" s="55"/>
      <c r="G11" s="56">
        <f t="shared" ref="G11:G15" si="0">E11*F11</f>
        <v>0</v>
      </c>
      <c r="H11" s="80"/>
      <c r="I11" s="872"/>
      <c r="J11" s="873"/>
      <c r="K11" s="876"/>
      <c r="L11" s="877"/>
      <c r="M11" s="83"/>
      <c r="N11" s="84"/>
    </row>
    <row r="12" spans="1:19" s="59" customFormat="1" ht="26.25" customHeight="1" x14ac:dyDescent="0.25">
      <c r="A12" s="102"/>
      <c r="B12" s="296"/>
      <c r="C12" s="891"/>
      <c r="D12" s="79"/>
      <c r="E12" s="80"/>
      <c r="F12" s="55"/>
      <c r="G12" s="56">
        <f t="shared" si="0"/>
        <v>0</v>
      </c>
      <c r="H12" s="80"/>
      <c r="I12" s="878"/>
      <c r="J12" s="879"/>
      <c r="K12" s="876"/>
      <c r="L12" s="877"/>
      <c r="M12" s="83"/>
      <c r="N12" s="84"/>
    </row>
    <row r="13" spans="1:19" s="59" customFormat="1" ht="26.25" customHeight="1" x14ac:dyDescent="0.25">
      <c r="A13" s="90"/>
      <c r="B13" s="296"/>
      <c r="C13" s="891"/>
      <c r="D13" s="79"/>
      <c r="E13" s="80"/>
      <c r="F13" s="55"/>
      <c r="G13" s="56">
        <f t="shared" si="0"/>
        <v>0</v>
      </c>
      <c r="H13" s="80"/>
      <c r="I13" s="80"/>
      <c r="J13" s="80"/>
      <c r="K13" s="876"/>
      <c r="L13" s="877"/>
      <c r="M13" s="83"/>
      <c r="N13" s="84"/>
    </row>
    <row r="14" spans="1:19" s="59" customFormat="1" ht="26.25" customHeight="1" x14ac:dyDescent="0.25">
      <c r="A14" s="102"/>
      <c r="B14" s="296"/>
      <c r="C14" s="891"/>
      <c r="D14" s="79"/>
      <c r="E14" s="80"/>
      <c r="F14" s="55"/>
      <c r="G14" s="56">
        <f t="shared" si="0"/>
        <v>0</v>
      </c>
      <c r="H14" s="80"/>
      <c r="I14" s="80"/>
      <c r="J14" s="80"/>
      <c r="K14" s="876"/>
      <c r="L14" s="877"/>
      <c r="M14" s="83"/>
      <c r="N14" s="84"/>
    </row>
    <row r="15" spans="1:19" s="59" customFormat="1" ht="26.25" customHeight="1" x14ac:dyDescent="0.25">
      <c r="A15" s="102"/>
      <c r="B15" s="297"/>
      <c r="C15" s="892"/>
      <c r="D15" s="77"/>
      <c r="E15" s="80"/>
      <c r="F15" s="81"/>
      <c r="G15" s="56">
        <f t="shared" si="0"/>
        <v>0</v>
      </c>
      <c r="H15" s="80"/>
      <c r="I15" s="80"/>
      <c r="J15" s="80"/>
      <c r="K15" s="876"/>
      <c r="L15" s="877"/>
      <c r="M15" s="83"/>
      <c r="N15" s="84"/>
    </row>
    <row r="16" spans="1:19" s="59" customFormat="1" ht="26.25" customHeight="1" x14ac:dyDescent="0.25">
      <c r="A16" s="925" t="s">
        <v>11</v>
      </c>
      <c r="B16" s="926"/>
      <c r="C16" s="926"/>
      <c r="D16" s="926"/>
      <c r="E16" s="228">
        <f>SUM(E10:E15)</f>
        <v>39</v>
      </c>
      <c r="F16" s="76"/>
      <c r="G16" s="62">
        <f>SUM(G10:G15)</f>
        <v>156</v>
      </c>
      <c r="H16" s="227"/>
      <c r="I16" s="227"/>
      <c r="J16" s="227"/>
      <c r="K16" s="876"/>
      <c r="L16" s="877"/>
      <c r="M16" s="227"/>
      <c r="N16" s="63"/>
    </row>
    <row r="17" spans="1:14" s="59" customFormat="1" ht="26.25" customHeight="1" x14ac:dyDescent="0.25">
      <c r="A17" s="897" t="s">
        <v>24</v>
      </c>
      <c r="B17" s="898"/>
      <c r="C17" s="898"/>
      <c r="D17" s="898"/>
      <c r="E17" s="898"/>
      <c r="F17" s="898"/>
      <c r="G17" s="64">
        <f>G16</f>
        <v>156</v>
      </c>
      <c r="H17" s="229"/>
      <c r="I17" s="229"/>
      <c r="J17" s="229"/>
      <c r="K17" s="859"/>
      <c r="L17" s="860"/>
      <c r="M17" s="229"/>
      <c r="N17" s="66"/>
    </row>
    <row r="18" spans="1:14" s="48" customFormat="1" ht="26.25" customHeight="1" x14ac:dyDescent="0.25">
      <c r="A18" s="899" t="s">
        <v>32</v>
      </c>
      <c r="B18" s="900"/>
      <c r="C18" s="900"/>
      <c r="D18" s="900"/>
      <c r="E18" s="900"/>
      <c r="F18" s="900"/>
      <c r="G18" s="900"/>
      <c r="H18" s="67"/>
      <c r="I18" s="67"/>
      <c r="J18" s="68" t="s">
        <v>44</v>
      </c>
      <c r="K18" s="67"/>
      <c r="L18" s="68"/>
      <c r="M18" s="69"/>
      <c r="N18" s="70"/>
    </row>
    <row r="19" spans="1:14" s="48" customFormat="1" ht="22.5" customHeight="1" thickBot="1" x14ac:dyDescent="0.3">
      <c r="A19" s="72" t="s">
        <v>5</v>
      </c>
      <c r="B19" s="71" t="s">
        <v>33</v>
      </c>
      <c r="C19" s="857" t="s">
        <v>21</v>
      </c>
      <c r="D19" s="858"/>
      <c r="E19" s="857" t="s">
        <v>34</v>
      </c>
      <c r="F19" s="858"/>
      <c r="G19" s="71" t="s">
        <v>0</v>
      </c>
      <c r="H19" s="71" t="s">
        <v>25</v>
      </c>
      <c r="I19" s="71" t="s">
        <v>26</v>
      </c>
      <c r="J19" s="71" t="s">
        <v>27</v>
      </c>
      <c r="K19" s="863" t="s">
        <v>28</v>
      </c>
      <c r="L19" s="857"/>
      <c r="M19" s="901" t="s">
        <v>50</v>
      </c>
      <c r="N19" s="902"/>
    </row>
    <row r="20" spans="1:14" s="3" customFormat="1" ht="26.25" customHeight="1" x14ac:dyDescent="0.25">
      <c r="A20" s="861" t="s">
        <v>35</v>
      </c>
      <c r="B20" s="862"/>
      <c r="C20" s="862"/>
      <c r="D20" s="862"/>
      <c r="E20" s="862"/>
      <c r="F20" s="862"/>
      <c r="G20" s="7">
        <f>G17</f>
        <v>156</v>
      </c>
      <c r="H20" s="8"/>
      <c r="I20" s="8"/>
      <c r="J20" s="8"/>
      <c r="K20" s="8"/>
      <c r="L20" s="8"/>
      <c r="M20" s="8"/>
      <c r="N20" s="9"/>
    </row>
    <row r="21" spans="1:14" s="3" customFormat="1" ht="26.25" customHeight="1" x14ac:dyDescent="0.25">
      <c r="A21" s="366" t="s">
        <v>214</v>
      </c>
      <c r="B21" s="367">
        <v>41515</v>
      </c>
      <c r="C21" s="841" t="s">
        <v>129</v>
      </c>
      <c r="D21" s="841"/>
      <c r="E21" s="855">
        <v>140</v>
      </c>
      <c r="F21" s="855"/>
      <c r="G21" s="12">
        <f>G20-E21</f>
        <v>16</v>
      </c>
      <c r="H21" s="220"/>
      <c r="I21" s="220"/>
      <c r="J21" s="220"/>
      <c r="K21" s="220"/>
      <c r="L21" s="220"/>
      <c r="M21" s="220"/>
      <c r="N21" s="13"/>
    </row>
    <row r="22" spans="1:14" s="3" customFormat="1" ht="26.25" customHeight="1" x14ac:dyDescent="0.25">
      <c r="A22" s="366" t="s">
        <v>539</v>
      </c>
      <c r="B22" s="367">
        <v>41374</v>
      </c>
      <c r="C22" s="841" t="s">
        <v>129</v>
      </c>
      <c r="D22" s="841"/>
      <c r="E22" s="856">
        <v>16</v>
      </c>
      <c r="F22" s="856"/>
      <c r="G22" s="12">
        <f t="shared" ref="G22:G32" si="1">G21-E22</f>
        <v>0</v>
      </c>
      <c r="H22" s="223"/>
      <c r="I22" s="223"/>
      <c r="J22" s="223"/>
      <c r="K22" s="223"/>
      <c r="L22" s="223"/>
      <c r="M22" s="223"/>
      <c r="N22" s="6"/>
    </row>
    <row r="23" spans="1:14" s="3" customFormat="1" ht="26.25" customHeight="1" x14ac:dyDescent="0.25">
      <c r="A23" s="14"/>
      <c r="B23" s="15"/>
      <c r="C23" s="933"/>
      <c r="D23" s="934"/>
      <c r="E23" s="856"/>
      <c r="F23" s="856"/>
      <c r="G23" s="12">
        <f t="shared" si="1"/>
        <v>0</v>
      </c>
      <c r="H23" s="223"/>
      <c r="I23" s="223"/>
      <c r="J23" s="223"/>
      <c r="K23" s="223"/>
      <c r="L23" s="223"/>
      <c r="M23" s="223"/>
      <c r="N23" s="6"/>
    </row>
    <row r="24" spans="1:14" s="3" customFormat="1" ht="26.25" customHeight="1" x14ac:dyDescent="0.25">
      <c r="A24" s="14"/>
      <c r="B24" s="15"/>
      <c r="C24" s="933"/>
      <c r="D24" s="934"/>
      <c r="E24" s="845"/>
      <c r="F24" s="846"/>
      <c r="G24" s="12">
        <f t="shared" si="1"/>
        <v>0</v>
      </c>
      <c r="H24" s="223"/>
      <c r="I24" s="223"/>
      <c r="J24" s="223"/>
      <c r="K24" s="223"/>
      <c r="L24" s="223"/>
      <c r="M24" s="223"/>
      <c r="N24" s="6"/>
    </row>
    <row r="25" spans="1:14" s="3" customFormat="1" ht="16.5" x14ac:dyDescent="0.25">
      <c r="A25" s="14"/>
      <c r="B25" s="15"/>
      <c r="C25" s="933"/>
      <c r="D25" s="934"/>
      <c r="E25" s="842"/>
      <c r="F25" s="843"/>
      <c r="G25" s="12">
        <f t="shared" si="1"/>
        <v>0</v>
      </c>
      <c r="H25" s="223"/>
      <c r="I25" s="223"/>
      <c r="J25" s="223"/>
      <c r="K25" s="223"/>
      <c r="L25" s="223"/>
      <c r="M25" s="223"/>
      <c r="N25" s="6"/>
    </row>
    <row r="26" spans="1:14" s="3" customFormat="1" ht="26.25" customHeight="1" x14ac:dyDescent="0.25">
      <c r="A26" s="14"/>
      <c r="B26" s="15"/>
      <c r="C26" s="935"/>
      <c r="D26" s="877"/>
      <c r="E26" s="845"/>
      <c r="F26" s="846"/>
      <c r="G26" s="12">
        <f t="shared" si="1"/>
        <v>0</v>
      </c>
      <c r="H26" s="223"/>
      <c r="I26" s="223"/>
      <c r="J26" s="223"/>
      <c r="K26" s="223"/>
      <c r="L26" s="223"/>
      <c r="M26" s="223"/>
      <c r="N26" s="6"/>
    </row>
    <row r="27" spans="1:14" s="3" customFormat="1" ht="26.25" customHeight="1" x14ac:dyDescent="0.25">
      <c r="A27" s="14"/>
      <c r="B27" s="15"/>
      <c r="C27" s="935"/>
      <c r="D27" s="877"/>
      <c r="E27" s="845"/>
      <c r="F27" s="846"/>
      <c r="G27" s="12">
        <f t="shared" si="1"/>
        <v>0</v>
      </c>
      <c r="H27" s="223"/>
      <c r="I27" s="223"/>
      <c r="J27" s="223"/>
      <c r="K27" s="223"/>
      <c r="L27" s="223"/>
      <c r="M27" s="223"/>
      <c r="N27" s="6"/>
    </row>
    <row r="28" spans="1:14" s="3" customFormat="1" ht="26.25" customHeight="1" x14ac:dyDescent="0.25">
      <c r="A28" s="14"/>
      <c r="B28" s="15"/>
      <c r="C28" s="935"/>
      <c r="D28" s="877"/>
      <c r="E28" s="845"/>
      <c r="F28" s="846"/>
      <c r="G28" s="12">
        <f t="shared" si="1"/>
        <v>0</v>
      </c>
      <c r="H28" s="223"/>
      <c r="I28" s="223"/>
      <c r="J28" s="223"/>
      <c r="K28" s="223"/>
      <c r="L28" s="223"/>
      <c r="M28" s="223"/>
      <c r="N28" s="6"/>
    </row>
    <row r="29" spans="1:14" s="3" customFormat="1" ht="26.25" customHeight="1" x14ac:dyDescent="0.25">
      <c r="A29" s="14"/>
      <c r="B29" s="15"/>
      <c r="C29" s="935"/>
      <c r="D29" s="877"/>
      <c r="E29" s="845"/>
      <c r="F29" s="846"/>
      <c r="G29" s="12">
        <f t="shared" si="1"/>
        <v>0</v>
      </c>
      <c r="H29" s="223"/>
      <c r="I29" s="223"/>
      <c r="J29" s="223"/>
      <c r="K29" s="223"/>
      <c r="L29" s="223"/>
      <c r="M29" s="223"/>
      <c r="N29" s="6"/>
    </row>
    <row r="30" spans="1:14" s="3" customFormat="1" ht="26.25" customHeight="1" x14ac:dyDescent="0.25">
      <c r="A30" s="14"/>
      <c r="B30" s="15"/>
      <c r="C30" s="935"/>
      <c r="D30" s="939"/>
      <c r="E30" s="845"/>
      <c r="F30" s="846"/>
      <c r="G30" s="12">
        <f t="shared" si="1"/>
        <v>0</v>
      </c>
      <c r="H30" s="223"/>
      <c r="I30" s="223"/>
      <c r="J30" s="223"/>
      <c r="K30" s="223"/>
      <c r="L30" s="223"/>
      <c r="M30" s="223"/>
      <c r="N30" s="6"/>
    </row>
    <row r="31" spans="1:14" s="3" customFormat="1" ht="26.25" customHeight="1" x14ac:dyDescent="0.25">
      <c r="A31" s="14"/>
      <c r="B31" s="15"/>
      <c r="C31" s="935"/>
      <c r="D31" s="939"/>
      <c r="E31" s="845"/>
      <c r="F31" s="846"/>
      <c r="G31" s="12">
        <f t="shared" si="1"/>
        <v>0</v>
      </c>
      <c r="H31" s="223"/>
      <c r="I31" s="223"/>
      <c r="J31" s="223"/>
      <c r="K31" s="223"/>
      <c r="L31" s="223"/>
      <c r="M31" s="223"/>
      <c r="N31" s="6"/>
    </row>
    <row r="32" spans="1:14" s="3" customFormat="1" ht="26.25" customHeight="1" x14ac:dyDescent="0.25">
      <c r="A32" s="14"/>
      <c r="B32" s="15"/>
      <c r="C32" s="935"/>
      <c r="D32" s="939"/>
      <c r="E32" s="845"/>
      <c r="F32" s="846"/>
      <c r="G32" s="12">
        <f t="shared" si="1"/>
        <v>0</v>
      </c>
      <c r="H32" s="223"/>
      <c r="I32" s="223"/>
      <c r="J32" s="223"/>
      <c r="K32" s="223"/>
      <c r="L32" s="223"/>
      <c r="M32" s="223"/>
      <c r="N32" s="6"/>
    </row>
    <row r="33" spans="1:14" s="23" customFormat="1" ht="26.25" customHeight="1" thickBot="1" x14ac:dyDescent="0.3">
      <c r="A33" s="851" t="s">
        <v>36</v>
      </c>
      <c r="B33" s="852"/>
      <c r="C33" s="852"/>
      <c r="D33" s="852"/>
      <c r="E33" s="853">
        <f>SUM(E21:F32)</f>
        <v>156</v>
      </c>
      <c r="F33" s="854"/>
      <c r="G33" s="20"/>
      <c r="H33" s="21"/>
      <c r="I33" s="21"/>
      <c r="J33" s="21"/>
      <c r="K33" s="21"/>
      <c r="L33" s="21"/>
      <c r="M33" s="21"/>
      <c r="N33" s="22"/>
    </row>
    <row r="34" spans="1:14" s="3" customFormat="1" ht="26.25" customHeight="1" thickTop="1" x14ac:dyDescent="0.25">
      <c r="A34" s="24"/>
      <c r="E34" s="844" t="s">
        <v>65</v>
      </c>
      <c r="F34" s="844"/>
    </row>
    <row r="35" spans="1:14" s="3" customFormat="1" ht="26.25" customHeight="1" x14ac:dyDescent="0.3">
      <c r="A35" s="25" t="s">
        <v>41</v>
      </c>
      <c r="B35" s="25"/>
      <c r="C35" s="25"/>
      <c r="D35" s="25" t="s">
        <v>81</v>
      </c>
      <c r="E35" s="25"/>
      <c r="F35" s="26"/>
      <c r="G35" s="25" t="s">
        <v>38</v>
      </c>
      <c r="H35" s="25"/>
      <c r="I35" s="25"/>
      <c r="J35" s="25"/>
      <c r="K35" s="25"/>
      <c r="L35" s="25" t="s">
        <v>39</v>
      </c>
      <c r="M35" s="28"/>
      <c r="N35" s="26"/>
    </row>
    <row r="36" spans="1:14" s="3" customFormat="1" ht="26.25" customHeight="1" x14ac:dyDescent="0.3">
      <c r="A36" s="25"/>
      <c r="B36" s="25"/>
      <c r="C36" s="25"/>
      <c r="D36" s="25"/>
      <c r="E36" s="25"/>
      <c r="F36" s="26"/>
      <c r="G36" s="25"/>
      <c r="H36" s="25"/>
      <c r="I36" s="25"/>
      <c r="J36" s="25"/>
      <c r="K36" s="25"/>
      <c r="L36" s="25"/>
      <c r="M36" s="28"/>
      <c r="N36" s="26"/>
    </row>
    <row r="37" spans="1:14" s="3" customFormat="1" ht="26.25" customHeight="1" x14ac:dyDescent="0.3">
      <c r="A37" s="25"/>
      <c r="B37" s="25"/>
      <c r="C37" s="25"/>
      <c r="D37" s="25"/>
      <c r="E37" s="25"/>
      <c r="F37" s="26"/>
      <c r="G37" s="25"/>
      <c r="H37" s="25"/>
      <c r="I37" s="25"/>
      <c r="J37" s="25"/>
      <c r="K37" s="25"/>
      <c r="L37" s="25"/>
      <c r="M37" s="28"/>
      <c r="N37" s="26"/>
    </row>
    <row r="38" spans="1:14" s="3" customFormat="1" ht="26.25" customHeight="1" x14ac:dyDescent="0.3">
      <c r="A38" s="25"/>
      <c r="B38" s="25"/>
      <c r="C38" s="25"/>
      <c r="D38" s="25"/>
      <c r="E38" s="25"/>
      <c r="F38" s="26"/>
      <c r="G38" s="25"/>
      <c r="H38" s="25"/>
      <c r="I38" s="25"/>
      <c r="J38" s="25"/>
      <c r="K38" s="25"/>
      <c r="L38" s="25"/>
      <c r="M38" s="28"/>
      <c r="N38" s="26"/>
    </row>
    <row r="39" spans="1:14" s="3" customFormat="1" ht="26.25" customHeight="1" x14ac:dyDescent="0.3">
      <c r="A39" s="29"/>
      <c r="B39" s="25"/>
      <c r="C39" s="25"/>
      <c r="D39" s="29"/>
      <c r="E39" s="29"/>
      <c r="F39" s="26"/>
      <c r="G39" s="29"/>
      <c r="H39" s="25"/>
      <c r="I39" s="25"/>
      <c r="J39" s="25"/>
      <c r="K39" s="25"/>
      <c r="L39" s="27"/>
      <c r="M39" s="28"/>
      <c r="N39" s="26"/>
    </row>
    <row r="40" spans="1:14" s="30" customFormat="1" ht="17.25" x14ac:dyDescent="0.3">
      <c r="A40" s="25" t="s">
        <v>48</v>
      </c>
      <c r="B40" s="25"/>
      <c r="C40" s="25" t="s">
        <v>80</v>
      </c>
      <c r="D40" s="25"/>
      <c r="G40" s="25" t="str">
        <f>B10</f>
        <v>Shon Run</v>
      </c>
      <c r="H40" s="25"/>
      <c r="I40" s="25"/>
      <c r="J40" s="25"/>
      <c r="K40" s="829" t="s">
        <v>90</v>
      </c>
      <c r="L40" s="829"/>
      <c r="M40" s="829"/>
      <c r="N40" s="829"/>
    </row>
    <row r="41" spans="1:14" s="30" customFormat="1" ht="16.5" x14ac:dyDescent="0.3">
      <c r="A41" s="32"/>
    </row>
    <row r="42" spans="1:14" s="30" customFormat="1" ht="16.5" x14ac:dyDescent="0.3">
      <c r="A42" s="32"/>
    </row>
    <row r="43" spans="1:14" s="30" customFormat="1" ht="16.5" x14ac:dyDescent="0.3">
      <c r="A43" s="32"/>
    </row>
    <row r="44" spans="1:14" s="30" customFormat="1" ht="16.5" x14ac:dyDescent="0.3">
      <c r="A44" s="32"/>
    </row>
    <row r="45" spans="1:14" s="30" customFormat="1" ht="16.5" x14ac:dyDescent="0.3">
      <c r="A45" s="32"/>
    </row>
    <row r="46" spans="1:14" s="30" customFormat="1" ht="16.5" x14ac:dyDescent="0.3">
      <c r="A46" s="32"/>
    </row>
    <row r="47" spans="1:14" s="30" customFormat="1" ht="16.5" x14ac:dyDescent="0.3">
      <c r="A47" s="32"/>
    </row>
    <row r="48" spans="1:14" s="30" customFormat="1" ht="16.5" x14ac:dyDescent="0.3">
      <c r="A48" s="32"/>
    </row>
    <row r="49" spans="1:1" s="30" customFormat="1" ht="16.5" x14ac:dyDescent="0.3">
      <c r="A49" s="32"/>
    </row>
  </sheetData>
  <mergeCells count="52">
    <mergeCell ref="A1:XFD7"/>
    <mergeCell ref="A8:N8"/>
    <mergeCell ref="K9:L9"/>
    <mergeCell ref="C10:C15"/>
    <mergeCell ref="I10:J10"/>
    <mergeCell ref="K10:L10"/>
    <mergeCell ref="K11:L11"/>
    <mergeCell ref="K12:L12"/>
    <mergeCell ref="K13:L13"/>
    <mergeCell ref="K14:L14"/>
    <mergeCell ref="K15:L15"/>
    <mergeCell ref="I11:J11"/>
    <mergeCell ref="I12:J12"/>
    <mergeCell ref="K16:L16"/>
    <mergeCell ref="A17:F17"/>
    <mergeCell ref="K17:L17"/>
    <mergeCell ref="M19:N19"/>
    <mergeCell ref="C21:D21"/>
    <mergeCell ref="E21:F21"/>
    <mergeCell ref="A18:G18"/>
    <mergeCell ref="C19:D19"/>
    <mergeCell ref="E19:F19"/>
    <mergeCell ref="K19:L19"/>
    <mergeCell ref="A16:D16"/>
    <mergeCell ref="C22:D22"/>
    <mergeCell ref="E22:F22"/>
    <mergeCell ref="A20:F20"/>
    <mergeCell ref="C23:D23"/>
    <mergeCell ref="E23:F23"/>
    <mergeCell ref="E29:F29"/>
    <mergeCell ref="C24:D24"/>
    <mergeCell ref="E24:F24"/>
    <mergeCell ref="C25:D25"/>
    <mergeCell ref="E25:F25"/>
    <mergeCell ref="C26:D26"/>
    <mergeCell ref="E26:F26"/>
    <mergeCell ref="A33:D33"/>
    <mergeCell ref="E33:F33"/>
    <mergeCell ref="E34:F34"/>
    <mergeCell ref="K40:N40"/>
    <mergeCell ref="O10:S10"/>
    <mergeCell ref="C30:D30"/>
    <mergeCell ref="E30:F30"/>
    <mergeCell ref="C31:D31"/>
    <mergeCell ref="E31:F31"/>
    <mergeCell ref="C32:D32"/>
    <mergeCell ref="E32:F32"/>
    <mergeCell ref="C27:D27"/>
    <mergeCell ref="E27:F27"/>
    <mergeCell ref="C28:D28"/>
    <mergeCell ref="E28:F28"/>
    <mergeCell ref="C29:D29"/>
  </mergeCells>
  <printOptions horizontalCentered="1"/>
  <pageMargins left="0.25" right="0.25" top="0.47" bottom="0.25" header="0.5" footer="0.5"/>
  <pageSetup scale="70" orientation="portrait" verticalDpi="300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9"/>
  <sheetViews>
    <sheetView zoomScale="85" zoomScaleNormal="85" workbookViewId="0">
      <pane ySplit="9" topLeftCell="A13" activePane="bottomLeft" state="frozen"/>
      <selection pane="bottomLeft" activeCell="E19" sqref="E19"/>
    </sheetView>
  </sheetViews>
  <sheetFormatPr defaultRowHeight="13.5" x14ac:dyDescent="0.25"/>
  <cols>
    <col min="1" max="1" width="15" style="299" customWidth="1"/>
    <col min="2" max="2" width="19.5703125" style="298" customWidth="1"/>
    <col min="3" max="3" width="5.5703125" style="298" customWidth="1"/>
    <col min="4" max="4" width="20.28515625" style="298" customWidth="1"/>
    <col min="5" max="5" width="8.42578125" style="298" customWidth="1"/>
    <col min="6" max="6" width="10.85546875" style="298" customWidth="1"/>
    <col min="7" max="7" width="13.42578125" style="298" customWidth="1"/>
    <col min="8" max="8" width="4.28515625" style="298" customWidth="1"/>
    <col min="9" max="9" width="4.85546875" style="298" customWidth="1"/>
    <col min="10" max="10" width="5" style="298" customWidth="1"/>
    <col min="11" max="11" width="8" style="298" customWidth="1"/>
    <col min="12" max="12" width="6.42578125" style="298" customWidth="1"/>
    <col min="13" max="13" width="11.7109375" style="298" bestFit="1" customWidth="1"/>
    <col min="14" max="14" width="10.28515625" style="298" bestFit="1" customWidth="1"/>
    <col min="15" max="15" width="9.140625" style="298"/>
    <col min="16" max="16" width="28.85546875" style="298" customWidth="1"/>
    <col min="17" max="17" width="11.140625" style="298" customWidth="1"/>
    <col min="18" max="18" width="17.140625" style="298" customWidth="1"/>
    <col min="19" max="256" width="9.140625" style="298"/>
    <col min="257" max="257" width="4.85546875" style="298" customWidth="1"/>
    <col min="258" max="258" width="19.140625" style="298" customWidth="1"/>
    <col min="259" max="259" width="5.5703125" style="298" customWidth="1"/>
    <col min="260" max="260" width="23.85546875" style="298" customWidth="1"/>
    <col min="261" max="261" width="8.42578125" style="298" customWidth="1"/>
    <col min="262" max="262" width="8.28515625" style="298" customWidth="1"/>
    <col min="263" max="263" width="16.42578125" style="298" customWidth="1"/>
    <col min="264" max="264" width="3.7109375" style="298" customWidth="1"/>
    <col min="265" max="265" width="3.85546875" style="298" customWidth="1"/>
    <col min="266" max="266" width="5" style="298" customWidth="1"/>
    <col min="267" max="267" width="8" style="298" customWidth="1"/>
    <col min="268" max="268" width="7.5703125" style="298" customWidth="1"/>
    <col min="269" max="270" width="10.28515625" style="298" bestFit="1" customWidth="1"/>
    <col min="271" max="512" width="9.140625" style="298"/>
    <col min="513" max="513" width="4.85546875" style="298" customWidth="1"/>
    <col min="514" max="514" width="19.140625" style="298" customWidth="1"/>
    <col min="515" max="515" width="5.5703125" style="298" customWidth="1"/>
    <col min="516" max="516" width="23.85546875" style="298" customWidth="1"/>
    <col min="517" max="517" width="8.42578125" style="298" customWidth="1"/>
    <col min="518" max="518" width="8.28515625" style="298" customWidth="1"/>
    <col min="519" max="519" width="16.42578125" style="298" customWidth="1"/>
    <col min="520" max="520" width="3.7109375" style="298" customWidth="1"/>
    <col min="521" max="521" width="3.85546875" style="298" customWidth="1"/>
    <col min="522" max="522" width="5" style="298" customWidth="1"/>
    <col min="523" max="523" width="8" style="298" customWidth="1"/>
    <col min="524" max="524" width="7.5703125" style="298" customWidth="1"/>
    <col min="525" max="526" width="10.28515625" style="298" bestFit="1" customWidth="1"/>
    <col min="527" max="768" width="9.140625" style="298"/>
    <col min="769" max="769" width="4.85546875" style="298" customWidth="1"/>
    <col min="770" max="770" width="19.140625" style="298" customWidth="1"/>
    <col min="771" max="771" width="5.5703125" style="298" customWidth="1"/>
    <col min="772" max="772" width="23.85546875" style="298" customWidth="1"/>
    <col min="773" max="773" width="8.42578125" style="298" customWidth="1"/>
    <col min="774" max="774" width="8.28515625" style="298" customWidth="1"/>
    <col min="775" max="775" width="16.42578125" style="298" customWidth="1"/>
    <col min="776" max="776" width="3.7109375" style="298" customWidth="1"/>
    <col min="777" max="777" width="3.85546875" style="298" customWidth="1"/>
    <col min="778" max="778" width="5" style="298" customWidth="1"/>
    <col min="779" max="779" width="8" style="298" customWidth="1"/>
    <col min="780" max="780" width="7.5703125" style="298" customWidth="1"/>
    <col min="781" max="782" width="10.28515625" style="298" bestFit="1" customWidth="1"/>
    <col min="783" max="1024" width="9.140625" style="298"/>
    <col min="1025" max="1025" width="4.85546875" style="298" customWidth="1"/>
    <col min="1026" max="1026" width="19.140625" style="298" customWidth="1"/>
    <col min="1027" max="1027" width="5.5703125" style="298" customWidth="1"/>
    <col min="1028" max="1028" width="23.85546875" style="298" customWidth="1"/>
    <col min="1029" max="1029" width="8.42578125" style="298" customWidth="1"/>
    <col min="1030" max="1030" width="8.28515625" style="298" customWidth="1"/>
    <col min="1031" max="1031" width="16.42578125" style="298" customWidth="1"/>
    <col min="1032" max="1032" width="3.7109375" style="298" customWidth="1"/>
    <col min="1033" max="1033" width="3.85546875" style="298" customWidth="1"/>
    <col min="1034" max="1034" width="5" style="298" customWidth="1"/>
    <col min="1035" max="1035" width="8" style="298" customWidth="1"/>
    <col min="1036" max="1036" width="7.5703125" style="298" customWidth="1"/>
    <col min="1037" max="1038" width="10.28515625" style="298" bestFit="1" customWidth="1"/>
    <col min="1039" max="1280" width="9.140625" style="298"/>
    <col min="1281" max="1281" width="4.85546875" style="298" customWidth="1"/>
    <col min="1282" max="1282" width="19.140625" style="298" customWidth="1"/>
    <col min="1283" max="1283" width="5.5703125" style="298" customWidth="1"/>
    <col min="1284" max="1284" width="23.85546875" style="298" customWidth="1"/>
    <col min="1285" max="1285" width="8.42578125" style="298" customWidth="1"/>
    <col min="1286" max="1286" width="8.28515625" style="298" customWidth="1"/>
    <col min="1287" max="1287" width="16.42578125" style="298" customWidth="1"/>
    <col min="1288" max="1288" width="3.7109375" style="298" customWidth="1"/>
    <col min="1289" max="1289" width="3.85546875" style="298" customWidth="1"/>
    <col min="1290" max="1290" width="5" style="298" customWidth="1"/>
    <col min="1291" max="1291" width="8" style="298" customWidth="1"/>
    <col min="1292" max="1292" width="7.5703125" style="298" customWidth="1"/>
    <col min="1293" max="1294" width="10.28515625" style="298" bestFit="1" customWidth="1"/>
    <col min="1295" max="1536" width="9.140625" style="298"/>
    <col min="1537" max="1537" width="4.85546875" style="298" customWidth="1"/>
    <col min="1538" max="1538" width="19.140625" style="298" customWidth="1"/>
    <col min="1539" max="1539" width="5.5703125" style="298" customWidth="1"/>
    <col min="1540" max="1540" width="23.85546875" style="298" customWidth="1"/>
    <col min="1541" max="1541" width="8.42578125" style="298" customWidth="1"/>
    <col min="1542" max="1542" width="8.28515625" style="298" customWidth="1"/>
    <col min="1543" max="1543" width="16.42578125" style="298" customWidth="1"/>
    <col min="1544" max="1544" width="3.7109375" style="298" customWidth="1"/>
    <col min="1545" max="1545" width="3.85546875" style="298" customWidth="1"/>
    <col min="1546" max="1546" width="5" style="298" customWidth="1"/>
    <col min="1547" max="1547" width="8" style="298" customWidth="1"/>
    <col min="1548" max="1548" width="7.5703125" style="298" customWidth="1"/>
    <col min="1549" max="1550" width="10.28515625" style="298" bestFit="1" customWidth="1"/>
    <col min="1551" max="1792" width="9.140625" style="298"/>
    <col min="1793" max="1793" width="4.85546875" style="298" customWidth="1"/>
    <col min="1794" max="1794" width="19.140625" style="298" customWidth="1"/>
    <col min="1795" max="1795" width="5.5703125" style="298" customWidth="1"/>
    <col min="1796" max="1796" width="23.85546875" style="298" customWidth="1"/>
    <col min="1797" max="1797" width="8.42578125" style="298" customWidth="1"/>
    <col min="1798" max="1798" width="8.28515625" style="298" customWidth="1"/>
    <col min="1799" max="1799" width="16.42578125" style="298" customWidth="1"/>
    <col min="1800" max="1800" width="3.7109375" style="298" customWidth="1"/>
    <col min="1801" max="1801" width="3.85546875" style="298" customWidth="1"/>
    <col min="1802" max="1802" width="5" style="298" customWidth="1"/>
    <col min="1803" max="1803" width="8" style="298" customWidth="1"/>
    <col min="1804" max="1804" width="7.5703125" style="298" customWidth="1"/>
    <col min="1805" max="1806" width="10.28515625" style="298" bestFit="1" customWidth="1"/>
    <col min="1807" max="2048" width="9.140625" style="298"/>
    <col min="2049" max="2049" width="4.85546875" style="298" customWidth="1"/>
    <col min="2050" max="2050" width="19.140625" style="298" customWidth="1"/>
    <col min="2051" max="2051" width="5.5703125" style="298" customWidth="1"/>
    <col min="2052" max="2052" width="23.85546875" style="298" customWidth="1"/>
    <col min="2053" max="2053" width="8.42578125" style="298" customWidth="1"/>
    <col min="2054" max="2054" width="8.28515625" style="298" customWidth="1"/>
    <col min="2055" max="2055" width="16.42578125" style="298" customWidth="1"/>
    <col min="2056" max="2056" width="3.7109375" style="298" customWidth="1"/>
    <col min="2057" max="2057" width="3.85546875" style="298" customWidth="1"/>
    <col min="2058" max="2058" width="5" style="298" customWidth="1"/>
    <col min="2059" max="2059" width="8" style="298" customWidth="1"/>
    <col min="2060" max="2060" width="7.5703125" style="298" customWidth="1"/>
    <col min="2061" max="2062" width="10.28515625" style="298" bestFit="1" customWidth="1"/>
    <col min="2063" max="2304" width="9.140625" style="298"/>
    <col min="2305" max="2305" width="4.85546875" style="298" customWidth="1"/>
    <col min="2306" max="2306" width="19.140625" style="298" customWidth="1"/>
    <col min="2307" max="2307" width="5.5703125" style="298" customWidth="1"/>
    <col min="2308" max="2308" width="23.85546875" style="298" customWidth="1"/>
    <col min="2309" max="2309" width="8.42578125" style="298" customWidth="1"/>
    <col min="2310" max="2310" width="8.28515625" style="298" customWidth="1"/>
    <col min="2311" max="2311" width="16.42578125" style="298" customWidth="1"/>
    <col min="2312" max="2312" width="3.7109375" style="298" customWidth="1"/>
    <col min="2313" max="2313" width="3.85546875" style="298" customWidth="1"/>
    <col min="2314" max="2314" width="5" style="298" customWidth="1"/>
    <col min="2315" max="2315" width="8" style="298" customWidth="1"/>
    <col min="2316" max="2316" width="7.5703125" style="298" customWidth="1"/>
    <col min="2317" max="2318" width="10.28515625" style="298" bestFit="1" customWidth="1"/>
    <col min="2319" max="2560" width="9.140625" style="298"/>
    <col min="2561" max="2561" width="4.85546875" style="298" customWidth="1"/>
    <col min="2562" max="2562" width="19.140625" style="298" customWidth="1"/>
    <col min="2563" max="2563" width="5.5703125" style="298" customWidth="1"/>
    <col min="2564" max="2564" width="23.85546875" style="298" customWidth="1"/>
    <col min="2565" max="2565" width="8.42578125" style="298" customWidth="1"/>
    <col min="2566" max="2566" width="8.28515625" style="298" customWidth="1"/>
    <col min="2567" max="2567" width="16.42578125" style="298" customWidth="1"/>
    <col min="2568" max="2568" width="3.7109375" style="298" customWidth="1"/>
    <col min="2569" max="2569" width="3.85546875" style="298" customWidth="1"/>
    <col min="2570" max="2570" width="5" style="298" customWidth="1"/>
    <col min="2571" max="2571" width="8" style="298" customWidth="1"/>
    <col min="2572" max="2572" width="7.5703125" style="298" customWidth="1"/>
    <col min="2573" max="2574" width="10.28515625" style="298" bestFit="1" customWidth="1"/>
    <col min="2575" max="2816" width="9.140625" style="298"/>
    <col min="2817" max="2817" width="4.85546875" style="298" customWidth="1"/>
    <col min="2818" max="2818" width="19.140625" style="298" customWidth="1"/>
    <col min="2819" max="2819" width="5.5703125" style="298" customWidth="1"/>
    <col min="2820" max="2820" width="23.85546875" style="298" customWidth="1"/>
    <col min="2821" max="2821" width="8.42578125" style="298" customWidth="1"/>
    <col min="2822" max="2822" width="8.28515625" style="298" customWidth="1"/>
    <col min="2823" max="2823" width="16.42578125" style="298" customWidth="1"/>
    <col min="2824" max="2824" width="3.7109375" style="298" customWidth="1"/>
    <col min="2825" max="2825" width="3.85546875" style="298" customWidth="1"/>
    <col min="2826" max="2826" width="5" style="298" customWidth="1"/>
    <col min="2827" max="2827" width="8" style="298" customWidth="1"/>
    <col min="2828" max="2828" width="7.5703125" style="298" customWidth="1"/>
    <col min="2829" max="2830" width="10.28515625" style="298" bestFit="1" customWidth="1"/>
    <col min="2831" max="3072" width="9.140625" style="298"/>
    <col min="3073" max="3073" width="4.85546875" style="298" customWidth="1"/>
    <col min="3074" max="3074" width="19.140625" style="298" customWidth="1"/>
    <col min="3075" max="3075" width="5.5703125" style="298" customWidth="1"/>
    <col min="3076" max="3076" width="23.85546875" style="298" customWidth="1"/>
    <col min="3077" max="3077" width="8.42578125" style="298" customWidth="1"/>
    <col min="3078" max="3078" width="8.28515625" style="298" customWidth="1"/>
    <col min="3079" max="3079" width="16.42578125" style="298" customWidth="1"/>
    <col min="3080" max="3080" width="3.7109375" style="298" customWidth="1"/>
    <col min="3081" max="3081" width="3.85546875" style="298" customWidth="1"/>
    <col min="3082" max="3082" width="5" style="298" customWidth="1"/>
    <col min="3083" max="3083" width="8" style="298" customWidth="1"/>
    <col min="3084" max="3084" width="7.5703125" style="298" customWidth="1"/>
    <col min="3085" max="3086" width="10.28515625" style="298" bestFit="1" customWidth="1"/>
    <col min="3087" max="3328" width="9.140625" style="298"/>
    <col min="3329" max="3329" width="4.85546875" style="298" customWidth="1"/>
    <col min="3330" max="3330" width="19.140625" style="298" customWidth="1"/>
    <col min="3331" max="3331" width="5.5703125" style="298" customWidth="1"/>
    <col min="3332" max="3332" width="23.85546875" style="298" customWidth="1"/>
    <col min="3333" max="3333" width="8.42578125" style="298" customWidth="1"/>
    <col min="3334" max="3334" width="8.28515625" style="298" customWidth="1"/>
    <col min="3335" max="3335" width="16.42578125" style="298" customWidth="1"/>
    <col min="3336" max="3336" width="3.7109375" style="298" customWidth="1"/>
    <col min="3337" max="3337" width="3.85546875" style="298" customWidth="1"/>
    <col min="3338" max="3338" width="5" style="298" customWidth="1"/>
    <col min="3339" max="3339" width="8" style="298" customWidth="1"/>
    <col min="3340" max="3340" width="7.5703125" style="298" customWidth="1"/>
    <col min="3341" max="3342" width="10.28515625" style="298" bestFit="1" customWidth="1"/>
    <col min="3343" max="3584" width="9.140625" style="298"/>
    <col min="3585" max="3585" width="4.85546875" style="298" customWidth="1"/>
    <col min="3586" max="3586" width="19.140625" style="298" customWidth="1"/>
    <col min="3587" max="3587" width="5.5703125" style="298" customWidth="1"/>
    <col min="3588" max="3588" width="23.85546875" style="298" customWidth="1"/>
    <col min="3589" max="3589" width="8.42578125" style="298" customWidth="1"/>
    <col min="3590" max="3590" width="8.28515625" style="298" customWidth="1"/>
    <col min="3591" max="3591" width="16.42578125" style="298" customWidth="1"/>
    <col min="3592" max="3592" width="3.7109375" style="298" customWidth="1"/>
    <col min="3593" max="3593" width="3.85546875" style="298" customWidth="1"/>
    <col min="3594" max="3594" width="5" style="298" customWidth="1"/>
    <col min="3595" max="3595" width="8" style="298" customWidth="1"/>
    <col min="3596" max="3596" width="7.5703125" style="298" customWidth="1"/>
    <col min="3597" max="3598" width="10.28515625" style="298" bestFit="1" customWidth="1"/>
    <col min="3599" max="3840" width="9.140625" style="298"/>
    <col min="3841" max="3841" width="4.85546875" style="298" customWidth="1"/>
    <col min="3842" max="3842" width="19.140625" style="298" customWidth="1"/>
    <col min="3843" max="3843" width="5.5703125" style="298" customWidth="1"/>
    <col min="3844" max="3844" width="23.85546875" style="298" customWidth="1"/>
    <col min="3845" max="3845" width="8.42578125" style="298" customWidth="1"/>
    <col min="3846" max="3846" width="8.28515625" style="298" customWidth="1"/>
    <col min="3847" max="3847" width="16.42578125" style="298" customWidth="1"/>
    <col min="3848" max="3848" width="3.7109375" style="298" customWidth="1"/>
    <col min="3849" max="3849" width="3.85546875" style="298" customWidth="1"/>
    <col min="3850" max="3850" width="5" style="298" customWidth="1"/>
    <col min="3851" max="3851" width="8" style="298" customWidth="1"/>
    <col min="3852" max="3852" width="7.5703125" style="298" customWidth="1"/>
    <col min="3853" max="3854" width="10.28515625" style="298" bestFit="1" customWidth="1"/>
    <col min="3855" max="4096" width="9.140625" style="298"/>
    <col min="4097" max="4097" width="4.85546875" style="298" customWidth="1"/>
    <col min="4098" max="4098" width="19.140625" style="298" customWidth="1"/>
    <col min="4099" max="4099" width="5.5703125" style="298" customWidth="1"/>
    <col min="4100" max="4100" width="23.85546875" style="298" customWidth="1"/>
    <col min="4101" max="4101" width="8.42578125" style="298" customWidth="1"/>
    <col min="4102" max="4102" width="8.28515625" style="298" customWidth="1"/>
    <col min="4103" max="4103" width="16.42578125" style="298" customWidth="1"/>
    <col min="4104" max="4104" width="3.7109375" style="298" customWidth="1"/>
    <col min="4105" max="4105" width="3.85546875" style="298" customWidth="1"/>
    <col min="4106" max="4106" width="5" style="298" customWidth="1"/>
    <col min="4107" max="4107" width="8" style="298" customWidth="1"/>
    <col min="4108" max="4108" width="7.5703125" style="298" customWidth="1"/>
    <col min="4109" max="4110" width="10.28515625" style="298" bestFit="1" customWidth="1"/>
    <col min="4111" max="4352" width="9.140625" style="298"/>
    <col min="4353" max="4353" width="4.85546875" style="298" customWidth="1"/>
    <col min="4354" max="4354" width="19.140625" style="298" customWidth="1"/>
    <col min="4355" max="4355" width="5.5703125" style="298" customWidth="1"/>
    <col min="4356" max="4356" width="23.85546875" style="298" customWidth="1"/>
    <col min="4357" max="4357" width="8.42578125" style="298" customWidth="1"/>
    <col min="4358" max="4358" width="8.28515625" style="298" customWidth="1"/>
    <col min="4359" max="4359" width="16.42578125" style="298" customWidth="1"/>
    <col min="4360" max="4360" width="3.7109375" style="298" customWidth="1"/>
    <col min="4361" max="4361" width="3.85546875" style="298" customWidth="1"/>
    <col min="4362" max="4362" width="5" style="298" customWidth="1"/>
    <col min="4363" max="4363" width="8" style="298" customWidth="1"/>
    <col min="4364" max="4364" width="7.5703125" style="298" customWidth="1"/>
    <col min="4365" max="4366" width="10.28515625" style="298" bestFit="1" customWidth="1"/>
    <col min="4367" max="4608" width="9.140625" style="298"/>
    <col min="4609" max="4609" width="4.85546875" style="298" customWidth="1"/>
    <col min="4610" max="4610" width="19.140625" style="298" customWidth="1"/>
    <col min="4611" max="4611" width="5.5703125" style="298" customWidth="1"/>
    <col min="4612" max="4612" width="23.85546875" style="298" customWidth="1"/>
    <col min="4613" max="4613" width="8.42578125" style="298" customWidth="1"/>
    <col min="4614" max="4614" width="8.28515625" style="298" customWidth="1"/>
    <col min="4615" max="4615" width="16.42578125" style="298" customWidth="1"/>
    <col min="4616" max="4616" width="3.7109375" style="298" customWidth="1"/>
    <col min="4617" max="4617" width="3.85546875" style="298" customWidth="1"/>
    <col min="4618" max="4618" width="5" style="298" customWidth="1"/>
    <col min="4619" max="4619" width="8" style="298" customWidth="1"/>
    <col min="4620" max="4620" width="7.5703125" style="298" customWidth="1"/>
    <col min="4621" max="4622" width="10.28515625" style="298" bestFit="1" customWidth="1"/>
    <col min="4623" max="4864" width="9.140625" style="298"/>
    <col min="4865" max="4865" width="4.85546875" style="298" customWidth="1"/>
    <col min="4866" max="4866" width="19.140625" style="298" customWidth="1"/>
    <col min="4867" max="4867" width="5.5703125" style="298" customWidth="1"/>
    <col min="4868" max="4868" width="23.85546875" style="298" customWidth="1"/>
    <col min="4869" max="4869" width="8.42578125" style="298" customWidth="1"/>
    <col min="4870" max="4870" width="8.28515625" style="298" customWidth="1"/>
    <col min="4871" max="4871" width="16.42578125" style="298" customWidth="1"/>
    <col min="4872" max="4872" width="3.7109375" style="298" customWidth="1"/>
    <col min="4873" max="4873" width="3.85546875" style="298" customWidth="1"/>
    <col min="4874" max="4874" width="5" style="298" customWidth="1"/>
    <col min="4875" max="4875" width="8" style="298" customWidth="1"/>
    <col min="4876" max="4876" width="7.5703125" style="298" customWidth="1"/>
    <col min="4877" max="4878" width="10.28515625" style="298" bestFit="1" customWidth="1"/>
    <col min="4879" max="5120" width="9.140625" style="298"/>
    <col min="5121" max="5121" width="4.85546875" style="298" customWidth="1"/>
    <col min="5122" max="5122" width="19.140625" style="298" customWidth="1"/>
    <col min="5123" max="5123" width="5.5703125" style="298" customWidth="1"/>
    <col min="5124" max="5124" width="23.85546875" style="298" customWidth="1"/>
    <col min="5125" max="5125" width="8.42578125" style="298" customWidth="1"/>
    <col min="5126" max="5126" width="8.28515625" style="298" customWidth="1"/>
    <col min="5127" max="5127" width="16.42578125" style="298" customWidth="1"/>
    <col min="5128" max="5128" width="3.7109375" style="298" customWidth="1"/>
    <col min="5129" max="5129" width="3.85546875" style="298" customWidth="1"/>
    <col min="5130" max="5130" width="5" style="298" customWidth="1"/>
    <col min="5131" max="5131" width="8" style="298" customWidth="1"/>
    <col min="5132" max="5132" width="7.5703125" style="298" customWidth="1"/>
    <col min="5133" max="5134" width="10.28515625" style="298" bestFit="1" customWidth="1"/>
    <col min="5135" max="5376" width="9.140625" style="298"/>
    <col min="5377" max="5377" width="4.85546875" style="298" customWidth="1"/>
    <col min="5378" max="5378" width="19.140625" style="298" customWidth="1"/>
    <col min="5379" max="5379" width="5.5703125" style="298" customWidth="1"/>
    <col min="5380" max="5380" width="23.85546875" style="298" customWidth="1"/>
    <col min="5381" max="5381" width="8.42578125" style="298" customWidth="1"/>
    <col min="5382" max="5382" width="8.28515625" style="298" customWidth="1"/>
    <col min="5383" max="5383" width="16.42578125" style="298" customWidth="1"/>
    <col min="5384" max="5384" width="3.7109375" style="298" customWidth="1"/>
    <col min="5385" max="5385" width="3.85546875" style="298" customWidth="1"/>
    <col min="5386" max="5386" width="5" style="298" customWidth="1"/>
    <col min="5387" max="5387" width="8" style="298" customWidth="1"/>
    <col min="5388" max="5388" width="7.5703125" style="298" customWidth="1"/>
    <col min="5389" max="5390" width="10.28515625" style="298" bestFit="1" customWidth="1"/>
    <col min="5391" max="5632" width="9.140625" style="298"/>
    <col min="5633" max="5633" width="4.85546875" style="298" customWidth="1"/>
    <col min="5634" max="5634" width="19.140625" style="298" customWidth="1"/>
    <col min="5635" max="5635" width="5.5703125" style="298" customWidth="1"/>
    <col min="5636" max="5636" width="23.85546875" style="298" customWidth="1"/>
    <col min="5637" max="5637" width="8.42578125" style="298" customWidth="1"/>
    <col min="5638" max="5638" width="8.28515625" style="298" customWidth="1"/>
    <col min="5639" max="5639" width="16.42578125" style="298" customWidth="1"/>
    <col min="5640" max="5640" width="3.7109375" style="298" customWidth="1"/>
    <col min="5641" max="5641" width="3.85546875" style="298" customWidth="1"/>
    <col min="5642" max="5642" width="5" style="298" customWidth="1"/>
    <col min="5643" max="5643" width="8" style="298" customWidth="1"/>
    <col min="5644" max="5644" width="7.5703125" style="298" customWidth="1"/>
    <col min="5645" max="5646" width="10.28515625" style="298" bestFit="1" customWidth="1"/>
    <col min="5647" max="5888" width="9.140625" style="298"/>
    <col min="5889" max="5889" width="4.85546875" style="298" customWidth="1"/>
    <col min="5890" max="5890" width="19.140625" style="298" customWidth="1"/>
    <col min="5891" max="5891" width="5.5703125" style="298" customWidth="1"/>
    <col min="5892" max="5892" width="23.85546875" style="298" customWidth="1"/>
    <col min="5893" max="5893" width="8.42578125" style="298" customWidth="1"/>
    <col min="5894" max="5894" width="8.28515625" style="298" customWidth="1"/>
    <col min="5895" max="5895" width="16.42578125" style="298" customWidth="1"/>
    <col min="5896" max="5896" width="3.7109375" style="298" customWidth="1"/>
    <col min="5897" max="5897" width="3.85546875" style="298" customWidth="1"/>
    <col min="5898" max="5898" width="5" style="298" customWidth="1"/>
    <col min="5899" max="5899" width="8" style="298" customWidth="1"/>
    <col min="5900" max="5900" width="7.5703125" style="298" customWidth="1"/>
    <col min="5901" max="5902" width="10.28515625" style="298" bestFit="1" customWidth="1"/>
    <col min="5903" max="6144" width="9.140625" style="298"/>
    <col min="6145" max="6145" width="4.85546875" style="298" customWidth="1"/>
    <col min="6146" max="6146" width="19.140625" style="298" customWidth="1"/>
    <col min="6147" max="6147" width="5.5703125" style="298" customWidth="1"/>
    <col min="6148" max="6148" width="23.85546875" style="298" customWidth="1"/>
    <col min="6149" max="6149" width="8.42578125" style="298" customWidth="1"/>
    <col min="6150" max="6150" width="8.28515625" style="298" customWidth="1"/>
    <col min="6151" max="6151" width="16.42578125" style="298" customWidth="1"/>
    <col min="6152" max="6152" width="3.7109375" style="298" customWidth="1"/>
    <col min="6153" max="6153" width="3.85546875" style="298" customWidth="1"/>
    <col min="6154" max="6154" width="5" style="298" customWidth="1"/>
    <col min="6155" max="6155" width="8" style="298" customWidth="1"/>
    <col min="6156" max="6156" width="7.5703125" style="298" customWidth="1"/>
    <col min="6157" max="6158" width="10.28515625" style="298" bestFit="1" customWidth="1"/>
    <col min="6159" max="6400" width="9.140625" style="298"/>
    <col min="6401" max="6401" width="4.85546875" style="298" customWidth="1"/>
    <col min="6402" max="6402" width="19.140625" style="298" customWidth="1"/>
    <col min="6403" max="6403" width="5.5703125" style="298" customWidth="1"/>
    <col min="6404" max="6404" width="23.85546875" style="298" customWidth="1"/>
    <col min="6405" max="6405" width="8.42578125" style="298" customWidth="1"/>
    <col min="6406" max="6406" width="8.28515625" style="298" customWidth="1"/>
    <col min="6407" max="6407" width="16.42578125" style="298" customWidth="1"/>
    <col min="6408" max="6408" width="3.7109375" style="298" customWidth="1"/>
    <col min="6409" max="6409" width="3.85546875" style="298" customWidth="1"/>
    <col min="6410" max="6410" width="5" style="298" customWidth="1"/>
    <col min="6411" max="6411" width="8" style="298" customWidth="1"/>
    <col min="6412" max="6412" width="7.5703125" style="298" customWidth="1"/>
    <col min="6413" max="6414" width="10.28515625" style="298" bestFit="1" customWidth="1"/>
    <col min="6415" max="6656" width="9.140625" style="298"/>
    <col min="6657" max="6657" width="4.85546875" style="298" customWidth="1"/>
    <col min="6658" max="6658" width="19.140625" style="298" customWidth="1"/>
    <col min="6659" max="6659" width="5.5703125" style="298" customWidth="1"/>
    <col min="6660" max="6660" width="23.85546875" style="298" customWidth="1"/>
    <col min="6661" max="6661" width="8.42578125" style="298" customWidth="1"/>
    <col min="6662" max="6662" width="8.28515625" style="298" customWidth="1"/>
    <col min="6663" max="6663" width="16.42578125" style="298" customWidth="1"/>
    <col min="6664" max="6664" width="3.7109375" style="298" customWidth="1"/>
    <col min="6665" max="6665" width="3.85546875" style="298" customWidth="1"/>
    <col min="6666" max="6666" width="5" style="298" customWidth="1"/>
    <col min="6667" max="6667" width="8" style="298" customWidth="1"/>
    <col min="6668" max="6668" width="7.5703125" style="298" customWidth="1"/>
    <col min="6669" max="6670" width="10.28515625" style="298" bestFit="1" customWidth="1"/>
    <col min="6671" max="6912" width="9.140625" style="298"/>
    <col min="6913" max="6913" width="4.85546875" style="298" customWidth="1"/>
    <col min="6914" max="6914" width="19.140625" style="298" customWidth="1"/>
    <col min="6915" max="6915" width="5.5703125" style="298" customWidth="1"/>
    <col min="6916" max="6916" width="23.85546875" style="298" customWidth="1"/>
    <col min="6917" max="6917" width="8.42578125" style="298" customWidth="1"/>
    <col min="6918" max="6918" width="8.28515625" style="298" customWidth="1"/>
    <col min="6919" max="6919" width="16.42578125" style="298" customWidth="1"/>
    <col min="6920" max="6920" width="3.7109375" style="298" customWidth="1"/>
    <col min="6921" max="6921" width="3.85546875" style="298" customWidth="1"/>
    <col min="6922" max="6922" width="5" style="298" customWidth="1"/>
    <col min="6923" max="6923" width="8" style="298" customWidth="1"/>
    <col min="6924" max="6924" width="7.5703125" style="298" customWidth="1"/>
    <col min="6925" max="6926" width="10.28515625" style="298" bestFit="1" customWidth="1"/>
    <col min="6927" max="7168" width="9.140625" style="298"/>
    <col min="7169" max="7169" width="4.85546875" style="298" customWidth="1"/>
    <col min="7170" max="7170" width="19.140625" style="298" customWidth="1"/>
    <col min="7171" max="7171" width="5.5703125" style="298" customWidth="1"/>
    <col min="7172" max="7172" width="23.85546875" style="298" customWidth="1"/>
    <col min="7173" max="7173" width="8.42578125" style="298" customWidth="1"/>
    <col min="7174" max="7174" width="8.28515625" style="298" customWidth="1"/>
    <col min="7175" max="7175" width="16.42578125" style="298" customWidth="1"/>
    <col min="7176" max="7176" width="3.7109375" style="298" customWidth="1"/>
    <col min="7177" max="7177" width="3.85546875" style="298" customWidth="1"/>
    <col min="7178" max="7178" width="5" style="298" customWidth="1"/>
    <col min="7179" max="7179" width="8" style="298" customWidth="1"/>
    <col min="7180" max="7180" width="7.5703125" style="298" customWidth="1"/>
    <col min="7181" max="7182" width="10.28515625" style="298" bestFit="1" customWidth="1"/>
    <col min="7183" max="7424" width="9.140625" style="298"/>
    <col min="7425" max="7425" width="4.85546875" style="298" customWidth="1"/>
    <col min="7426" max="7426" width="19.140625" style="298" customWidth="1"/>
    <col min="7427" max="7427" width="5.5703125" style="298" customWidth="1"/>
    <col min="7428" max="7428" width="23.85546875" style="298" customWidth="1"/>
    <col min="7429" max="7429" width="8.42578125" style="298" customWidth="1"/>
    <col min="7430" max="7430" width="8.28515625" style="298" customWidth="1"/>
    <col min="7431" max="7431" width="16.42578125" style="298" customWidth="1"/>
    <col min="7432" max="7432" width="3.7109375" style="298" customWidth="1"/>
    <col min="7433" max="7433" width="3.85546875" style="298" customWidth="1"/>
    <col min="7434" max="7434" width="5" style="298" customWidth="1"/>
    <col min="7435" max="7435" width="8" style="298" customWidth="1"/>
    <col min="7436" max="7436" width="7.5703125" style="298" customWidth="1"/>
    <col min="7437" max="7438" width="10.28515625" style="298" bestFit="1" customWidth="1"/>
    <col min="7439" max="7680" width="9.140625" style="298"/>
    <col min="7681" max="7681" width="4.85546875" style="298" customWidth="1"/>
    <col min="7682" max="7682" width="19.140625" style="298" customWidth="1"/>
    <col min="7683" max="7683" width="5.5703125" style="298" customWidth="1"/>
    <col min="7684" max="7684" width="23.85546875" style="298" customWidth="1"/>
    <col min="7685" max="7685" width="8.42578125" style="298" customWidth="1"/>
    <col min="7686" max="7686" width="8.28515625" style="298" customWidth="1"/>
    <col min="7687" max="7687" width="16.42578125" style="298" customWidth="1"/>
    <col min="7688" max="7688" width="3.7109375" style="298" customWidth="1"/>
    <col min="7689" max="7689" width="3.85546875" style="298" customWidth="1"/>
    <col min="7690" max="7690" width="5" style="298" customWidth="1"/>
    <col min="7691" max="7691" width="8" style="298" customWidth="1"/>
    <col min="7692" max="7692" width="7.5703125" style="298" customWidth="1"/>
    <col min="7693" max="7694" width="10.28515625" style="298" bestFit="1" customWidth="1"/>
    <col min="7695" max="7936" width="9.140625" style="298"/>
    <col min="7937" max="7937" width="4.85546875" style="298" customWidth="1"/>
    <col min="7938" max="7938" width="19.140625" style="298" customWidth="1"/>
    <col min="7939" max="7939" width="5.5703125" style="298" customWidth="1"/>
    <col min="7940" max="7940" width="23.85546875" style="298" customWidth="1"/>
    <col min="7941" max="7941" width="8.42578125" style="298" customWidth="1"/>
    <col min="7942" max="7942" width="8.28515625" style="298" customWidth="1"/>
    <col min="7943" max="7943" width="16.42578125" style="298" customWidth="1"/>
    <col min="7944" max="7944" width="3.7109375" style="298" customWidth="1"/>
    <col min="7945" max="7945" width="3.85546875" style="298" customWidth="1"/>
    <col min="7946" max="7946" width="5" style="298" customWidth="1"/>
    <col min="7947" max="7947" width="8" style="298" customWidth="1"/>
    <col min="7948" max="7948" width="7.5703125" style="298" customWidth="1"/>
    <col min="7949" max="7950" width="10.28515625" style="298" bestFit="1" customWidth="1"/>
    <col min="7951" max="8192" width="9.140625" style="298"/>
    <col min="8193" max="8193" width="4.85546875" style="298" customWidth="1"/>
    <col min="8194" max="8194" width="19.140625" style="298" customWidth="1"/>
    <col min="8195" max="8195" width="5.5703125" style="298" customWidth="1"/>
    <col min="8196" max="8196" width="23.85546875" style="298" customWidth="1"/>
    <col min="8197" max="8197" width="8.42578125" style="298" customWidth="1"/>
    <col min="8198" max="8198" width="8.28515625" style="298" customWidth="1"/>
    <col min="8199" max="8199" width="16.42578125" style="298" customWidth="1"/>
    <col min="8200" max="8200" width="3.7109375" style="298" customWidth="1"/>
    <col min="8201" max="8201" width="3.85546875" style="298" customWidth="1"/>
    <col min="8202" max="8202" width="5" style="298" customWidth="1"/>
    <col min="8203" max="8203" width="8" style="298" customWidth="1"/>
    <col min="8204" max="8204" width="7.5703125" style="298" customWidth="1"/>
    <col min="8205" max="8206" width="10.28515625" style="298" bestFit="1" customWidth="1"/>
    <col min="8207" max="8448" width="9.140625" style="298"/>
    <col min="8449" max="8449" width="4.85546875" style="298" customWidth="1"/>
    <col min="8450" max="8450" width="19.140625" style="298" customWidth="1"/>
    <col min="8451" max="8451" width="5.5703125" style="298" customWidth="1"/>
    <col min="8452" max="8452" width="23.85546875" style="298" customWidth="1"/>
    <col min="8453" max="8453" width="8.42578125" style="298" customWidth="1"/>
    <col min="8454" max="8454" width="8.28515625" style="298" customWidth="1"/>
    <col min="8455" max="8455" width="16.42578125" style="298" customWidth="1"/>
    <col min="8456" max="8456" width="3.7109375" style="298" customWidth="1"/>
    <col min="8457" max="8457" width="3.85546875" style="298" customWidth="1"/>
    <col min="8458" max="8458" width="5" style="298" customWidth="1"/>
    <col min="8459" max="8459" width="8" style="298" customWidth="1"/>
    <col min="8460" max="8460" width="7.5703125" style="298" customWidth="1"/>
    <col min="8461" max="8462" width="10.28515625" style="298" bestFit="1" customWidth="1"/>
    <col min="8463" max="8704" width="9.140625" style="298"/>
    <col min="8705" max="8705" width="4.85546875" style="298" customWidth="1"/>
    <col min="8706" max="8706" width="19.140625" style="298" customWidth="1"/>
    <col min="8707" max="8707" width="5.5703125" style="298" customWidth="1"/>
    <col min="8708" max="8708" width="23.85546875" style="298" customWidth="1"/>
    <col min="8709" max="8709" width="8.42578125" style="298" customWidth="1"/>
    <col min="8710" max="8710" width="8.28515625" style="298" customWidth="1"/>
    <col min="8711" max="8711" width="16.42578125" style="298" customWidth="1"/>
    <col min="8712" max="8712" width="3.7109375" style="298" customWidth="1"/>
    <col min="8713" max="8713" width="3.85546875" style="298" customWidth="1"/>
    <col min="8714" max="8714" width="5" style="298" customWidth="1"/>
    <col min="8715" max="8715" width="8" style="298" customWidth="1"/>
    <col min="8716" max="8716" width="7.5703125" style="298" customWidth="1"/>
    <col min="8717" max="8718" width="10.28515625" style="298" bestFit="1" customWidth="1"/>
    <col min="8719" max="8960" width="9.140625" style="298"/>
    <col min="8961" max="8961" width="4.85546875" style="298" customWidth="1"/>
    <col min="8962" max="8962" width="19.140625" style="298" customWidth="1"/>
    <col min="8963" max="8963" width="5.5703125" style="298" customWidth="1"/>
    <col min="8964" max="8964" width="23.85546875" style="298" customWidth="1"/>
    <col min="8965" max="8965" width="8.42578125" style="298" customWidth="1"/>
    <col min="8966" max="8966" width="8.28515625" style="298" customWidth="1"/>
    <col min="8967" max="8967" width="16.42578125" style="298" customWidth="1"/>
    <col min="8968" max="8968" width="3.7109375" style="298" customWidth="1"/>
    <col min="8969" max="8969" width="3.85546875" style="298" customWidth="1"/>
    <col min="8970" max="8970" width="5" style="298" customWidth="1"/>
    <col min="8971" max="8971" width="8" style="298" customWidth="1"/>
    <col min="8972" max="8972" width="7.5703125" style="298" customWidth="1"/>
    <col min="8973" max="8974" width="10.28515625" style="298" bestFit="1" customWidth="1"/>
    <col min="8975" max="9216" width="9.140625" style="298"/>
    <col min="9217" max="9217" width="4.85546875" style="298" customWidth="1"/>
    <col min="9218" max="9218" width="19.140625" style="298" customWidth="1"/>
    <col min="9219" max="9219" width="5.5703125" style="298" customWidth="1"/>
    <col min="9220" max="9220" width="23.85546875" style="298" customWidth="1"/>
    <col min="9221" max="9221" width="8.42578125" style="298" customWidth="1"/>
    <col min="9222" max="9222" width="8.28515625" style="298" customWidth="1"/>
    <col min="9223" max="9223" width="16.42578125" style="298" customWidth="1"/>
    <col min="9224" max="9224" width="3.7109375" style="298" customWidth="1"/>
    <col min="9225" max="9225" width="3.85546875" style="298" customWidth="1"/>
    <col min="9226" max="9226" width="5" style="298" customWidth="1"/>
    <col min="9227" max="9227" width="8" style="298" customWidth="1"/>
    <col min="9228" max="9228" width="7.5703125" style="298" customWidth="1"/>
    <col min="9229" max="9230" width="10.28515625" style="298" bestFit="1" customWidth="1"/>
    <col min="9231" max="9472" width="9.140625" style="298"/>
    <col min="9473" max="9473" width="4.85546875" style="298" customWidth="1"/>
    <col min="9474" max="9474" width="19.140625" style="298" customWidth="1"/>
    <col min="9475" max="9475" width="5.5703125" style="298" customWidth="1"/>
    <col min="9476" max="9476" width="23.85546875" style="298" customWidth="1"/>
    <col min="9477" max="9477" width="8.42578125" style="298" customWidth="1"/>
    <col min="9478" max="9478" width="8.28515625" style="298" customWidth="1"/>
    <col min="9479" max="9479" width="16.42578125" style="298" customWidth="1"/>
    <col min="9480" max="9480" width="3.7109375" style="298" customWidth="1"/>
    <col min="9481" max="9481" width="3.85546875" style="298" customWidth="1"/>
    <col min="9482" max="9482" width="5" style="298" customWidth="1"/>
    <col min="9483" max="9483" width="8" style="298" customWidth="1"/>
    <col min="9484" max="9484" width="7.5703125" style="298" customWidth="1"/>
    <col min="9485" max="9486" width="10.28515625" style="298" bestFit="1" customWidth="1"/>
    <col min="9487" max="9728" width="9.140625" style="298"/>
    <col min="9729" max="9729" width="4.85546875" style="298" customWidth="1"/>
    <col min="9730" max="9730" width="19.140625" style="298" customWidth="1"/>
    <col min="9731" max="9731" width="5.5703125" style="298" customWidth="1"/>
    <col min="9732" max="9732" width="23.85546875" style="298" customWidth="1"/>
    <col min="9733" max="9733" width="8.42578125" style="298" customWidth="1"/>
    <col min="9734" max="9734" width="8.28515625" style="298" customWidth="1"/>
    <col min="9735" max="9735" width="16.42578125" style="298" customWidth="1"/>
    <col min="9736" max="9736" width="3.7109375" style="298" customWidth="1"/>
    <col min="9737" max="9737" width="3.85546875" style="298" customWidth="1"/>
    <col min="9738" max="9738" width="5" style="298" customWidth="1"/>
    <col min="9739" max="9739" width="8" style="298" customWidth="1"/>
    <col min="9740" max="9740" width="7.5703125" style="298" customWidth="1"/>
    <col min="9741" max="9742" width="10.28515625" style="298" bestFit="1" customWidth="1"/>
    <col min="9743" max="9984" width="9.140625" style="298"/>
    <col min="9985" max="9985" width="4.85546875" style="298" customWidth="1"/>
    <col min="9986" max="9986" width="19.140625" style="298" customWidth="1"/>
    <col min="9987" max="9987" width="5.5703125" style="298" customWidth="1"/>
    <col min="9988" max="9988" width="23.85546875" style="298" customWidth="1"/>
    <col min="9989" max="9989" width="8.42578125" style="298" customWidth="1"/>
    <col min="9990" max="9990" width="8.28515625" style="298" customWidth="1"/>
    <col min="9991" max="9991" width="16.42578125" style="298" customWidth="1"/>
    <col min="9992" max="9992" width="3.7109375" style="298" customWidth="1"/>
    <col min="9993" max="9993" width="3.85546875" style="298" customWidth="1"/>
    <col min="9994" max="9994" width="5" style="298" customWidth="1"/>
    <col min="9995" max="9995" width="8" style="298" customWidth="1"/>
    <col min="9996" max="9996" width="7.5703125" style="298" customWidth="1"/>
    <col min="9997" max="9998" width="10.28515625" style="298" bestFit="1" customWidth="1"/>
    <col min="9999" max="10240" width="9.140625" style="298"/>
    <col min="10241" max="10241" width="4.85546875" style="298" customWidth="1"/>
    <col min="10242" max="10242" width="19.140625" style="298" customWidth="1"/>
    <col min="10243" max="10243" width="5.5703125" style="298" customWidth="1"/>
    <col min="10244" max="10244" width="23.85546875" style="298" customWidth="1"/>
    <col min="10245" max="10245" width="8.42578125" style="298" customWidth="1"/>
    <col min="10246" max="10246" width="8.28515625" style="298" customWidth="1"/>
    <col min="10247" max="10247" width="16.42578125" style="298" customWidth="1"/>
    <col min="10248" max="10248" width="3.7109375" style="298" customWidth="1"/>
    <col min="10249" max="10249" width="3.85546875" style="298" customWidth="1"/>
    <col min="10250" max="10250" width="5" style="298" customWidth="1"/>
    <col min="10251" max="10251" width="8" style="298" customWidth="1"/>
    <col min="10252" max="10252" width="7.5703125" style="298" customWidth="1"/>
    <col min="10253" max="10254" width="10.28515625" style="298" bestFit="1" customWidth="1"/>
    <col min="10255" max="10496" width="9.140625" style="298"/>
    <col min="10497" max="10497" width="4.85546875" style="298" customWidth="1"/>
    <col min="10498" max="10498" width="19.140625" style="298" customWidth="1"/>
    <col min="10499" max="10499" width="5.5703125" style="298" customWidth="1"/>
    <col min="10500" max="10500" width="23.85546875" style="298" customWidth="1"/>
    <col min="10501" max="10501" width="8.42578125" style="298" customWidth="1"/>
    <col min="10502" max="10502" width="8.28515625" style="298" customWidth="1"/>
    <col min="10503" max="10503" width="16.42578125" style="298" customWidth="1"/>
    <col min="10504" max="10504" width="3.7109375" style="298" customWidth="1"/>
    <col min="10505" max="10505" width="3.85546875" style="298" customWidth="1"/>
    <col min="10506" max="10506" width="5" style="298" customWidth="1"/>
    <col min="10507" max="10507" width="8" style="298" customWidth="1"/>
    <col min="10508" max="10508" width="7.5703125" style="298" customWidth="1"/>
    <col min="10509" max="10510" width="10.28515625" style="298" bestFit="1" customWidth="1"/>
    <col min="10511" max="10752" width="9.140625" style="298"/>
    <col min="10753" max="10753" width="4.85546875" style="298" customWidth="1"/>
    <col min="10754" max="10754" width="19.140625" style="298" customWidth="1"/>
    <col min="10755" max="10755" width="5.5703125" style="298" customWidth="1"/>
    <col min="10756" max="10756" width="23.85546875" style="298" customWidth="1"/>
    <col min="10757" max="10757" width="8.42578125" style="298" customWidth="1"/>
    <col min="10758" max="10758" width="8.28515625" style="298" customWidth="1"/>
    <col min="10759" max="10759" width="16.42578125" style="298" customWidth="1"/>
    <col min="10760" max="10760" width="3.7109375" style="298" customWidth="1"/>
    <col min="10761" max="10761" width="3.85546875" style="298" customWidth="1"/>
    <col min="10762" max="10762" width="5" style="298" customWidth="1"/>
    <col min="10763" max="10763" width="8" style="298" customWidth="1"/>
    <col min="10764" max="10764" width="7.5703125" style="298" customWidth="1"/>
    <col min="10765" max="10766" width="10.28515625" style="298" bestFit="1" customWidth="1"/>
    <col min="10767" max="11008" width="9.140625" style="298"/>
    <col min="11009" max="11009" width="4.85546875" style="298" customWidth="1"/>
    <col min="11010" max="11010" width="19.140625" style="298" customWidth="1"/>
    <col min="11011" max="11011" width="5.5703125" style="298" customWidth="1"/>
    <col min="11012" max="11012" width="23.85546875" style="298" customWidth="1"/>
    <col min="11013" max="11013" width="8.42578125" style="298" customWidth="1"/>
    <col min="11014" max="11014" width="8.28515625" style="298" customWidth="1"/>
    <col min="11015" max="11015" width="16.42578125" style="298" customWidth="1"/>
    <col min="11016" max="11016" width="3.7109375" style="298" customWidth="1"/>
    <col min="11017" max="11017" width="3.85546875" style="298" customWidth="1"/>
    <col min="11018" max="11018" width="5" style="298" customWidth="1"/>
    <col min="11019" max="11019" width="8" style="298" customWidth="1"/>
    <col min="11020" max="11020" width="7.5703125" style="298" customWidth="1"/>
    <col min="11021" max="11022" width="10.28515625" style="298" bestFit="1" customWidth="1"/>
    <col min="11023" max="11264" width="9.140625" style="298"/>
    <col min="11265" max="11265" width="4.85546875" style="298" customWidth="1"/>
    <col min="11266" max="11266" width="19.140625" style="298" customWidth="1"/>
    <col min="11267" max="11267" width="5.5703125" style="298" customWidth="1"/>
    <col min="11268" max="11268" width="23.85546875" style="298" customWidth="1"/>
    <col min="11269" max="11269" width="8.42578125" style="298" customWidth="1"/>
    <col min="11270" max="11270" width="8.28515625" style="298" customWidth="1"/>
    <col min="11271" max="11271" width="16.42578125" style="298" customWidth="1"/>
    <col min="11272" max="11272" width="3.7109375" style="298" customWidth="1"/>
    <col min="11273" max="11273" width="3.85546875" style="298" customWidth="1"/>
    <col min="11274" max="11274" width="5" style="298" customWidth="1"/>
    <col min="11275" max="11275" width="8" style="298" customWidth="1"/>
    <col min="11276" max="11276" width="7.5703125" style="298" customWidth="1"/>
    <col min="11277" max="11278" width="10.28515625" style="298" bestFit="1" customWidth="1"/>
    <col min="11279" max="11520" width="9.140625" style="298"/>
    <col min="11521" max="11521" width="4.85546875" style="298" customWidth="1"/>
    <col min="11522" max="11522" width="19.140625" style="298" customWidth="1"/>
    <col min="11523" max="11523" width="5.5703125" style="298" customWidth="1"/>
    <col min="11524" max="11524" width="23.85546875" style="298" customWidth="1"/>
    <col min="11525" max="11525" width="8.42578125" style="298" customWidth="1"/>
    <col min="11526" max="11526" width="8.28515625" style="298" customWidth="1"/>
    <col min="11527" max="11527" width="16.42578125" style="298" customWidth="1"/>
    <col min="11528" max="11528" width="3.7109375" style="298" customWidth="1"/>
    <col min="11529" max="11529" width="3.85546875" style="298" customWidth="1"/>
    <col min="11530" max="11530" width="5" style="298" customWidth="1"/>
    <col min="11531" max="11531" width="8" style="298" customWidth="1"/>
    <col min="11532" max="11532" width="7.5703125" style="298" customWidth="1"/>
    <col min="11533" max="11534" width="10.28515625" style="298" bestFit="1" customWidth="1"/>
    <col min="11535" max="11776" width="9.140625" style="298"/>
    <col min="11777" max="11777" width="4.85546875" style="298" customWidth="1"/>
    <col min="11778" max="11778" width="19.140625" style="298" customWidth="1"/>
    <col min="11779" max="11779" width="5.5703125" style="298" customWidth="1"/>
    <col min="11780" max="11780" width="23.85546875" style="298" customWidth="1"/>
    <col min="11781" max="11781" width="8.42578125" style="298" customWidth="1"/>
    <col min="11782" max="11782" width="8.28515625" style="298" customWidth="1"/>
    <col min="11783" max="11783" width="16.42578125" style="298" customWidth="1"/>
    <col min="11784" max="11784" width="3.7109375" style="298" customWidth="1"/>
    <col min="11785" max="11785" width="3.85546875" style="298" customWidth="1"/>
    <col min="11786" max="11786" width="5" style="298" customWidth="1"/>
    <col min="11787" max="11787" width="8" style="298" customWidth="1"/>
    <col min="11788" max="11788" width="7.5703125" style="298" customWidth="1"/>
    <col min="11789" max="11790" width="10.28515625" style="298" bestFit="1" customWidth="1"/>
    <col min="11791" max="12032" width="9.140625" style="298"/>
    <col min="12033" max="12033" width="4.85546875" style="298" customWidth="1"/>
    <col min="12034" max="12034" width="19.140625" style="298" customWidth="1"/>
    <col min="12035" max="12035" width="5.5703125" style="298" customWidth="1"/>
    <col min="12036" max="12036" width="23.85546875" style="298" customWidth="1"/>
    <col min="12037" max="12037" width="8.42578125" style="298" customWidth="1"/>
    <col min="12038" max="12038" width="8.28515625" style="298" customWidth="1"/>
    <col min="12039" max="12039" width="16.42578125" style="298" customWidth="1"/>
    <col min="12040" max="12040" width="3.7109375" style="298" customWidth="1"/>
    <col min="12041" max="12041" width="3.85546875" style="298" customWidth="1"/>
    <col min="12042" max="12042" width="5" style="298" customWidth="1"/>
    <col min="12043" max="12043" width="8" style="298" customWidth="1"/>
    <col min="12044" max="12044" width="7.5703125" style="298" customWidth="1"/>
    <col min="12045" max="12046" width="10.28515625" style="298" bestFit="1" customWidth="1"/>
    <col min="12047" max="12288" width="9.140625" style="298"/>
    <col min="12289" max="12289" width="4.85546875" style="298" customWidth="1"/>
    <col min="12290" max="12290" width="19.140625" style="298" customWidth="1"/>
    <col min="12291" max="12291" width="5.5703125" style="298" customWidth="1"/>
    <col min="12292" max="12292" width="23.85546875" style="298" customWidth="1"/>
    <col min="12293" max="12293" width="8.42578125" style="298" customWidth="1"/>
    <col min="12294" max="12294" width="8.28515625" style="298" customWidth="1"/>
    <col min="12295" max="12295" width="16.42578125" style="298" customWidth="1"/>
    <col min="12296" max="12296" width="3.7109375" style="298" customWidth="1"/>
    <col min="12297" max="12297" width="3.85546875" style="298" customWidth="1"/>
    <col min="12298" max="12298" width="5" style="298" customWidth="1"/>
    <col min="12299" max="12299" width="8" style="298" customWidth="1"/>
    <col min="12300" max="12300" width="7.5703125" style="298" customWidth="1"/>
    <col min="12301" max="12302" width="10.28515625" style="298" bestFit="1" customWidth="1"/>
    <col min="12303" max="12544" width="9.140625" style="298"/>
    <col min="12545" max="12545" width="4.85546875" style="298" customWidth="1"/>
    <col min="12546" max="12546" width="19.140625" style="298" customWidth="1"/>
    <col min="12547" max="12547" width="5.5703125" style="298" customWidth="1"/>
    <col min="12548" max="12548" width="23.85546875" style="298" customWidth="1"/>
    <col min="12549" max="12549" width="8.42578125" style="298" customWidth="1"/>
    <col min="12550" max="12550" width="8.28515625" style="298" customWidth="1"/>
    <col min="12551" max="12551" width="16.42578125" style="298" customWidth="1"/>
    <col min="12552" max="12552" width="3.7109375" style="298" customWidth="1"/>
    <col min="12553" max="12553" width="3.85546875" style="298" customWidth="1"/>
    <col min="12554" max="12554" width="5" style="298" customWidth="1"/>
    <col min="12555" max="12555" width="8" style="298" customWidth="1"/>
    <col min="12556" max="12556" width="7.5703125" style="298" customWidth="1"/>
    <col min="12557" max="12558" width="10.28515625" style="298" bestFit="1" customWidth="1"/>
    <col min="12559" max="12800" width="9.140625" style="298"/>
    <col min="12801" max="12801" width="4.85546875" style="298" customWidth="1"/>
    <col min="12802" max="12802" width="19.140625" style="298" customWidth="1"/>
    <col min="12803" max="12803" width="5.5703125" style="298" customWidth="1"/>
    <col min="12804" max="12804" width="23.85546875" style="298" customWidth="1"/>
    <col min="12805" max="12805" width="8.42578125" style="298" customWidth="1"/>
    <col min="12806" max="12806" width="8.28515625" style="298" customWidth="1"/>
    <col min="12807" max="12807" width="16.42578125" style="298" customWidth="1"/>
    <col min="12808" max="12808" width="3.7109375" style="298" customWidth="1"/>
    <col min="12809" max="12809" width="3.85546875" style="298" customWidth="1"/>
    <col min="12810" max="12810" width="5" style="298" customWidth="1"/>
    <col min="12811" max="12811" width="8" style="298" customWidth="1"/>
    <col min="12812" max="12812" width="7.5703125" style="298" customWidth="1"/>
    <col min="12813" max="12814" width="10.28515625" style="298" bestFit="1" customWidth="1"/>
    <col min="12815" max="13056" width="9.140625" style="298"/>
    <col min="13057" max="13057" width="4.85546875" style="298" customWidth="1"/>
    <col min="13058" max="13058" width="19.140625" style="298" customWidth="1"/>
    <col min="13059" max="13059" width="5.5703125" style="298" customWidth="1"/>
    <col min="13060" max="13060" width="23.85546875" style="298" customWidth="1"/>
    <col min="13061" max="13061" width="8.42578125" style="298" customWidth="1"/>
    <col min="13062" max="13062" width="8.28515625" style="298" customWidth="1"/>
    <col min="13063" max="13063" width="16.42578125" style="298" customWidth="1"/>
    <col min="13064" max="13064" width="3.7109375" style="298" customWidth="1"/>
    <col min="13065" max="13065" width="3.85546875" style="298" customWidth="1"/>
    <col min="13066" max="13066" width="5" style="298" customWidth="1"/>
    <col min="13067" max="13067" width="8" style="298" customWidth="1"/>
    <col min="13068" max="13068" width="7.5703125" style="298" customWidth="1"/>
    <col min="13069" max="13070" width="10.28515625" style="298" bestFit="1" customWidth="1"/>
    <col min="13071" max="13312" width="9.140625" style="298"/>
    <col min="13313" max="13313" width="4.85546875" style="298" customWidth="1"/>
    <col min="13314" max="13314" width="19.140625" style="298" customWidth="1"/>
    <col min="13315" max="13315" width="5.5703125" style="298" customWidth="1"/>
    <col min="13316" max="13316" width="23.85546875" style="298" customWidth="1"/>
    <col min="13317" max="13317" width="8.42578125" style="298" customWidth="1"/>
    <col min="13318" max="13318" width="8.28515625" style="298" customWidth="1"/>
    <col min="13319" max="13319" width="16.42578125" style="298" customWidth="1"/>
    <col min="13320" max="13320" width="3.7109375" style="298" customWidth="1"/>
    <col min="13321" max="13321" width="3.85546875" style="298" customWidth="1"/>
    <col min="13322" max="13322" width="5" style="298" customWidth="1"/>
    <col min="13323" max="13323" width="8" style="298" customWidth="1"/>
    <col min="13324" max="13324" width="7.5703125" style="298" customWidth="1"/>
    <col min="13325" max="13326" width="10.28515625" style="298" bestFit="1" customWidth="1"/>
    <col min="13327" max="13568" width="9.140625" style="298"/>
    <col min="13569" max="13569" width="4.85546875" style="298" customWidth="1"/>
    <col min="13570" max="13570" width="19.140625" style="298" customWidth="1"/>
    <col min="13571" max="13571" width="5.5703125" style="298" customWidth="1"/>
    <col min="13572" max="13572" width="23.85546875" style="298" customWidth="1"/>
    <col min="13573" max="13573" width="8.42578125" style="298" customWidth="1"/>
    <col min="13574" max="13574" width="8.28515625" style="298" customWidth="1"/>
    <col min="13575" max="13575" width="16.42578125" style="298" customWidth="1"/>
    <col min="13576" max="13576" width="3.7109375" style="298" customWidth="1"/>
    <col min="13577" max="13577" width="3.85546875" style="298" customWidth="1"/>
    <col min="13578" max="13578" width="5" style="298" customWidth="1"/>
    <col min="13579" max="13579" width="8" style="298" customWidth="1"/>
    <col min="13580" max="13580" width="7.5703125" style="298" customWidth="1"/>
    <col min="13581" max="13582" width="10.28515625" style="298" bestFit="1" customWidth="1"/>
    <col min="13583" max="13824" width="9.140625" style="298"/>
    <col min="13825" max="13825" width="4.85546875" style="298" customWidth="1"/>
    <col min="13826" max="13826" width="19.140625" style="298" customWidth="1"/>
    <col min="13827" max="13827" width="5.5703125" style="298" customWidth="1"/>
    <col min="13828" max="13828" width="23.85546875" style="298" customWidth="1"/>
    <col min="13829" max="13829" width="8.42578125" style="298" customWidth="1"/>
    <col min="13830" max="13830" width="8.28515625" style="298" customWidth="1"/>
    <col min="13831" max="13831" width="16.42578125" style="298" customWidth="1"/>
    <col min="13832" max="13832" width="3.7109375" style="298" customWidth="1"/>
    <col min="13833" max="13833" width="3.85546875" style="298" customWidth="1"/>
    <col min="13834" max="13834" width="5" style="298" customWidth="1"/>
    <col min="13835" max="13835" width="8" style="298" customWidth="1"/>
    <col min="13836" max="13836" width="7.5703125" style="298" customWidth="1"/>
    <col min="13837" max="13838" width="10.28515625" style="298" bestFit="1" customWidth="1"/>
    <col min="13839" max="14080" width="9.140625" style="298"/>
    <col min="14081" max="14081" width="4.85546875" style="298" customWidth="1"/>
    <col min="14082" max="14082" width="19.140625" style="298" customWidth="1"/>
    <col min="14083" max="14083" width="5.5703125" style="298" customWidth="1"/>
    <col min="14084" max="14084" width="23.85546875" style="298" customWidth="1"/>
    <col min="14085" max="14085" width="8.42578125" style="298" customWidth="1"/>
    <col min="14086" max="14086" width="8.28515625" style="298" customWidth="1"/>
    <col min="14087" max="14087" width="16.42578125" style="298" customWidth="1"/>
    <col min="14088" max="14088" width="3.7109375" style="298" customWidth="1"/>
    <col min="14089" max="14089" width="3.85546875" style="298" customWidth="1"/>
    <col min="14090" max="14090" width="5" style="298" customWidth="1"/>
    <col min="14091" max="14091" width="8" style="298" customWidth="1"/>
    <col min="14092" max="14092" width="7.5703125" style="298" customWidth="1"/>
    <col min="14093" max="14094" width="10.28515625" style="298" bestFit="1" customWidth="1"/>
    <col min="14095" max="14336" width="9.140625" style="298"/>
    <col min="14337" max="14337" width="4.85546875" style="298" customWidth="1"/>
    <col min="14338" max="14338" width="19.140625" style="298" customWidth="1"/>
    <col min="14339" max="14339" width="5.5703125" style="298" customWidth="1"/>
    <col min="14340" max="14340" width="23.85546875" style="298" customWidth="1"/>
    <col min="14341" max="14341" width="8.42578125" style="298" customWidth="1"/>
    <col min="14342" max="14342" width="8.28515625" style="298" customWidth="1"/>
    <col min="14343" max="14343" width="16.42578125" style="298" customWidth="1"/>
    <col min="14344" max="14344" width="3.7109375" style="298" customWidth="1"/>
    <col min="14345" max="14345" width="3.85546875" style="298" customWidth="1"/>
    <col min="14346" max="14346" width="5" style="298" customWidth="1"/>
    <col min="14347" max="14347" width="8" style="298" customWidth="1"/>
    <col min="14348" max="14348" width="7.5703125" style="298" customWidth="1"/>
    <col min="14349" max="14350" width="10.28515625" style="298" bestFit="1" customWidth="1"/>
    <col min="14351" max="14592" width="9.140625" style="298"/>
    <col min="14593" max="14593" width="4.85546875" style="298" customWidth="1"/>
    <col min="14594" max="14594" width="19.140625" style="298" customWidth="1"/>
    <col min="14595" max="14595" width="5.5703125" style="298" customWidth="1"/>
    <col min="14596" max="14596" width="23.85546875" style="298" customWidth="1"/>
    <col min="14597" max="14597" width="8.42578125" style="298" customWidth="1"/>
    <col min="14598" max="14598" width="8.28515625" style="298" customWidth="1"/>
    <col min="14599" max="14599" width="16.42578125" style="298" customWidth="1"/>
    <col min="14600" max="14600" width="3.7109375" style="298" customWidth="1"/>
    <col min="14601" max="14601" width="3.85546875" style="298" customWidth="1"/>
    <col min="14602" max="14602" width="5" style="298" customWidth="1"/>
    <col min="14603" max="14603" width="8" style="298" customWidth="1"/>
    <col min="14604" max="14604" width="7.5703125" style="298" customWidth="1"/>
    <col min="14605" max="14606" width="10.28515625" style="298" bestFit="1" customWidth="1"/>
    <col min="14607" max="14848" width="9.140625" style="298"/>
    <col min="14849" max="14849" width="4.85546875" style="298" customWidth="1"/>
    <col min="14850" max="14850" width="19.140625" style="298" customWidth="1"/>
    <col min="14851" max="14851" width="5.5703125" style="298" customWidth="1"/>
    <col min="14852" max="14852" width="23.85546875" style="298" customWidth="1"/>
    <col min="14853" max="14853" width="8.42578125" style="298" customWidth="1"/>
    <col min="14854" max="14854" width="8.28515625" style="298" customWidth="1"/>
    <col min="14855" max="14855" width="16.42578125" style="298" customWidth="1"/>
    <col min="14856" max="14856" width="3.7109375" style="298" customWidth="1"/>
    <col min="14857" max="14857" width="3.85546875" style="298" customWidth="1"/>
    <col min="14858" max="14858" width="5" style="298" customWidth="1"/>
    <col min="14859" max="14859" width="8" style="298" customWidth="1"/>
    <col min="14860" max="14860" width="7.5703125" style="298" customWidth="1"/>
    <col min="14861" max="14862" width="10.28515625" style="298" bestFit="1" customWidth="1"/>
    <col min="14863" max="15104" width="9.140625" style="298"/>
    <col min="15105" max="15105" width="4.85546875" style="298" customWidth="1"/>
    <col min="15106" max="15106" width="19.140625" style="298" customWidth="1"/>
    <col min="15107" max="15107" width="5.5703125" style="298" customWidth="1"/>
    <col min="15108" max="15108" width="23.85546875" style="298" customWidth="1"/>
    <col min="15109" max="15109" width="8.42578125" style="298" customWidth="1"/>
    <col min="15110" max="15110" width="8.28515625" style="298" customWidth="1"/>
    <col min="15111" max="15111" width="16.42578125" style="298" customWidth="1"/>
    <col min="15112" max="15112" width="3.7109375" style="298" customWidth="1"/>
    <col min="15113" max="15113" width="3.85546875" style="298" customWidth="1"/>
    <col min="15114" max="15114" width="5" style="298" customWidth="1"/>
    <col min="15115" max="15115" width="8" style="298" customWidth="1"/>
    <col min="15116" max="15116" width="7.5703125" style="298" customWidth="1"/>
    <col min="15117" max="15118" width="10.28515625" style="298" bestFit="1" customWidth="1"/>
    <col min="15119" max="15360" width="9.140625" style="298"/>
    <col min="15361" max="15361" width="4.85546875" style="298" customWidth="1"/>
    <col min="15362" max="15362" width="19.140625" style="298" customWidth="1"/>
    <col min="15363" max="15363" width="5.5703125" style="298" customWidth="1"/>
    <col min="15364" max="15364" width="23.85546875" style="298" customWidth="1"/>
    <col min="15365" max="15365" width="8.42578125" style="298" customWidth="1"/>
    <col min="15366" max="15366" width="8.28515625" style="298" customWidth="1"/>
    <col min="15367" max="15367" width="16.42578125" style="298" customWidth="1"/>
    <col min="15368" max="15368" width="3.7109375" style="298" customWidth="1"/>
    <col min="15369" max="15369" width="3.85546875" style="298" customWidth="1"/>
    <col min="15370" max="15370" width="5" style="298" customWidth="1"/>
    <col min="15371" max="15371" width="8" style="298" customWidth="1"/>
    <col min="15372" max="15372" width="7.5703125" style="298" customWidth="1"/>
    <col min="15373" max="15374" width="10.28515625" style="298" bestFit="1" customWidth="1"/>
    <col min="15375" max="15616" width="9.140625" style="298"/>
    <col min="15617" max="15617" width="4.85546875" style="298" customWidth="1"/>
    <col min="15618" max="15618" width="19.140625" style="298" customWidth="1"/>
    <col min="15619" max="15619" width="5.5703125" style="298" customWidth="1"/>
    <col min="15620" max="15620" width="23.85546875" style="298" customWidth="1"/>
    <col min="15621" max="15621" width="8.42578125" style="298" customWidth="1"/>
    <col min="15622" max="15622" width="8.28515625" style="298" customWidth="1"/>
    <col min="15623" max="15623" width="16.42578125" style="298" customWidth="1"/>
    <col min="15624" max="15624" width="3.7109375" style="298" customWidth="1"/>
    <col min="15625" max="15625" width="3.85546875" style="298" customWidth="1"/>
    <col min="15626" max="15626" width="5" style="298" customWidth="1"/>
    <col min="15627" max="15627" width="8" style="298" customWidth="1"/>
    <col min="15628" max="15628" width="7.5703125" style="298" customWidth="1"/>
    <col min="15629" max="15630" width="10.28515625" style="298" bestFit="1" customWidth="1"/>
    <col min="15631" max="15872" width="9.140625" style="298"/>
    <col min="15873" max="15873" width="4.85546875" style="298" customWidth="1"/>
    <col min="15874" max="15874" width="19.140625" style="298" customWidth="1"/>
    <col min="15875" max="15875" width="5.5703125" style="298" customWidth="1"/>
    <col min="15876" max="15876" width="23.85546875" style="298" customWidth="1"/>
    <col min="15877" max="15877" width="8.42578125" style="298" customWidth="1"/>
    <col min="15878" max="15878" width="8.28515625" style="298" customWidth="1"/>
    <col min="15879" max="15879" width="16.42578125" style="298" customWidth="1"/>
    <col min="15880" max="15880" width="3.7109375" style="298" customWidth="1"/>
    <col min="15881" max="15881" width="3.85546875" style="298" customWidth="1"/>
    <col min="15882" max="15882" width="5" style="298" customWidth="1"/>
    <col min="15883" max="15883" width="8" style="298" customWidth="1"/>
    <col min="15884" max="15884" width="7.5703125" style="298" customWidth="1"/>
    <col min="15885" max="15886" width="10.28515625" style="298" bestFit="1" customWidth="1"/>
    <col min="15887" max="16128" width="9.140625" style="298"/>
    <col min="16129" max="16129" width="4.85546875" style="298" customWidth="1"/>
    <col min="16130" max="16130" width="19.140625" style="298" customWidth="1"/>
    <col min="16131" max="16131" width="5.5703125" style="298" customWidth="1"/>
    <col min="16132" max="16132" width="23.85546875" style="298" customWidth="1"/>
    <col min="16133" max="16133" width="8.42578125" style="298" customWidth="1"/>
    <col min="16134" max="16134" width="8.28515625" style="298" customWidth="1"/>
    <col min="16135" max="16135" width="16.42578125" style="298" customWidth="1"/>
    <col min="16136" max="16136" width="3.7109375" style="298" customWidth="1"/>
    <col min="16137" max="16137" width="3.85546875" style="298" customWidth="1"/>
    <col min="16138" max="16138" width="5" style="298" customWidth="1"/>
    <col min="16139" max="16139" width="8" style="298" customWidth="1"/>
    <col min="16140" max="16140" width="7.5703125" style="298" customWidth="1"/>
    <col min="16141" max="16142" width="10.28515625" style="298" bestFit="1" customWidth="1"/>
    <col min="16143" max="16384" width="9.140625" style="298"/>
  </cols>
  <sheetData>
    <row r="1" spans="1:18" s="997" customFormat="1" ht="15" x14ac:dyDescent="0.25"/>
    <row r="2" spans="1:18" s="997" customFormat="1" ht="15" x14ac:dyDescent="0.25"/>
    <row r="3" spans="1:18" s="997" customFormat="1" ht="15" x14ac:dyDescent="0.25"/>
    <row r="4" spans="1:18" s="997" customFormat="1" ht="15" x14ac:dyDescent="0.25"/>
    <row r="5" spans="1:18" s="997" customFormat="1" ht="15" x14ac:dyDescent="0.25"/>
    <row r="6" spans="1:18" s="997" customFormat="1" ht="15" x14ac:dyDescent="0.25"/>
    <row r="7" spans="1:18" s="997" customFormat="1" ht="15.75" thickBot="1" x14ac:dyDescent="0.3"/>
    <row r="8" spans="1:18" s="319" customFormat="1" ht="18.75" thickTop="1" x14ac:dyDescent="0.25">
      <c r="A8" s="998" t="s">
        <v>18</v>
      </c>
      <c r="B8" s="999"/>
      <c r="C8" s="999"/>
      <c r="D8" s="999"/>
      <c r="E8" s="999"/>
      <c r="F8" s="999"/>
      <c r="G8" s="999"/>
      <c r="H8" s="999"/>
      <c r="I8" s="999"/>
      <c r="J8" s="999"/>
      <c r="K8" s="999"/>
      <c r="L8" s="999"/>
      <c r="M8" s="999"/>
      <c r="N8" s="1000"/>
    </row>
    <row r="9" spans="1:18" s="319" customFormat="1" ht="17.25" x14ac:dyDescent="0.25">
      <c r="A9" s="350" t="s">
        <v>13</v>
      </c>
      <c r="B9" s="349" t="s">
        <v>19</v>
      </c>
      <c r="C9" s="348" t="s">
        <v>20</v>
      </c>
      <c r="D9" s="348" t="s">
        <v>21</v>
      </c>
      <c r="E9" s="348" t="s">
        <v>22</v>
      </c>
      <c r="F9" s="348" t="s">
        <v>23</v>
      </c>
      <c r="G9" s="348" t="s">
        <v>24</v>
      </c>
      <c r="H9" s="348" t="s">
        <v>25</v>
      </c>
      <c r="I9" s="348" t="s">
        <v>26</v>
      </c>
      <c r="J9" s="348" t="s">
        <v>27</v>
      </c>
      <c r="K9" s="1001" t="s">
        <v>28</v>
      </c>
      <c r="L9" s="1002"/>
      <c r="M9" s="348" t="s">
        <v>29</v>
      </c>
      <c r="N9" s="347" t="s">
        <v>30</v>
      </c>
    </row>
    <row r="10" spans="1:18" s="326" customFormat="1" ht="26.25" customHeight="1" x14ac:dyDescent="0.25">
      <c r="A10" s="346">
        <v>1</v>
      </c>
      <c r="B10" s="351" t="s">
        <v>202</v>
      </c>
      <c r="C10" s="1003" t="s">
        <v>31</v>
      </c>
      <c r="D10" s="339" t="s">
        <v>199</v>
      </c>
      <c r="E10" s="345">
        <v>45</v>
      </c>
      <c r="F10" s="338">
        <v>7</v>
      </c>
      <c r="G10" s="332">
        <f>E10*F10</f>
        <v>315</v>
      </c>
      <c r="H10" s="345">
        <v>8</v>
      </c>
      <c r="I10" s="345">
        <v>2</v>
      </c>
      <c r="J10" s="345">
        <v>10</v>
      </c>
      <c r="K10" s="1005" t="s">
        <v>75</v>
      </c>
      <c r="L10" s="1006"/>
      <c r="M10" s="344"/>
      <c r="N10" s="343"/>
      <c r="O10" s="1009" t="s">
        <v>284</v>
      </c>
      <c r="P10" s="1010"/>
      <c r="Q10" s="1010"/>
      <c r="R10" s="1010"/>
    </row>
    <row r="11" spans="1:18" s="326" customFormat="1" ht="26.25" customHeight="1" x14ac:dyDescent="0.25">
      <c r="A11" s="340">
        <v>2</v>
      </c>
      <c r="B11" s="352"/>
      <c r="C11" s="1004"/>
      <c r="D11" s="339" t="s">
        <v>201</v>
      </c>
      <c r="E11" s="337">
        <v>45</v>
      </c>
      <c r="F11" s="338">
        <v>7</v>
      </c>
      <c r="G11" s="332">
        <f t="shared" ref="G11:G21" si="0">E11*F11</f>
        <v>315</v>
      </c>
      <c r="H11" s="337" t="s">
        <v>98</v>
      </c>
      <c r="I11" s="337">
        <v>11</v>
      </c>
      <c r="J11" s="337">
        <v>10</v>
      </c>
      <c r="K11" s="1007" t="s">
        <v>75</v>
      </c>
      <c r="L11" s="1008"/>
      <c r="M11" s="336"/>
      <c r="N11" s="335"/>
      <c r="O11" s="1009"/>
      <c r="P11" s="1010"/>
      <c r="Q11" s="1010"/>
      <c r="R11" s="1010"/>
    </row>
    <row r="12" spans="1:18" s="326" customFormat="1" ht="26.25" customHeight="1" x14ac:dyDescent="0.25">
      <c r="A12" s="340">
        <v>1</v>
      </c>
      <c r="B12" s="352"/>
      <c r="C12" s="1004"/>
      <c r="D12" s="53" t="s">
        <v>283</v>
      </c>
      <c r="E12" s="613">
        <f>4.5+10.5+21+9</f>
        <v>45</v>
      </c>
      <c r="F12" s="55">
        <v>7.5</v>
      </c>
      <c r="G12" s="332">
        <f t="shared" si="0"/>
        <v>337.5</v>
      </c>
      <c r="H12" s="613" t="s">
        <v>64</v>
      </c>
      <c r="I12" s="613">
        <v>1</v>
      </c>
      <c r="J12" s="613">
        <v>12</v>
      </c>
      <c r="K12" s="602" t="s">
        <v>74</v>
      </c>
      <c r="L12" s="603"/>
      <c r="M12" s="92">
        <v>41563</v>
      </c>
      <c r="N12" s="335"/>
      <c r="O12" s="618"/>
      <c r="P12" s="618"/>
      <c r="Q12" s="618"/>
      <c r="R12" s="618"/>
    </row>
    <row r="13" spans="1:18" s="326" customFormat="1" ht="26.25" customHeight="1" x14ac:dyDescent="0.25">
      <c r="A13" s="340">
        <v>2</v>
      </c>
      <c r="B13" s="352"/>
      <c r="C13" s="1004"/>
      <c r="D13" s="53" t="s">
        <v>283</v>
      </c>
      <c r="E13" s="80">
        <f>4.5+12+9+13.5+6</f>
        <v>45</v>
      </c>
      <c r="F13" s="55">
        <v>7.5</v>
      </c>
      <c r="G13" s="332">
        <f t="shared" si="0"/>
        <v>337.5</v>
      </c>
      <c r="H13" s="80" t="s">
        <v>107</v>
      </c>
      <c r="I13" s="80">
        <v>1</v>
      </c>
      <c r="J13" s="80">
        <v>12</v>
      </c>
      <c r="K13" s="602" t="s">
        <v>74</v>
      </c>
      <c r="L13" s="603"/>
      <c r="M13" s="92">
        <v>41563</v>
      </c>
      <c r="N13" s="335"/>
      <c r="O13" s="618"/>
      <c r="P13" s="618"/>
      <c r="Q13" s="618"/>
      <c r="R13" s="618"/>
    </row>
    <row r="14" spans="1:18" s="326" customFormat="1" ht="26.25" customHeight="1" x14ac:dyDescent="0.25">
      <c r="A14" s="340">
        <v>3</v>
      </c>
      <c r="B14" s="352"/>
      <c r="C14" s="1004"/>
      <c r="D14" s="53" t="s">
        <v>283</v>
      </c>
      <c r="E14" s="337">
        <f>1.5+4.5+9+3+9+7.5+10.5</f>
        <v>45</v>
      </c>
      <c r="F14" s="338">
        <v>7.5</v>
      </c>
      <c r="G14" s="332">
        <f t="shared" si="0"/>
        <v>337.5</v>
      </c>
      <c r="H14" s="337" t="s">
        <v>63</v>
      </c>
      <c r="I14" s="337">
        <v>1</v>
      </c>
      <c r="J14" s="337">
        <v>12</v>
      </c>
      <c r="K14" s="342" t="s">
        <v>75</v>
      </c>
      <c r="L14" s="341"/>
      <c r="M14" s="92">
        <v>41597</v>
      </c>
      <c r="N14" s="335" t="s">
        <v>30</v>
      </c>
      <c r="O14" s="618"/>
      <c r="P14" s="618"/>
      <c r="Q14" s="618"/>
      <c r="R14" s="618"/>
    </row>
    <row r="15" spans="1:18" s="326" customFormat="1" ht="26.25" customHeight="1" x14ac:dyDescent="0.25">
      <c r="A15" s="340">
        <v>4</v>
      </c>
      <c r="B15" s="352"/>
      <c r="C15" s="1004"/>
      <c r="D15" s="53" t="s">
        <v>283</v>
      </c>
      <c r="E15" s="337">
        <f>10.5+10.5+13.5+10.5</f>
        <v>45</v>
      </c>
      <c r="F15" s="338">
        <v>7.5</v>
      </c>
      <c r="G15" s="332">
        <f t="shared" si="0"/>
        <v>337.5</v>
      </c>
      <c r="H15" s="337" t="s">
        <v>98</v>
      </c>
      <c r="I15" s="337">
        <v>1</v>
      </c>
      <c r="J15" s="337">
        <v>12</v>
      </c>
      <c r="K15" s="1007" t="s">
        <v>308</v>
      </c>
      <c r="L15" s="1008"/>
      <c r="M15" s="336">
        <v>41572</v>
      </c>
      <c r="N15" s="335"/>
      <c r="O15" s="618"/>
      <c r="P15" s="618"/>
      <c r="Q15" s="618"/>
      <c r="R15" s="618"/>
    </row>
    <row r="16" spans="1:18" s="326" customFormat="1" ht="26.25" customHeight="1" x14ac:dyDescent="0.25">
      <c r="A16" s="340">
        <v>5</v>
      </c>
      <c r="B16" s="352"/>
      <c r="C16" s="1004"/>
      <c r="D16" s="53" t="s">
        <v>359</v>
      </c>
      <c r="E16" s="337">
        <f>7.5+33+4.5</f>
        <v>45</v>
      </c>
      <c r="F16" s="338">
        <v>7.5</v>
      </c>
      <c r="G16" s="332">
        <f t="shared" si="0"/>
        <v>337.5</v>
      </c>
      <c r="H16" s="337" t="s">
        <v>98</v>
      </c>
      <c r="I16" s="337">
        <v>3</v>
      </c>
      <c r="J16" s="337">
        <v>10</v>
      </c>
      <c r="K16" s="1007" t="s">
        <v>75</v>
      </c>
      <c r="L16" s="1008"/>
      <c r="M16" s="336">
        <v>41626</v>
      </c>
      <c r="N16" s="335"/>
      <c r="O16" s="618"/>
      <c r="P16" s="618"/>
      <c r="Q16" s="618"/>
      <c r="R16" s="618"/>
    </row>
    <row r="17" spans="1:18" s="326" customFormat="1" ht="26.25" customHeight="1" x14ac:dyDescent="0.25">
      <c r="A17" s="635" t="s">
        <v>438</v>
      </c>
      <c r="B17" s="646"/>
      <c r="C17" s="1004"/>
      <c r="D17" s="647"/>
      <c r="E17" s="441"/>
      <c r="F17" s="648"/>
      <c r="G17" s="332">
        <f t="shared" si="0"/>
        <v>0</v>
      </c>
      <c r="H17" s="441"/>
      <c r="I17" s="441"/>
      <c r="J17" s="441"/>
      <c r="K17" s="649"/>
      <c r="L17" s="650"/>
      <c r="M17" s="651"/>
      <c r="N17" s="335"/>
      <c r="P17" s="326" t="s">
        <v>416</v>
      </c>
      <c r="Q17" s="326" t="s">
        <v>417</v>
      </c>
      <c r="R17" s="326" t="s">
        <v>418</v>
      </c>
    </row>
    <row r="18" spans="1:18" s="326" customFormat="1" ht="26.25" customHeight="1" x14ac:dyDescent="0.25">
      <c r="A18" s="340">
        <v>1</v>
      </c>
      <c r="B18" s="352"/>
      <c r="C18" s="1004"/>
      <c r="D18" s="53" t="s">
        <v>453</v>
      </c>
      <c r="E18" s="80">
        <f>9+12+21+3</f>
        <v>45</v>
      </c>
      <c r="F18" s="55">
        <f>7.5</f>
        <v>7.5</v>
      </c>
      <c r="G18" s="332">
        <f>E18*F18</f>
        <v>337.5</v>
      </c>
      <c r="H18" s="80" t="s">
        <v>98</v>
      </c>
      <c r="I18" s="80">
        <v>2</v>
      </c>
      <c r="J18" s="80">
        <v>11</v>
      </c>
      <c r="K18" s="878" t="s">
        <v>74</v>
      </c>
      <c r="L18" s="879"/>
      <c r="M18" s="92">
        <v>41667</v>
      </c>
      <c r="N18" s="335" t="s">
        <v>616</v>
      </c>
    </row>
    <row r="19" spans="1:18" s="326" customFormat="1" ht="26.25" customHeight="1" x14ac:dyDescent="0.25">
      <c r="A19" s="340">
        <v>2</v>
      </c>
      <c r="B19" s="352"/>
      <c r="C19" s="1004"/>
      <c r="D19" s="53" t="s">
        <v>453</v>
      </c>
      <c r="E19" s="337">
        <f>9+12+21+3</f>
        <v>45</v>
      </c>
      <c r="F19" s="338">
        <v>7.5</v>
      </c>
      <c r="G19" s="332">
        <f t="shared" si="0"/>
        <v>337.5</v>
      </c>
      <c r="H19" s="337" t="s">
        <v>107</v>
      </c>
      <c r="I19" s="337">
        <v>2</v>
      </c>
      <c r="J19" s="337">
        <v>11</v>
      </c>
      <c r="K19" s="1007" t="s">
        <v>231</v>
      </c>
      <c r="L19" s="1008"/>
      <c r="M19" s="92">
        <v>41666</v>
      </c>
      <c r="N19" s="335" t="s">
        <v>614</v>
      </c>
    </row>
    <row r="20" spans="1:18" s="326" customFormat="1" ht="26.25" customHeight="1" x14ac:dyDescent="0.25">
      <c r="A20" s="340">
        <v>3</v>
      </c>
      <c r="B20" s="352"/>
      <c r="C20" s="1004"/>
      <c r="D20" s="53" t="s">
        <v>453</v>
      </c>
      <c r="E20" s="337">
        <f>4.5+9+25.5+6</f>
        <v>45</v>
      </c>
      <c r="F20" s="338">
        <v>7.5</v>
      </c>
      <c r="G20" s="332">
        <f t="shared" si="0"/>
        <v>337.5</v>
      </c>
      <c r="H20" s="337" t="s">
        <v>64</v>
      </c>
      <c r="I20" s="337">
        <v>2</v>
      </c>
      <c r="J20" s="337">
        <v>11</v>
      </c>
      <c r="K20" s="1007" t="s">
        <v>75</v>
      </c>
      <c r="L20" s="1008"/>
      <c r="M20" s="336">
        <v>41667</v>
      </c>
      <c r="N20" s="335" t="s">
        <v>615</v>
      </c>
    </row>
    <row r="21" spans="1:18" s="326" customFormat="1" ht="26.25" customHeight="1" x14ac:dyDescent="0.25">
      <c r="A21" s="340">
        <v>4</v>
      </c>
      <c r="B21" s="352"/>
      <c r="C21" s="1004"/>
      <c r="D21" s="53" t="s">
        <v>502</v>
      </c>
      <c r="E21" s="337">
        <f>9+18</f>
        <v>27</v>
      </c>
      <c r="F21" s="338">
        <v>7.5</v>
      </c>
      <c r="G21" s="332">
        <f t="shared" si="0"/>
        <v>202.5</v>
      </c>
      <c r="H21" s="337" t="s">
        <v>98</v>
      </c>
      <c r="I21" s="337">
        <v>3</v>
      </c>
      <c r="J21" s="337">
        <v>10</v>
      </c>
      <c r="K21" s="1007" t="s">
        <v>75</v>
      </c>
      <c r="L21" s="1008"/>
      <c r="M21" s="336">
        <v>41711</v>
      </c>
      <c r="N21" s="335"/>
    </row>
    <row r="22" spans="1:18" s="326" customFormat="1" ht="26.25" customHeight="1" x14ac:dyDescent="0.25">
      <c r="A22" s="340">
        <v>5</v>
      </c>
      <c r="B22" s="352"/>
      <c r="C22" s="1004"/>
      <c r="D22" s="53" t="s">
        <v>503</v>
      </c>
      <c r="E22" s="337"/>
      <c r="F22" s="338"/>
      <c r="G22" s="332"/>
      <c r="H22" s="337" t="s">
        <v>53</v>
      </c>
      <c r="I22" s="337">
        <v>4</v>
      </c>
      <c r="J22" s="337">
        <v>9</v>
      </c>
      <c r="K22" s="1007" t="s">
        <v>118</v>
      </c>
      <c r="L22" s="1008"/>
      <c r="M22" s="94">
        <v>41758</v>
      </c>
      <c r="N22" s="335"/>
    </row>
    <row r="23" spans="1:18" s="326" customFormat="1" ht="26.25" customHeight="1" x14ac:dyDescent="0.25">
      <c r="A23" s="340"/>
      <c r="B23" s="352"/>
      <c r="C23" s="1004"/>
      <c r="D23" s="53"/>
      <c r="E23" s="337"/>
      <c r="F23" s="338"/>
      <c r="G23" s="332"/>
      <c r="H23" s="337"/>
      <c r="I23" s="337"/>
      <c r="J23" s="337"/>
      <c r="K23" s="1007"/>
      <c r="L23" s="1008"/>
      <c r="M23" s="94"/>
      <c r="N23" s="335"/>
    </row>
    <row r="24" spans="1:18" s="326" customFormat="1" ht="26.25" customHeight="1" x14ac:dyDescent="0.25">
      <c r="A24" s="340"/>
      <c r="B24" s="352"/>
      <c r="C24" s="1004"/>
      <c r="D24" s="53"/>
      <c r="E24" s="337"/>
      <c r="F24" s="338"/>
      <c r="G24" s="332"/>
      <c r="H24" s="337"/>
      <c r="I24" s="337"/>
      <c r="J24" s="337"/>
      <c r="K24" s="1007"/>
      <c r="L24" s="1008"/>
      <c r="M24" s="336"/>
      <c r="N24" s="335"/>
    </row>
    <row r="25" spans="1:18" s="326" customFormat="1" ht="26.25" customHeight="1" x14ac:dyDescent="0.25">
      <c r="A25" s="340"/>
      <c r="B25" s="353"/>
      <c r="C25" s="1004"/>
      <c r="D25" s="53"/>
      <c r="E25" s="337"/>
      <c r="F25" s="338"/>
      <c r="G25" s="332"/>
      <c r="H25" s="337"/>
      <c r="I25" s="337"/>
      <c r="J25" s="337"/>
      <c r="K25" s="1007"/>
      <c r="L25" s="1008"/>
      <c r="M25" s="336"/>
      <c r="N25" s="335"/>
    </row>
    <row r="26" spans="1:18" s="326" customFormat="1" ht="26.25" customHeight="1" x14ac:dyDescent="0.25">
      <c r="A26" s="1018" t="s">
        <v>11</v>
      </c>
      <c r="B26" s="1019"/>
      <c r="C26" s="1019"/>
      <c r="D26" s="1019"/>
      <c r="E26" s="334">
        <f>SUM(E10:E25)</f>
        <v>477</v>
      </c>
      <c r="F26" s="333">
        <v>7.5</v>
      </c>
      <c r="G26" s="332"/>
      <c r="H26" s="331"/>
      <c r="I26" s="331"/>
      <c r="J26" s="331"/>
      <c r="K26" s="1007"/>
      <c r="L26" s="1008"/>
      <c r="M26" s="331"/>
      <c r="N26" s="330"/>
    </row>
    <row r="27" spans="1:18" s="326" customFormat="1" ht="26.25" customHeight="1" x14ac:dyDescent="0.25">
      <c r="A27" s="1011" t="s">
        <v>24</v>
      </c>
      <c r="B27" s="1012"/>
      <c r="C27" s="1012"/>
      <c r="D27" s="1012"/>
      <c r="E27" s="1012"/>
      <c r="F27" s="1012"/>
      <c r="G27" s="329">
        <f>SUM(G10:G26)</f>
        <v>3532.5</v>
      </c>
      <c r="H27" s="328"/>
      <c r="I27" s="328"/>
      <c r="J27" s="328"/>
      <c r="K27" s="1013"/>
      <c r="L27" s="1014"/>
      <c r="M27" s="328"/>
      <c r="N27" s="327"/>
    </row>
    <row r="28" spans="1:18" s="319" customFormat="1" ht="26.25" customHeight="1" x14ac:dyDescent="0.25">
      <c r="A28" s="1015" t="s">
        <v>32</v>
      </c>
      <c r="B28" s="1016"/>
      <c r="C28" s="1016"/>
      <c r="D28" s="1016"/>
      <c r="E28" s="1016"/>
      <c r="F28" s="1016"/>
      <c r="G28" s="1017"/>
      <c r="H28" s="325"/>
      <c r="I28" s="325"/>
      <c r="J28" s="324" t="s">
        <v>44</v>
      </c>
      <c r="K28" s="325"/>
      <c r="L28" s="324"/>
      <c r="M28" s="323"/>
      <c r="N28" s="322"/>
    </row>
    <row r="29" spans="1:18" s="319" customFormat="1" ht="22.5" customHeight="1" thickBot="1" x14ac:dyDescent="0.3">
      <c r="A29" s="321" t="s">
        <v>5</v>
      </c>
      <c r="B29" s="320" t="s">
        <v>33</v>
      </c>
      <c r="C29" s="994" t="s">
        <v>21</v>
      </c>
      <c r="D29" s="995"/>
      <c r="E29" s="994" t="s">
        <v>34</v>
      </c>
      <c r="F29" s="995"/>
      <c r="G29" s="320" t="s">
        <v>0</v>
      </c>
      <c r="H29" s="320" t="s">
        <v>25</v>
      </c>
      <c r="I29" s="320" t="s">
        <v>26</v>
      </c>
      <c r="J29" s="320" t="s">
        <v>27</v>
      </c>
      <c r="K29" s="996" t="s">
        <v>28</v>
      </c>
      <c r="L29" s="994"/>
      <c r="M29" s="901" t="s">
        <v>43</v>
      </c>
      <c r="N29" s="990"/>
    </row>
    <row r="30" spans="1:18" s="302" customFormat="1" ht="26.25" customHeight="1" x14ac:dyDescent="0.25">
      <c r="A30" s="991" t="s">
        <v>35</v>
      </c>
      <c r="B30" s="992"/>
      <c r="C30" s="992"/>
      <c r="D30" s="992"/>
      <c r="E30" s="992"/>
      <c r="F30" s="992"/>
      <c r="G30" s="318">
        <f>G27</f>
        <v>3532.5</v>
      </c>
      <c r="H30" s="317"/>
      <c r="I30" s="317"/>
      <c r="J30" s="317"/>
      <c r="K30" s="317"/>
      <c r="L30" s="317"/>
      <c r="M30" s="317"/>
      <c r="N30" s="316"/>
    </row>
    <row r="31" spans="1:18" s="302" customFormat="1" ht="26.25" customHeight="1" x14ac:dyDescent="0.25">
      <c r="A31" s="315" t="s">
        <v>200</v>
      </c>
      <c r="B31" s="312">
        <v>41501</v>
      </c>
      <c r="C31" s="993" t="s">
        <v>199</v>
      </c>
      <c r="D31" s="993"/>
      <c r="E31" s="985">
        <v>315</v>
      </c>
      <c r="F31" s="985"/>
      <c r="G31" s="311">
        <f>G30-E31</f>
        <v>3217.5</v>
      </c>
      <c r="H31" s="310"/>
      <c r="I31" s="310"/>
      <c r="J31" s="310"/>
      <c r="K31" s="310"/>
      <c r="L31" s="310"/>
      <c r="M31" s="310"/>
      <c r="N31" s="309"/>
    </row>
    <row r="32" spans="1:18" s="302" customFormat="1" ht="26.25" customHeight="1" x14ac:dyDescent="0.25">
      <c r="A32" s="366" t="s">
        <v>214</v>
      </c>
      <c r="B32" s="367">
        <v>41515</v>
      </c>
      <c r="C32" s="983" t="s">
        <v>201</v>
      </c>
      <c r="D32" s="984"/>
      <c r="E32" s="985">
        <v>315</v>
      </c>
      <c r="F32" s="985"/>
      <c r="G32" s="311">
        <f>G31-E32</f>
        <v>2902.5</v>
      </c>
      <c r="H32" s="310"/>
      <c r="I32" s="310"/>
      <c r="J32" s="310"/>
      <c r="K32" s="310"/>
      <c r="L32" s="310"/>
      <c r="M32" s="310"/>
      <c r="N32" s="309"/>
    </row>
    <row r="33" spans="1:14" s="302" customFormat="1" ht="26.25" customHeight="1" x14ac:dyDescent="0.25">
      <c r="A33" s="366" t="s">
        <v>321</v>
      </c>
      <c r="B33" s="367">
        <v>41612</v>
      </c>
      <c r="C33" s="983" t="s">
        <v>201</v>
      </c>
      <c r="D33" s="984"/>
      <c r="E33" s="985">
        <v>200</v>
      </c>
      <c r="F33" s="985"/>
      <c r="G33" s="311">
        <f>G32-E33</f>
        <v>2702.5</v>
      </c>
      <c r="H33" s="310"/>
      <c r="I33" s="310"/>
      <c r="J33" s="310"/>
      <c r="K33" s="310"/>
      <c r="L33" s="310"/>
      <c r="M33" s="310"/>
      <c r="N33" s="309"/>
    </row>
    <row r="34" spans="1:14" s="302" customFormat="1" ht="26.25" customHeight="1" x14ac:dyDescent="0.25">
      <c r="A34" s="313" t="s">
        <v>370</v>
      </c>
      <c r="B34" s="312">
        <v>41645</v>
      </c>
      <c r="C34" s="983" t="s">
        <v>201</v>
      </c>
      <c r="D34" s="984"/>
      <c r="E34" s="985">
        <v>200</v>
      </c>
      <c r="F34" s="985"/>
      <c r="G34" s="311">
        <f>G33-E34</f>
        <v>2502.5</v>
      </c>
      <c r="H34" s="310"/>
      <c r="I34" s="310"/>
      <c r="J34" s="310"/>
      <c r="K34" s="310"/>
      <c r="L34" s="310"/>
      <c r="M34" s="310"/>
      <c r="N34" s="309"/>
    </row>
    <row r="35" spans="1:14" s="302" customFormat="1" ht="26.25" customHeight="1" x14ac:dyDescent="0.25">
      <c r="A35" s="313" t="s">
        <v>465</v>
      </c>
      <c r="B35" s="312">
        <v>41703</v>
      </c>
      <c r="C35" s="983" t="s">
        <v>201</v>
      </c>
      <c r="D35" s="984"/>
      <c r="E35" s="985">
        <v>300</v>
      </c>
      <c r="F35" s="985"/>
      <c r="G35" s="311">
        <f t="shared" ref="G35:G36" si="1">G34-E35</f>
        <v>2202.5</v>
      </c>
      <c r="H35" s="668"/>
      <c r="I35" s="668"/>
      <c r="J35" s="668"/>
      <c r="K35" s="668"/>
      <c r="L35" s="668"/>
      <c r="M35" s="668"/>
      <c r="N35" s="309"/>
    </row>
    <row r="36" spans="1:14" s="302" customFormat="1" ht="26.25" customHeight="1" x14ac:dyDescent="0.25">
      <c r="A36" s="313" t="s">
        <v>537</v>
      </c>
      <c r="B36" s="312">
        <v>41739</v>
      </c>
      <c r="C36" s="983" t="s">
        <v>201</v>
      </c>
      <c r="D36" s="984"/>
      <c r="E36" s="988">
        <v>250</v>
      </c>
      <c r="F36" s="989"/>
      <c r="G36" s="311">
        <f t="shared" si="1"/>
        <v>1952.5</v>
      </c>
      <c r="H36" s="668"/>
      <c r="I36" s="668"/>
      <c r="J36" s="668"/>
      <c r="K36" s="668"/>
      <c r="L36" s="668"/>
      <c r="M36" s="668"/>
      <c r="N36" s="309"/>
    </row>
    <row r="37" spans="1:14" s="302" customFormat="1" ht="26.25" customHeight="1" x14ac:dyDescent="0.25">
      <c r="A37" s="14" t="s">
        <v>563</v>
      </c>
      <c r="B37" s="15">
        <v>41768</v>
      </c>
      <c r="C37" s="983" t="s">
        <v>201</v>
      </c>
      <c r="D37" s="984"/>
      <c r="E37" s="988">
        <v>850</v>
      </c>
      <c r="F37" s="989"/>
      <c r="G37" s="311">
        <f>G36-E37</f>
        <v>1102.5</v>
      </c>
      <c r="H37" s="668"/>
      <c r="I37" s="668"/>
      <c r="J37" s="668"/>
      <c r="K37" s="668"/>
      <c r="L37" s="668"/>
      <c r="M37" s="668"/>
      <c r="N37" s="309"/>
    </row>
    <row r="38" spans="1:14" s="302" customFormat="1" ht="26.25" customHeight="1" x14ac:dyDescent="0.25">
      <c r="A38" s="794" t="s">
        <v>592</v>
      </c>
      <c r="B38" s="795">
        <v>41793</v>
      </c>
      <c r="C38" s="983" t="s">
        <v>201</v>
      </c>
      <c r="D38" s="984"/>
      <c r="E38" s="988">
        <v>400</v>
      </c>
      <c r="F38" s="989"/>
      <c r="G38" s="311">
        <f t="shared" ref="G38:G41" si="2">G37-E38</f>
        <v>702.5</v>
      </c>
      <c r="H38" s="792"/>
      <c r="I38" s="792"/>
      <c r="J38" s="792"/>
      <c r="K38" s="792"/>
      <c r="L38" s="792"/>
      <c r="M38" s="792"/>
      <c r="N38" s="309"/>
    </row>
    <row r="39" spans="1:14" s="302" customFormat="1" ht="26.25" customHeight="1" x14ac:dyDescent="0.25">
      <c r="A39" s="794"/>
      <c r="B39" s="795"/>
      <c r="C39" s="796"/>
      <c r="D39" s="793"/>
      <c r="E39" s="988"/>
      <c r="F39" s="989"/>
      <c r="G39" s="311">
        <f t="shared" si="2"/>
        <v>702.5</v>
      </c>
      <c r="H39" s="792"/>
      <c r="I39" s="792"/>
      <c r="J39" s="792"/>
      <c r="K39" s="792"/>
      <c r="L39" s="792"/>
      <c r="M39" s="792"/>
      <c r="N39" s="309"/>
    </row>
    <row r="40" spans="1:14" s="302" customFormat="1" ht="26.25" customHeight="1" x14ac:dyDescent="0.25">
      <c r="A40" s="794"/>
      <c r="B40" s="795"/>
      <c r="C40" s="796"/>
      <c r="D40" s="793"/>
      <c r="E40" s="988"/>
      <c r="F40" s="989"/>
      <c r="G40" s="311">
        <f t="shared" si="2"/>
        <v>702.5</v>
      </c>
      <c r="H40" s="792"/>
      <c r="I40" s="792"/>
      <c r="J40" s="792"/>
      <c r="K40" s="792"/>
      <c r="L40" s="792"/>
      <c r="M40" s="792"/>
      <c r="N40" s="309"/>
    </row>
    <row r="41" spans="1:14" s="302" customFormat="1" ht="26.25" customHeight="1" x14ac:dyDescent="0.25">
      <c r="A41" s="794"/>
      <c r="B41" s="795"/>
      <c r="C41" s="796"/>
      <c r="D41" s="793"/>
      <c r="E41" s="988"/>
      <c r="F41" s="989"/>
      <c r="G41" s="311">
        <f t="shared" si="2"/>
        <v>702.5</v>
      </c>
      <c r="H41" s="792"/>
      <c r="I41" s="792"/>
      <c r="J41" s="792"/>
      <c r="K41" s="792"/>
      <c r="L41" s="792"/>
      <c r="M41" s="792"/>
      <c r="N41" s="309"/>
    </row>
    <row r="42" spans="1:14" s="302" customFormat="1" ht="26.25" customHeight="1" x14ac:dyDescent="0.25">
      <c r="A42" s="313"/>
      <c r="B42" s="312"/>
      <c r="C42" s="986"/>
      <c r="D42" s="986"/>
      <c r="E42" s="987"/>
      <c r="F42" s="987"/>
      <c r="G42" s="311">
        <f>G41-E42</f>
        <v>702.5</v>
      </c>
      <c r="H42" s="310"/>
      <c r="I42" s="310"/>
      <c r="J42" s="310"/>
      <c r="K42" s="310"/>
      <c r="L42" s="310"/>
      <c r="M42" s="310"/>
      <c r="N42" s="309"/>
    </row>
    <row r="43" spans="1:14" s="305" customFormat="1" ht="26.25" customHeight="1" thickBot="1" x14ac:dyDescent="0.3">
      <c r="A43" s="978" t="s">
        <v>36</v>
      </c>
      <c r="B43" s="979"/>
      <c r="C43" s="979"/>
      <c r="D43" s="979"/>
      <c r="E43" s="980">
        <f>SUM(E31:F42)</f>
        <v>2830</v>
      </c>
      <c r="F43" s="981"/>
      <c r="G43" s="308"/>
      <c r="H43" s="307"/>
      <c r="I43" s="307"/>
      <c r="J43" s="307"/>
      <c r="K43" s="307"/>
      <c r="L43" s="307"/>
      <c r="M43" s="307"/>
      <c r="N43" s="306"/>
    </row>
    <row r="44" spans="1:14" s="302" customFormat="1" ht="26.25" customHeight="1" thickTop="1" x14ac:dyDescent="0.25">
      <c r="A44" s="304"/>
      <c r="E44" s="982"/>
      <c r="F44" s="982"/>
    </row>
    <row r="45" spans="1:14" s="302" customFormat="1" ht="26.25" customHeight="1" x14ac:dyDescent="0.3">
      <c r="A45" s="25" t="s">
        <v>41</v>
      </c>
      <c r="B45" s="25"/>
      <c r="C45" s="25"/>
      <c r="D45" s="25" t="s">
        <v>81</v>
      </c>
      <c r="E45" s="25"/>
      <c r="F45" s="303"/>
      <c r="G45" s="25" t="s">
        <v>38</v>
      </c>
      <c r="H45" s="25"/>
      <c r="I45" s="25"/>
      <c r="J45" s="25"/>
      <c r="K45" s="25"/>
      <c r="L45" s="25" t="s">
        <v>39</v>
      </c>
      <c r="M45" s="28"/>
      <c r="N45" s="303"/>
    </row>
    <row r="46" spans="1:14" s="302" customFormat="1" ht="26.25" customHeight="1" x14ac:dyDescent="0.3">
      <c r="A46" s="25"/>
      <c r="B46" s="25"/>
      <c r="C46" s="25"/>
      <c r="D46" s="25"/>
      <c r="E46" s="25"/>
      <c r="F46" s="303"/>
      <c r="G46" s="25"/>
      <c r="H46" s="25"/>
      <c r="I46" s="25"/>
      <c r="J46" s="25"/>
      <c r="K46" s="25"/>
      <c r="L46" s="25"/>
      <c r="M46" s="28"/>
      <c r="N46" s="303"/>
    </row>
    <row r="47" spans="1:14" s="302" customFormat="1" ht="26.25" customHeight="1" x14ac:dyDescent="0.3">
      <c r="A47" s="25"/>
      <c r="B47" s="25"/>
      <c r="C47" s="25"/>
      <c r="D47" s="25"/>
      <c r="E47" s="25"/>
      <c r="F47" s="303"/>
      <c r="G47" s="25"/>
      <c r="H47" s="25"/>
      <c r="I47" s="25"/>
      <c r="J47" s="25"/>
      <c r="K47" s="25"/>
      <c r="L47" s="25"/>
      <c r="M47" s="28"/>
      <c r="N47" s="303"/>
    </row>
    <row r="48" spans="1:14" s="302" customFormat="1" ht="26.25" customHeight="1" x14ac:dyDescent="0.3">
      <c r="A48" s="25"/>
      <c r="B48" s="25"/>
      <c r="C48" s="25"/>
      <c r="D48" s="25"/>
      <c r="E48" s="25"/>
      <c r="F48" s="303"/>
      <c r="G48" s="25"/>
      <c r="H48" s="25"/>
      <c r="I48" s="25"/>
      <c r="J48" s="25"/>
      <c r="K48" s="25"/>
      <c r="L48" s="25"/>
      <c r="M48" s="28"/>
      <c r="N48" s="303"/>
    </row>
    <row r="49" spans="1:14" s="302" customFormat="1" ht="26.25" customHeight="1" x14ac:dyDescent="0.3">
      <c r="A49" s="29"/>
      <c r="B49" s="25"/>
      <c r="C49" s="25"/>
      <c r="D49" s="29"/>
      <c r="E49" s="29"/>
      <c r="F49" s="303"/>
      <c r="G49" s="29"/>
      <c r="H49" s="25"/>
      <c r="I49" s="25"/>
      <c r="J49" s="25"/>
      <c r="K49" s="25"/>
      <c r="L49" s="27"/>
      <c r="M49" s="28"/>
      <c r="N49" s="303"/>
    </row>
    <row r="50" spans="1:14" s="300" customFormat="1" ht="17.25" x14ac:dyDescent="0.3">
      <c r="A50" s="25" t="s">
        <v>48</v>
      </c>
      <c r="B50" s="25"/>
      <c r="C50" s="25" t="s">
        <v>80</v>
      </c>
      <c r="D50" s="25"/>
      <c r="G50" s="25" t="str">
        <f>B10</f>
        <v>Srun Sarak</v>
      </c>
      <c r="H50" s="25"/>
      <c r="I50" s="25"/>
      <c r="J50" s="25"/>
      <c r="K50" s="829" t="s">
        <v>90</v>
      </c>
      <c r="L50" s="829"/>
      <c r="M50" s="829"/>
      <c r="N50" s="829"/>
    </row>
    <row r="51" spans="1:14" s="300" customFormat="1" ht="16.5" x14ac:dyDescent="0.3">
      <c r="A51" s="301"/>
    </row>
    <row r="52" spans="1:14" s="300" customFormat="1" ht="16.5" x14ac:dyDescent="0.3">
      <c r="A52" s="301"/>
    </row>
    <row r="53" spans="1:14" s="300" customFormat="1" ht="16.5" x14ac:dyDescent="0.3">
      <c r="A53" s="301"/>
    </row>
    <row r="54" spans="1:14" s="300" customFormat="1" ht="16.5" x14ac:dyDescent="0.3">
      <c r="A54" s="301"/>
    </row>
    <row r="55" spans="1:14" s="300" customFormat="1" ht="16.5" x14ac:dyDescent="0.3">
      <c r="A55" s="301"/>
    </row>
    <row r="56" spans="1:14" s="300" customFormat="1" ht="16.5" x14ac:dyDescent="0.3">
      <c r="A56" s="301"/>
    </row>
    <row r="57" spans="1:14" s="300" customFormat="1" ht="16.5" x14ac:dyDescent="0.3">
      <c r="A57" s="301"/>
    </row>
    <row r="58" spans="1:14" s="300" customFormat="1" ht="16.5" x14ac:dyDescent="0.3">
      <c r="A58" s="301"/>
    </row>
    <row r="59" spans="1:14" s="300" customFormat="1" ht="16.5" x14ac:dyDescent="0.3">
      <c r="A59" s="301"/>
    </row>
  </sheetData>
  <mergeCells count="52">
    <mergeCell ref="C38:D38"/>
    <mergeCell ref="E38:F38"/>
    <mergeCell ref="E39:F39"/>
    <mergeCell ref="E40:F40"/>
    <mergeCell ref="E41:F41"/>
    <mergeCell ref="K23:L23"/>
    <mergeCell ref="A27:F27"/>
    <mergeCell ref="K27:L27"/>
    <mergeCell ref="A28:G28"/>
    <mergeCell ref="A26:D26"/>
    <mergeCell ref="K26:L26"/>
    <mergeCell ref="A1:XFD7"/>
    <mergeCell ref="A8:N8"/>
    <mergeCell ref="K9:L9"/>
    <mergeCell ref="C10:C25"/>
    <mergeCell ref="K10:L10"/>
    <mergeCell ref="K11:L11"/>
    <mergeCell ref="K25:L25"/>
    <mergeCell ref="O10:R11"/>
    <mergeCell ref="K24:L24"/>
    <mergeCell ref="K15:L15"/>
    <mergeCell ref="K16:L16"/>
    <mergeCell ref="K18:L18"/>
    <mergeCell ref="K19:L19"/>
    <mergeCell ref="K20:L20"/>
    <mergeCell ref="K21:L21"/>
    <mergeCell ref="K22:L22"/>
    <mergeCell ref="M29:N29"/>
    <mergeCell ref="A30:F30"/>
    <mergeCell ref="C31:D31"/>
    <mergeCell ref="E31:F31"/>
    <mergeCell ref="C32:D32"/>
    <mergeCell ref="E32:F32"/>
    <mergeCell ref="C29:D29"/>
    <mergeCell ref="E29:F29"/>
    <mergeCell ref="K29:L29"/>
    <mergeCell ref="A43:D43"/>
    <mergeCell ref="E43:F43"/>
    <mergeCell ref="E44:F44"/>
    <mergeCell ref="K50:N50"/>
    <mergeCell ref="C33:D33"/>
    <mergeCell ref="E33:F33"/>
    <mergeCell ref="C34:D34"/>
    <mergeCell ref="E34:F34"/>
    <mergeCell ref="C42:D42"/>
    <mergeCell ref="E42:F42"/>
    <mergeCell ref="E35:F35"/>
    <mergeCell ref="E36:F36"/>
    <mergeCell ref="E37:F37"/>
    <mergeCell ref="C35:D35"/>
    <mergeCell ref="C36:D36"/>
    <mergeCell ref="C37:D37"/>
  </mergeCells>
  <hyperlinks>
    <hyperlink ref="M29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2"/>
  <sheetViews>
    <sheetView zoomScaleNormal="100" workbookViewId="0">
      <pane ySplit="9" topLeftCell="A16" activePane="bottomLeft" state="frozen"/>
      <selection pane="bottomLeft" activeCell="E23" sqref="E23:F23"/>
    </sheetView>
  </sheetViews>
  <sheetFormatPr defaultRowHeight="13.5" x14ac:dyDescent="0.25"/>
  <cols>
    <col min="1" max="1" width="15" style="299" customWidth="1"/>
    <col min="2" max="2" width="22.85546875" style="298" customWidth="1"/>
    <col min="3" max="3" width="5.5703125" style="298" customWidth="1"/>
    <col min="4" max="4" width="26.28515625" style="298" customWidth="1"/>
    <col min="5" max="5" width="8.42578125" style="298" customWidth="1"/>
    <col min="6" max="6" width="10.85546875" style="298" customWidth="1"/>
    <col min="7" max="7" width="16.42578125" style="298" customWidth="1"/>
    <col min="8" max="8" width="4.5703125" style="298" customWidth="1"/>
    <col min="9" max="9" width="3.85546875" style="298" customWidth="1"/>
    <col min="10" max="10" width="5" style="298" customWidth="1"/>
    <col min="11" max="11" width="8" style="298" customWidth="1"/>
    <col min="12" max="12" width="7.5703125" style="298" customWidth="1"/>
    <col min="13" max="13" width="11.7109375" style="298" bestFit="1" customWidth="1"/>
    <col min="14" max="14" width="10.28515625" style="298" bestFit="1" customWidth="1"/>
    <col min="15" max="256" width="9.140625" style="298"/>
    <col min="257" max="257" width="4.85546875" style="298" customWidth="1"/>
    <col min="258" max="258" width="19.140625" style="298" customWidth="1"/>
    <col min="259" max="259" width="5.5703125" style="298" customWidth="1"/>
    <col min="260" max="260" width="23.85546875" style="298" customWidth="1"/>
    <col min="261" max="261" width="8.42578125" style="298" customWidth="1"/>
    <col min="262" max="262" width="8.28515625" style="298" customWidth="1"/>
    <col min="263" max="263" width="16.42578125" style="298" customWidth="1"/>
    <col min="264" max="264" width="3.7109375" style="298" customWidth="1"/>
    <col min="265" max="265" width="3.85546875" style="298" customWidth="1"/>
    <col min="266" max="266" width="5" style="298" customWidth="1"/>
    <col min="267" max="267" width="8" style="298" customWidth="1"/>
    <col min="268" max="268" width="7.5703125" style="298" customWidth="1"/>
    <col min="269" max="270" width="10.28515625" style="298" bestFit="1" customWidth="1"/>
    <col min="271" max="512" width="9.140625" style="298"/>
    <col min="513" max="513" width="4.85546875" style="298" customWidth="1"/>
    <col min="514" max="514" width="19.140625" style="298" customWidth="1"/>
    <col min="515" max="515" width="5.5703125" style="298" customWidth="1"/>
    <col min="516" max="516" width="23.85546875" style="298" customWidth="1"/>
    <col min="517" max="517" width="8.42578125" style="298" customWidth="1"/>
    <col min="518" max="518" width="8.28515625" style="298" customWidth="1"/>
    <col min="519" max="519" width="16.42578125" style="298" customWidth="1"/>
    <col min="520" max="520" width="3.7109375" style="298" customWidth="1"/>
    <col min="521" max="521" width="3.85546875" style="298" customWidth="1"/>
    <col min="522" max="522" width="5" style="298" customWidth="1"/>
    <col min="523" max="523" width="8" style="298" customWidth="1"/>
    <col min="524" max="524" width="7.5703125" style="298" customWidth="1"/>
    <col min="525" max="526" width="10.28515625" style="298" bestFit="1" customWidth="1"/>
    <col min="527" max="768" width="9.140625" style="298"/>
    <col min="769" max="769" width="4.85546875" style="298" customWidth="1"/>
    <col min="770" max="770" width="19.140625" style="298" customWidth="1"/>
    <col min="771" max="771" width="5.5703125" style="298" customWidth="1"/>
    <col min="772" max="772" width="23.85546875" style="298" customWidth="1"/>
    <col min="773" max="773" width="8.42578125" style="298" customWidth="1"/>
    <col min="774" max="774" width="8.28515625" style="298" customWidth="1"/>
    <col min="775" max="775" width="16.42578125" style="298" customWidth="1"/>
    <col min="776" max="776" width="3.7109375" style="298" customWidth="1"/>
    <col min="777" max="777" width="3.85546875" style="298" customWidth="1"/>
    <col min="778" max="778" width="5" style="298" customWidth="1"/>
    <col min="779" max="779" width="8" style="298" customWidth="1"/>
    <col min="780" max="780" width="7.5703125" style="298" customWidth="1"/>
    <col min="781" max="782" width="10.28515625" style="298" bestFit="1" customWidth="1"/>
    <col min="783" max="1024" width="9.140625" style="298"/>
    <col min="1025" max="1025" width="4.85546875" style="298" customWidth="1"/>
    <col min="1026" max="1026" width="19.140625" style="298" customWidth="1"/>
    <col min="1027" max="1027" width="5.5703125" style="298" customWidth="1"/>
    <col min="1028" max="1028" width="23.85546875" style="298" customWidth="1"/>
    <col min="1029" max="1029" width="8.42578125" style="298" customWidth="1"/>
    <col min="1030" max="1030" width="8.28515625" style="298" customWidth="1"/>
    <col min="1031" max="1031" width="16.42578125" style="298" customWidth="1"/>
    <col min="1032" max="1032" width="3.7109375" style="298" customWidth="1"/>
    <col min="1033" max="1033" width="3.85546875" style="298" customWidth="1"/>
    <col min="1034" max="1034" width="5" style="298" customWidth="1"/>
    <col min="1035" max="1035" width="8" style="298" customWidth="1"/>
    <col min="1036" max="1036" width="7.5703125" style="298" customWidth="1"/>
    <col min="1037" max="1038" width="10.28515625" style="298" bestFit="1" customWidth="1"/>
    <col min="1039" max="1280" width="9.140625" style="298"/>
    <col min="1281" max="1281" width="4.85546875" style="298" customWidth="1"/>
    <col min="1282" max="1282" width="19.140625" style="298" customWidth="1"/>
    <col min="1283" max="1283" width="5.5703125" style="298" customWidth="1"/>
    <col min="1284" max="1284" width="23.85546875" style="298" customWidth="1"/>
    <col min="1285" max="1285" width="8.42578125" style="298" customWidth="1"/>
    <col min="1286" max="1286" width="8.28515625" style="298" customWidth="1"/>
    <col min="1287" max="1287" width="16.42578125" style="298" customWidth="1"/>
    <col min="1288" max="1288" width="3.7109375" style="298" customWidth="1"/>
    <col min="1289" max="1289" width="3.85546875" style="298" customWidth="1"/>
    <col min="1290" max="1290" width="5" style="298" customWidth="1"/>
    <col min="1291" max="1291" width="8" style="298" customWidth="1"/>
    <col min="1292" max="1292" width="7.5703125" style="298" customWidth="1"/>
    <col min="1293" max="1294" width="10.28515625" style="298" bestFit="1" customWidth="1"/>
    <col min="1295" max="1536" width="9.140625" style="298"/>
    <col min="1537" max="1537" width="4.85546875" style="298" customWidth="1"/>
    <col min="1538" max="1538" width="19.140625" style="298" customWidth="1"/>
    <col min="1539" max="1539" width="5.5703125" style="298" customWidth="1"/>
    <col min="1540" max="1540" width="23.85546875" style="298" customWidth="1"/>
    <col min="1541" max="1541" width="8.42578125" style="298" customWidth="1"/>
    <col min="1542" max="1542" width="8.28515625" style="298" customWidth="1"/>
    <col min="1543" max="1543" width="16.42578125" style="298" customWidth="1"/>
    <col min="1544" max="1544" width="3.7109375" style="298" customWidth="1"/>
    <col min="1545" max="1545" width="3.85546875" style="298" customWidth="1"/>
    <col min="1546" max="1546" width="5" style="298" customWidth="1"/>
    <col min="1547" max="1547" width="8" style="298" customWidth="1"/>
    <col min="1548" max="1548" width="7.5703125" style="298" customWidth="1"/>
    <col min="1549" max="1550" width="10.28515625" style="298" bestFit="1" customWidth="1"/>
    <col min="1551" max="1792" width="9.140625" style="298"/>
    <col min="1793" max="1793" width="4.85546875" style="298" customWidth="1"/>
    <col min="1794" max="1794" width="19.140625" style="298" customWidth="1"/>
    <col min="1795" max="1795" width="5.5703125" style="298" customWidth="1"/>
    <col min="1796" max="1796" width="23.85546875" style="298" customWidth="1"/>
    <col min="1797" max="1797" width="8.42578125" style="298" customWidth="1"/>
    <col min="1798" max="1798" width="8.28515625" style="298" customWidth="1"/>
    <col min="1799" max="1799" width="16.42578125" style="298" customWidth="1"/>
    <col min="1800" max="1800" width="3.7109375" style="298" customWidth="1"/>
    <col min="1801" max="1801" width="3.85546875" style="298" customWidth="1"/>
    <col min="1802" max="1802" width="5" style="298" customWidth="1"/>
    <col min="1803" max="1803" width="8" style="298" customWidth="1"/>
    <col min="1804" max="1804" width="7.5703125" style="298" customWidth="1"/>
    <col min="1805" max="1806" width="10.28515625" style="298" bestFit="1" customWidth="1"/>
    <col min="1807" max="2048" width="9.140625" style="298"/>
    <col min="2049" max="2049" width="4.85546875" style="298" customWidth="1"/>
    <col min="2050" max="2050" width="19.140625" style="298" customWidth="1"/>
    <col min="2051" max="2051" width="5.5703125" style="298" customWidth="1"/>
    <col min="2052" max="2052" width="23.85546875" style="298" customWidth="1"/>
    <col min="2053" max="2053" width="8.42578125" style="298" customWidth="1"/>
    <col min="2054" max="2054" width="8.28515625" style="298" customWidth="1"/>
    <col min="2055" max="2055" width="16.42578125" style="298" customWidth="1"/>
    <col min="2056" max="2056" width="3.7109375" style="298" customWidth="1"/>
    <col min="2057" max="2057" width="3.85546875" style="298" customWidth="1"/>
    <col min="2058" max="2058" width="5" style="298" customWidth="1"/>
    <col min="2059" max="2059" width="8" style="298" customWidth="1"/>
    <col min="2060" max="2060" width="7.5703125" style="298" customWidth="1"/>
    <col min="2061" max="2062" width="10.28515625" style="298" bestFit="1" customWidth="1"/>
    <col min="2063" max="2304" width="9.140625" style="298"/>
    <col min="2305" max="2305" width="4.85546875" style="298" customWidth="1"/>
    <col min="2306" max="2306" width="19.140625" style="298" customWidth="1"/>
    <col min="2307" max="2307" width="5.5703125" style="298" customWidth="1"/>
    <col min="2308" max="2308" width="23.85546875" style="298" customWidth="1"/>
    <col min="2309" max="2309" width="8.42578125" style="298" customWidth="1"/>
    <col min="2310" max="2310" width="8.28515625" style="298" customWidth="1"/>
    <col min="2311" max="2311" width="16.42578125" style="298" customWidth="1"/>
    <col min="2312" max="2312" width="3.7109375" style="298" customWidth="1"/>
    <col min="2313" max="2313" width="3.85546875" style="298" customWidth="1"/>
    <col min="2314" max="2314" width="5" style="298" customWidth="1"/>
    <col min="2315" max="2315" width="8" style="298" customWidth="1"/>
    <col min="2316" max="2316" width="7.5703125" style="298" customWidth="1"/>
    <col min="2317" max="2318" width="10.28515625" style="298" bestFit="1" customWidth="1"/>
    <col min="2319" max="2560" width="9.140625" style="298"/>
    <col min="2561" max="2561" width="4.85546875" style="298" customWidth="1"/>
    <col min="2562" max="2562" width="19.140625" style="298" customWidth="1"/>
    <col min="2563" max="2563" width="5.5703125" style="298" customWidth="1"/>
    <col min="2564" max="2564" width="23.85546875" style="298" customWidth="1"/>
    <col min="2565" max="2565" width="8.42578125" style="298" customWidth="1"/>
    <col min="2566" max="2566" width="8.28515625" style="298" customWidth="1"/>
    <col min="2567" max="2567" width="16.42578125" style="298" customWidth="1"/>
    <col min="2568" max="2568" width="3.7109375" style="298" customWidth="1"/>
    <col min="2569" max="2569" width="3.85546875" style="298" customWidth="1"/>
    <col min="2570" max="2570" width="5" style="298" customWidth="1"/>
    <col min="2571" max="2571" width="8" style="298" customWidth="1"/>
    <col min="2572" max="2572" width="7.5703125" style="298" customWidth="1"/>
    <col min="2573" max="2574" width="10.28515625" style="298" bestFit="1" customWidth="1"/>
    <col min="2575" max="2816" width="9.140625" style="298"/>
    <col min="2817" max="2817" width="4.85546875" style="298" customWidth="1"/>
    <col min="2818" max="2818" width="19.140625" style="298" customWidth="1"/>
    <col min="2819" max="2819" width="5.5703125" style="298" customWidth="1"/>
    <col min="2820" max="2820" width="23.85546875" style="298" customWidth="1"/>
    <col min="2821" max="2821" width="8.42578125" style="298" customWidth="1"/>
    <col min="2822" max="2822" width="8.28515625" style="298" customWidth="1"/>
    <col min="2823" max="2823" width="16.42578125" style="298" customWidth="1"/>
    <col min="2824" max="2824" width="3.7109375" style="298" customWidth="1"/>
    <col min="2825" max="2825" width="3.85546875" style="298" customWidth="1"/>
    <col min="2826" max="2826" width="5" style="298" customWidth="1"/>
    <col min="2827" max="2827" width="8" style="298" customWidth="1"/>
    <col min="2828" max="2828" width="7.5703125" style="298" customWidth="1"/>
    <col min="2829" max="2830" width="10.28515625" style="298" bestFit="1" customWidth="1"/>
    <col min="2831" max="3072" width="9.140625" style="298"/>
    <col min="3073" max="3073" width="4.85546875" style="298" customWidth="1"/>
    <col min="3074" max="3074" width="19.140625" style="298" customWidth="1"/>
    <col min="3075" max="3075" width="5.5703125" style="298" customWidth="1"/>
    <col min="3076" max="3076" width="23.85546875" style="298" customWidth="1"/>
    <col min="3077" max="3077" width="8.42578125" style="298" customWidth="1"/>
    <col min="3078" max="3078" width="8.28515625" style="298" customWidth="1"/>
    <col min="3079" max="3079" width="16.42578125" style="298" customWidth="1"/>
    <col min="3080" max="3080" width="3.7109375" style="298" customWidth="1"/>
    <col min="3081" max="3081" width="3.85546875" style="298" customWidth="1"/>
    <col min="3082" max="3082" width="5" style="298" customWidth="1"/>
    <col min="3083" max="3083" width="8" style="298" customWidth="1"/>
    <col min="3084" max="3084" width="7.5703125" style="298" customWidth="1"/>
    <col min="3085" max="3086" width="10.28515625" style="298" bestFit="1" customWidth="1"/>
    <col min="3087" max="3328" width="9.140625" style="298"/>
    <col min="3329" max="3329" width="4.85546875" style="298" customWidth="1"/>
    <col min="3330" max="3330" width="19.140625" style="298" customWidth="1"/>
    <col min="3331" max="3331" width="5.5703125" style="298" customWidth="1"/>
    <col min="3332" max="3332" width="23.85546875" style="298" customWidth="1"/>
    <col min="3333" max="3333" width="8.42578125" style="298" customWidth="1"/>
    <col min="3334" max="3334" width="8.28515625" style="298" customWidth="1"/>
    <col min="3335" max="3335" width="16.42578125" style="298" customWidth="1"/>
    <col min="3336" max="3336" width="3.7109375" style="298" customWidth="1"/>
    <col min="3337" max="3337" width="3.85546875" style="298" customWidth="1"/>
    <col min="3338" max="3338" width="5" style="298" customWidth="1"/>
    <col min="3339" max="3339" width="8" style="298" customWidth="1"/>
    <col min="3340" max="3340" width="7.5703125" style="298" customWidth="1"/>
    <col min="3341" max="3342" width="10.28515625" style="298" bestFit="1" customWidth="1"/>
    <col min="3343" max="3584" width="9.140625" style="298"/>
    <col min="3585" max="3585" width="4.85546875" style="298" customWidth="1"/>
    <col min="3586" max="3586" width="19.140625" style="298" customWidth="1"/>
    <col min="3587" max="3587" width="5.5703125" style="298" customWidth="1"/>
    <col min="3588" max="3588" width="23.85546875" style="298" customWidth="1"/>
    <col min="3589" max="3589" width="8.42578125" style="298" customWidth="1"/>
    <col min="3590" max="3590" width="8.28515625" style="298" customWidth="1"/>
    <col min="3591" max="3591" width="16.42578125" style="298" customWidth="1"/>
    <col min="3592" max="3592" width="3.7109375" style="298" customWidth="1"/>
    <col min="3593" max="3593" width="3.85546875" style="298" customWidth="1"/>
    <col min="3594" max="3594" width="5" style="298" customWidth="1"/>
    <col min="3595" max="3595" width="8" style="298" customWidth="1"/>
    <col min="3596" max="3596" width="7.5703125" style="298" customWidth="1"/>
    <col min="3597" max="3598" width="10.28515625" style="298" bestFit="1" customWidth="1"/>
    <col min="3599" max="3840" width="9.140625" style="298"/>
    <col min="3841" max="3841" width="4.85546875" style="298" customWidth="1"/>
    <col min="3842" max="3842" width="19.140625" style="298" customWidth="1"/>
    <col min="3843" max="3843" width="5.5703125" style="298" customWidth="1"/>
    <col min="3844" max="3844" width="23.85546875" style="298" customWidth="1"/>
    <col min="3845" max="3845" width="8.42578125" style="298" customWidth="1"/>
    <col min="3846" max="3846" width="8.28515625" style="298" customWidth="1"/>
    <col min="3847" max="3847" width="16.42578125" style="298" customWidth="1"/>
    <col min="3848" max="3848" width="3.7109375" style="298" customWidth="1"/>
    <col min="3849" max="3849" width="3.85546875" style="298" customWidth="1"/>
    <col min="3850" max="3850" width="5" style="298" customWidth="1"/>
    <col min="3851" max="3851" width="8" style="298" customWidth="1"/>
    <col min="3852" max="3852" width="7.5703125" style="298" customWidth="1"/>
    <col min="3853" max="3854" width="10.28515625" style="298" bestFit="1" customWidth="1"/>
    <col min="3855" max="4096" width="9.140625" style="298"/>
    <col min="4097" max="4097" width="4.85546875" style="298" customWidth="1"/>
    <col min="4098" max="4098" width="19.140625" style="298" customWidth="1"/>
    <col min="4099" max="4099" width="5.5703125" style="298" customWidth="1"/>
    <col min="4100" max="4100" width="23.85546875" style="298" customWidth="1"/>
    <col min="4101" max="4101" width="8.42578125" style="298" customWidth="1"/>
    <col min="4102" max="4102" width="8.28515625" style="298" customWidth="1"/>
    <col min="4103" max="4103" width="16.42578125" style="298" customWidth="1"/>
    <col min="4104" max="4104" width="3.7109375" style="298" customWidth="1"/>
    <col min="4105" max="4105" width="3.85546875" style="298" customWidth="1"/>
    <col min="4106" max="4106" width="5" style="298" customWidth="1"/>
    <col min="4107" max="4107" width="8" style="298" customWidth="1"/>
    <col min="4108" max="4108" width="7.5703125" style="298" customWidth="1"/>
    <col min="4109" max="4110" width="10.28515625" style="298" bestFit="1" customWidth="1"/>
    <col min="4111" max="4352" width="9.140625" style="298"/>
    <col min="4353" max="4353" width="4.85546875" style="298" customWidth="1"/>
    <col min="4354" max="4354" width="19.140625" style="298" customWidth="1"/>
    <col min="4355" max="4355" width="5.5703125" style="298" customWidth="1"/>
    <col min="4356" max="4356" width="23.85546875" style="298" customWidth="1"/>
    <col min="4357" max="4357" width="8.42578125" style="298" customWidth="1"/>
    <col min="4358" max="4358" width="8.28515625" style="298" customWidth="1"/>
    <col min="4359" max="4359" width="16.42578125" style="298" customWidth="1"/>
    <col min="4360" max="4360" width="3.7109375" style="298" customWidth="1"/>
    <col min="4361" max="4361" width="3.85546875" style="298" customWidth="1"/>
    <col min="4362" max="4362" width="5" style="298" customWidth="1"/>
    <col min="4363" max="4363" width="8" style="298" customWidth="1"/>
    <col min="4364" max="4364" width="7.5703125" style="298" customWidth="1"/>
    <col min="4365" max="4366" width="10.28515625" style="298" bestFit="1" customWidth="1"/>
    <col min="4367" max="4608" width="9.140625" style="298"/>
    <col min="4609" max="4609" width="4.85546875" style="298" customWidth="1"/>
    <col min="4610" max="4610" width="19.140625" style="298" customWidth="1"/>
    <col min="4611" max="4611" width="5.5703125" style="298" customWidth="1"/>
    <col min="4612" max="4612" width="23.85546875" style="298" customWidth="1"/>
    <col min="4613" max="4613" width="8.42578125" style="298" customWidth="1"/>
    <col min="4614" max="4614" width="8.28515625" style="298" customWidth="1"/>
    <col min="4615" max="4615" width="16.42578125" style="298" customWidth="1"/>
    <col min="4616" max="4616" width="3.7109375" style="298" customWidth="1"/>
    <col min="4617" max="4617" width="3.85546875" style="298" customWidth="1"/>
    <col min="4618" max="4618" width="5" style="298" customWidth="1"/>
    <col min="4619" max="4619" width="8" style="298" customWidth="1"/>
    <col min="4620" max="4620" width="7.5703125" style="298" customWidth="1"/>
    <col min="4621" max="4622" width="10.28515625" style="298" bestFit="1" customWidth="1"/>
    <col min="4623" max="4864" width="9.140625" style="298"/>
    <col min="4865" max="4865" width="4.85546875" style="298" customWidth="1"/>
    <col min="4866" max="4866" width="19.140625" style="298" customWidth="1"/>
    <col min="4867" max="4867" width="5.5703125" style="298" customWidth="1"/>
    <col min="4868" max="4868" width="23.85546875" style="298" customWidth="1"/>
    <col min="4869" max="4869" width="8.42578125" style="298" customWidth="1"/>
    <col min="4870" max="4870" width="8.28515625" style="298" customWidth="1"/>
    <col min="4871" max="4871" width="16.42578125" style="298" customWidth="1"/>
    <col min="4872" max="4872" width="3.7109375" style="298" customWidth="1"/>
    <col min="4873" max="4873" width="3.85546875" style="298" customWidth="1"/>
    <col min="4874" max="4874" width="5" style="298" customWidth="1"/>
    <col min="4875" max="4875" width="8" style="298" customWidth="1"/>
    <col min="4876" max="4876" width="7.5703125" style="298" customWidth="1"/>
    <col min="4877" max="4878" width="10.28515625" style="298" bestFit="1" customWidth="1"/>
    <col min="4879" max="5120" width="9.140625" style="298"/>
    <col min="5121" max="5121" width="4.85546875" style="298" customWidth="1"/>
    <col min="5122" max="5122" width="19.140625" style="298" customWidth="1"/>
    <col min="5123" max="5123" width="5.5703125" style="298" customWidth="1"/>
    <col min="5124" max="5124" width="23.85546875" style="298" customWidth="1"/>
    <col min="5125" max="5125" width="8.42578125" style="298" customWidth="1"/>
    <col min="5126" max="5126" width="8.28515625" style="298" customWidth="1"/>
    <col min="5127" max="5127" width="16.42578125" style="298" customWidth="1"/>
    <col min="5128" max="5128" width="3.7109375" style="298" customWidth="1"/>
    <col min="5129" max="5129" width="3.85546875" style="298" customWidth="1"/>
    <col min="5130" max="5130" width="5" style="298" customWidth="1"/>
    <col min="5131" max="5131" width="8" style="298" customWidth="1"/>
    <col min="5132" max="5132" width="7.5703125" style="298" customWidth="1"/>
    <col min="5133" max="5134" width="10.28515625" style="298" bestFit="1" customWidth="1"/>
    <col min="5135" max="5376" width="9.140625" style="298"/>
    <col min="5377" max="5377" width="4.85546875" style="298" customWidth="1"/>
    <col min="5378" max="5378" width="19.140625" style="298" customWidth="1"/>
    <col min="5379" max="5379" width="5.5703125" style="298" customWidth="1"/>
    <col min="5380" max="5380" width="23.85546875" style="298" customWidth="1"/>
    <col min="5381" max="5381" width="8.42578125" style="298" customWidth="1"/>
    <col min="5382" max="5382" width="8.28515625" style="298" customWidth="1"/>
    <col min="5383" max="5383" width="16.42578125" style="298" customWidth="1"/>
    <col min="5384" max="5384" width="3.7109375" style="298" customWidth="1"/>
    <col min="5385" max="5385" width="3.85546875" style="298" customWidth="1"/>
    <col min="5386" max="5386" width="5" style="298" customWidth="1"/>
    <col min="5387" max="5387" width="8" style="298" customWidth="1"/>
    <col min="5388" max="5388" width="7.5703125" style="298" customWidth="1"/>
    <col min="5389" max="5390" width="10.28515625" style="298" bestFit="1" customWidth="1"/>
    <col min="5391" max="5632" width="9.140625" style="298"/>
    <col min="5633" max="5633" width="4.85546875" style="298" customWidth="1"/>
    <col min="5634" max="5634" width="19.140625" style="298" customWidth="1"/>
    <col min="5635" max="5635" width="5.5703125" style="298" customWidth="1"/>
    <col min="5636" max="5636" width="23.85546875" style="298" customWidth="1"/>
    <col min="5637" max="5637" width="8.42578125" style="298" customWidth="1"/>
    <col min="5638" max="5638" width="8.28515625" style="298" customWidth="1"/>
    <col min="5639" max="5639" width="16.42578125" style="298" customWidth="1"/>
    <col min="5640" max="5640" width="3.7109375" style="298" customWidth="1"/>
    <col min="5641" max="5641" width="3.85546875" style="298" customWidth="1"/>
    <col min="5642" max="5642" width="5" style="298" customWidth="1"/>
    <col min="5643" max="5643" width="8" style="298" customWidth="1"/>
    <col min="5644" max="5644" width="7.5703125" style="298" customWidth="1"/>
    <col min="5645" max="5646" width="10.28515625" style="298" bestFit="1" customWidth="1"/>
    <col min="5647" max="5888" width="9.140625" style="298"/>
    <col min="5889" max="5889" width="4.85546875" style="298" customWidth="1"/>
    <col min="5890" max="5890" width="19.140625" style="298" customWidth="1"/>
    <col min="5891" max="5891" width="5.5703125" style="298" customWidth="1"/>
    <col min="5892" max="5892" width="23.85546875" style="298" customWidth="1"/>
    <col min="5893" max="5893" width="8.42578125" style="298" customWidth="1"/>
    <col min="5894" max="5894" width="8.28515625" style="298" customWidth="1"/>
    <col min="5895" max="5895" width="16.42578125" style="298" customWidth="1"/>
    <col min="5896" max="5896" width="3.7109375" style="298" customWidth="1"/>
    <col min="5897" max="5897" width="3.85546875" style="298" customWidth="1"/>
    <col min="5898" max="5898" width="5" style="298" customWidth="1"/>
    <col min="5899" max="5899" width="8" style="298" customWidth="1"/>
    <col min="5900" max="5900" width="7.5703125" style="298" customWidth="1"/>
    <col min="5901" max="5902" width="10.28515625" style="298" bestFit="1" customWidth="1"/>
    <col min="5903" max="6144" width="9.140625" style="298"/>
    <col min="6145" max="6145" width="4.85546875" style="298" customWidth="1"/>
    <col min="6146" max="6146" width="19.140625" style="298" customWidth="1"/>
    <col min="6147" max="6147" width="5.5703125" style="298" customWidth="1"/>
    <col min="6148" max="6148" width="23.85546875" style="298" customWidth="1"/>
    <col min="6149" max="6149" width="8.42578125" style="298" customWidth="1"/>
    <col min="6150" max="6150" width="8.28515625" style="298" customWidth="1"/>
    <col min="6151" max="6151" width="16.42578125" style="298" customWidth="1"/>
    <col min="6152" max="6152" width="3.7109375" style="298" customWidth="1"/>
    <col min="6153" max="6153" width="3.85546875" style="298" customWidth="1"/>
    <col min="6154" max="6154" width="5" style="298" customWidth="1"/>
    <col min="6155" max="6155" width="8" style="298" customWidth="1"/>
    <col min="6156" max="6156" width="7.5703125" style="298" customWidth="1"/>
    <col min="6157" max="6158" width="10.28515625" style="298" bestFit="1" customWidth="1"/>
    <col min="6159" max="6400" width="9.140625" style="298"/>
    <col min="6401" max="6401" width="4.85546875" style="298" customWidth="1"/>
    <col min="6402" max="6402" width="19.140625" style="298" customWidth="1"/>
    <col min="6403" max="6403" width="5.5703125" style="298" customWidth="1"/>
    <col min="6404" max="6404" width="23.85546875" style="298" customWidth="1"/>
    <col min="6405" max="6405" width="8.42578125" style="298" customWidth="1"/>
    <col min="6406" max="6406" width="8.28515625" style="298" customWidth="1"/>
    <col min="6407" max="6407" width="16.42578125" style="298" customWidth="1"/>
    <col min="6408" max="6408" width="3.7109375" style="298" customWidth="1"/>
    <col min="6409" max="6409" width="3.85546875" style="298" customWidth="1"/>
    <col min="6410" max="6410" width="5" style="298" customWidth="1"/>
    <col min="6411" max="6411" width="8" style="298" customWidth="1"/>
    <col min="6412" max="6412" width="7.5703125" style="298" customWidth="1"/>
    <col min="6413" max="6414" width="10.28515625" style="298" bestFit="1" customWidth="1"/>
    <col min="6415" max="6656" width="9.140625" style="298"/>
    <col min="6657" max="6657" width="4.85546875" style="298" customWidth="1"/>
    <col min="6658" max="6658" width="19.140625" style="298" customWidth="1"/>
    <col min="6659" max="6659" width="5.5703125" style="298" customWidth="1"/>
    <col min="6660" max="6660" width="23.85546875" style="298" customWidth="1"/>
    <col min="6661" max="6661" width="8.42578125" style="298" customWidth="1"/>
    <col min="6662" max="6662" width="8.28515625" style="298" customWidth="1"/>
    <col min="6663" max="6663" width="16.42578125" style="298" customWidth="1"/>
    <col min="6664" max="6664" width="3.7109375" style="298" customWidth="1"/>
    <col min="6665" max="6665" width="3.85546875" style="298" customWidth="1"/>
    <col min="6666" max="6666" width="5" style="298" customWidth="1"/>
    <col min="6667" max="6667" width="8" style="298" customWidth="1"/>
    <col min="6668" max="6668" width="7.5703125" style="298" customWidth="1"/>
    <col min="6669" max="6670" width="10.28515625" style="298" bestFit="1" customWidth="1"/>
    <col min="6671" max="6912" width="9.140625" style="298"/>
    <col min="6913" max="6913" width="4.85546875" style="298" customWidth="1"/>
    <col min="6914" max="6914" width="19.140625" style="298" customWidth="1"/>
    <col min="6915" max="6915" width="5.5703125" style="298" customWidth="1"/>
    <col min="6916" max="6916" width="23.85546875" style="298" customWidth="1"/>
    <col min="6917" max="6917" width="8.42578125" style="298" customWidth="1"/>
    <col min="6918" max="6918" width="8.28515625" style="298" customWidth="1"/>
    <col min="6919" max="6919" width="16.42578125" style="298" customWidth="1"/>
    <col min="6920" max="6920" width="3.7109375" style="298" customWidth="1"/>
    <col min="6921" max="6921" width="3.85546875" style="298" customWidth="1"/>
    <col min="6922" max="6922" width="5" style="298" customWidth="1"/>
    <col min="6923" max="6923" width="8" style="298" customWidth="1"/>
    <col min="6924" max="6924" width="7.5703125" style="298" customWidth="1"/>
    <col min="6925" max="6926" width="10.28515625" style="298" bestFit="1" customWidth="1"/>
    <col min="6927" max="7168" width="9.140625" style="298"/>
    <col min="7169" max="7169" width="4.85546875" style="298" customWidth="1"/>
    <col min="7170" max="7170" width="19.140625" style="298" customWidth="1"/>
    <col min="7171" max="7171" width="5.5703125" style="298" customWidth="1"/>
    <col min="7172" max="7172" width="23.85546875" style="298" customWidth="1"/>
    <col min="7173" max="7173" width="8.42578125" style="298" customWidth="1"/>
    <col min="7174" max="7174" width="8.28515625" style="298" customWidth="1"/>
    <col min="7175" max="7175" width="16.42578125" style="298" customWidth="1"/>
    <col min="7176" max="7176" width="3.7109375" style="298" customWidth="1"/>
    <col min="7177" max="7177" width="3.85546875" style="298" customWidth="1"/>
    <col min="7178" max="7178" width="5" style="298" customWidth="1"/>
    <col min="7179" max="7179" width="8" style="298" customWidth="1"/>
    <col min="7180" max="7180" width="7.5703125" style="298" customWidth="1"/>
    <col min="7181" max="7182" width="10.28515625" style="298" bestFit="1" customWidth="1"/>
    <col min="7183" max="7424" width="9.140625" style="298"/>
    <col min="7425" max="7425" width="4.85546875" style="298" customWidth="1"/>
    <col min="7426" max="7426" width="19.140625" style="298" customWidth="1"/>
    <col min="7427" max="7427" width="5.5703125" style="298" customWidth="1"/>
    <col min="7428" max="7428" width="23.85546875" style="298" customWidth="1"/>
    <col min="7429" max="7429" width="8.42578125" style="298" customWidth="1"/>
    <col min="7430" max="7430" width="8.28515625" style="298" customWidth="1"/>
    <col min="7431" max="7431" width="16.42578125" style="298" customWidth="1"/>
    <col min="7432" max="7432" width="3.7109375" style="298" customWidth="1"/>
    <col min="7433" max="7433" width="3.85546875" style="298" customWidth="1"/>
    <col min="7434" max="7434" width="5" style="298" customWidth="1"/>
    <col min="7435" max="7435" width="8" style="298" customWidth="1"/>
    <col min="7436" max="7436" width="7.5703125" style="298" customWidth="1"/>
    <col min="7437" max="7438" width="10.28515625" style="298" bestFit="1" customWidth="1"/>
    <col min="7439" max="7680" width="9.140625" style="298"/>
    <col min="7681" max="7681" width="4.85546875" style="298" customWidth="1"/>
    <col min="7682" max="7682" width="19.140625" style="298" customWidth="1"/>
    <col min="7683" max="7683" width="5.5703125" style="298" customWidth="1"/>
    <col min="7684" max="7684" width="23.85546875" style="298" customWidth="1"/>
    <col min="7685" max="7685" width="8.42578125" style="298" customWidth="1"/>
    <col min="7686" max="7686" width="8.28515625" style="298" customWidth="1"/>
    <col min="7687" max="7687" width="16.42578125" style="298" customWidth="1"/>
    <col min="7688" max="7688" width="3.7109375" style="298" customWidth="1"/>
    <col min="7689" max="7689" width="3.85546875" style="298" customWidth="1"/>
    <col min="7690" max="7690" width="5" style="298" customWidth="1"/>
    <col min="7691" max="7691" width="8" style="298" customWidth="1"/>
    <col min="7692" max="7692" width="7.5703125" style="298" customWidth="1"/>
    <col min="7693" max="7694" width="10.28515625" style="298" bestFit="1" customWidth="1"/>
    <col min="7695" max="7936" width="9.140625" style="298"/>
    <col min="7937" max="7937" width="4.85546875" style="298" customWidth="1"/>
    <col min="7938" max="7938" width="19.140625" style="298" customWidth="1"/>
    <col min="7939" max="7939" width="5.5703125" style="298" customWidth="1"/>
    <col min="7940" max="7940" width="23.85546875" style="298" customWidth="1"/>
    <col min="7941" max="7941" width="8.42578125" style="298" customWidth="1"/>
    <col min="7942" max="7942" width="8.28515625" style="298" customWidth="1"/>
    <col min="7943" max="7943" width="16.42578125" style="298" customWidth="1"/>
    <col min="7944" max="7944" width="3.7109375" style="298" customWidth="1"/>
    <col min="7945" max="7945" width="3.85546875" style="298" customWidth="1"/>
    <col min="7946" max="7946" width="5" style="298" customWidth="1"/>
    <col min="7947" max="7947" width="8" style="298" customWidth="1"/>
    <col min="7948" max="7948" width="7.5703125" style="298" customWidth="1"/>
    <col min="7949" max="7950" width="10.28515625" style="298" bestFit="1" customWidth="1"/>
    <col min="7951" max="8192" width="9.140625" style="298"/>
    <col min="8193" max="8193" width="4.85546875" style="298" customWidth="1"/>
    <col min="8194" max="8194" width="19.140625" style="298" customWidth="1"/>
    <col min="8195" max="8195" width="5.5703125" style="298" customWidth="1"/>
    <col min="8196" max="8196" width="23.85546875" style="298" customWidth="1"/>
    <col min="8197" max="8197" width="8.42578125" style="298" customWidth="1"/>
    <col min="8198" max="8198" width="8.28515625" style="298" customWidth="1"/>
    <col min="8199" max="8199" width="16.42578125" style="298" customWidth="1"/>
    <col min="8200" max="8200" width="3.7109375" style="298" customWidth="1"/>
    <col min="8201" max="8201" width="3.85546875" style="298" customWidth="1"/>
    <col min="8202" max="8202" width="5" style="298" customWidth="1"/>
    <col min="8203" max="8203" width="8" style="298" customWidth="1"/>
    <col min="8204" max="8204" width="7.5703125" style="298" customWidth="1"/>
    <col min="8205" max="8206" width="10.28515625" style="298" bestFit="1" customWidth="1"/>
    <col min="8207" max="8448" width="9.140625" style="298"/>
    <col min="8449" max="8449" width="4.85546875" style="298" customWidth="1"/>
    <col min="8450" max="8450" width="19.140625" style="298" customWidth="1"/>
    <col min="8451" max="8451" width="5.5703125" style="298" customWidth="1"/>
    <col min="8452" max="8452" width="23.85546875" style="298" customWidth="1"/>
    <col min="8453" max="8453" width="8.42578125" style="298" customWidth="1"/>
    <col min="8454" max="8454" width="8.28515625" style="298" customWidth="1"/>
    <col min="8455" max="8455" width="16.42578125" style="298" customWidth="1"/>
    <col min="8456" max="8456" width="3.7109375" style="298" customWidth="1"/>
    <col min="8457" max="8457" width="3.85546875" style="298" customWidth="1"/>
    <col min="8458" max="8458" width="5" style="298" customWidth="1"/>
    <col min="8459" max="8459" width="8" style="298" customWidth="1"/>
    <col min="8460" max="8460" width="7.5703125" style="298" customWidth="1"/>
    <col min="8461" max="8462" width="10.28515625" style="298" bestFit="1" customWidth="1"/>
    <col min="8463" max="8704" width="9.140625" style="298"/>
    <col min="8705" max="8705" width="4.85546875" style="298" customWidth="1"/>
    <col min="8706" max="8706" width="19.140625" style="298" customWidth="1"/>
    <col min="8707" max="8707" width="5.5703125" style="298" customWidth="1"/>
    <col min="8708" max="8708" width="23.85546875" style="298" customWidth="1"/>
    <col min="8709" max="8709" width="8.42578125" style="298" customWidth="1"/>
    <col min="8710" max="8710" width="8.28515625" style="298" customWidth="1"/>
    <col min="8711" max="8711" width="16.42578125" style="298" customWidth="1"/>
    <col min="8712" max="8712" width="3.7109375" style="298" customWidth="1"/>
    <col min="8713" max="8713" width="3.85546875" style="298" customWidth="1"/>
    <col min="8714" max="8714" width="5" style="298" customWidth="1"/>
    <col min="8715" max="8715" width="8" style="298" customWidth="1"/>
    <col min="8716" max="8716" width="7.5703125" style="298" customWidth="1"/>
    <col min="8717" max="8718" width="10.28515625" style="298" bestFit="1" customWidth="1"/>
    <col min="8719" max="8960" width="9.140625" style="298"/>
    <col min="8961" max="8961" width="4.85546875" style="298" customWidth="1"/>
    <col min="8962" max="8962" width="19.140625" style="298" customWidth="1"/>
    <col min="8963" max="8963" width="5.5703125" style="298" customWidth="1"/>
    <col min="8964" max="8964" width="23.85546875" style="298" customWidth="1"/>
    <col min="8965" max="8965" width="8.42578125" style="298" customWidth="1"/>
    <col min="8966" max="8966" width="8.28515625" style="298" customWidth="1"/>
    <col min="8967" max="8967" width="16.42578125" style="298" customWidth="1"/>
    <col min="8968" max="8968" width="3.7109375" style="298" customWidth="1"/>
    <col min="8969" max="8969" width="3.85546875" style="298" customWidth="1"/>
    <col min="8970" max="8970" width="5" style="298" customWidth="1"/>
    <col min="8971" max="8971" width="8" style="298" customWidth="1"/>
    <col min="8972" max="8972" width="7.5703125" style="298" customWidth="1"/>
    <col min="8973" max="8974" width="10.28515625" style="298" bestFit="1" customWidth="1"/>
    <col min="8975" max="9216" width="9.140625" style="298"/>
    <col min="9217" max="9217" width="4.85546875" style="298" customWidth="1"/>
    <col min="9218" max="9218" width="19.140625" style="298" customWidth="1"/>
    <col min="9219" max="9219" width="5.5703125" style="298" customWidth="1"/>
    <col min="9220" max="9220" width="23.85546875" style="298" customWidth="1"/>
    <col min="9221" max="9221" width="8.42578125" style="298" customWidth="1"/>
    <col min="9222" max="9222" width="8.28515625" style="298" customWidth="1"/>
    <col min="9223" max="9223" width="16.42578125" style="298" customWidth="1"/>
    <col min="9224" max="9224" width="3.7109375" style="298" customWidth="1"/>
    <col min="9225" max="9225" width="3.85546875" style="298" customWidth="1"/>
    <col min="9226" max="9226" width="5" style="298" customWidth="1"/>
    <col min="9227" max="9227" width="8" style="298" customWidth="1"/>
    <col min="9228" max="9228" width="7.5703125" style="298" customWidth="1"/>
    <col min="9229" max="9230" width="10.28515625" style="298" bestFit="1" customWidth="1"/>
    <col min="9231" max="9472" width="9.140625" style="298"/>
    <col min="9473" max="9473" width="4.85546875" style="298" customWidth="1"/>
    <col min="9474" max="9474" width="19.140625" style="298" customWidth="1"/>
    <col min="9475" max="9475" width="5.5703125" style="298" customWidth="1"/>
    <col min="9476" max="9476" width="23.85546875" style="298" customWidth="1"/>
    <col min="9477" max="9477" width="8.42578125" style="298" customWidth="1"/>
    <col min="9478" max="9478" width="8.28515625" style="298" customWidth="1"/>
    <col min="9479" max="9479" width="16.42578125" style="298" customWidth="1"/>
    <col min="9480" max="9480" width="3.7109375" style="298" customWidth="1"/>
    <col min="9481" max="9481" width="3.85546875" style="298" customWidth="1"/>
    <col min="9482" max="9482" width="5" style="298" customWidth="1"/>
    <col min="9483" max="9483" width="8" style="298" customWidth="1"/>
    <col min="9484" max="9484" width="7.5703125" style="298" customWidth="1"/>
    <col min="9485" max="9486" width="10.28515625" style="298" bestFit="1" customWidth="1"/>
    <col min="9487" max="9728" width="9.140625" style="298"/>
    <col min="9729" max="9729" width="4.85546875" style="298" customWidth="1"/>
    <col min="9730" max="9730" width="19.140625" style="298" customWidth="1"/>
    <col min="9731" max="9731" width="5.5703125" style="298" customWidth="1"/>
    <col min="9732" max="9732" width="23.85546875" style="298" customWidth="1"/>
    <col min="9733" max="9733" width="8.42578125" style="298" customWidth="1"/>
    <col min="9734" max="9734" width="8.28515625" style="298" customWidth="1"/>
    <col min="9735" max="9735" width="16.42578125" style="298" customWidth="1"/>
    <col min="9736" max="9736" width="3.7109375" style="298" customWidth="1"/>
    <col min="9737" max="9737" width="3.85546875" style="298" customWidth="1"/>
    <col min="9738" max="9738" width="5" style="298" customWidth="1"/>
    <col min="9739" max="9739" width="8" style="298" customWidth="1"/>
    <col min="9740" max="9740" width="7.5703125" style="298" customWidth="1"/>
    <col min="9741" max="9742" width="10.28515625" style="298" bestFit="1" customWidth="1"/>
    <col min="9743" max="9984" width="9.140625" style="298"/>
    <col min="9985" max="9985" width="4.85546875" style="298" customWidth="1"/>
    <col min="9986" max="9986" width="19.140625" style="298" customWidth="1"/>
    <col min="9987" max="9987" width="5.5703125" style="298" customWidth="1"/>
    <col min="9988" max="9988" width="23.85546875" style="298" customWidth="1"/>
    <col min="9989" max="9989" width="8.42578125" style="298" customWidth="1"/>
    <col min="9990" max="9990" width="8.28515625" style="298" customWidth="1"/>
    <col min="9991" max="9991" width="16.42578125" style="298" customWidth="1"/>
    <col min="9992" max="9992" width="3.7109375" style="298" customWidth="1"/>
    <col min="9993" max="9993" width="3.85546875" style="298" customWidth="1"/>
    <col min="9994" max="9994" width="5" style="298" customWidth="1"/>
    <col min="9995" max="9995" width="8" style="298" customWidth="1"/>
    <col min="9996" max="9996" width="7.5703125" style="298" customWidth="1"/>
    <col min="9997" max="9998" width="10.28515625" style="298" bestFit="1" customWidth="1"/>
    <col min="9999" max="10240" width="9.140625" style="298"/>
    <col min="10241" max="10241" width="4.85546875" style="298" customWidth="1"/>
    <col min="10242" max="10242" width="19.140625" style="298" customWidth="1"/>
    <col min="10243" max="10243" width="5.5703125" style="298" customWidth="1"/>
    <col min="10244" max="10244" width="23.85546875" style="298" customWidth="1"/>
    <col min="10245" max="10245" width="8.42578125" style="298" customWidth="1"/>
    <col min="10246" max="10246" width="8.28515625" style="298" customWidth="1"/>
    <col min="10247" max="10247" width="16.42578125" style="298" customWidth="1"/>
    <col min="10248" max="10248" width="3.7109375" style="298" customWidth="1"/>
    <col min="10249" max="10249" width="3.85546875" style="298" customWidth="1"/>
    <col min="10250" max="10250" width="5" style="298" customWidth="1"/>
    <col min="10251" max="10251" width="8" style="298" customWidth="1"/>
    <col min="10252" max="10252" width="7.5703125" style="298" customWidth="1"/>
    <col min="10253" max="10254" width="10.28515625" style="298" bestFit="1" customWidth="1"/>
    <col min="10255" max="10496" width="9.140625" style="298"/>
    <col min="10497" max="10497" width="4.85546875" style="298" customWidth="1"/>
    <col min="10498" max="10498" width="19.140625" style="298" customWidth="1"/>
    <col min="10499" max="10499" width="5.5703125" style="298" customWidth="1"/>
    <col min="10500" max="10500" width="23.85546875" style="298" customWidth="1"/>
    <col min="10501" max="10501" width="8.42578125" style="298" customWidth="1"/>
    <col min="10502" max="10502" width="8.28515625" style="298" customWidth="1"/>
    <col min="10503" max="10503" width="16.42578125" style="298" customWidth="1"/>
    <col min="10504" max="10504" width="3.7109375" style="298" customWidth="1"/>
    <col min="10505" max="10505" width="3.85546875" style="298" customWidth="1"/>
    <col min="10506" max="10506" width="5" style="298" customWidth="1"/>
    <col min="10507" max="10507" width="8" style="298" customWidth="1"/>
    <col min="10508" max="10508" width="7.5703125" style="298" customWidth="1"/>
    <col min="10509" max="10510" width="10.28515625" style="298" bestFit="1" customWidth="1"/>
    <col min="10511" max="10752" width="9.140625" style="298"/>
    <col min="10753" max="10753" width="4.85546875" style="298" customWidth="1"/>
    <col min="10754" max="10754" width="19.140625" style="298" customWidth="1"/>
    <col min="10755" max="10755" width="5.5703125" style="298" customWidth="1"/>
    <col min="10756" max="10756" width="23.85546875" style="298" customWidth="1"/>
    <col min="10757" max="10757" width="8.42578125" style="298" customWidth="1"/>
    <col min="10758" max="10758" width="8.28515625" style="298" customWidth="1"/>
    <col min="10759" max="10759" width="16.42578125" style="298" customWidth="1"/>
    <col min="10760" max="10760" width="3.7109375" style="298" customWidth="1"/>
    <col min="10761" max="10761" width="3.85546875" style="298" customWidth="1"/>
    <col min="10762" max="10762" width="5" style="298" customWidth="1"/>
    <col min="10763" max="10763" width="8" style="298" customWidth="1"/>
    <col min="10764" max="10764" width="7.5703125" style="298" customWidth="1"/>
    <col min="10765" max="10766" width="10.28515625" style="298" bestFit="1" customWidth="1"/>
    <col min="10767" max="11008" width="9.140625" style="298"/>
    <col min="11009" max="11009" width="4.85546875" style="298" customWidth="1"/>
    <col min="11010" max="11010" width="19.140625" style="298" customWidth="1"/>
    <col min="11011" max="11011" width="5.5703125" style="298" customWidth="1"/>
    <col min="11012" max="11012" width="23.85546875" style="298" customWidth="1"/>
    <col min="11013" max="11013" width="8.42578125" style="298" customWidth="1"/>
    <col min="11014" max="11014" width="8.28515625" style="298" customWidth="1"/>
    <col min="11015" max="11015" width="16.42578125" style="298" customWidth="1"/>
    <col min="11016" max="11016" width="3.7109375" style="298" customWidth="1"/>
    <col min="11017" max="11017" width="3.85546875" style="298" customWidth="1"/>
    <col min="11018" max="11018" width="5" style="298" customWidth="1"/>
    <col min="11019" max="11019" width="8" style="298" customWidth="1"/>
    <col min="11020" max="11020" width="7.5703125" style="298" customWidth="1"/>
    <col min="11021" max="11022" width="10.28515625" style="298" bestFit="1" customWidth="1"/>
    <col min="11023" max="11264" width="9.140625" style="298"/>
    <col min="11265" max="11265" width="4.85546875" style="298" customWidth="1"/>
    <col min="11266" max="11266" width="19.140625" style="298" customWidth="1"/>
    <col min="11267" max="11267" width="5.5703125" style="298" customWidth="1"/>
    <col min="11268" max="11268" width="23.85546875" style="298" customWidth="1"/>
    <col min="11269" max="11269" width="8.42578125" style="298" customWidth="1"/>
    <col min="11270" max="11270" width="8.28515625" style="298" customWidth="1"/>
    <col min="11271" max="11271" width="16.42578125" style="298" customWidth="1"/>
    <col min="11272" max="11272" width="3.7109375" style="298" customWidth="1"/>
    <col min="11273" max="11273" width="3.85546875" style="298" customWidth="1"/>
    <col min="11274" max="11274" width="5" style="298" customWidth="1"/>
    <col min="11275" max="11275" width="8" style="298" customWidth="1"/>
    <col min="11276" max="11276" width="7.5703125" style="298" customWidth="1"/>
    <col min="11277" max="11278" width="10.28515625" style="298" bestFit="1" customWidth="1"/>
    <col min="11279" max="11520" width="9.140625" style="298"/>
    <col min="11521" max="11521" width="4.85546875" style="298" customWidth="1"/>
    <col min="11522" max="11522" width="19.140625" style="298" customWidth="1"/>
    <col min="11523" max="11523" width="5.5703125" style="298" customWidth="1"/>
    <col min="11524" max="11524" width="23.85546875" style="298" customWidth="1"/>
    <col min="11525" max="11525" width="8.42578125" style="298" customWidth="1"/>
    <col min="11526" max="11526" width="8.28515625" style="298" customWidth="1"/>
    <col min="11527" max="11527" width="16.42578125" style="298" customWidth="1"/>
    <col min="11528" max="11528" width="3.7109375" style="298" customWidth="1"/>
    <col min="11529" max="11529" width="3.85546875" style="298" customWidth="1"/>
    <col min="11530" max="11530" width="5" style="298" customWidth="1"/>
    <col min="11531" max="11531" width="8" style="298" customWidth="1"/>
    <col min="11532" max="11532" width="7.5703125" style="298" customWidth="1"/>
    <col min="11533" max="11534" width="10.28515625" style="298" bestFit="1" customWidth="1"/>
    <col min="11535" max="11776" width="9.140625" style="298"/>
    <col min="11777" max="11777" width="4.85546875" style="298" customWidth="1"/>
    <col min="11778" max="11778" width="19.140625" style="298" customWidth="1"/>
    <col min="11779" max="11779" width="5.5703125" style="298" customWidth="1"/>
    <col min="11780" max="11780" width="23.85546875" style="298" customWidth="1"/>
    <col min="11781" max="11781" width="8.42578125" style="298" customWidth="1"/>
    <col min="11782" max="11782" width="8.28515625" style="298" customWidth="1"/>
    <col min="11783" max="11783" width="16.42578125" style="298" customWidth="1"/>
    <col min="11784" max="11784" width="3.7109375" style="298" customWidth="1"/>
    <col min="11785" max="11785" width="3.85546875" style="298" customWidth="1"/>
    <col min="11786" max="11786" width="5" style="298" customWidth="1"/>
    <col min="11787" max="11787" width="8" style="298" customWidth="1"/>
    <col min="11788" max="11788" width="7.5703125" style="298" customWidth="1"/>
    <col min="11789" max="11790" width="10.28515625" style="298" bestFit="1" customWidth="1"/>
    <col min="11791" max="12032" width="9.140625" style="298"/>
    <col min="12033" max="12033" width="4.85546875" style="298" customWidth="1"/>
    <col min="12034" max="12034" width="19.140625" style="298" customWidth="1"/>
    <col min="12035" max="12035" width="5.5703125" style="298" customWidth="1"/>
    <col min="12036" max="12036" width="23.85546875" style="298" customWidth="1"/>
    <col min="12037" max="12037" width="8.42578125" style="298" customWidth="1"/>
    <col min="12038" max="12038" width="8.28515625" style="298" customWidth="1"/>
    <col min="12039" max="12039" width="16.42578125" style="298" customWidth="1"/>
    <col min="12040" max="12040" width="3.7109375" style="298" customWidth="1"/>
    <col min="12041" max="12041" width="3.85546875" style="298" customWidth="1"/>
    <col min="12042" max="12042" width="5" style="298" customWidth="1"/>
    <col min="12043" max="12043" width="8" style="298" customWidth="1"/>
    <col min="12044" max="12044" width="7.5703125" style="298" customWidth="1"/>
    <col min="12045" max="12046" width="10.28515625" style="298" bestFit="1" customWidth="1"/>
    <col min="12047" max="12288" width="9.140625" style="298"/>
    <col min="12289" max="12289" width="4.85546875" style="298" customWidth="1"/>
    <col min="12290" max="12290" width="19.140625" style="298" customWidth="1"/>
    <col min="12291" max="12291" width="5.5703125" style="298" customWidth="1"/>
    <col min="12292" max="12292" width="23.85546875" style="298" customWidth="1"/>
    <col min="12293" max="12293" width="8.42578125" style="298" customWidth="1"/>
    <col min="12294" max="12294" width="8.28515625" style="298" customWidth="1"/>
    <col min="12295" max="12295" width="16.42578125" style="298" customWidth="1"/>
    <col min="12296" max="12296" width="3.7109375" style="298" customWidth="1"/>
    <col min="12297" max="12297" width="3.85546875" style="298" customWidth="1"/>
    <col min="12298" max="12298" width="5" style="298" customWidth="1"/>
    <col min="12299" max="12299" width="8" style="298" customWidth="1"/>
    <col min="12300" max="12300" width="7.5703125" style="298" customWidth="1"/>
    <col min="12301" max="12302" width="10.28515625" style="298" bestFit="1" customWidth="1"/>
    <col min="12303" max="12544" width="9.140625" style="298"/>
    <col min="12545" max="12545" width="4.85546875" style="298" customWidth="1"/>
    <col min="12546" max="12546" width="19.140625" style="298" customWidth="1"/>
    <col min="12547" max="12547" width="5.5703125" style="298" customWidth="1"/>
    <col min="12548" max="12548" width="23.85546875" style="298" customWidth="1"/>
    <col min="12549" max="12549" width="8.42578125" style="298" customWidth="1"/>
    <col min="12550" max="12550" width="8.28515625" style="298" customWidth="1"/>
    <col min="12551" max="12551" width="16.42578125" style="298" customWidth="1"/>
    <col min="12552" max="12552" width="3.7109375" style="298" customWidth="1"/>
    <col min="12553" max="12553" width="3.85546875" style="298" customWidth="1"/>
    <col min="12554" max="12554" width="5" style="298" customWidth="1"/>
    <col min="12555" max="12555" width="8" style="298" customWidth="1"/>
    <col min="12556" max="12556" width="7.5703125" style="298" customWidth="1"/>
    <col min="12557" max="12558" width="10.28515625" style="298" bestFit="1" customWidth="1"/>
    <col min="12559" max="12800" width="9.140625" style="298"/>
    <col min="12801" max="12801" width="4.85546875" style="298" customWidth="1"/>
    <col min="12802" max="12802" width="19.140625" style="298" customWidth="1"/>
    <col min="12803" max="12803" width="5.5703125" style="298" customWidth="1"/>
    <col min="12804" max="12804" width="23.85546875" style="298" customWidth="1"/>
    <col min="12805" max="12805" width="8.42578125" style="298" customWidth="1"/>
    <col min="12806" max="12806" width="8.28515625" style="298" customWidth="1"/>
    <col min="12807" max="12807" width="16.42578125" style="298" customWidth="1"/>
    <col min="12808" max="12808" width="3.7109375" style="298" customWidth="1"/>
    <col min="12809" max="12809" width="3.85546875" style="298" customWidth="1"/>
    <col min="12810" max="12810" width="5" style="298" customWidth="1"/>
    <col min="12811" max="12811" width="8" style="298" customWidth="1"/>
    <col min="12812" max="12812" width="7.5703125" style="298" customWidth="1"/>
    <col min="12813" max="12814" width="10.28515625" style="298" bestFit="1" customWidth="1"/>
    <col min="12815" max="13056" width="9.140625" style="298"/>
    <col min="13057" max="13057" width="4.85546875" style="298" customWidth="1"/>
    <col min="13058" max="13058" width="19.140625" style="298" customWidth="1"/>
    <col min="13059" max="13059" width="5.5703125" style="298" customWidth="1"/>
    <col min="13060" max="13060" width="23.85546875" style="298" customWidth="1"/>
    <col min="13061" max="13061" width="8.42578125" style="298" customWidth="1"/>
    <col min="13062" max="13062" width="8.28515625" style="298" customWidth="1"/>
    <col min="13063" max="13063" width="16.42578125" style="298" customWidth="1"/>
    <col min="13064" max="13064" width="3.7109375" style="298" customWidth="1"/>
    <col min="13065" max="13065" width="3.85546875" style="298" customWidth="1"/>
    <col min="13066" max="13066" width="5" style="298" customWidth="1"/>
    <col min="13067" max="13067" width="8" style="298" customWidth="1"/>
    <col min="13068" max="13068" width="7.5703125" style="298" customWidth="1"/>
    <col min="13069" max="13070" width="10.28515625" style="298" bestFit="1" customWidth="1"/>
    <col min="13071" max="13312" width="9.140625" style="298"/>
    <col min="13313" max="13313" width="4.85546875" style="298" customWidth="1"/>
    <col min="13314" max="13314" width="19.140625" style="298" customWidth="1"/>
    <col min="13315" max="13315" width="5.5703125" style="298" customWidth="1"/>
    <col min="13316" max="13316" width="23.85546875" style="298" customWidth="1"/>
    <col min="13317" max="13317" width="8.42578125" style="298" customWidth="1"/>
    <col min="13318" max="13318" width="8.28515625" style="298" customWidth="1"/>
    <col min="13319" max="13319" width="16.42578125" style="298" customWidth="1"/>
    <col min="13320" max="13320" width="3.7109375" style="298" customWidth="1"/>
    <col min="13321" max="13321" width="3.85546875" style="298" customWidth="1"/>
    <col min="13322" max="13322" width="5" style="298" customWidth="1"/>
    <col min="13323" max="13323" width="8" style="298" customWidth="1"/>
    <col min="13324" max="13324" width="7.5703125" style="298" customWidth="1"/>
    <col min="13325" max="13326" width="10.28515625" style="298" bestFit="1" customWidth="1"/>
    <col min="13327" max="13568" width="9.140625" style="298"/>
    <col min="13569" max="13569" width="4.85546875" style="298" customWidth="1"/>
    <col min="13570" max="13570" width="19.140625" style="298" customWidth="1"/>
    <col min="13571" max="13571" width="5.5703125" style="298" customWidth="1"/>
    <col min="13572" max="13572" width="23.85546875" style="298" customWidth="1"/>
    <col min="13573" max="13573" width="8.42578125" style="298" customWidth="1"/>
    <col min="13574" max="13574" width="8.28515625" style="298" customWidth="1"/>
    <col min="13575" max="13575" width="16.42578125" style="298" customWidth="1"/>
    <col min="13576" max="13576" width="3.7109375" style="298" customWidth="1"/>
    <col min="13577" max="13577" width="3.85546875" style="298" customWidth="1"/>
    <col min="13578" max="13578" width="5" style="298" customWidth="1"/>
    <col min="13579" max="13579" width="8" style="298" customWidth="1"/>
    <col min="13580" max="13580" width="7.5703125" style="298" customWidth="1"/>
    <col min="13581" max="13582" width="10.28515625" style="298" bestFit="1" customWidth="1"/>
    <col min="13583" max="13824" width="9.140625" style="298"/>
    <col min="13825" max="13825" width="4.85546875" style="298" customWidth="1"/>
    <col min="13826" max="13826" width="19.140625" style="298" customWidth="1"/>
    <col min="13827" max="13827" width="5.5703125" style="298" customWidth="1"/>
    <col min="13828" max="13828" width="23.85546875" style="298" customWidth="1"/>
    <col min="13829" max="13829" width="8.42578125" style="298" customWidth="1"/>
    <col min="13830" max="13830" width="8.28515625" style="298" customWidth="1"/>
    <col min="13831" max="13831" width="16.42578125" style="298" customWidth="1"/>
    <col min="13832" max="13832" width="3.7109375" style="298" customWidth="1"/>
    <col min="13833" max="13833" width="3.85546875" style="298" customWidth="1"/>
    <col min="13834" max="13834" width="5" style="298" customWidth="1"/>
    <col min="13835" max="13835" width="8" style="298" customWidth="1"/>
    <col min="13836" max="13836" width="7.5703125" style="298" customWidth="1"/>
    <col min="13837" max="13838" width="10.28515625" style="298" bestFit="1" customWidth="1"/>
    <col min="13839" max="14080" width="9.140625" style="298"/>
    <col min="14081" max="14081" width="4.85546875" style="298" customWidth="1"/>
    <col min="14082" max="14082" width="19.140625" style="298" customWidth="1"/>
    <col min="14083" max="14083" width="5.5703125" style="298" customWidth="1"/>
    <col min="14084" max="14084" width="23.85546875" style="298" customWidth="1"/>
    <col min="14085" max="14085" width="8.42578125" style="298" customWidth="1"/>
    <col min="14086" max="14086" width="8.28515625" style="298" customWidth="1"/>
    <col min="14087" max="14087" width="16.42578125" style="298" customWidth="1"/>
    <col min="14088" max="14088" width="3.7109375" style="298" customWidth="1"/>
    <col min="14089" max="14089" width="3.85546875" style="298" customWidth="1"/>
    <col min="14090" max="14090" width="5" style="298" customWidth="1"/>
    <col min="14091" max="14091" width="8" style="298" customWidth="1"/>
    <col min="14092" max="14092" width="7.5703125" style="298" customWidth="1"/>
    <col min="14093" max="14094" width="10.28515625" style="298" bestFit="1" customWidth="1"/>
    <col min="14095" max="14336" width="9.140625" style="298"/>
    <col min="14337" max="14337" width="4.85546875" style="298" customWidth="1"/>
    <col min="14338" max="14338" width="19.140625" style="298" customWidth="1"/>
    <col min="14339" max="14339" width="5.5703125" style="298" customWidth="1"/>
    <col min="14340" max="14340" width="23.85546875" style="298" customWidth="1"/>
    <col min="14341" max="14341" width="8.42578125" style="298" customWidth="1"/>
    <col min="14342" max="14342" width="8.28515625" style="298" customWidth="1"/>
    <col min="14343" max="14343" width="16.42578125" style="298" customWidth="1"/>
    <col min="14344" max="14344" width="3.7109375" style="298" customWidth="1"/>
    <col min="14345" max="14345" width="3.85546875" style="298" customWidth="1"/>
    <col min="14346" max="14346" width="5" style="298" customWidth="1"/>
    <col min="14347" max="14347" width="8" style="298" customWidth="1"/>
    <col min="14348" max="14348" width="7.5703125" style="298" customWidth="1"/>
    <col min="14349" max="14350" width="10.28515625" style="298" bestFit="1" customWidth="1"/>
    <col min="14351" max="14592" width="9.140625" style="298"/>
    <col min="14593" max="14593" width="4.85546875" style="298" customWidth="1"/>
    <col min="14594" max="14594" width="19.140625" style="298" customWidth="1"/>
    <col min="14595" max="14595" width="5.5703125" style="298" customWidth="1"/>
    <col min="14596" max="14596" width="23.85546875" style="298" customWidth="1"/>
    <col min="14597" max="14597" width="8.42578125" style="298" customWidth="1"/>
    <col min="14598" max="14598" width="8.28515625" style="298" customWidth="1"/>
    <col min="14599" max="14599" width="16.42578125" style="298" customWidth="1"/>
    <col min="14600" max="14600" width="3.7109375" style="298" customWidth="1"/>
    <col min="14601" max="14601" width="3.85546875" style="298" customWidth="1"/>
    <col min="14602" max="14602" width="5" style="298" customWidth="1"/>
    <col min="14603" max="14603" width="8" style="298" customWidth="1"/>
    <col min="14604" max="14604" width="7.5703125" style="298" customWidth="1"/>
    <col min="14605" max="14606" width="10.28515625" style="298" bestFit="1" customWidth="1"/>
    <col min="14607" max="14848" width="9.140625" style="298"/>
    <col min="14849" max="14849" width="4.85546875" style="298" customWidth="1"/>
    <col min="14850" max="14850" width="19.140625" style="298" customWidth="1"/>
    <col min="14851" max="14851" width="5.5703125" style="298" customWidth="1"/>
    <col min="14852" max="14852" width="23.85546875" style="298" customWidth="1"/>
    <col min="14853" max="14853" width="8.42578125" style="298" customWidth="1"/>
    <col min="14854" max="14854" width="8.28515625" style="298" customWidth="1"/>
    <col min="14855" max="14855" width="16.42578125" style="298" customWidth="1"/>
    <col min="14856" max="14856" width="3.7109375" style="298" customWidth="1"/>
    <col min="14857" max="14857" width="3.85546875" style="298" customWidth="1"/>
    <col min="14858" max="14858" width="5" style="298" customWidth="1"/>
    <col min="14859" max="14859" width="8" style="298" customWidth="1"/>
    <col min="14860" max="14860" width="7.5703125" style="298" customWidth="1"/>
    <col min="14861" max="14862" width="10.28515625" style="298" bestFit="1" customWidth="1"/>
    <col min="14863" max="15104" width="9.140625" style="298"/>
    <col min="15105" max="15105" width="4.85546875" style="298" customWidth="1"/>
    <col min="15106" max="15106" width="19.140625" style="298" customWidth="1"/>
    <col min="15107" max="15107" width="5.5703125" style="298" customWidth="1"/>
    <col min="15108" max="15108" width="23.85546875" style="298" customWidth="1"/>
    <col min="15109" max="15109" width="8.42578125" style="298" customWidth="1"/>
    <col min="15110" max="15110" width="8.28515625" style="298" customWidth="1"/>
    <col min="15111" max="15111" width="16.42578125" style="298" customWidth="1"/>
    <col min="15112" max="15112" width="3.7109375" style="298" customWidth="1"/>
    <col min="15113" max="15113" width="3.85546875" style="298" customWidth="1"/>
    <col min="15114" max="15114" width="5" style="298" customWidth="1"/>
    <col min="15115" max="15115" width="8" style="298" customWidth="1"/>
    <col min="15116" max="15116" width="7.5703125" style="298" customWidth="1"/>
    <col min="15117" max="15118" width="10.28515625" style="298" bestFit="1" customWidth="1"/>
    <col min="15119" max="15360" width="9.140625" style="298"/>
    <col min="15361" max="15361" width="4.85546875" style="298" customWidth="1"/>
    <col min="15362" max="15362" width="19.140625" style="298" customWidth="1"/>
    <col min="15363" max="15363" width="5.5703125" style="298" customWidth="1"/>
    <col min="15364" max="15364" width="23.85546875" style="298" customWidth="1"/>
    <col min="15365" max="15365" width="8.42578125" style="298" customWidth="1"/>
    <col min="15366" max="15366" width="8.28515625" style="298" customWidth="1"/>
    <col min="15367" max="15367" width="16.42578125" style="298" customWidth="1"/>
    <col min="15368" max="15368" width="3.7109375" style="298" customWidth="1"/>
    <col min="15369" max="15369" width="3.85546875" style="298" customWidth="1"/>
    <col min="15370" max="15370" width="5" style="298" customWidth="1"/>
    <col min="15371" max="15371" width="8" style="298" customWidth="1"/>
    <col min="15372" max="15372" width="7.5703125" style="298" customWidth="1"/>
    <col min="15373" max="15374" width="10.28515625" style="298" bestFit="1" customWidth="1"/>
    <col min="15375" max="15616" width="9.140625" style="298"/>
    <col min="15617" max="15617" width="4.85546875" style="298" customWidth="1"/>
    <col min="15618" max="15618" width="19.140625" style="298" customWidth="1"/>
    <col min="15619" max="15619" width="5.5703125" style="298" customWidth="1"/>
    <col min="15620" max="15620" width="23.85546875" style="298" customWidth="1"/>
    <col min="15621" max="15621" width="8.42578125" style="298" customWidth="1"/>
    <col min="15622" max="15622" width="8.28515625" style="298" customWidth="1"/>
    <col min="15623" max="15623" width="16.42578125" style="298" customWidth="1"/>
    <col min="15624" max="15624" width="3.7109375" style="298" customWidth="1"/>
    <col min="15625" max="15625" width="3.85546875" style="298" customWidth="1"/>
    <col min="15626" max="15626" width="5" style="298" customWidth="1"/>
    <col min="15627" max="15627" width="8" style="298" customWidth="1"/>
    <col min="15628" max="15628" width="7.5703125" style="298" customWidth="1"/>
    <col min="15629" max="15630" width="10.28515625" style="298" bestFit="1" customWidth="1"/>
    <col min="15631" max="15872" width="9.140625" style="298"/>
    <col min="15873" max="15873" width="4.85546875" style="298" customWidth="1"/>
    <col min="15874" max="15874" width="19.140625" style="298" customWidth="1"/>
    <col min="15875" max="15875" width="5.5703125" style="298" customWidth="1"/>
    <col min="15876" max="15876" width="23.85546875" style="298" customWidth="1"/>
    <col min="15877" max="15877" width="8.42578125" style="298" customWidth="1"/>
    <col min="15878" max="15878" width="8.28515625" style="298" customWidth="1"/>
    <col min="15879" max="15879" width="16.42578125" style="298" customWidth="1"/>
    <col min="15880" max="15880" width="3.7109375" style="298" customWidth="1"/>
    <col min="15881" max="15881" width="3.85546875" style="298" customWidth="1"/>
    <col min="15882" max="15882" width="5" style="298" customWidth="1"/>
    <col min="15883" max="15883" width="8" style="298" customWidth="1"/>
    <col min="15884" max="15884" width="7.5703125" style="298" customWidth="1"/>
    <col min="15885" max="15886" width="10.28515625" style="298" bestFit="1" customWidth="1"/>
    <col min="15887" max="16128" width="9.140625" style="298"/>
    <col min="16129" max="16129" width="4.85546875" style="298" customWidth="1"/>
    <col min="16130" max="16130" width="19.140625" style="298" customWidth="1"/>
    <col min="16131" max="16131" width="5.5703125" style="298" customWidth="1"/>
    <col min="16132" max="16132" width="23.85546875" style="298" customWidth="1"/>
    <col min="16133" max="16133" width="8.42578125" style="298" customWidth="1"/>
    <col min="16134" max="16134" width="8.28515625" style="298" customWidth="1"/>
    <col min="16135" max="16135" width="16.42578125" style="298" customWidth="1"/>
    <col min="16136" max="16136" width="3.7109375" style="298" customWidth="1"/>
    <col min="16137" max="16137" width="3.85546875" style="298" customWidth="1"/>
    <col min="16138" max="16138" width="5" style="298" customWidth="1"/>
    <col min="16139" max="16139" width="8" style="298" customWidth="1"/>
    <col min="16140" max="16140" width="7.5703125" style="298" customWidth="1"/>
    <col min="16141" max="16142" width="10.28515625" style="298" bestFit="1" customWidth="1"/>
    <col min="16143" max="16384" width="9.140625" style="298"/>
  </cols>
  <sheetData>
    <row r="1" spans="1:14" s="997" customFormat="1" ht="15" x14ac:dyDescent="0.25"/>
    <row r="2" spans="1:14" s="997" customFormat="1" ht="15" x14ac:dyDescent="0.25"/>
    <row r="3" spans="1:14" s="997" customFormat="1" ht="15" x14ac:dyDescent="0.25"/>
    <row r="4" spans="1:14" s="997" customFormat="1" ht="15" x14ac:dyDescent="0.25"/>
    <row r="5" spans="1:14" s="997" customFormat="1" ht="15" x14ac:dyDescent="0.25"/>
    <row r="6" spans="1:14" s="997" customFormat="1" ht="15" x14ac:dyDescent="0.25"/>
    <row r="7" spans="1:14" s="997" customFormat="1" ht="15.75" thickBot="1" x14ac:dyDescent="0.3"/>
    <row r="8" spans="1:14" s="319" customFormat="1" ht="18.75" thickTop="1" x14ac:dyDescent="0.25">
      <c r="A8" s="998" t="s">
        <v>18</v>
      </c>
      <c r="B8" s="999"/>
      <c r="C8" s="999"/>
      <c r="D8" s="999"/>
      <c r="E8" s="999"/>
      <c r="F8" s="999"/>
      <c r="G8" s="999"/>
      <c r="H8" s="999"/>
      <c r="I8" s="999"/>
      <c r="J8" s="999"/>
      <c r="K8" s="999"/>
      <c r="L8" s="999"/>
      <c r="M8" s="999"/>
      <c r="N8" s="1000"/>
    </row>
    <row r="9" spans="1:14" s="319" customFormat="1" ht="17.25" x14ac:dyDescent="0.25">
      <c r="A9" s="350" t="s">
        <v>13</v>
      </c>
      <c r="B9" s="349" t="s">
        <v>19</v>
      </c>
      <c r="C9" s="348" t="s">
        <v>20</v>
      </c>
      <c r="D9" s="348" t="s">
        <v>21</v>
      </c>
      <c r="E9" s="348" t="s">
        <v>22</v>
      </c>
      <c r="F9" s="348" t="s">
        <v>23</v>
      </c>
      <c r="G9" s="348" t="s">
        <v>24</v>
      </c>
      <c r="H9" s="348" t="s">
        <v>96</v>
      </c>
      <c r="I9" s="348" t="s">
        <v>26</v>
      </c>
      <c r="J9" s="348" t="s">
        <v>27</v>
      </c>
      <c r="K9" s="1001" t="s">
        <v>28</v>
      </c>
      <c r="L9" s="1002"/>
      <c r="M9" s="348" t="s">
        <v>29</v>
      </c>
      <c r="N9" s="347" t="s">
        <v>30</v>
      </c>
    </row>
    <row r="10" spans="1:14" s="326" customFormat="1" ht="26.25" customHeight="1" x14ac:dyDescent="0.25">
      <c r="A10" s="346">
        <v>1</v>
      </c>
      <c r="B10" s="351" t="s">
        <v>196</v>
      </c>
      <c r="C10" s="1003" t="s">
        <v>31</v>
      </c>
      <c r="D10" s="339" t="s">
        <v>192</v>
      </c>
      <c r="E10" s="345">
        <v>24</v>
      </c>
      <c r="F10" s="338">
        <v>5</v>
      </c>
      <c r="G10" s="332">
        <f t="shared" ref="G10:G16" si="0">E10*F10</f>
        <v>120</v>
      </c>
      <c r="H10" s="345"/>
      <c r="I10" s="345"/>
      <c r="J10" s="345"/>
      <c r="K10" s="1005" t="s">
        <v>195</v>
      </c>
      <c r="L10" s="1006"/>
      <c r="M10" s="344"/>
      <c r="N10" s="343"/>
    </row>
    <row r="11" spans="1:14" s="326" customFormat="1" ht="26.25" customHeight="1" x14ac:dyDescent="0.25">
      <c r="A11" s="340">
        <v>2</v>
      </c>
      <c r="B11" s="352"/>
      <c r="C11" s="1004"/>
      <c r="D11" s="339" t="s">
        <v>194</v>
      </c>
      <c r="E11" s="337">
        <v>6</v>
      </c>
      <c r="F11" s="338"/>
      <c r="G11" s="332">
        <f t="shared" si="0"/>
        <v>0</v>
      </c>
      <c r="H11" s="337" t="s">
        <v>86</v>
      </c>
      <c r="I11" s="337">
        <v>2</v>
      </c>
      <c r="J11" s="337">
        <v>11</v>
      </c>
      <c r="K11" s="1007" t="s">
        <v>42</v>
      </c>
      <c r="L11" s="1008"/>
      <c r="M11" s="336">
        <v>41511</v>
      </c>
      <c r="N11" s="335"/>
    </row>
    <row r="12" spans="1:14" s="326" customFormat="1" ht="26.25" customHeight="1" x14ac:dyDescent="0.25">
      <c r="A12" s="340">
        <v>3</v>
      </c>
      <c r="B12" s="352"/>
      <c r="C12" s="1004"/>
      <c r="D12" s="339" t="s">
        <v>278</v>
      </c>
      <c r="E12" s="337">
        <f>10.5+10+21+3.5</f>
        <v>45</v>
      </c>
      <c r="F12" s="338"/>
      <c r="G12" s="332">
        <f t="shared" si="0"/>
        <v>0</v>
      </c>
      <c r="H12" s="337" t="s">
        <v>107</v>
      </c>
      <c r="I12" s="337">
        <v>1</v>
      </c>
      <c r="J12" s="337">
        <v>12</v>
      </c>
      <c r="K12" s="342" t="s">
        <v>74</v>
      </c>
      <c r="L12" s="341"/>
      <c r="M12" s="336">
        <v>41542</v>
      </c>
      <c r="N12" s="335"/>
    </row>
    <row r="13" spans="1:14" s="326" customFormat="1" ht="26.25" customHeight="1" x14ac:dyDescent="0.25">
      <c r="A13" s="340">
        <v>4</v>
      </c>
      <c r="B13" s="352"/>
      <c r="C13" s="1004"/>
      <c r="D13" s="339" t="s">
        <v>278</v>
      </c>
      <c r="E13" s="337">
        <f>4.5+18+12.5+10</f>
        <v>45</v>
      </c>
      <c r="F13" s="338"/>
      <c r="G13" s="332">
        <f t="shared" si="0"/>
        <v>0</v>
      </c>
      <c r="H13" s="337" t="s">
        <v>64</v>
      </c>
      <c r="I13" s="337">
        <v>1</v>
      </c>
      <c r="J13" s="337">
        <v>12</v>
      </c>
      <c r="K13" s="342" t="s">
        <v>74</v>
      </c>
      <c r="L13" s="341"/>
      <c r="M13" s="336">
        <v>41563</v>
      </c>
      <c r="N13" s="335"/>
    </row>
    <row r="14" spans="1:14" s="326" customFormat="1" ht="26.25" customHeight="1" x14ac:dyDescent="0.25">
      <c r="A14" s="340">
        <v>5</v>
      </c>
      <c r="B14" s="352"/>
      <c r="C14" s="1004"/>
      <c r="D14" s="339" t="s">
        <v>278</v>
      </c>
      <c r="E14" s="337">
        <f>1+5+9.5+5+9.5</f>
        <v>30</v>
      </c>
      <c r="F14" s="338"/>
      <c r="G14" s="332">
        <f t="shared" si="0"/>
        <v>0</v>
      </c>
      <c r="H14" s="337" t="s">
        <v>98</v>
      </c>
      <c r="I14" s="337">
        <v>1</v>
      </c>
      <c r="J14" s="337">
        <v>12</v>
      </c>
      <c r="K14" s="342" t="s">
        <v>231</v>
      </c>
      <c r="L14" s="341"/>
      <c r="M14" s="336">
        <v>41569</v>
      </c>
      <c r="N14" s="335"/>
    </row>
    <row r="15" spans="1:14" s="326" customFormat="1" ht="26.25" customHeight="1" x14ac:dyDescent="0.25">
      <c r="A15" s="340"/>
      <c r="B15" s="353"/>
      <c r="C15" s="1004"/>
      <c r="D15" s="339" t="s">
        <v>278</v>
      </c>
      <c r="E15" s="337">
        <f>9+3+3+7.5</f>
        <v>22.5</v>
      </c>
      <c r="F15" s="338">
        <v>5</v>
      </c>
      <c r="G15" s="332">
        <f t="shared" si="0"/>
        <v>112.5</v>
      </c>
      <c r="H15" s="529" t="s">
        <v>63</v>
      </c>
      <c r="I15" s="337">
        <v>1</v>
      </c>
      <c r="J15" s="337">
        <v>12</v>
      </c>
      <c r="K15" s="1020" t="s">
        <v>343</v>
      </c>
      <c r="L15" s="1021"/>
      <c r="M15" s="336">
        <v>41604</v>
      </c>
      <c r="N15" s="335"/>
    </row>
    <row r="16" spans="1:14" s="326" customFormat="1" ht="26.25" customHeight="1" x14ac:dyDescent="0.25">
      <c r="A16" s="1018" t="s">
        <v>11</v>
      </c>
      <c r="B16" s="1019"/>
      <c r="C16" s="1019"/>
      <c r="D16" s="1019"/>
      <c r="E16" s="334">
        <f>SUM(E10:E15)</f>
        <v>172.5</v>
      </c>
      <c r="F16" s="333"/>
      <c r="G16" s="332">
        <f t="shared" si="0"/>
        <v>0</v>
      </c>
      <c r="H16" s="331"/>
      <c r="I16" s="331"/>
      <c r="J16" s="331"/>
      <c r="K16" s="1007"/>
      <c r="L16" s="1008"/>
      <c r="M16" s="331"/>
      <c r="N16" s="330"/>
    </row>
    <row r="17" spans="1:14" s="326" customFormat="1" ht="26.25" customHeight="1" x14ac:dyDescent="0.25">
      <c r="A17" s="1011" t="s">
        <v>24</v>
      </c>
      <c r="B17" s="1012"/>
      <c r="C17" s="1012"/>
      <c r="D17" s="1012"/>
      <c r="E17" s="1012"/>
      <c r="F17" s="1012"/>
      <c r="G17" s="329">
        <f>SUM(G10:G16)</f>
        <v>232.5</v>
      </c>
      <c r="H17" s="328"/>
      <c r="I17" s="328"/>
      <c r="J17" s="328"/>
      <c r="K17" s="1013"/>
      <c r="L17" s="1014"/>
      <c r="M17" s="328"/>
      <c r="N17" s="327"/>
    </row>
    <row r="18" spans="1:14" s="319" customFormat="1" ht="26.25" customHeight="1" x14ac:dyDescent="0.25">
      <c r="A18" s="1015" t="s">
        <v>32</v>
      </c>
      <c r="B18" s="1016"/>
      <c r="C18" s="1016"/>
      <c r="D18" s="1016"/>
      <c r="E18" s="1016"/>
      <c r="F18" s="1016"/>
      <c r="G18" s="1017"/>
      <c r="H18" s="325"/>
      <c r="I18" s="325"/>
      <c r="J18" s="324" t="s">
        <v>44</v>
      </c>
      <c r="K18" s="325"/>
      <c r="L18" s="324"/>
      <c r="M18" s="323"/>
      <c r="N18" s="322"/>
    </row>
    <row r="19" spans="1:14" s="319" customFormat="1" ht="22.5" customHeight="1" thickBot="1" x14ac:dyDescent="0.3">
      <c r="A19" s="321" t="s">
        <v>5</v>
      </c>
      <c r="B19" s="320" t="s">
        <v>33</v>
      </c>
      <c r="C19" s="994" t="s">
        <v>21</v>
      </c>
      <c r="D19" s="995"/>
      <c r="E19" s="994" t="s">
        <v>34</v>
      </c>
      <c r="F19" s="995"/>
      <c r="G19" s="320" t="s">
        <v>0</v>
      </c>
      <c r="H19" s="320" t="s">
        <v>96</v>
      </c>
      <c r="I19" s="320" t="s">
        <v>26</v>
      </c>
      <c r="J19" s="320" t="s">
        <v>27</v>
      </c>
      <c r="K19" s="996" t="s">
        <v>28</v>
      </c>
      <c r="L19" s="994"/>
      <c r="M19" s="901" t="s">
        <v>43</v>
      </c>
      <c r="N19" s="990"/>
    </row>
    <row r="20" spans="1:14" s="302" customFormat="1" ht="26.25" customHeight="1" x14ac:dyDescent="0.25">
      <c r="A20" s="991" t="s">
        <v>35</v>
      </c>
      <c r="B20" s="992"/>
      <c r="C20" s="992"/>
      <c r="D20" s="992"/>
      <c r="E20" s="992"/>
      <c r="F20" s="992"/>
      <c r="G20" s="318">
        <f>G17</f>
        <v>232.5</v>
      </c>
      <c r="H20" s="317"/>
      <c r="I20" s="317"/>
      <c r="J20" s="317"/>
      <c r="K20" s="317"/>
      <c r="L20" s="317"/>
      <c r="M20" s="317"/>
      <c r="N20" s="316"/>
    </row>
    <row r="21" spans="1:14" s="302" customFormat="1" ht="26.25" customHeight="1" x14ac:dyDescent="0.25">
      <c r="A21" s="315" t="s">
        <v>193</v>
      </c>
      <c r="B21" s="312">
        <v>41425</v>
      </c>
      <c r="C21" s="993" t="s">
        <v>192</v>
      </c>
      <c r="D21" s="993"/>
      <c r="E21" s="985">
        <v>60</v>
      </c>
      <c r="F21" s="985"/>
      <c r="G21" s="311">
        <f>G20-E21</f>
        <v>172.5</v>
      </c>
      <c r="H21" s="310"/>
      <c r="I21" s="310"/>
      <c r="J21" s="310"/>
      <c r="K21" s="310"/>
      <c r="L21" s="310"/>
      <c r="M21" s="310"/>
      <c r="N21" s="309"/>
    </row>
    <row r="22" spans="1:14" s="302" customFormat="1" ht="26.25" customHeight="1" x14ac:dyDescent="0.25">
      <c r="A22" s="366" t="s">
        <v>214</v>
      </c>
      <c r="B22" s="367">
        <v>41515</v>
      </c>
      <c r="C22" s="993" t="s">
        <v>192</v>
      </c>
      <c r="D22" s="993"/>
      <c r="E22" s="985">
        <v>60</v>
      </c>
      <c r="F22" s="985"/>
      <c r="G22" s="311">
        <f>G21-E22</f>
        <v>112.5</v>
      </c>
      <c r="H22" s="310"/>
      <c r="I22" s="310"/>
      <c r="J22" s="310"/>
      <c r="K22" s="310"/>
      <c r="L22" s="310"/>
      <c r="M22" s="310"/>
      <c r="N22" s="309"/>
    </row>
    <row r="23" spans="1:14" s="302" customFormat="1" ht="26.25" customHeight="1" x14ac:dyDescent="0.25">
      <c r="A23" s="366" t="s">
        <v>539</v>
      </c>
      <c r="B23" s="367">
        <v>41374</v>
      </c>
      <c r="C23" s="993" t="s">
        <v>192</v>
      </c>
      <c r="D23" s="993"/>
      <c r="E23" s="985">
        <v>112.5</v>
      </c>
      <c r="F23" s="985"/>
      <c r="G23" s="311">
        <f>G22-E23</f>
        <v>0</v>
      </c>
      <c r="H23" s="310"/>
      <c r="I23" s="310"/>
      <c r="J23" s="310"/>
      <c r="K23" s="310"/>
      <c r="L23" s="310"/>
      <c r="M23" s="310"/>
      <c r="N23" s="309"/>
    </row>
    <row r="24" spans="1:14" s="302" customFormat="1" ht="26.25" customHeight="1" x14ac:dyDescent="0.25">
      <c r="A24" s="313"/>
      <c r="B24" s="312"/>
      <c r="C24" s="993"/>
      <c r="D24" s="993"/>
      <c r="E24" s="985"/>
      <c r="F24" s="985"/>
      <c r="G24" s="311">
        <f>G23-E24</f>
        <v>0</v>
      </c>
      <c r="H24" s="310"/>
      <c r="I24" s="310"/>
      <c r="J24" s="310"/>
      <c r="K24" s="310"/>
      <c r="L24" s="310"/>
      <c r="M24" s="310"/>
      <c r="N24" s="309"/>
    </row>
    <row r="25" spans="1:14" s="302" customFormat="1" ht="26.25" customHeight="1" x14ac:dyDescent="0.25">
      <c r="A25" s="313"/>
      <c r="B25" s="312"/>
      <c r="C25" s="986"/>
      <c r="D25" s="986"/>
      <c r="E25" s="987"/>
      <c r="F25" s="987"/>
      <c r="G25" s="311">
        <f>G24-E25</f>
        <v>0</v>
      </c>
      <c r="H25" s="310"/>
      <c r="I25" s="310"/>
      <c r="J25" s="310"/>
      <c r="K25" s="310"/>
      <c r="L25" s="310"/>
      <c r="M25" s="310"/>
      <c r="N25" s="309"/>
    </row>
    <row r="26" spans="1:14" s="305" customFormat="1" ht="26.25" customHeight="1" thickBot="1" x14ac:dyDescent="0.3">
      <c r="A26" s="978" t="s">
        <v>36</v>
      </c>
      <c r="B26" s="979"/>
      <c r="C26" s="979"/>
      <c r="D26" s="979"/>
      <c r="E26" s="980">
        <f>SUM(E21:F25)</f>
        <v>232.5</v>
      </c>
      <c r="F26" s="981"/>
      <c r="G26" s="308"/>
      <c r="H26" s="307"/>
      <c r="I26" s="307"/>
      <c r="J26" s="307"/>
      <c r="K26" s="307"/>
      <c r="L26" s="307"/>
      <c r="M26" s="307"/>
      <c r="N26" s="306"/>
    </row>
    <row r="27" spans="1:14" s="302" customFormat="1" ht="26.25" customHeight="1" thickTop="1" x14ac:dyDescent="0.25">
      <c r="A27" s="304"/>
      <c r="E27" s="982"/>
      <c r="F27" s="982"/>
    </row>
    <row r="28" spans="1:14" s="302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303"/>
      <c r="G28" s="25" t="s">
        <v>38</v>
      </c>
      <c r="H28" s="25"/>
      <c r="I28" s="25"/>
      <c r="J28" s="25"/>
      <c r="K28" s="25"/>
      <c r="L28" s="25" t="s">
        <v>39</v>
      </c>
      <c r="M28" s="28"/>
      <c r="N28" s="303"/>
    </row>
    <row r="29" spans="1:14" s="302" customFormat="1" ht="26.25" customHeight="1" x14ac:dyDescent="0.3">
      <c r="A29" s="25"/>
      <c r="B29" s="25"/>
      <c r="C29" s="25"/>
      <c r="D29" s="25"/>
      <c r="E29" s="25"/>
      <c r="F29" s="303"/>
      <c r="G29" s="25"/>
      <c r="H29" s="25"/>
      <c r="I29" s="25"/>
      <c r="J29" s="25"/>
      <c r="K29" s="25"/>
      <c r="L29" s="25"/>
      <c r="M29" s="28"/>
      <c r="N29" s="303"/>
    </row>
    <row r="30" spans="1:14" s="302" customFormat="1" ht="26.25" customHeight="1" x14ac:dyDescent="0.3">
      <c r="A30" s="25"/>
      <c r="B30" s="25"/>
      <c r="C30" s="25"/>
      <c r="D30" s="25"/>
      <c r="E30" s="25"/>
      <c r="F30" s="303"/>
      <c r="G30" s="25"/>
      <c r="H30" s="25"/>
      <c r="I30" s="25"/>
      <c r="J30" s="25"/>
      <c r="K30" s="25"/>
      <c r="L30" s="25"/>
      <c r="M30" s="28"/>
      <c r="N30" s="303"/>
    </row>
    <row r="31" spans="1:14" s="302" customFormat="1" ht="26.25" customHeight="1" x14ac:dyDescent="0.3">
      <c r="A31" s="25"/>
      <c r="B31" s="25"/>
      <c r="C31" s="25"/>
      <c r="D31" s="25"/>
      <c r="E31" s="25"/>
      <c r="F31" s="303"/>
      <c r="G31" s="25"/>
      <c r="H31" s="25"/>
      <c r="I31" s="25"/>
      <c r="J31" s="25"/>
      <c r="K31" s="25"/>
      <c r="L31" s="25"/>
      <c r="M31" s="28"/>
      <c r="N31" s="303"/>
    </row>
    <row r="32" spans="1:14" s="302" customFormat="1" ht="26.25" customHeight="1" x14ac:dyDescent="0.3">
      <c r="A32" s="29"/>
      <c r="B32" s="25"/>
      <c r="C32" s="25"/>
      <c r="D32" s="29"/>
      <c r="E32" s="29"/>
      <c r="F32" s="303"/>
      <c r="G32" s="29"/>
      <c r="H32" s="25"/>
      <c r="I32" s="25"/>
      <c r="J32" s="25"/>
      <c r="K32" s="25"/>
      <c r="L32" s="27"/>
      <c r="M32" s="28"/>
      <c r="N32" s="303"/>
    </row>
    <row r="33" spans="1:14" s="30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Dy Chanpiseth</v>
      </c>
      <c r="H33" s="25"/>
      <c r="I33" s="25"/>
      <c r="J33" s="25"/>
      <c r="K33" s="829" t="s">
        <v>191</v>
      </c>
      <c r="L33" s="829"/>
      <c r="M33" s="829"/>
      <c r="N33" s="829"/>
    </row>
    <row r="34" spans="1:14" s="300" customFormat="1" ht="16.5" x14ac:dyDescent="0.3">
      <c r="A34" s="301"/>
    </row>
    <row r="35" spans="1:14" s="300" customFormat="1" ht="16.5" x14ac:dyDescent="0.3">
      <c r="A35" s="301"/>
    </row>
    <row r="36" spans="1:14" s="300" customFormat="1" ht="16.5" x14ac:dyDescent="0.3">
      <c r="A36" s="301"/>
    </row>
    <row r="37" spans="1:14" s="300" customFormat="1" ht="16.5" x14ac:dyDescent="0.3">
      <c r="A37" s="301"/>
    </row>
    <row r="38" spans="1:14" s="300" customFormat="1" ht="16.5" x14ac:dyDescent="0.3">
      <c r="A38" s="301"/>
    </row>
    <row r="39" spans="1:14" s="300" customFormat="1" ht="16.5" x14ac:dyDescent="0.3">
      <c r="A39" s="301"/>
    </row>
    <row r="40" spans="1:14" s="300" customFormat="1" ht="16.5" x14ac:dyDescent="0.3">
      <c r="A40" s="301"/>
    </row>
    <row r="41" spans="1:14" s="300" customFormat="1" ht="16.5" x14ac:dyDescent="0.3">
      <c r="A41" s="301"/>
    </row>
    <row r="42" spans="1:14" s="300" customFormat="1" ht="16.5" x14ac:dyDescent="0.3">
      <c r="A42" s="301"/>
    </row>
  </sheetData>
  <mergeCells count="31">
    <mergeCell ref="A1:XFD7"/>
    <mergeCell ref="A8:N8"/>
    <mergeCell ref="K9:L9"/>
    <mergeCell ref="C10:C15"/>
    <mergeCell ref="K10:L10"/>
    <mergeCell ref="K11:L11"/>
    <mergeCell ref="K15:L15"/>
    <mergeCell ref="C19:D19"/>
    <mergeCell ref="E19:F19"/>
    <mergeCell ref="K19:L19"/>
    <mergeCell ref="M19:N19"/>
    <mergeCell ref="A20:F20"/>
    <mergeCell ref="A16:D16"/>
    <mergeCell ref="K16:L16"/>
    <mergeCell ref="A17:F17"/>
    <mergeCell ref="K17:L17"/>
    <mergeCell ref="A18:G18"/>
    <mergeCell ref="C21:D21"/>
    <mergeCell ref="E21:F21"/>
    <mergeCell ref="C22:D22"/>
    <mergeCell ref="E22:F22"/>
    <mergeCell ref="A26:D26"/>
    <mergeCell ref="E26:F26"/>
    <mergeCell ref="E27:F27"/>
    <mergeCell ref="K33:N33"/>
    <mergeCell ref="C23:D23"/>
    <mergeCell ref="E23:F23"/>
    <mergeCell ref="C24:D24"/>
    <mergeCell ref="E24:F24"/>
    <mergeCell ref="C25:D25"/>
    <mergeCell ref="E25:F25"/>
  </mergeCells>
  <hyperlinks>
    <hyperlink ref="M19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8"/>
  <sheetViews>
    <sheetView zoomScale="85" zoomScaleNormal="85" workbookViewId="0">
      <pane ySplit="9" topLeftCell="A10" activePane="bottomLeft" state="frozen"/>
      <selection pane="bottomLeft" activeCell="N15" sqref="N15"/>
    </sheetView>
  </sheetViews>
  <sheetFormatPr defaultRowHeight="13.5" x14ac:dyDescent="0.25"/>
  <cols>
    <col min="1" max="1" width="15" style="299" customWidth="1"/>
    <col min="2" max="2" width="22.85546875" style="298" customWidth="1"/>
    <col min="3" max="3" width="5.5703125" style="298" customWidth="1"/>
    <col min="4" max="4" width="26.28515625" style="298" customWidth="1"/>
    <col min="5" max="5" width="8.42578125" style="298" customWidth="1"/>
    <col min="6" max="6" width="10.85546875" style="298" customWidth="1"/>
    <col min="7" max="7" width="16.42578125" style="298" customWidth="1"/>
    <col min="8" max="8" width="3.7109375" style="298" customWidth="1"/>
    <col min="9" max="9" width="3.85546875" style="298" customWidth="1"/>
    <col min="10" max="10" width="5" style="298" customWidth="1"/>
    <col min="11" max="11" width="8" style="298" customWidth="1"/>
    <col min="12" max="12" width="7.5703125" style="298" customWidth="1"/>
    <col min="13" max="13" width="11.7109375" style="298" bestFit="1" customWidth="1"/>
    <col min="14" max="14" width="10.28515625" style="298" bestFit="1" customWidth="1"/>
    <col min="15" max="256" width="9.140625" style="298"/>
    <col min="257" max="257" width="4.85546875" style="298" customWidth="1"/>
    <col min="258" max="258" width="19.140625" style="298" customWidth="1"/>
    <col min="259" max="259" width="5.5703125" style="298" customWidth="1"/>
    <col min="260" max="260" width="23.85546875" style="298" customWidth="1"/>
    <col min="261" max="261" width="8.42578125" style="298" customWidth="1"/>
    <col min="262" max="262" width="8.28515625" style="298" customWidth="1"/>
    <col min="263" max="263" width="16.42578125" style="298" customWidth="1"/>
    <col min="264" max="264" width="3.7109375" style="298" customWidth="1"/>
    <col min="265" max="265" width="3.85546875" style="298" customWidth="1"/>
    <col min="266" max="266" width="5" style="298" customWidth="1"/>
    <col min="267" max="267" width="8" style="298" customWidth="1"/>
    <col min="268" max="268" width="7.5703125" style="298" customWidth="1"/>
    <col min="269" max="270" width="10.28515625" style="298" bestFit="1" customWidth="1"/>
    <col min="271" max="512" width="9.140625" style="298"/>
    <col min="513" max="513" width="4.85546875" style="298" customWidth="1"/>
    <col min="514" max="514" width="19.140625" style="298" customWidth="1"/>
    <col min="515" max="515" width="5.5703125" style="298" customWidth="1"/>
    <col min="516" max="516" width="23.85546875" style="298" customWidth="1"/>
    <col min="517" max="517" width="8.42578125" style="298" customWidth="1"/>
    <col min="518" max="518" width="8.28515625" style="298" customWidth="1"/>
    <col min="519" max="519" width="16.42578125" style="298" customWidth="1"/>
    <col min="520" max="520" width="3.7109375" style="298" customWidth="1"/>
    <col min="521" max="521" width="3.85546875" style="298" customWidth="1"/>
    <col min="522" max="522" width="5" style="298" customWidth="1"/>
    <col min="523" max="523" width="8" style="298" customWidth="1"/>
    <col min="524" max="524" width="7.5703125" style="298" customWidth="1"/>
    <col min="525" max="526" width="10.28515625" style="298" bestFit="1" customWidth="1"/>
    <col min="527" max="768" width="9.140625" style="298"/>
    <col min="769" max="769" width="4.85546875" style="298" customWidth="1"/>
    <col min="770" max="770" width="19.140625" style="298" customWidth="1"/>
    <col min="771" max="771" width="5.5703125" style="298" customWidth="1"/>
    <col min="772" max="772" width="23.85546875" style="298" customWidth="1"/>
    <col min="773" max="773" width="8.42578125" style="298" customWidth="1"/>
    <col min="774" max="774" width="8.28515625" style="298" customWidth="1"/>
    <col min="775" max="775" width="16.42578125" style="298" customWidth="1"/>
    <col min="776" max="776" width="3.7109375" style="298" customWidth="1"/>
    <col min="777" max="777" width="3.85546875" style="298" customWidth="1"/>
    <col min="778" max="778" width="5" style="298" customWidth="1"/>
    <col min="779" max="779" width="8" style="298" customWidth="1"/>
    <col min="780" max="780" width="7.5703125" style="298" customWidth="1"/>
    <col min="781" max="782" width="10.28515625" style="298" bestFit="1" customWidth="1"/>
    <col min="783" max="1024" width="9.140625" style="298"/>
    <col min="1025" max="1025" width="4.85546875" style="298" customWidth="1"/>
    <col min="1026" max="1026" width="19.140625" style="298" customWidth="1"/>
    <col min="1027" max="1027" width="5.5703125" style="298" customWidth="1"/>
    <col min="1028" max="1028" width="23.85546875" style="298" customWidth="1"/>
    <col min="1029" max="1029" width="8.42578125" style="298" customWidth="1"/>
    <col min="1030" max="1030" width="8.28515625" style="298" customWidth="1"/>
    <col min="1031" max="1031" width="16.42578125" style="298" customWidth="1"/>
    <col min="1032" max="1032" width="3.7109375" style="298" customWidth="1"/>
    <col min="1033" max="1033" width="3.85546875" style="298" customWidth="1"/>
    <col min="1034" max="1034" width="5" style="298" customWidth="1"/>
    <col min="1035" max="1035" width="8" style="298" customWidth="1"/>
    <col min="1036" max="1036" width="7.5703125" style="298" customWidth="1"/>
    <col min="1037" max="1038" width="10.28515625" style="298" bestFit="1" customWidth="1"/>
    <col min="1039" max="1280" width="9.140625" style="298"/>
    <col min="1281" max="1281" width="4.85546875" style="298" customWidth="1"/>
    <col min="1282" max="1282" width="19.140625" style="298" customWidth="1"/>
    <col min="1283" max="1283" width="5.5703125" style="298" customWidth="1"/>
    <col min="1284" max="1284" width="23.85546875" style="298" customWidth="1"/>
    <col min="1285" max="1285" width="8.42578125" style="298" customWidth="1"/>
    <col min="1286" max="1286" width="8.28515625" style="298" customWidth="1"/>
    <col min="1287" max="1287" width="16.42578125" style="298" customWidth="1"/>
    <col min="1288" max="1288" width="3.7109375" style="298" customWidth="1"/>
    <col min="1289" max="1289" width="3.85546875" style="298" customWidth="1"/>
    <col min="1290" max="1290" width="5" style="298" customWidth="1"/>
    <col min="1291" max="1291" width="8" style="298" customWidth="1"/>
    <col min="1292" max="1292" width="7.5703125" style="298" customWidth="1"/>
    <col min="1293" max="1294" width="10.28515625" style="298" bestFit="1" customWidth="1"/>
    <col min="1295" max="1536" width="9.140625" style="298"/>
    <col min="1537" max="1537" width="4.85546875" style="298" customWidth="1"/>
    <col min="1538" max="1538" width="19.140625" style="298" customWidth="1"/>
    <col min="1539" max="1539" width="5.5703125" style="298" customWidth="1"/>
    <col min="1540" max="1540" width="23.85546875" style="298" customWidth="1"/>
    <col min="1541" max="1541" width="8.42578125" style="298" customWidth="1"/>
    <col min="1542" max="1542" width="8.28515625" style="298" customWidth="1"/>
    <col min="1543" max="1543" width="16.42578125" style="298" customWidth="1"/>
    <col min="1544" max="1544" width="3.7109375" style="298" customWidth="1"/>
    <col min="1545" max="1545" width="3.85546875" style="298" customWidth="1"/>
    <col min="1546" max="1546" width="5" style="298" customWidth="1"/>
    <col min="1547" max="1547" width="8" style="298" customWidth="1"/>
    <col min="1548" max="1548" width="7.5703125" style="298" customWidth="1"/>
    <col min="1549" max="1550" width="10.28515625" style="298" bestFit="1" customWidth="1"/>
    <col min="1551" max="1792" width="9.140625" style="298"/>
    <col min="1793" max="1793" width="4.85546875" style="298" customWidth="1"/>
    <col min="1794" max="1794" width="19.140625" style="298" customWidth="1"/>
    <col min="1795" max="1795" width="5.5703125" style="298" customWidth="1"/>
    <col min="1796" max="1796" width="23.85546875" style="298" customWidth="1"/>
    <col min="1797" max="1797" width="8.42578125" style="298" customWidth="1"/>
    <col min="1798" max="1798" width="8.28515625" style="298" customWidth="1"/>
    <col min="1799" max="1799" width="16.42578125" style="298" customWidth="1"/>
    <col min="1800" max="1800" width="3.7109375" style="298" customWidth="1"/>
    <col min="1801" max="1801" width="3.85546875" style="298" customWidth="1"/>
    <col min="1802" max="1802" width="5" style="298" customWidth="1"/>
    <col min="1803" max="1803" width="8" style="298" customWidth="1"/>
    <col min="1804" max="1804" width="7.5703125" style="298" customWidth="1"/>
    <col min="1805" max="1806" width="10.28515625" style="298" bestFit="1" customWidth="1"/>
    <col min="1807" max="2048" width="9.140625" style="298"/>
    <col min="2049" max="2049" width="4.85546875" style="298" customWidth="1"/>
    <col min="2050" max="2050" width="19.140625" style="298" customWidth="1"/>
    <col min="2051" max="2051" width="5.5703125" style="298" customWidth="1"/>
    <col min="2052" max="2052" width="23.85546875" style="298" customWidth="1"/>
    <col min="2053" max="2053" width="8.42578125" style="298" customWidth="1"/>
    <col min="2054" max="2054" width="8.28515625" style="298" customWidth="1"/>
    <col min="2055" max="2055" width="16.42578125" style="298" customWidth="1"/>
    <col min="2056" max="2056" width="3.7109375" style="298" customWidth="1"/>
    <col min="2057" max="2057" width="3.85546875" style="298" customWidth="1"/>
    <col min="2058" max="2058" width="5" style="298" customWidth="1"/>
    <col min="2059" max="2059" width="8" style="298" customWidth="1"/>
    <col min="2060" max="2060" width="7.5703125" style="298" customWidth="1"/>
    <col min="2061" max="2062" width="10.28515625" style="298" bestFit="1" customWidth="1"/>
    <col min="2063" max="2304" width="9.140625" style="298"/>
    <col min="2305" max="2305" width="4.85546875" style="298" customWidth="1"/>
    <col min="2306" max="2306" width="19.140625" style="298" customWidth="1"/>
    <col min="2307" max="2307" width="5.5703125" style="298" customWidth="1"/>
    <col min="2308" max="2308" width="23.85546875" style="298" customWidth="1"/>
    <col min="2309" max="2309" width="8.42578125" style="298" customWidth="1"/>
    <col min="2310" max="2310" width="8.28515625" style="298" customWidth="1"/>
    <col min="2311" max="2311" width="16.42578125" style="298" customWidth="1"/>
    <col min="2312" max="2312" width="3.7109375" style="298" customWidth="1"/>
    <col min="2313" max="2313" width="3.85546875" style="298" customWidth="1"/>
    <col min="2314" max="2314" width="5" style="298" customWidth="1"/>
    <col min="2315" max="2315" width="8" style="298" customWidth="1"/>
    <col min="2316" max="2316" width="7.5703125" style="298" customWidth="1"/>
    <col min="2317" max="2318" width="10.28515625" style="298" bestFit="1" customWidth="1"/>
    <col min="2319" max="2560" width="9.140625" style="298"/>
    <col min="2561" max="2561" width="4.85546875" style="298" customWidth="1"/>
    <col min="2562" max="2562" width="19.140625" style="298" customWidth="1"/>
    <col min="2563" max="2563" width="5.5703125" style="298" customWidth="1"/>
    <col min="2564" max="2564" width="23.85546875" style="298" customWidth="1"/>
    <col min="2565" max="2565" width="8.42578125" style="298" customWidth="1"/>
    <col min="2566" max="2566" width="8.28515625" style="298" customWidth="1"/>
    <col min="2567" max="2567" width="16.42578125" style="298" customWidth="1"/>
    <col min="2568" max="2568" width="3.7109375" style="298" customWidth="1"/>
    <col min="2569" max="2569" width="3.85546875" style="298" customWidth="1"/>
    <col min="2570" max="2570" width="5" style="298" customWidth="1"/>
    <col min="2571" max="2571" width="8" style="298" customWidth="1"/>
    <col min="2572" max="2572" width="7.5703125" style="298" customWidth="1"/>
    <col min="2573" max="2574" width="10.28515625" style="298" bestFit="1" customWidth="1"/>
    <col min="2575" max="2816" width="9.140625" style="298"/>
    <col min="2817" max="2817" width="4.85546875" style="298" customWidth="1"/>
    <col min="2818" max="2818" width="19.140625" style="298" customWidth="1"/>
    <col min="2819" max="2819" width="5.5703125" style="298" customWidth="1"/>
    <col min="2820" max="2820" width="23.85546875" style="298" customWidth="1"/>
    <col min="2821" max="2821" width="8.42578125" style="298" customWidth="1"/>
    <col min="2822" max="2822" width="8.28515625" style="298" customWidth="1"/>
    <col min="2823" max="2823" width="16.42578125" style="298" customWidth="1"/>
    <col min="2824" max="2824" width="3.7109375" style="298" customWidth="1"/>
    <col min="2825" max="2825" width="3.85546875" style="298" customWidth="1"/>
    <col min="2826" max="2826" width="5" style="298" customWidth="1"/>
    <col min="2827" max="2827" width="8" style="298" customWidth="1"/>
    <col min="2828" max="2828" width="7.5703125" style="298" customWidth="1"/>
    <col min="2829" max="2830" width="10.28515625" style="298" bestFit="1" customWidth="1"/>
    <col min="2831" max="3072" width="9.140625" style="298"/>
    <col min="3073" max="3073" width="4.85546875" style="298" customWidth="1"/>
    <col min="3074" max="3074" width="19.140625" style="298" customWidth="1"/>
    <col min="3075" max="3075" width="5.5703125" style="298" customWidth="1"/>
    <col min="3076" max="3076" width="23.85546875" style="298" customWidth="1"/>
    <col min="3077" max="3077" width="8.42578125" style="298" customWidth="1"/>
    <col min="3078" max="3078" width="8.28515625" style="298" customWidth="1"/>
    <col min="3079" max="3079" width="16.42578125" style="298" customWidth="1"/>
    <col min="3080" max="3080" width="3.7109375" style="298" customWidth="1"/>
    <col min="3081" max="3081" width="3.85546875" style="298" customWidth="1"/>
    <col min="3082" max="3082" width="5" style="298" customWidth="1"/>
    <col min="3083" max="3083" width="8" style="298" customWidth="1"/>
    <col min="3084" max="3084" width="7.5703125" style="298" customWidth="1"/>
    <col min="3085" max="3086" width="10.28515625" style="298" bestFit="1" customWidth="1"/>
    <col min="3087" max="3328" width="9.140625" style="298"/>
    <col min="3329" max="3329" width="4.85546875" style="298" customWidth="1"/>
    <col min="3330" max="3330" width="19.140625" style="298" customWidth="1"/>
    <col min="3331" max="3331" width="5.5703125" style="298" customWidth="1"/>
    <col min="3332" max="3332" width="23.85546875" style="298" customWidth="1"/>
    <col min="3333" max="3333" width="8.42578125" style="298" customWidth="1"/>
    <col min="3334" max="3334" width="8.28515625" style="298" customWidth="1"/>
    <col min="3335" max="3335" width="16.42578125" style="298" customWidth="1"/>
    <col min="3336" max="3336" width="3.7109375" style="298" customWidth="1"/>
    <col min="3337" max="3337" width="3.85546875" style="298" customWidth="1"/>
    <col min="3338" max="3338" width="5" style="298" customWidth="1"/>
    <col min="3339" max="3339" width="8" style="298" customWidth="1"/>
    <col min="3340" max="3340" width="7.5703125" style="298" customWidth="1"/>
    <col min="3341" max="3342" width="10.28515625" style="298" bestFit="1" customWidth="1"/>
    <col min="3343" max="3584" width="9.140625" style="298"/>
    <col min="3585" max="3585" width="4.85546875" style="298" customWidth="1"/>
    <col min="3586" max="3586" width="19.140625" style="298" customWidth="1"/>
    <col min="3587" max="3587" width="5.5703125" style="298" customWidth="1"/>
    <col min="3588" max="3588" width="23.85546875" style="298" customWidth="1"/>
    <col min="3589" max="3589" width="8.42578125" style="298" customWidth="1"/>
    <col min="3590" max="3590" width="8.28515625" style="298" customWidth="1"/>
    <col min="3591" max="3591" width="16.42578125" style="298" customWidth="1"/>
    <col min="3592" max="3592" width="3.7109375" style="298" customWidth="1"/>
    <col min="3593" max="3593" width="3.85546875" style="298" customWidth="1"/>
    <col min="3594" max="3594" width="5" style="298" customWidth="1"/>
    <col min="3595" max="3595" width="8" style="298" customWidth="1"/>
    <col min="3596" max="3596" width="7.5703125" style="298" customWidth="1"/>
    <col min="3597" max="3598" width="10.28515625" style="298" bestFit="1" customWidth="1"/>
    <col min="3599" max="3840" width="9.140625" style="298"/>
    <col min="3841" max="3841" width="4.85546875" style="298" customWidth="1"/>
    <col min="3842" max="3842" width="19.140625" style="298" customWidth="1"/>
    <col min="3843" max="3843" width="5.5703125" style="298" customWidth="1"/>
    <col min="3844" max="3844" width="23.85546875" style="298" customWidth="1"/>
    <col min="3845" max="3845" width="8.42578125" style="298" customWidth="1"/>
    <col min="3846" max="3846" width="8.28515625" style="298" customWidth="1"/>
    <col min="3847" max="3847" width="16.42578125" style="298" customWidth="1"/>
    <col min="3848" max="3848" width="3.7109375" style="298" customWidth="1"/>
    <col min="3849" max="3849" width="3.85546875" style="298" customWidth="1"/>
    <col min="3850" max="3850" width="5" style="298" customWidth="1"/>
    <col min="3851" max="3851" width="8" style="298" customWidth="1"/>
    <col min="3852" max="3852" width="7.5703125" style="298" customWidth="1"/>
    <col min="3853" max="3854" width="10.28515625" style="298" bestFit="1" customWidth="1"/>
    <col min="3855" max="4096" width="9.140625" style="298"/>
    <col min="4097" max="4097" width="4.85546875" style="298" customWidth="1"/>
    <col min="4098" max="4098" width="19.140625" style="298" customWidth="1"/>
    <col min="4099" max="4099" width="5.5703125" style="298" customWidth="1"/>
    <col min="4100" max="4100" width="23.85546875" style="298" customWidth="1"/>
    <col min="4101" max="4101" width="8.42578125" style="298" customWidth="1"/>
    <col min="4102" max="4102" width="8.28515625" style="298" customWidth="1"/>
    <col min="4103" max="4103" width="16.42578125" style="298" customWidth="1"/>
    <col min="4104" max="4104" width="3.7109375" style="298" customWidth="1"/>
    <col min="4105" max="4105" width="3.85546875" style="298" customWidth="1"/>
    <col min="4106" max="4106" width="5" style="298" customWidth="1"/>
    <col min="4107" max="4107" width="8" style="298" customWidth="1"/>
    <col min="4108" max="4108" width="7.5703125" style="298" customWidth="1"/>
    <col min="4109" max="4110" width="10.28515625" style="298" bestFit="1" customWidth="1"/>
    <col min="4111" max="4352" width="9.140625" style="298"/>
    <col min="4353" max="4353" width="4.85546875" style="298" customWidth="1"/>
    <col min="4354" max="4354" width="19.140625" style="298" customWidth="1"/>
    <col min="4355" max="4355" width="5.5703125" style="298" customWidth="1"/>
    <col min="4356" max="4356" width="23.85546875" style="298" customWidth="1"/>
    <col min="4357" max="4357" width="8.42578125" style="298" customWidth="1"/>
    <col min="4358" max="4358" width="8.28515625" style="298" customWidth="1"/>
    <col min="4359" max="4359" width="16.42578125" style="298" customWidth="1"/>
    <col min="4360" max="4360" width="3.7109375" style="298" customWidth="1"/>
    <col min="4361" max="4361" width="3.85546875" style="298" customWidth="1"/>
    <col min="4362" max="4362" width="5" style="298" customWidth="1"/>
    <col min="4363" max="4363" width="8" style="298" customWidth="1"/>
    <col min="4364" max="4364" width="7.5703125" style="298" customWidth="1"/>
    <col min="4365" max="4366" width="10.28515625" style="298" bestFit="1" customWidth="1"/>
    <col min="4367" max="4608" width="9.140625" style="298"/>
    <col min="4609" max="4609" width="4.85546875" style="298" customWidth="1"/>
    <col min="4610" max="4610" width="19.140625" style="298" customWidth="1"/>
    <col min="4611" max="4611" width="5.5703125" style="298" customWidth="1"/>
    <col min="4612" max="4612" width="23.85546875" style="298" customWidth="1"/>
    <col min="4613" max="4613" width="8.42578125" style="298" customWidth="1"/>
    <col min="4614" max="4614" width="8.28515625" style="298" customWidth="1"/>
    <col min="4615" max="4615" width="16.42578125" style="298" customWidth="1"/>
    <col min="4616" max="4616" width="3.7109375" style="298" customWidth="1"/>
    <col min="4617" max="4617" width="3.85546875" style="298" customWidth="1"/>
    <col min="4618" max="4618" width="5" style="298" customWidth="1"/>
    <col min="4619" max="4619" width="8" style="298" customWidth="1"/>
    <col min="4620" max="4620" width="7.5703125" style="298" customWidth="1"/>
    <col min="4621" max="4622" width="10.28515625" style="298" bestFit="1" customWidth="1"/>
    <col min="4623" max="4864" width="9.140625" style="298"/>
    <col min="4865" max="4865" width="4.85546875" style="298" customWidth="1"/>
    <col min="4866" max="4866" width="19.140625" style="298" customWidth="1"/>
    <col min="4867" max="4867" width="5.5703125" style="298" customWidth="1"/>
    <col min="4868" max="4868" width="23.85546875" style="298" customWidth="1"/>
    <col min="4869" max="4869" width="8.42578125" style="298" customWidth="1"/>
    <col min="4870" max="4870" width="8.28515625" style="298" customWidth="1"/>
    <col min="4871" max="4871" width="16.42578125" style="298" customWidth="1"/>
    <col min="4872" max="4872" width="3.7109375" style="298" customWidth="1"/>
    <col min="4873" max="4873" width="3.85546875" style="298" customWidth="1"/>
    <col min="4874" max="4874" width="5" style="298" customWidth="1"/>
    <col min="4875" max="4875" width="8" style="298" customWidth="1"/>
    <col min="4876" max="4876" width="7.5703125" style="298" customWidth="1"/>
    <col min="4877" max="4878" width="10.28515625" style="298" bestFit="1" customWidth="1"/>
    <col min="4879" max="5120" width="9.140625" style="298"/>
    <col min="5121" max="5121" width="4.85546875" style="298" customWidth="1"/>
    <col min="5122" max="5122" width="19.140625" style="298" customWidth="1"/>
    <col min="5123" max="5123" width="5.5703125" style="298" customWidth="1"/>
    <col min="5124" max="5124" width="23.85546875" style="298" customWidth="1"/>
    <col min="5125" max="5125" width="8.42578125" style="298" customWidth="1"/>
    <col min="5126" max="5126" width="8.28515625" style="298" customWidth="1"/>
    <col min="5127" max="5127" width="16.42578125" style="298" customWidth="1"/>
    <col min="5128" max="5128" width="3.7109375" style="298" customWidth="1"/>
    <col min="5129" max="5129" width="3.85546875" style="298" customWidth="1"/>
    <col min="5130" max="5130" width="5" style="298" customWidth="1"/>
    <col min="5131" max="5131" width="8" style="298" customWidth="1"/>
    <col min="5132" max="5132" width="7.5703125" style="298" customWidth="1"/>
    <col min="5133" max="5134" width="10.28515625" style="298" bestFit="1" customWidth="1"/>
    <col min="5135" max="5376" width="9.140625" style="298"/>
    <col min="5377" max="5377" width="4.85546875" style="298" customWidth="1"/>
    <col min="5378" max="5378" width="19.140625" style="298" customWidth="1"/>
    <col min="5379" max="5379" width="5.5703125" style="298" customWidth="1"/>
    <col min="5380" max="5380" width="23.85546875" style="298" customWidth="1"/>
    <col min="5381" max="5381" width="8.42578125" style="298" customWidth="1"/>
    <col min="5382" max="5382" width="8.28515625" style="298" customWidth="1"/>
    <col min="5383" max="5383" width="16.42578125" style="298" customWidth="1"/>
    <col min="5384" max="5384" width="3.7109375" style="298" customWidth="1"/>
    <col min="5385" max="5385" width="3.85546875" style="298" customWidth="1"/>
    <col min="5386" max="5386" width="5" style="298" customWidth="1"/>
    <col min="5387" max="5387" width="8" style="298" customWidth="1"/>
    <col min="5388" max="5388" width="7.5703125" style="298" customWidth="1"/>
    <col min="5389" max="5390" width="10.28515625" style="298" bestFit="1" customWidth="1"/>
    <col min="5391" max="5632" width="9.140625" style="298"/>
    <col min="5633" max="5633" width="4.85546875" style="298" customWidth="1"/>
    <col min="5634" max="5634" width="19.140625" style="298" customWidth="1"/>
    <col min="5635" max="5635" width="5.5703125" style="298" customWidth="1"/>
    <col min="5636" max="5636" width="23.85546875" style="298" customWidth="1"/>
    <col min="5637" max="5637" width="8.42578125" style="298" customWidth="1"/>
    <col min="5638" max="5638" width="8.28515625" style="298" customWidth="1"/>
    <col min="5639" max="5639" width="16.42578125" style="298" customWidth="1"/>
    <col min="5640" max="5640" width="3.7109375" style="298" customWidth="1"/>
    <col min="5641" max="5641" width="3.85546875" style="298" customWidth="1"/>
    <col min="5642" max="5642" width="5" style="298" customWidth="1"/>
    <col min="5643" max="5643" width="8" style="298" customWidth="1"/>
    <col min="5644" max="5644" width="7.5703125" style="298" customWidth="1"/>
    <col min="5645" max="5646" width="10.28515625" style="298" bestFit="1" customWidth="1"/>
    <col min="5647" max="5888" width="9.140625" style="298"/>
    <col min="5889" max="5889" width="4.85546875" style="298" customWidth="1"/>
    <col min="5890" max="5890" width="19.140625" style="298" customWidth="1"/>
    <col min="5891" max="5891" width="5.5703125" style="298" customWidth="1"/>
    <col min="5892" max="5892" width="23.85546875" style="298" customWidth="1"/>
    <col min="5893" max="5893" width="8.42578125" style="298" customWidth="1"/>
    <col min="5894" max="5894" width="8.28515625" style="298" customWidth="1"/>
    <col min="5895" max="5895" width="16.42578125" style="298" customWidth="1"/>
    <col min="5896" max="5896" width="3.7109375" style="298" customWidth="1"/>
    <col min="5897" max="5897" width="3.85546875" style="298" customWidth="1"/>
    <col min="5898" max="5898" width="5" style="298" customWidth="1"/>
    <col min="5899" max="5899" width="8" style="298" customWidth="1"/>
    <col min="5900" max="5900" width="7.5703125" style="298" customWidth="1"/>
    <col min="5901" max="5902" width="10.28515625" style="298" bestFit="1" customWidth="1"/>
    <col min="5903" max="6144" width="9.140625" style="298"/>
    <col min="6145" max="6145" width="4.85546875" style="298" customWidth="1"/>
    <col min="6146" max="6146" width="19.140625" style="298" customWidth="1"/>
    <col min="6147" max="6147" width="5.5703125" style="298" customWidth="1"/>
    <col min="6148" max="6148" width="23.85546875" style="298" customWidth="1"/>
    <col min="6149" max="6149" width="8.42578125" style="298" customWidth="1"/>
    <col min="6150" max="6150" width="8.28515625" style="298" customWidth="1"/>
    <col min="6151" max="6151" width="16.42578125" style="298" customWidth="1"/>
    <col min="6152" max="6152" width="3.7109375" style="298" customWidth="1"/>
    <col min="6153" max="6153" width="3.85546875" style="298" customWidth="1"/>
    <col min="6154" max="6154" width="5" style="298" customWidth="1"/>
    <col min="6155" max="6155" width="8" style="298" customWidth="1"/>
    <col min="6156" max="6156" width="7.5703125" style="298" customWidth="1"/>
    <col min="6157" max="6158" width="10.28515625" style="298" bestFit="1" customWidth="1"/>
    <col min="6159" max="6400" width="9.140625" style="298"/>
    <col min="6401" max="6401" width="4.85546875" style="298" customWidth="1"/>
    <col min="6402" max="6402" width="19.140625" style="298" customWidth="1"/>
    <col min="6403" max="6403" width="5.5703125" style="298" customWidth="1"/>
    <col min="6404" max="6404" width="23.85546875" style="298" customWidth="1"/>
    <col min="6405" max="6405" width="8.42578125" style="298" customWidth="1"/>
    <col min="6406" max="6406" width="8.28515625" style="298" customWidth="1"/>
    <col min="6407" max="6407" width="16.42578125" style="298" customWidth="1"/>
    <col min="6408" max="6408" width="3.7109375" style="298" customWidth="1"/>
    <col min="6409" max="6409" width="3.85546875" style="298" customWidth="1"/>
    <col min="6410" max="6410" width="5" style="298" customWidth="1"/>
    <col min="6411" max="6411" width="8" style="298" customWidth="1"/>
    <col min="6412" max="6412" width="7.5703125" style="298" customWidth="1"/>
    <col min="6413" max="6414" width="10.28515625" style="298" bestFit="1" customWidth="1"/>
    <col min="6415" max="6656" width="9.140625" style="298"/>
    <col min="6657" max="6657" width="4.85546875" style="298" customWidth="1"/>
    <col min="6658" max="6658" width="19.140625" style="298" customWidth="1"/>
    <col min="6659" max="6659" width="5.5703125" style="298" customWidth="1"/>
    <col min="6660" max="6660" width="23.85546875" style="298" customWidth="1"/>
    <col min="6661" max="6661" width="8.42578125" style="298" customWidth="1"/>
    <col min="6662" max="6662" width="8.28515625" style="298" customWidth="1"/>
    <col min="6663" max="6663" width="16.42578125" style="298" customWidth="1"/>
    <col min="6664" max="6664" width="3.7109375" style="298" customWidth="1"/>
    <col min="6665" max="6665" width="3.85546875" style="298" customWidth="1"/>
    <col min="6666" max="6666" width="5" style="298" customWidth="1"/>
    <col min="6667" max="6667" width="8" style="298" customWidth="1"/>
    <col min="6668" max="6668" width="7.5703125" style="298" customWidth="1"/>
    <col min="6669" max="6670" width="10.28515625" style="298" bestFit="1" customWidth="1"/>
    <col min="6671" max="6912" width="9.140625" style="298"/>
    <col min="6913" max="6913" width="4.85546875" style="298" customWidth="1"/>
    <col min="6914" max="6914" width="19.140625" style="298" customWidth="1"/>
    <col min="6915" max="6915" width="5.5703125" style="298" customWidth="1"/>
    <col min="6916" max="6916" width="23.85546875" style="298" customWidth="1"/>
    <col min="6917" max="6917" width="8.42578125" style="298" customWidth="1"/>
    <col min="6918" max="6918" width="8.28515625" style="298" customWidth="1"/>
    <col min="6919" max="6919" width="16.42578125" style="298" customWidth="1"/>
    <col min="6920" max="6920" width="3.7109375" style="298" customWidth="1"/>
    <col min="6921" max="6921" width="3.85546875" style="298" customWidth="1"/>
    <col min="6922" max="6922" width="5" style="298" customWidth="1"/>
    <col min="6923" max="6923" width="8" style="298" customWidth="1"/>
    <col min="6924" max="6924" width="7.5703125" style="298" customWidth="1"/>
    <col min="6925" max="6926" width="10.28515625" style="298" bestFit="1" customWidth="1"/>
    <col min="6927" max="7168" width="9.140625" style="298"/>
    <col min="7169" max="7169" width="4.85546875" style="298" customWidth="1"/>
    <col min="7170" max="7170" width="19.140625" style="298" customWidth="1"/>
    <col min="7171" max="7171" width="5.5703125" style="298" customWidth="1"/>
    <col min="7172" max="7172" width="23.85546875" style="298" customWidth="1"/>
    <col min="7173" max="7173" width="8.42578125" style="298" customWidth="1"/>
    <col min="7174" max="7174" width="8.28515625" style="298" customWidth="1"/>
    <col min="7175" max="7175" width="16.42578125" style="298" customWidth="1"/>
    <col min="7176" max="7176" width="3.7109375" style="298" customWidth="1"/>
    <col min="7177" max="7177" width="3.85546875" style="298" customWidth="1"/>
    <col min="7178" max="7178" width="5" style="298" customWidth="1"/>
    <col min="7179" max="7179" width="8" style="298" customWidth="1"/>
    <col min="7180" max="7180" width="7.5703125" style="298" customWidth="1"/>
    <col min="7181" max="7182" width="10.28515625" style="298" bestFit="1" customWidth="1"/>
    <col min="7183" max="7424" width="9.140625" style="298"/>
    <col min="7425" max="7425" width="4.85546875" style="298" customWidth="1"/>
    <col min="7426" max="7426" width="19.140625" style="298" customWidth="1"/>
    <col min="7427" max="7427" width="5.5703125" style="298" customWidth="1"/>
    <col min="7428" max="7428" width="23.85546875" style="298" customWidth="1"/>
    <col min="7429" max="7429" width="8.42578125" style="298" customWidth="1"/>
    <col min="7430" max="7430" width="8.28515625" style="298" customWidth="1"/>
    <col min="7431" max="7431" width="16.42578125" style="298" customWidth="1"/>
    <col min="7432" max="7432" width="3.7109375" style="298" customWidth="1"/>
    <col min="7433" max="7433" width="3.85546875" style="298" customWidth="1"/>
    <col min="7434" max="7434" width="5" style="298" customWidth="1"/>
    <col min="7435" max="7435" width="8" style="298" customWidth="1"/>
    <col min="7436" max="7436" width="7.5703125" style="298" customWidth="1"/>
    <col min="7437" max="7438" width="10.28515625" style="298" bestFit="1" customWidth="1"/>
    <col min="7439" max="7680" width="9.140625" style="298"/>
    <col min="7681" max="7681" width="4.85546875" style="298" customWidth="1"/>
    <col min="7682" max="7682" width="19.140625" style="298" customWidth="1"/>
    <col min="7683" max="7683" width="5.5703125" style="298" customWidth="1"/>
    <col min="7684" max="7684" width="23.85546875" style="298" customWidth="1"/>
    <col min="7685" max="7685" width="8.42578125" style="298" customWidth="1"/>
    <col min="7686" max="7686" width="8.28515625" style="298" customWidth="1"/>
    <col min="7687" max="7687" width="16.42578125" style="298" customWidth="1"/>
    <col min="7688" max="7688" width="3.7109375" style="298" customWidth="1"/>
    <col min="7689" max="7689" width="3.85546875" style="298" customWidth="1"/>
    <col min="7690" max="7690" width="5" style="298" customWidth="1"/>
    <col min="7691" max="7691" width="8" style="298" customWidth="1"/>
    <col min="7692" max="7692" width="7.5703125" style="298" customWidth="1"/>
    <col min="7693" max="7694" width="10.28515625" style="298" bestFit="1" customWidth="1"/>
    <col min="7695" max="7936" width="9.140625" style="298"/>
    <col min="7937" max="7937" width="4.85546875" style="298" customWidth="1"/>
    <col min="7938" max="7938" width="19.140625" style="298" customWidth="1"/>
    <col min="7939" max="7939" width="5.5703125" style="298" customWidth="1"/>
    <col min="7940" max="7940" width="23.85546875" style="298" customWidth="1"/>
    <col min="7941" max="7941" width="8.42578125" style="298" customWidth="1"/>
    <col min="7942" max="7942" width="8.28515625" style="298" customWidth="1"/>
    <col min="7943" max="7943" width="16.42578125" style="298" customWidth="1"/>
    <col min="7944" max="7944" width="3.7109375" style="298" customWidth="1"/>
    <col min="7945" max="7945" width="3.85546875" style="298" customWidth="1"/>
    <col min="7946" max="7946" width="5" style="298" customWidth="1"/>
    <col min="7947" max="7947" width="8" style="298" customWidth="1"/>
    <col min="7948" max="7948" width="7.5703125" style="298" customWidth="1"/>
    <col min="7949" max="7950" width="10.28515625" style="298" bestFit="1" customWidth="1"/>
    <col min="7951" max="8192" width="9.140625" style="298"/>
    <col min="8193" max="8193" width="4.85546875" style="298" customWidth="1"/>
    <col min="8194" max="8194" width="19.140625" style="298" customWidth="1"/>
    <col min="8195" max="8195" width="5.5703125" style="298" customWidth="1"/>
    <col min="8196" max="8196" width="23.85546875" style="298" customWidth="1"/>
    <col min="8197" max="8197" width="8.42578125" style="298" customWidth="1"/>
    <col min="8198" max="8198" width="8.28515625" style="298" customWidth="1"/>
    <col min="8199" max="8199" width="16.42578125" style="298" customWidth="1"/>
    <col min="8200" max="8200" width="3.7109375" style="298" customWidth="1"/>
    <col min="8201" max="8201" width="3.85546875" style="298" customWidth="1"/>
    <col min="8202" max="8202" width="5" style="298" customWidth="1"/>
    <col min="8203" max="8203" width="8" style="298" customWidth="1"/>
    <col min="8204" max="8204" width="7.5703125" style="298" customWidth="1"/>
    <col min="8205" max="8206" width="10.28515625" style="298" bestFit="1" customWidth="1"/>
    <col min="8207" max="8448" width="9.140625" style="298"/>
    <col min="8449" max="8449" width="4.85546875" style="298" customWidth="1"/>
    <col min="8450" max="8450" width="19.140625" style="298" customWidth="1"/>
    <col min="8451" max="8451" width="5.5703125" style="298" customWidth="1"/>
    <col min="8452" max="8452" width="23.85546875" style="298" customWidth="1"/>
    <col min="8453" max="8453" width="8.42578125" style="298" customWidth="1"/>
    <col min="8454" max="8454" width="8.28515625" style="298" customWidth="1"/>
    <col min="8455" max="8455" width="16.42578125" style="298" customWidth="1"/>
    <col min="8456" max="8456" width="3.7109375" style="298" customWidth="1"/>
    <col min="8457" max="8457" width="3.85546875" style="298" customWidth="1"/>
    <col min="8458" max="8458" width="5" style="298" customWidth="1"/>
    <col min="8459" max="8459" width="8" style="298" customWidth="1"/>
    <col min="8460" max="8460" width="7.5703125" style="298" customWidth="1"/>
    <col min="8461" max="8462" width="10.28515625" style="298" bestFit="1" customWidth="1"/>
    <col min="8463" max="8704" width="9.140625" style="298"/>
    <col min="8705" max="8705" width="4.85546875" style="298" customWidth="1"/>
    <col min="8706" max="8706" width="19.140625" style="298" customWidth="1"/>
    <col min="8707" max="8707" width="5.5703125" style="298" customWidth="1"/>
    <col min="8708" max="8708" width="23.85546875" style="298" customWidth="1"/>
    <col min="8709" max="8709" width="8.42578125" style="298" customWidth="1"/>
    <col min="8710" max="8710" width="8.28515625" style="298" customWidth="1"/>
    <col min="8711" max="8711" width="16.42578125" style="298" customWidth="1"/>
    <col min="8712" max="8712" width="3.7109375" style="298" customWidth="1"/>
    <col min="8713" max="8713" width="3.85546875" style="298" customWidth="1"/>
    <col min="8714" max="8714" width="5" style="298" customWidth="1"/>
    <col min="8715" max="8715" width="8" style="298" customWidth="1"/>
    <col min="8716" max="8716" width="7.5703125" style="298" customWidth="1"/>
    <col min="8717" max="8718" width="10.28515625" style="298" bestFit="1" customWidth="1"/>
    <col min="8719" max="8960" width="9.140625" style="298"/>
    <col min="8961" max="8961" width="4.85546875" style="298" customWidth="1"/>
    <col min="8962" max="8962" width="19.140625" style="298" customWidth="1"/>
    <col min="8963" max="8963" width="5.5703125" style="298" customWidth="1"/>
    <col min="8964" max="8964" width="23.85546875" style="298" customWidth="1"/>
    <col min="8965" max="8965" width="8.42578125" style="298" customWidth="1"/>
    <col min="8966" max="8966" width="8.28515625" style="298" customWidth="1"/>
    <col min="8967" max="8967" width="16.42578125" style="298" customWidth="1"/>
    <col min="8968" max="8968" width="3.7109375" style="298" customWidth="1"/>
    <col min="8969" max="8969" width="3.85546875" style="298" customWidth="1"/>
    <col min="8970" max="8970" width="5" style="298" customWidth="1"/>
    <col min="8971" max="8971" width="8" style="298" customWidth="1"/>
    <col min="8972" max="8972" width="7.5703125" style="298" customWidth="1"/>
    <col min="8973" max="8974" width="10.28515625" style="298" bestFit="1" customWidth="1"/>
    <col min="8975" max="9216" width="9.140625" style="298"/>
    <col min="9217" max="9217" width="4.85546875" style="298" customWidth="1"/>
    <col min="9218" max="9218" width="19.140625" style="298" customWidth="1"/>
    <col min="9219" max="9219" width="5.5703125" style="298" customWidth="1"/>
    <col min="9220" max="9220" width="23.85546875" style="298" customWidth="1"/>
    <col min="9221" max="9221" width="8.42578125" style="298" customWidth="1"/>
    <col min="9222" max="9222" width="8.28515625" style="298" customWidth="1"/>
    <col min="9223" max="9223" width="16.42578125" style="298" customWidth="1"/>
    <col min="9224" max="9224" width="3.7109375" style="298" customWidth="1"/>
    <col min="9225" max="9225" width="3.85546875" style="298" customWidth="1"/>
    <col min="9226" max="9226" width="5" style="298" customWidth="1"/>
    <col min="9227" max="9227" width="8" style="298" customWidth="1"/>
    <col min="9228" max="9228" width="7.5703125" style="298" customWidth="1"/>
    <col min="9229" max="9230" width="10.28515625" style="298" bestFit="1" customWidth="1"/>
    <col min="9231" max="9472" width="9.140625" style="298"/>
    <col min="9473" max="9473" width="4.85546875" style="298" customWidth="1"/>
    <col min="9474" max="9474" width="19.140625" style="298" customWidth="1"/>
    <col min="9475" max="9475" width="5.5703125" style="298" customWidth="1"/>
    <col min="9476" max="9476" width="23.85546875" style="298" customWidth="1"/>
    <col min="9477" max="9477" width="8.42578125" style="298" customWidth="1"/>
    <col min="9478" max="9478" width="8.28515625" style="298" customWidth="1"/>
    <col min="9479" max="9479" width="16.42578125" style="298" customWidth="1"/>
    <col min="9480" max="9480" width="3.7109375" style="298" customWidth="1"/>
    <col min="9481" max="9481" width="3.85546875" style="298" customWidth="1"/>
    <col min="9482" max="9482" width="5" style="298" customWidth="1"/>
    <col min="9483" max="9483" width="8" style="298" customWidth="1"/>
    <col min="9484" max="9484" width="7.5703125" style="298" customWidth="1"/>
    <col min="9485" max="9486" width="10.28515625" style="298" bestFit="1" customWidth="1"/>
    <col min="9487" max="9728" width="9.140625" style="298"/>
    <col min="9729" max="9729" width="4.85546875" style="298" customWidth="1"/>
    <col min="9730" max="9730" width="19.140625" style="298" customWidth="1"/>
    <col min="9731" max="9731" width="5.5703125" style="298" customWidth="1"/>
    <col min="9732" max="9732" width="23.85546875" style="298" customWidth="1"/>
    <col min="9733" max="9733" width="8.42578125" style="298" customWidth="1"/>
    <col min="9734" max="9734" width="8.28515625" style="298" customWidth="1"/>
    <col min="9735" max="9735" width="16.42578125" style="298" customWidth="1"/>
    <col min="9736" max="9736" width="3.7109375" style="298" customWidth="1"/>
    <col min="9737" max="9737" width="3.85546875" style="298" customWidth="1"/>
    <col min="9738" max="9738" width="5" style="298" customWidth="1"/>
    <col min="9739" max="9739" width="8" style="298" customWidth="1"/>
    <col min="9740" max="9740" width="7.5703125" style="298" customWidth="1"/>
    <col min="9741" max="9742" width="10.28515625" style="298" bestFit="1" customWidth="1"/>
    <col min="9743" max="9984" width="9.140625" style="298"/>
    <col min="9985" max="9985" width="4.85546875" style="298" customWidth="1"/>
    <col min="9986" max="9986" width="19.140625" style="298" customWidth="1"/>
    <col min="9987" max="9987" width="5.5703125" style="298" customWidth="1"/>
    <col min="9988" max="9988" width="23.85546875" style="298" customWidth="1"/>
    <col min="9989" max="9989" width="8.42578125" style="298" customWidth="1"/>
    <col min="9990" max="9990" width="8.28515625" style="298" customWidth="1"/>
    <col min="9991" max="9991" width="16.42578125" style="298" customWidth="1"/>
    <col min="9992" max="9992" width="3.7109375" style="298" customWidth="1"/>
    <col min="9993" max="9993" width="3.85546875" style="298" customWidth="1"/>
    <col min="9994" max="9994" width="5" style="298" customWidth="1"/>
    <col min="9995" max="9995" width="8" style="298" customWidth="1"/>
    <col min="9996" max="9996" width="7.5703125" style="298" customWidth="1"/>
    <col min="9997" max="9998" width="10.28515625" style="298" bestFit="1" customWidth="1"/>
    <col min="9999" max="10240" width="9.140625" style="298"/>
    <col min="10241" max="10241" width="4.85546875" style="298" customWidth="1"/>
    <col min="10242" max="10242" width="19.140625" style="298" customWidth="1"/>
    <col min="10243" max="10243" width="5.5703125" style="298" customWidth="1"/>
    <col min="10244" max="10244" width="23.85546875" style="298" customWidth="1"/>
    <col min="10245" max="10245" width="8.42578125" style="298" customWidth="1"/>
    <col min="10246" max="10246" width="8.28515625" style="298" customWidth="1"/>
    <col min="10247" max="10247" width="16.42578125" style="298" customWidth="1"/>
    <col min="10248" max="10248" width="3.7109375" style="298" customWidth="1"/>
    <col min="10249" max="10249" width="3.85546875" style="298" customWidth="1"/>
    <col min="10250" max="10250" width="5" style="298" customWidth="1"/>
    <col min="10251" max="10251" width="8" style="298" customWidth="1"/>
    <col min="10252" max="10252" width="7.5703125" style="298" customWidth="1"/>
    <col min="10253" max="10254" width="10.28515625" style="298" bestFit="1" customWidth="1"/>
    <col min="10255" max="10496" width="9.140625" style="298"/>
    <col min="10497" max="10497" width="4.85546875" style="298" customWidth="1"/>
    <col min="10498" max="10498" width="19.140625" style="298" customWidth="1"/>
    <col min="10499" max="10499" width="5.5703125" style="298" customWidth="1"/>
    <col min="10500" max="10500" width="23.85546875" style="298" customWidth="1"/>
    <col min="10501" max="10501" width="8.42578125" style="298" customWidth="1"/>
    <col min="10502" max="10502" width="8.28515625" style="298" customWidth="1"/>
    <col min="10503" max="10503" width="16.42578125" style="298" customWidth="1"/>
    <col min="10504" max="10504" width="3.7109375" style="298" customWidth="1"/>
    <col min="10505" max="10505" width="3.85546875" style="298" customWidth="1"/>
    <col min="10506" max="10506" width="5" style="298" customWidth="1"/>
    <col min="10507" max="10507" width="8" style="298" customWidth="1"/>
    <col min="10508" max="10508" width="7.5703125" style="298" customWidth="1"/>
    <col min="10509" max="10510" width="10.28515625" style="298" bestFit="1" customWidth="1"/>
    <col min="10511" max="10752" width="9.140625" style="298"/>
    <col min="10753" max="10753" width="4.85546875" style="298" customWidth="1"/>
    <col min="10754" max="10754" width="19.140625" style="298" customWidth="1"/>
    <col min="10755" max="10755" width="5.5703125" style="298" customWidth="1"/>
    <col min="10756" max="10756" width="23.85546875" style="298" customWidth="1"/>
    <col min="10757" max="10757" width="8.42578125" style="298" customWidth="1"/>
    <col min="10758" max="10758" width="8.28515625" style="298" customWidth="1"/>
    <col min="10759" max="10759" width="16.42578125" style="298" customWidth="1"/>
    <col min="10760" max="10760" width="3.7109375" style="298" customWidth="1"/>
    <col min="10761" max="10761" width="3.85546875" style="298" customWidth="1"/>
    <col min="10762" max="10762" width="5" style="298" customWidth="1"/>
    <col min="10763" max="10763" width="8" style="298" customWidth="1"/>
    <col min="10764" max="10764" width="7.5703125" style="298" customWidth="1"/>
    <col min="10765" max="10766" width="10.28515625" style="298" bestFit="1" customWidth="1"/>
    <col min="10767" max="11008" width="9.140625" style="298"/>
    <col min="11009" max="11009" width="4.85546875" style="298" customWidth="1"/>
    <col min="11010" max="11010" width="19.140625" style="298" customWidth="1"/>
    <col min="11011" max="11011" width="5.5703125" style="298" customWidth="1"/>
    <col min="11012" max="11012" width="23.85546875" style="298" customWidth="1"/>
    <col min="11013" max="11013" width="8.42578125" style="298" customWidth="1"/>
    <col min="11014" max="11014" width="8.28515625" style="298" customWidth="1"/>
    <col min="11015" max="11015" width="16.42578125" style="298" customWidth="1"/>
    <col min="11016" max="11016" width="3.7109375" style="298" customWidth="1"/>
    <col min="11017" max="11017" width="3.85546875" style="298" customWidth="1"/>
    <col min="11018" max="11018" width="5" style="298" customWidth="1"/>
    <col min="11019" max="11019" width="8" style="298" customWidth="1"/>
    <col min="11020" max="11020" width="7.5703125" style="298" customWidth="1"/>
    <col min="11021" max="11022" width="10.28515625" style="298" bestFit="1" customWidth="1"/>
    <col min="11023" max="11264" width="9.140625" style="298"/>
    <col min="11265" max="11265" width="4.85546875" style="298" customWidth="1"/>
    <col min="11266" max="11266" width="19.140625" style="298" customWidth="1"/>
    <col min="11267" max="11267" width="5.5703125" style="298" customWidth="1"/>
    <col min="11268" max="11268" width="23.85546875" style="298" customWidth="1"/>
    <col min="11269" max="11269" width="8.42578125" style="298" customWidth="1"/>
    <col min="11270" max="11270" width="8.28515625" style="298" customWidth="1"/>
    <col min="11271" max="11271" width="16.42578125" style="298" customWidth="1"/>
    <col min="11272" max="11272" width="3.7109375" style="298" customWidth="1"/>
    <col min="11273" max="11273" width="3.85546875" style="298" customWidth="1"/>
    <col min="11274" max="11274" width="5" style="298" customWidth="1"/>
    <col min="11275" max="11275" width="8" style="298" customWidth="1"/>
    <col min="11276" max="11276" width="7.5703125" style="298" customWidth="1"/>
    <col min="11277" max="11278" width="10.28515625" style="298" bestFit="1" customWidth="1"/>
    <col min="11279" max="11520" width="9.140625" style="298"/>
    <col min="11521" max="11521" width="4.85546875" style="298" customWidth="1"/>
    <col min="11522" max="11522" width="19.140625" style="298" customWidth="1"/>
    <col min="11523" max="11523" width="5.5703125" style="298" customWidth="1"/>
    <col min="11524" max="11524" width="23.85546875" style="298" customWidth="1"/>
    <col min="11525" max="11525" width="8.42578125" style="298" customWidth="1"/>
    <col min="11526" max="11526" width="8.28515625" style="298" customWidth="1"/>
    <col min="11527" max="11527" width="16.42578125" style="298" customWidth="1"/>
    <col min="11528" max="11528" width="3.7109375" style="298" customWidth="1"/>
    <col min="11529" max="11529" width="3.85546875" style="298" customWidth="1"/>
    <col min="11530" max="11530" width="5" style="298" customWidth="1"/>
    <col min="11531" max="11531" width="8" style="298" customWidth="1"/>
    <col min="11532" max="11532" width="7.5703125" style="298" customWidth="1"/>
    <col min="11533" max="11534" width="10.28515625" style="298" bestFit="1" customWidth="1"/>
    <col min="11535" max="11776" width="9.140625" style="298"/>
    <col min="11777" max="11777" width="4.85546875" style="298" customWidth="1"/>
    <col min="11778" max="11778" width="19.140625" style="298" customWidth="1"/>
    <col min="11779" max="11779" width="5.5703125" style="298" customWidth="1"/>
    <col min="11780" max="11780" width="23.85546875" style="298" customWidth="1"/>
    <col min="11781" max="11781" width="8.42578125" style="298" customWidth="1"/>
    <col min="11782" max="11782" width="8.28515625" style="298" customWidth="1"/>
    <col min="11783" max="11783" width="16.42578125" style="298" customWidth="1"/>
    <col min="11784" max="11784" width="3.7109375" style="298" customWidth="1"/>
    <col min="11785" max="11785" width="3.85546875" style="298" customWidth="1"/>
    <col min="11786" max="11786" width="5" style="298" customWidth="1"/>
    <col min="11787" max="11787" width="8" style="298" customWidth="1"/>
    <col min="11788" max="11788" width="7.5703125" style="298" customWidth="1"/>
    <col min="11789" max="11790" width="10.28515625" style="298" bestFit="1" customWidth="1"/>
    <col min="11791" max="12032" width="9.140625" style="298"/>
    <col min="12033" max="12033" width="4.85546875" style="298" customWidth="1"/>
    <col min="12034" max="12034" width="19.140625" style="298" customWidth="1"/>
    <col min="12035" max="12035" width="5.5703125" style="298" customWidth="1"/>
    <col min="12036" max="12036" width="23.85546875" style="298" customWidth="1"/>
    <col min="12037" max="12037" width="8.42578125" style="298" customWidth="1"/>
    <col min="12038" max="12038" width="8.28515625" style="298" customWidth="1"/>
    <col min="12039" max="12039" width="16.42578125" style="298" customWidth="1"/>
    <col min="12040" max="12040" width="3.7109375" style="298" customWidth="1"/>
    <col min="12041" max="12041" width="3.85546875" style="298" customWidth="1"/>
    <col min="12042" max="12042" width="5" style="298" customWidth="1"/>
    <col min="12043" max="12043" width="8" style="298" customWidth="1"/>
    <col min="12044" max="12044" width="7.5703125" style="298" customWidth="1"/>
    <col min="12045" max="12046" width="10.28515625" style="298" bestFit="1" customWidth="1"/>
    <col min="12047" max="12288" width="9.140625" style="298"/>
    <col min="12289" max="12289" width="4.85546875" style="298" customWidth="1"/>
    <col min="12290" max="12290" width="19.140625" style="298" customWidth="1"/>
    <col min="12291" max="12291" width="5.5703125" style="298" customWidth="1"/>
    <col min="12292" max="12292" width="23.85546875" style="298" customWidth="1"/>
    <col min="12293" max="12293" width="8.42578125" style="298" customWidth="1"/>
    <col min="12294" max="12294" width="8.28515625" style="298" customWidth="1"/>
    <col min="12295" max="12295" width="16.42578125" style="298" customWidth="1"/>
    <col min="12296" max="12296" width="3.7109375" style="298" customWidth="1"/>
    <col min="12297" max="12297" width="3.85546875" style="298" customWidth="1"/>
    <col min="12298" max="12298" width="5" style="298" customWidth="1"/>
    <col min="12299" max="12299" width="8" style="298" customWidth="1"/>
    <col min="12300" max="12300" width="7.5703125" style="298" customWidth="1"/>
    <col min="12301" max="12302" width="10.28515625" style="298" bestFit="1" customWidth="1"/>
    <col min="12303" max="12544" width="9.140625" style="298"/>
    <col min="12545" max="12545" width="4.85546875" style="298" customWidth="1"/>
    <col min="12546" max="12546" width="19.140625" style="298" customWidth="1"/>
    <col min="12547" max="12547" width="5.5703125" style="298" customWidth="1"/>
    <col min="12548" max="12548" width="23.85546875" style="298" customWidth="1"/>
    <col min="12549" max="12549" width="8.42578125" style="298" customWidth="1"/>
    <col min="12550" max="12550" width="8.28515625" style="298" customWidth="1"/>
    <col min="12551" max="12551" width="16.42578125" style="298" customWidth="1"/>
    <col min="12552" max="12552" width="3.7109375" style="298" customWidth="1"/>
    <col min="12553" max="12553" width="3.85546875" style="298" customWidth="1"/>
    <col min="12554" max="12554" width="5" style="298" customWidth="1"/>
    <col min="12555" max="12555" width="8" style="298" customWidth="1"/>
    <col min="12556" max="12556" width="7.5703125" style="298" customWidth="1"/>
    <col min="12557" max="12558" width="10.28515625" style="298" bestFit="1" customWidth="1"/>
    <col min="12559" max="12800" width="9.140625" style="298"/>
    <col min="12801" max="12801" width="4.85546875" style="298" customWidth="1"/>
    <col min="12802" max="12802" width="19.140625" style="298" customWidth="1"/>
    <col min="12803" max="12803" width="5.5703125" style="298" customWidth="1"/>
    <col min="12804" max="12804" width="23.85546875" style="298" customWidth="1"/>
    <col min="12805" max="12805" width="8.42578125" style="298" customWidth="1"/>
    <col min="12806" max="12806" width="8.28515625" style="298" customWidth="1"/>
    <col min="12807" max="12807" width="16.42578125" style="298" customWidth="1"/>
    <col min="12808" max="12808" width="3.7109375" style="298" customWidth="1"/>
    <col min="12809" max="12809" width="3.85546875" style="298" customWidth="1"/>
    <col min="12810" max="12810" width="5" style="298" customWidth="1"/>
    <col min="12811" max="12811" width="8" style="298" customWidth="1"/>
    <col min="12812" max="12812" width="7.5703125" style="298" customWidth="1"/>
    <col min="12813" max="12814" width="10.28515625" style="298" bestFit="1" customWidth="1"/>
    <col min="12815" max="13056" width="9.140625" style="298"/>
    <col min="13057" max="13057" width="4.85546875" style="298" customWidth="1"/>
    <col min="13058" max="13058" width="19.140625" style="298" customWidth="1"/>
    <col min="13059" max="13059" width="5.5703125" style="298" customWidth="1"/>
    <col min="13060" max="13060" width="23.85546875" style="298" customWidth="1"/>
    <col min="13061" max="13061" width="8.42578125" style="298" customWidth="1"/>
    <col min="13062" max="13062" width="8.28515625" style="298" customWidth="1"/>
    <col min="13063" max="13063" width="16.42578125" style="298" customWidth="1"/>
    <col min="13064" max="13064" width="3.7109375" style="298" customWidth="1"/>
    <col min="13065" max="13065" width="3.85546875" style="298" customWidth="1"/>
    <col min="13066" max="13066" width="5" style="298" customWidth="1"/>
    <col min="13067" max="13067" width="8" style="298" customWidth="1"/>
    <col min="13068" max="13068" width="7.5703125" style="298" customWidth="1"/>
    <col min="13069" max="13070" width="10.28515625" style="298" bestFit="1" customWidth="1"/>
    <col min="13071" max="13312" width="9.140625" style="298"/>
    <col min="13313" max="13313" width="4.85546875" style="298" customWidth="1"/>
    <col min="13314" max="13314" width="19.140625" style="298" customWidth="1"/>
    <col min="13315" max="13315" width="5.5703125" style="298" customWidth="1"/>
    <col min="13316" max="13316" width="23.85546875" style="298" customWidth="1"/>
    <col min="13317" max="13317" width="8.42578125" style="298" customWidth="1"/>
    <col min="13318" max="13318" width="8.28515625" style="298" customWidth="1"/>
    <col min="13319" max="13319" width="16.42578125" style="298" customWidth="1"/>
    <col min="13320" max="13320" width="3.7109375" style="298" customWidth="1"/>
    <col min="13321" max="13321" width="3.85546875" style="298" customWidth="1"/>
    <col min="13322" max="13322" width="5" style="298" customWidth="1"/>
    <col min="13323" max="13323" width="8" style="298" customWidth="1"/>
    <col min="13324" max="13324" width="7.5703125" style="298" customWidth="1"/>
    <col min="13325" max="13326" width="10.28515625" style="298" bestFit="1" customWidth="1"/>
    <col min="13327" max="13568" width="9.140625" style="298"/>
    <col min="13569" max="13569" width="4.85546875" style="298" customWidth="1"/>
    <col min="13570" max="13570" width="19.140625" style="298" customWidth="1"/>
    <col min="13571" max="13571" width="5.5703125" style="298" customWidth="1"/>
    <col min="13572" max="13572" width="23.85546875" style="298" customWidth="1"/>
    <col min="13573" max="13573" width="8.42578125" style="298" customWidth="1"/>
    <col min="13574" max="13574" width="8.28515625" style="298" customWidth="1"/>
    <col min="13575" max="13575" width="16.42578125" style="298" customWidth="1"/>
    <col min="13576" max="13576" width="3.7109375" style="298" customWidth="1"/>
    <col min="13577" max="13577" width="3.85546875" style="298" customWidth="1"/>
    <col min="13578" max="13578" width="5" style="298" customWidth="1"/>
    <col min="13579" max="13579" width="8" style="298" customWidth="1"/>
    <col min="13580" max="13580" width="7.5703125" style="298" customWidth="1"/>
    <col min="13581" max="13582" width="10.28515625" style="298" bestFit="1" customWidth="1"/>
    <col min="13583" max="13824" width="9.140625" style="298"/>
    <col min="13825" max="13825" width="4.85546875" style="298" customWidth="1"/>
    <col min="13826" max="13826" width="19.140625" style="298" customWidth="1"/>
    <col min="13827" max="13827" width="5.5703125" style="298" customWidth="1"/>
    <col min="13828" max="13828" width="23.85546875" style="298" customWidth="1"/>
    <col min="13829" max="13829" width="8.42578125" style="298" customWidth="1"/>
    <col min="13830" max="13830" width="8.28515625" style="298" customWidth="1"/>
    <col min="13831" max="13831" width="16.42578125" style="298" customWidth="1"/>
    <col min="13832" max="13832" width="3.7109375" style="298" customWidth="1"/>
    <col min="13833" max="13833" width="3.85546875" style="298" customWidth="1"/>
    <col min="13834" max="13834" width="5" style="298" customWidth="1"/>
    <col min="13835" max="13835" width="8" style="298" customWidth="1"/>
    <col min="13836" max="13836" width="7.5703125" style="298" customWidth="1"/>
    <col min="13837" max="13838" width="10.28515625" style="298" bestFit="1" customWidth="1"/>
    <col min="13839" max="14080" width="9.140625" style="298"/>
    <col min="14081" max="14081" width="4.85546875" style="298" customWidth="1"/>
    <col min="14082" max="14082" width="19.140625" style="298" customWidth="1"/>
    <col min="14083" max="14083" width="5.5703125" style="298" customWidth="1"/>
    <col min="14084" max="14084" width="23.85546875" style="298" customWidth="1"/>
    <col min="14085" max="14085" width="8.42578125" style="298" customWidth="1"/>
    <col min="14086" max="14086" width="8.28515625" style="298" customWidth="1"/>
    <col min="14087" max="14087" width="16.42578125" style="298" customWidth="1"/>
    <col min="14088" max="14088" width="3.7109375" style="298" customWidth="1"/>
    <col min="14089" max="14089" width="3.85546875" style="298" customWidth="1"/>
    <col min="14090" max="14090" width="5" style="298" customWidth="1"/>
    <col min="14091" max="14091" width="8" style="298" customWidth="1"/>
    <col min="14092" max="14092" width="7.5703125" style="298" customWidth="1"/>
    <col min="14093" max="14094" width="10.28515625" style="298" bestFit="1" customWidth="1"/>
    <col min="14095" max="14336" width="9.140625" style="298"/>
    <col min="14337" max="14337" width="4.85546875" style="298" customWidth="1"/>
    <col min="14338" max="14338" width="19.140625" style="298" customWidth="1"/>
    <col min="14339" max="14339" width="5.5703125" style="298" customWidth="1"/>
    <col min="14340" max="14340" width="23.85546875" style="298" customWidth="1"/>
    <col min="14341" max="14341" width="8.42578125" style="298" customWidth="1"/>
    <col min="14342" max="14342" width="8.28515625" style="298" customWidth="1"/>
    <col min="14343" max="14343" width="16.42578125" style="298" customWidth="1"/>
    <col min="14344" max="14344" width="3.7109375" style="298" customWidth="1"/>
    <col min="14345" max="14345" width="3.85546875" style="298" customWidth="1"/>
    <col min="14346" max="14346" width="5" style="298" customWidth="1"/>
    <col min="14347" max="14347" width="8" style="298" customWidth="1"/>
    <col min="14348" max="14348" width="7.5703125" style="298" customWidth="1"/>
    <col min="14349" max="14350" width="10.28515625" style="298" bestFit="1" customWidth="1"/>
    <col min="14351" max="14592" width="9.140625" style="298"/>
    <col min="14593" max="14593" width="4.85546875" style="298" customWidth="1"/>
    <col min="14594" max="14594" width="19.140625" style="298" customWidth="1"/>
    <col min="14595" max="14595" width="5.5703125" style="298" customWidth="1"/>
    <col min="14596" max="14596" width="23.85546875" style="298" customWidth="1"/>
    <col min="14597" max="14597" width="8.42578125" style="298" customWidth="1"/>
    <col min="14598" max="14598" width="8.28515625" style="298" customWidth="1"/>
    <col min="14599" max="14599" width="16.42578125" style="298" customWidth="1"/>
    <col min="14600" max="14600" width="3.7109375" style="298" customWidth="1"/>
    <col min="14601" max="14601" width="3.85546875" style="298" customWidth="1"/>
    <col min="14602" max="14602" width="5" style="298" customWidth="1"/>
    <col min="14603" max="14603" width="8" style="298" customWidth="1"/>
    <col min="14604" max="14604" width="7.5703125" style="298" customWidth="1"/>
    <col min="14605" max="14606" width="10.28515625" style="298" bestFit="1" customWidth="1"/>
    <col min="14607" max="14848" width="9.140625" style="298"/>
    <col min="14849" max="14849" width="4.85546875" style="298" customWidth="1"/>
    <col min="14850" max="14850" width="19.140625" style="298" customWidth="1"/>
    <col min="14851" max="14851" width="5.5703125" style="298" customWidth="1"/>
    <col min="14852" max="14852" width="23.85546875" style="298" customWidth="1"/>
    <col min="14853" max="14853" width="8.42578125" style="298" customWidth="1"/>
    <col min="14854" max="14854" width="8.28515625" style="298" customWidth="1"/>
    <col min="14855" max="14855" width="16.42578125" style="298" customWidth="1"/>
    <col min="14856" max="14856" width="3.7109375" style="298" customWidth="1"/>
    <col min="14857" max="14857" width="3.85546875" style="298" customWidth="1"/>
    <col min="14858" max="14858" width="5" style="298" customWidth="1"/>
    <col min="14859" max="14859" width="8" style="298" customWidth="1"/>
    <col min="14860" max="14860" width="7.5703125" style="298" customWidth="1"/>
    <col min="14861" max="14862" width="10.28515625" style="298" bestFit="1" customWidth="1"/>
    <col min="14863" max="15104" width="9.140625" style="298"/>
    <col min="15105" max="15105" width="4.85546875" style="298" customWidth="1"/>
    <col min="15106" max="15106" width="19.140625" style="298" customWidth="1"/>
    <col min="15107" max="15107" width="5.5703125" style="298" customWidth="1"/>
    <col min="15108" max="15108" width="23.85546875" style="298" customWidth="1"/>
    <col min="15109" max="15109" width="8.42578125" style="298" customWidth="1"/>
    <col min="15110" max="15110" width="8.28515625" style="298" customWidth="1"/>
    <col min="15111" max="15111" width="16.42578125" style="298" customWidth="1"/>
    <col min="15112" max="15112" width="3.7109375" style="298" customWidth="1"/>
    <col min="15113" max="15113" width="3.85546875" style="298" customWidth="1"/>
    <col min="15114" max="15114" width="5" style="298" customWidth="1"/>
    <col min="15115" max="15115" width="8" style="298" customWidth="1"/>
    <col min="15116" max="15116" width="7.5703125" style="298" customWidth="1"/>
    <col min="15117" max="15118" width="10.28515625" style="298" bestFit="1" customWidth="1"/>
    <col min="15119" max="15360" width="9.140625" style="298"/>
    <col min="15361" max="15361" width="4.85546875" style="298" customWidth="1"/>
    <col min="15362" max="15362" width="19.140625" style="298" customWidth="1"/>
    <col min="15363" max="15363" width="5.5703125" style="298" customWidth="1"/>
    <col min="15364" max="15364" width="23.85546875" style="298" customWidth="1"/>
    <col min="15365" max="15365" width="8.42578125" style="298" customWidth="1"/>
    <col min="15366" max="15366" width="8.28515625" style="298" customWidth="1"/>
    <col min="15367" max="15367" width="16.42578125" style="298" customWidth="1"/>
    <col min="15368" max="15368" width="3.7109375" style="298" customWidth="1"/>
    <col min="15369" max="15369" width="3.85546875" style="298" customWidth="1"/>
    <col min="15370" max="15370" width="5" style="298" customWidth="1"/>
    <col min="15371" max="15371" width="8" style="298" customWidth="1"/>
    <col min="15372" max="15372" width="7.5703125" style="298" customWidth="1"/>
    <col min="15373" max="15374" width="10.28515625" style="298" bestFit="1" customWidth="1"/>
    <col min="15375" max="15616" width="9.140625" style="298"/>
    <col min="15617" max="15617" width="4.85546875" style="298" customWidth="1"/>
    <col min="15618" max="15618" width="19.140625" style="298" customWidth="1"/>
    <col min="15619" max="15619" width="5.5703125" style="298" customWidth="1"/>
    <col min="15620" max="15620" width="23.85546875" style="298" customWidth="1"/>
    <col min="15621" max="15621" width="8.42578125" style="298" customWidth="1"/>
    <col min="15622" max="15622" width="8.28515625" style="298" customWidth="1"/>
    <col min="15623" max="15623" width="16.42578125" style="298" customWidth="1"/>
    <col min="15624" max="15624" width="3.7109375" style="298" customWidth="1"/>
    <col min="15625" max="15625" width="3.85546875" style="298" customWidth="1"/>
    <col min="15626" max="15626" width="5" style="298" customWidth="1"/>
    <col min="15627" max="15627" width="8" style="298" customWidth="1"/>
    <col min="15628" max="15628" width="7.5703125" style="298" customWidth="1"/>
    <col min="15629" max="15630" width="10.28515625" style="298" bestFit="1" customWidth="1"/>
    <col min="15631" max="15872" width="9.140625" style="298"/>
    <col min="15873" max="15873" width="4.85546875" style="298" customWidth="1"/>
    <col min="15874" max="15874" width="19.140625" style="298" customWidth="1"/>
    <col min="15875" max="15875" width="5.5703125" style="298" customWidth="1"/>
    <col min="15876" max="15876" width="23.85546875" style="298" customWidth="1"/>
    <col min="15877" max="15877" width="8.42578125" style="298" customWidth="1"/>
    <col min="15878" max="15878" width="8.28515625" style="298" customWidth="1"/>
    <col min="15879" max="15879" width="16.42578125" style="298" customWidth="1"/>
    <col min="15880" max="15880" width="3.7109375" style="298" customWidth="1"/>
    <col min="15881" max="15881" width="3.85546875" style="298" customWidth="1"/>
    <col min="15882" max="15882" width="5" style="298" customWidth="1"/>
    <col min="15883" max="15883" width="8" style="298" customWidth="1"/>
    <col min="15884" max="15884" width="7.5703125" style="298" customWidth="1"/>
    <col min="15885" max="15886" width="10.28515625" style="298" bestFit="1" customWidth="1"/>
    <col min="15887" max="16128" width="9.140625" style="298"/>
    <col min="16129" max="16129" width="4.85546875" style="298" customWidth="1"/>
    <col min="16130" max="16130" width="19.140625" style="298" customWidth="1"/>
    <col min="16131" max="16131" width="5.5703125" style="298" customWidth="1"/>
    <col min="16132" max="16132" width="23.85546875" style="298" customWidth="1"/>
    <col min="16133" max="16133" width="8.42578125" style="298" customWidth="1"/>
    <col min="16134" max="16134" width="8.28515625" style="298" customWidth="1"/>
    <col min="16135" max="16135" width="16.42578125" style="298" customWidth="1"/>
    <col min="16136" max="16136" width="3.7109375" style="298" customWidth="1"/>
    <col min="16137" max="16137" width="3.85546875" style="298" customWidth="1"/>
    <col min="16138" max="16138" width="5" style="298" customWidth="1"/>
    <col min="16139" max="16139" width="8" style="298" customWidth="1"/>
    <col min="16140" max="16140" width="7.5703125" style="298" customWidth="1"/>
    <col min="16141" max="16142" width="10.28515625" style="298" bestFit="1" customWidth="1"/>
    <col min="16143" max="16384" width="9.140625" style="298"/>
  </cols>
  <sheetData>
    <row r="1" spans="1:15" s="997" customFormat="1" ht="15" x14ac:dyDescent="0.25"/>
    <row r="2" spans="1:15" s="997" customFormat="1" ht="15" x14ac:dyDescent="0.25"/>
    <row r="3" spans="1:15" s="997" customFormat="1" ht="15" x14ac:dyDescent="0.25"/>
    <row r="4" spans="1:15" s="997" customFormat="1" ht="15" x14ac:dyDescent="0.25"/>
    <row r="5" spans="1:15" s="997" customFormat="1" ht="15" x14ac:dyDescent="0.25"/>
    <row r="6" spans="1:15" s="997" customFormat="1" ht="15" x14ac:dyDescent="0.25"/>
    <row r="7" spans="1:15" s="997" customFormat="1" ht="15.75" thickBot="1" x14ac:dyDescent="0.3"/>
    <row r="8" spans="1:15" s="319" customFormat="1" ht="18.75" thickTop="1" x14ac:dyDescent="0.25">
      <c r="A8" s="998" t="s">
        <v>18</v>
      </c>
      <c r="B8" s="999"/>
      <c r="C8" s="999"/>
      <c r="D8" s="999"/>
      <c r="E8" s="999"/>
      <c r="F8" s="999"/>
      <c r="G8" s="999"/>
      <c r="H8" s="999"/>
      <c r="I8" s="999"/>
      <c r="J8" s="999"/>
      <c r="K8" s="999"/>
      <c r="L8" s="999"/>
      <c r="M8" s="999"/>
      <c r="N8" s="1000"/>
    </row>
    <row r="9" spans="1:15" s="319" customFormat="1" ht="17.25" x14ac:dyDescent="0.25">
      <c r="A9" s="350" t="s">
        <v>13</v>
      </c>
      <c r="B9" s="349" t="s">
        <v>19</v>
      </c>
      <c r="C9" s="348" t="s">
        <v>20</v>
      </c>
      <c r="D9" s="348" t="s">
        <v>21</v>
      </c>
      <c r="E9" s="348" t="s">
        <v>22</v>
      </c>
      <c r="F9" s="348" t="s">
        <v>23</v>
      </c>
      <c r="G9" s="348" t="s">
        <v>24</v>
      </c>
      <c r="H9" s="348" t="s">
        <v>96</v>
      </c>
      <c r="I9" s="348" t="s">
        <v>26</v>
      </c>
      <c r="J9" s="348" t="s">
        <v>27</v>
      </c>
      <c r="K9" s="1001" t="s">
        <v>28</v>
      </c>
      <c r="L9" s="1002"/>
      <c r="M9" s="348" t="s">
        <v>29</v>
      </c>
      <c r="N9" s="347" t="s">
        <v>30</v>
      </c>
    </row>
    <row r="10" spans="1:15" s="326" customFormat="1" ht="26.25" customHeight="1" x14ac:dyDescent="0.25">
      <c r="A10" s="346">
        <v>1</v>
      </c>
      <c r="B10" s="351" t="s">
        <v>136</v>
      </c>
      <c r="C10" s="1003" t="s">
        <v>31</v>
      </c>
      <c r="D10" s="339" t="s">
        <v>197</v>
      </c>
      <c r="E10" s="345">
        <f>3+12+18+12</f>
        <v>45</v>
      </c>
      <c r="F10" s="338">
        <v>7</v>
      </c>
      <c r="G10" s="332">
        <f t="shared" ref="G10:G13" si="0">E10*F10</f>
        <v>315</v>
      </c>
      <c r="H10" s="345" t="s">
        <v>98</v>
      </c>
      <c r="I10" s="345" t="s">
        <v>198</v>
      </c>
      <c r="J10" s="345">
        <v>10</v>
      </c>
      <c r="K10" s="1005" t="s">
        <v>75</v>
      </c>
      <c r="L10" s="1006"/>
      <c r="M10" s="344">
        <v>41508</v>
      </c>
      <c r="N10" s="343"/>
      <c r="O10" s="343"/>
    </row>
    <row r="11" spans="1:15" s="326" customFormat="1" ht="26.25" customHeight="1" x14ac:dyDescent="0.25">
      <c r="A11" s="340">
        <v>2</v>
      </c>
      <c r="B11" s="354"/>
      <c r="C11" s="1004"/>
      <c r="D11" s="339" t="s">
        <v>197</v>
      </c>
      <c r="E11" s="337">
        <f>3+12+18+12</f>
        <v>45</v>
      </c>
      <c r="F11" s="338"/>
      <c r="G11" s="332">
        <f t="shared" si="0"/>
        <v>0</v>
      </c>
      <c r="H11" s="337" t="s">
        <v>63</v>
      </c>
      <c r="I11" s="337" t="s">
        <v>198</v>
      </c>
      <c r="J11" s="337">
        <v>9</v>
      </c>
      <c r="K11" s="1007" t="s">
        <v>74</v>
      </c>
      <c r="L11" s="1008"/>
      <c r="M11" s="344">
        <v>41508</v>
      </c>
      <c r="N11" s="335"/>
    </row>
    <row r="12" spans="1:15" s="326" customFormat="1" ht="26.25" customHeight="1" x14ac:dyDescent="0.25">
      <c r="A12" s="340">
        <v>3</v>
      </c>
      <c r="B12" s="354"/>
      <c r="C12" s="1004"/>
      <c r="D12" s="339" t="s">
        <v>286</v>
      </c>
      <c r="E12" s="337">
        <f>6+13.5+9+3+9+4.5</f>
        <v>45</v>
      </c>
      <c r="F12" s="338">
        <v>7</v>
      </c>
      <c r="G12" s="332">
        <f t="shared" si="0"/>
        <v>315</v>
      </c>
      <c r="H12" s="337" t="s">
        <v>63</v>
      </c>
      <c r="I12" s="337">
        <v>1</v>
      </c>
      <c r="J12" s="337">
        <v>12</v>
      </c>
      <c r="K12" s="1007" t="s">
        <v>75</v>
      </c>
      <c r="L12" s="1008"/>
      <c r="M12" s="336">
        <v>41621</v>
      </c>
      <c r="N12" s="335" t="s">
        <v>30</v>
      </c>
    </row>
    <row r="13" spans="1:15" s="326" customFormat="1" ht="26.25" customHeight="1" x14ac:dyDescent="0.25">
      <c r="A13" s="635" t="s">
        <v>438</v>
      </c>
      <c r="B13" s="636"/>
      <c r="C13" s="1004"/>
      <c r="D13" s="637"/>
      <c r="E13" s="638"/>
      <c r="F13" s="639"/>
      <c r="G13" s="640">
        <f t="shared" si="0"/>
        <v>0</v>
      </c>
      <c r="H13" s="638"/>
      <c r="I13" s="638"/>
      <c r="J13" s="638"/>
      <c r="K13" s="641"/>
      <c r="L13" s="642"/>
      <c r="M13" s="643"/>
      <c r="N13" s="644"/>
    </row>
    <row r="14" spans="1:15" s="326" customFormat="1" ht="26.25" customHeight="1" x14ac:dyDescent="0.25">
      <c r="A14" s="340">
        <v>1</v>
      </c>
      <c r="B14" s="354"/>
      <c r="C14" s="1004"/>
      <c r="D14" s="339" t="s">
        <v>452</v>
      </c>
      <c r="E14" s="337">
        <f>19.5+15+10.5</f>
        <v>45</v>
      </c>
      <c r="F14" s="338"/>
      <c r="G14" s="332">
        <f t="shared" ref="G14:G20" si="1">E14*F14</f>
        <v>0</v>
      </c>
      <c r="H14" s="337" t="s">
        <v>98</v>
      </c>
      <c r="I14" s="337">
        <v>2</v>
      </c>
      <c r="J14" s="337">
        <v>11</v>
      </c>
      <c r="K14" s="1007" t="s">
        <v>74</v>
      </c>
      <c r="L14" s="1008"/>
      <c r="M14" s="336">
        <v>41669</v>
      </c>
      <c r="N14" s="335" t="s">
        <v>611</v>
      </c>
    </row>
    <row r="15" spans="1:15" s="326" customFormat="1" ht="26.25" customHeight="1" x14ac:dyDescent="0.25">
      <c r="A15" s="340">
        <v>2</v>
      </c>
      <c r="B15" s="354"/>
      <c r="C15" s="1004"/>
      <c r="D15" s="645" t="s">
        <v>452</v>
      </c>
      <c r="E15" s="337">
        <f>6+9+18</f>
        <v>33</v>
      </c>
      <c r="F15" s="338"/>
      <c r="G15" s="332">
        <f t="shared" si="1"/>
        <v>0</v>
      </c>
      <c r="H15" s="337" t="s">
        <v>102</v>
      </c>
      <c r="I15" s="337">
        <v>2</v>
      </c>
      <c r="J15" s="337">
        <v>11</v>
      </c>
      <c r="K15" s="1007" t="s">
        <v>74</v>
      </c>
      <c r="L15" s="1008"/>
      <c r="M15" s="336">
        <v>41676</v>
      </c>
      <c r="N15" s="335"/>
    </row>
    <row r="16" spans="1:15" s="326" customFormat="1" ht="26.25" customHeight="1" x14ac:dyDescent="0.25">
      <c r="A16" s="340">
        <v>3</v>
      </c>
      <c r="B16" s="354"/>
      <c r="C16" s="1004"/>
      <c r="D16" s="339" t="s">
        <v>452</v>
      </c>
      <c r="E16" s="337">
        <f>18+12+15</f>
        <v>45</v>
      </c>
      <c r="F16" s="338"/>
      <c r="G16" s="332">
        <f t="shared" si="1"/>
        <v>0</v>
      </c>
      <c r="H16" s="337" t="s">
        <v>107</v>
      </c>
      <c r="I16" s="337">
        <v>2</v>
      </c>
      <c r="J16" s="337">
        <v>11</v>
      </c>
      <c r="K16" s="1007" t="s">
        <v>231</v>
      </c>
      <c r="L16" s="1008"/>
      <c r="M16" s="336">
        <v>41673</v>
      </c>
      <c r="N16" s="335" t="s">
        <v>611</v>
      </c>
    </row>
    <row r="17" spans="1:14" s="326" customFormat="1" ht="26.25" customHeight="1" x14ac:dyDescent="0.25">
      <c r="A17" s="340">
        <v>4</v>
      </c>
      <c r="B17" s="354"/>
      <c r="C17" s="1004"/>
      <c r="D17" s="339" t="s">
        <v>452</v>
      </c>
      <c r="E17" s="337">
        <f>24+4.5+13.5+3</f>
        <v>45</v>
      </c>
      <c r="F17" s="338">
        <v>7</v>
      </c>
      <c r="G17" s="332">
        <f>E17*F17</f>
        <v>315</v>
      </c>
      <c r="H17" s="337" t="s">
        <v>64</v>
      </c>
      <c r="I17" s="337">
        <v>2</v>
      </c>
      <c r="J17" s="337">
        <v>11</v>
      </c>
      <c r="K17" s="1007" t="s">
        <v>75</v>
      </c>
      <c r="L17" s="1008"/>
      <c r="M17" s="336">
        <v>41673</v>
      </c>
      <c r="N17" s="335" t="s">
        <v>611</v>
      </c>
    </row>
    <row r="18" spans="1:14" s="326" customFormat="1" ht="26.25" customHeight="1" x14ac:dyDescent="0.25">
      <c r="A18" s="340"/>
      <c r="B18" s="354"/>
      <c r="C18" s="1004"/>
      <c r="D18" s="339"/>
      <c r="E18" s="337"/>
      <c r="F18" s="338"/>
      <c r="G18" s="332">
        <f t="shared" si="1"/>
        <v>0</v>
      </c>
      <c r="H18" s="337"/>
      <c r="I18" s="337"/>
      <c r="J18" s="337"/>
      <c r="K18" s="1007"/>
      <c r="L18" s="1008"/>
      <c r="M18" s="336"/>
      <c r="N18" s="335"/>
    </row>
    <row r="19" spans="1:14" s="326" customFormat="1" ht="26.25" customHeight="1" x14ac:dyDescent="0.25">
      <c r="A19" s="340"/>
      <c r="B19" s="355"/>
      <c r="C19" s="1004"/>
      <c r="D19" s="339"/>
      <c r="E19" s="337"/>
      <c r="F19" s="338"/>
      <c r="G19" s="332">
        <f t="shared" si="1"/>
        <v>0</v>
      </c>
      <c r="H19" s="337"/>
      <c r="I19" s="337"/>
      <c r="J19" s="337"/>
      <c r="K19" s="1007"/>
      <c r="L19" s="1008"/>
      <c r="M19" s="336"/>
      <c r="N19" s="335"/>
    </row>
    <row r="20" spans="1:14" s="326" customFormat="1" ht="26.25" customHeight="1" x14ac:dyDescent="0.25">
      <c r="A20" s="1018" t="s">
        <v>11</v>
      </c>
      <c r="B20" s="1019"/>
      <c r="C20" s="1019"/>
      <c r="D20" s="1019"/>
      <c r="E20" s="334"/>
      <c r="F20" s="333"/>
      <c r="G20" s="332">
        <f t="shared" si="1"/>
        <v>0</v>
      </c>
      <c r="H20" s="331"/>
      <c r="I20" s="331"/>
      <c r="J20" s="331"/>
      <c r="K20" s="1007"/>
      <c r="L20" s="1008"/>
      <c r="M20" s="331"/>
      <c r="N20" s="330"/>
    </row>
    <row r="21" spans="1:14" s="326" customFormat="1" ht="26.25" customHeight="1" x14ac:dyDescent="0.25">
      <c r="A21" s="1011" t="s">
        <v>24</v>
      </c>
      <c r="B21" s="1012"/>
      <c r="C21" s="1012"/>
      <c r="D21" s="1012"/>
      <c r="E21" s="1012"/>
      <c r="F21" s="1012"/>
      <c r="G21" s="329">
        <f>SUM(G10:G20)</f>
        <v>945</v>
      </c>
      <c r="H21" s="328"/>
      <c r="I21" s="328"/>
      <c r="J21" s="328"/>
      <c r="K21" s="1013"/>
      <c r="L21" s="1014"/>
      <c r="M21" s="328"/>
      <c r="N21" s="327"/>
    </row>
    <row r="22" spans="1:14" s="319" customFormat="1" ht="26.25" customHeight="1" x14ac:dyDescent="0.25">
      <c r="A22" s="1015" t="s">
        <v>32</v>
      </c>
      <c r="B22" s="1016"/>
      <c r="C22" s="1016"/>
      <c r="D22" s="1016"/>
      <c r="E22" s="1016"/>
      <c r="F22" s="1016"/>
      <c r="G22" s="1017"/>
      <c r="H22" s="325"/>
      <c r="I22" s="325"/>
      <c r="J22" s="324" t="s">
        <v>44</v>
      </c>
      <c r="K22" s="325"/>
      <c r="L22" s="324"/>
      <c r="M22" s="323"/>
      <c r="N22" s="322"/>
    </row>
    <row r="23" spans="1:14" s="319" customFormat="1" ht="22.5" customHeight="1" thickBot="1" x14ac:dyDescent="0.3">
      <c r="A23" s="321" t="s">
        <v>5</v>
      </c>
      <c r="B23" s="320" t="s">
        <v>33</v>
      </c>
      <c r="C23" s="994" t="s">
        <v>21</v>
      </c>
      <c r="D23" s="995"/>
      <c r="E23" s="994" t="s">
        <v>34</v>
      </c>
      <c r="F23" s="995"/>
      <c r="G23" s="320" t="s">
        <v>0</v>
      </c>
      <c r="H23" s="320" t="s">
        <v>96</v>
      </c>
      <c r="I23" s="320" t="s">
        <v>26</v>
      </c>
      <c r="J23" s="320" t="s">
        <v>27</v>
      </c>
      <c r="K23" s="996" t="s">
        <v>28</v>
      </c>
      <c r="L23" s="994"/>
      <c r="M23" s="901" t="s">
        <v>43</v>
      </c>
      <c r="N23" s="990"/>
    </row>
    <row r="24" spans="1:14" s="302" customFormat="1" ht="26.25" customHeight="1" x14ac:dyDescent="0.25">
      <c r="A24" s="991" t="s">
        <v>35</v>
      </c>
      <c r="B24" s="992"/>
      <c r="C24" s="992"/>
      <c r="D24" s="992"/>
      <c r="E24" s="992"/>
      <c r="F24" s="992"/>
      <c r="G24" s="318">
        <f>G21</f>
        <v>945</v>
      </c>
      <c r="H24" s="317"/>
      <c r="I24" s="317"/>
      <c r="J24" s="317"/>
      <c r="K24" s="317"/>
      <c r="L24" s="317"/>
      <c r="M24" s="317"/>
      <c r="N24" s="316"/>
    </row>
    <row r="25" spans="1:14" s="302" customFormat="1" ht="26.25" customHeight="1" x14ac:dyDescent="0.25">
      <c r="A25" s="366" t="s">
        <v>300</v>
      </c>
      <c r="B25" s="367">
        <v>41578</v>
      </c>
      <c r="C25" s="1022" t="s">
        <v>197</v>
      </c>
      <c r="D25" s="1023"/>
      <c r="E25" s="985">
        <v>115</v>
      </c>
      <c r="F25" s="985"/>
      <c r="G25" s="311">
        <f>G24-E25</f>
        <v>830</v>
      </c>
      <c r="H25" s="310"/>
      <c r="I25" s="310"/>
      <c r="J25" s="310"/>
      <c r="K25" s="310"/>
      <c r="L25" s="310"/>
      <c r="M25" s="310"/>
      <c r="N25" s="309"/>
    </row>
    <row r="26" spans="1:14" s="302" customFormat="1" ht="26.25" customHeight="1" x14ac:dyDescent="0.25">
      <c r="A26" s="313" t="s">
        <v>370</v>
      </c>
      <c r="B26" s="312">
        <v>41645</v>
      </c>
      <c r="C26" s="1022" t="s">
        <v>197</v>
      </c>
      <c r="D26" s="1023"/>
      <c r="E26" s="985">
        <v>100</v>
      </c>
      <c r="F26" s="985"/>
      <c r="G26" s="311">
        <f>G25-E26</f>
        <v>730</v>
      </c>
      <c r="H26" s="310"/>
      <c r="I26" s="310"/>
      <c r="J26" s="310"/>
      <c r="K26" s="310"/>
      <c r="L26" s="310"/>
      <c r="M26" s="310"/>
      <c r="N26" s="309"/>
    </row>
    <row r="27" spans="1:14" s="302" customFormat="1" ht="26.25" customHeight="1" x14ac:dyDescent="0.25">
      <c r="A27" s="314" t="s">
        <v>465</v>
      </c>
      <c r="B27" s="312">
        <v>41703</v>
      </c>
      <c r="C27" s="1022" t="s">
        <v>197</v>
      </c>
      <c r="D27" s="1023"/>
      <c r="E27" s="985">
        <v>50</v>
      </c>
      <c r="F27" s="985"/>
      <c r="G27" s="311">
        <f>G26-E27</f>
        <v>680</v>
      </c>
      <c r="H27" s="310"/>
      <c r="I27" s="310"/>
      <c r="J27" s="310"/>
      <c r="K27" s="310"/>
      <c r="L27" s="310"/>
      <c r="M27" s="310"/>
      <c r="N27" s="309"/>
    </row>
    <row r="28" spans="1:14" s="302" customFormat="1" ht="26.25" customHeight="1" x14ac:dyDescent="0.25">
      <c r="A28" s="314" t="s">
        <v>537</v>
      </c>
      <c r="B28" s="312">
        <v>41739</v>
      </c>
      <c r="C28" s="1022" t="s">
        <v>197</v>
      </c>
      <c r="D28" s="1023"/>
      <c r="E28" s="985">
        <v>250</v>
      </c>
      <c r="F28" s="985"/>
      <c r="G28" s="311">
        <f t="shared" ref="G28:G30" si="2">G27-E28</f>
        <v>430</v>
      </c>
      <c r="H28" s="811"/>
      <c r="I28" s="811"/>
      <c r="J28" s="811"/>
      <c r="K28" s="811"/>
      <c r="L28" s="811"/>
      <c r="M28" s="811"/>
      <c r="N28" s="309"/>
    </row>
    <row r="29" spans="1:14" s="302" customFormat="1" ht="26.25" customHeight="1" x14ac:dyDescent="0.25">
      <c r="A29" s="314" t="s">
        <v>592</v>
      </c>
      <c r="B29" s="312">
        <v>41793</v>
      </c>
      <c r="C29" s="1022" t="s">
        <v>197</v>
      </c>
      <c r="D29" s="1023"/>
      <c r="E29" s="1024">
        <v>190</v>
      </c>
      <c r="F29" s="989"/>
      <c r="G29" s="311">
        <f t="shared" si="2"/>
        <v>240</v>
      </c>
      <c r="H29" s="811"/>
      <c r="I29" s="811"/>
      <c r="J29" s="811"/>
      <c r="K29" s="811"/>
      <c r="L29" s="811"/>
      <c r="M29" s="811"/>
      <c r="N29" s="309"/>
    </row>
    <row r="30" spans="1:14" s="302" customFormat="1" ht="26.25" customHeight="1" x14ac:dyDescent="0.25">
      <c r="A30" s="314"/>
      <c r="B30" s="312"/>
      <c r="C30" s="1022"/>
      <c r="D30" s="1023"/>
      <c r="E30" s="985"/>
      <c r="F30" s="985"/>
      <c r="G30" s="311">
        <f t="shared" si="2"/>
        <v>240</v>
      </c>
      <c r="H30" s="310"/>
      <c r="I30" s="310"/>
      <c r="J30" s="310"/>
      <c r="K30" s="310"/>
      <c r="L30" s="310"/>
      <c r="M30" s="310"/>
      <c r="N30" s="309"/>
    </row>
    <row r="31" spans="1:14" s="302" customFormat="1" ht="26.25" customHeight="1" x14ac:dyDescent="0.25">
      <c r="A31" s="313"/>
      <c r="B31" s="312"/>
      <c r="C31" s="986"/>
      <c r="D31" s="986"/>
      <c r="E31" s="987"/>
      <c r="F31" s="987"/>
      <c r="G31" s="311">
        <f>G30-E31</f>
        <v>240</v>
      </c>
      <c r="H31" s="310"/>
      <c r="I31" s="310"/>
      <c r="J31" s="310"/>
      <c r="K31" s="310"/>
      <c r="L31" s="310"/>
      <c r="M31" s="310"/>
      <c r="N31" s="309"/>
    </row>
    <row r="32" spans="1:14" s="305" customFormat="1" ht="26.25" customHeight="1" thickBot="1" x14ac:dyDescent="0.3">
      <c r="A32" s="978" t="s">
        <v>36</v>
      </c>
      <c r="B32" s="979"/>
      <c r="C32" s="979"/>
      <c r="D32" s="979"/>
      <c r="E32" s="980">
        <f>SUM(E25:F31)</f>
        <v>705</v>
      </c>
      <c r="F32" s="981"/>
      <c r="G32" s="308"/>
      <c r="H32" s="307"/>
      <c r="I32" s="307"/>
      <c r="J32" s="307"/>
      <c r="K32" s="307"/>
      <c r="L32" s="307"/>
      <c r="M32" s="307"/>
      <c r="N32" s="306"/>
    </row>
    <row r="33" spans="1:14" s="302" customFormat="1" ht="26.25" customHeight="1" thickTop="1" x14ac:dyDescent="0.25">
      <c r="A33" s="304"/>
      <c r="E33" s="982"/>
      <c r="F33" s="982"/>
    </row>
    <row r="34" spans="1:14" s="302" customFormat="1" ht="26.25" customHeight="1" x14ac:dyDescent="0.3">
      <c r="A34" s="25" t="s">
        <v>41</v>
      </c>
      <c r="B34" s="25"/>
      <c r="C34" s="25"/>
      <c r="D34" s="25" t="s">
        <v>81</v>
      </c>
      <c r="E34" s="25"/>
      <c r="F34" s="303"/>
      <c r="G34" s="25" t="s">
        <v>38</v>
      </c>
      <c r="H34" s="25"/>
      <c r="I34" s="25"/>
      <c r="J34" s="25"/>
      <c r="K34" s="25"/>
      <c r="L34" s="25" t="s">
        <v>39</v>
      </c>
      <c r="M34" s="28"/>
      <c r="N34" s="303"/>
    </row>
    <row r="35" spans="1:14" s="302" customFormat="1" ht="26.25" customHeight="1" x14ac:dyDescent="0.3">
      <c r="A35" s="25"/>
      <c r="B35" s="25"/>
      <c r="C35" s="25"/>
      <c r="D35" s="25"/>
      <c r="E35" s="25"/>
      <c r="F35" s="303"/>
      <c r="G35" s="25"/>
      <c r="H35" s="25"/>
      <c r="I35" s="25"/>
      <c r="J35" s="25"/>
      <c r="K35" s="25"/>
      <c r="L35" s="25"/>
      <c r="M35" s="28"/>
      <c r="N35" s="303"/>
    </row>
    <row r="36" spans="1:14" s="302" customFormat="1" ht="26.25" customHeight="1" x14ac:dyDescent="0.3">
      <c r="A36" s="25"/>
      <c r="B36" s="25"/>
      <c r="C36" s="25"/>
      <c r="D36" s="25"/>
      <c r="E36" s="25"/>
      <c r="F36" s="303"/>
      <c r="G36" s="25"/>
      <c r="H36" s="25"/>
      <c r="I36" s="25"/>
      <c r="J36" s="25"/>
      <c r="K36" s="25"/>
      <c r="L36" s="25"/>
      <c r="M36" s="28"/>
      <c r="N36" s="303"/>
    </row>
    <row r="37" spans="1:14" s="302" customFormat="1" ht="26.25" customHeight="1" x14ac:dyDescent="0.3">
      <c r="A37" s="25"/>
      <c r="B37" s="25"/>
      <c r="C37" s="25"/>
      <c r="D37" s="25"/>
      <c r="E37" s="25"/>
      <c r="F37" s="303"/>
      <c r="G37" s="25"/>
      <c r="H37" s="25"/>
      <c r="I37" s="25"/>
      <c r="J37" s="25"/>
      <c r="K37" s="25"/>
      <c r="L37" s="25"/>
      <c r="M37" s="28"/>
      <c r="N37" s="303"/>
    </row>
    <row r="38" spans="1:14" s="302" customFormat="1" ht="26.25" customHeight="1" x14ac:dyDescent="0.3">
      <c r="A38" s="29"/>
      <c r="B38" s="25"/>
      <c r="C38" s="25"/>
      <c r="D38" s="29"/>
      <c r="E38" s="29"/>
      <c r="F38" s="303"/>
      <c r="G38" s="29"/>
      <c r="H38" s="25"/>
      <c r="I38" s="25"/>
      <c r="J38" s="25"/>
      <c r="K38" s="25"/>
      <c r="L38" s="27"/>
      <c r="M38" s="28"/>
      <c r="N38" s="303"/>
    </row>
    <row r="39" spans="1:14" s="300" customFormat="1" ht="17.25" x14ac:dyDescent="0.3">
      <c r="A39" s="25" t="s">
        <v>48</v>
      </c>
      <c r="B39" s="25"/>
      <c r="C39" s="25" t="s">
        <v>80</v>
      </c>
      <c r="D39" s="25"/>
      <c r="G39" s="25" t="str">
        <f>B10</f>
        <v>Shon Run</v>
      </c>
      <c r="H39" s="25"/>
      <c r="I39" s="25"/>
      <c r="J39" s="25"/>
      <c r="K39" s="829" t="s">
        <v>191</v>
      </c>
      <c r="L39" s="829"/>
      <c r="M39" s="829"/>
      <c r="N39" s="829"/>
    </row>
    <row r="40" spans="1:14" s="300" customFormat="1" ht="16.5" x14ac:dyDescent="0.3">
      <c r="A40" s="301"/>
    </row>
    <row r="41" spans="1:14" s="300" customFormat="1" ht="16.5" x14ac:dyDescent="0.3">
      <c r="A41" s="301"/>
    </row>
    <row r="42" spans="1:14" s="300" customFormat="1" ht="16.5" x14ac:dyDescent="0.3">
      <c r="A42" s="301"/>
    </row>
    <row r="43" spans="1:14" s="300" customFormat="1" ht="16.5" x14ac:dyDescent="0.3">
      <c r="A43" s="301"/>
    </row>
    <row r="44" spans="1:14" s="300" customFormat="1" ht="16.5" x14ac:dyDescent="0.3">
      <c r="A44" s="301"/>
    </row>
    <row r="45" spans="1:14" s="300" customFormat="1" ht="16.5" x14ac:dyDescent="0.3">
      <c r="A45" s="301"/>
    </row>
    <row r="46" spans="1:14" s="300" customFormat="1" ht="16.5" x14ac:dyDescent="0.3">
      <c r="A46" s="301"/>
    </row>
    <row r="47" spans="1:14" s="300" customFormat="1" ht="16.5" x14ac:dyDescent="0.3">
      <c r="A47" s="301"/>
    </row>
    <row r="48" spans="1:14" s="300" customFormat="1" ht="16.5" x14ac:dyDescent="0.3">
      <c r="A48" s="301"/>
    </row>
  </sheetData>
  <mergeCells count="41">
    <mergeCell ref="A21:F21"/>
    <mergeCell ref="K21:L21"/>
    <mergeCell ref="A22:G22"/>
    <mergeCell ref="A20:D20"/>
    <mergeCell ref="K20:L20"/>
    <mergeCell ref="A1:XFD7"/>
    <mergeCell ref="A8:N8"/>
    <mergeCell ref="K9:L9"/>
    <mergeCell ref="C10:C19"/>
    <mergeCell ref="K10:L10"/>
    <mergeCell ref="K11:L11"/>
    <mergeCell ref="K19:L19"/>
    <mergeCell ref="K12:L12"/>
    <mergeCell ref="K18:L18"/>
    <mergeCell ref="K14:L14"/>
    <mergeCell ref="K15:L15"/>
    <mergeCell ref="K16:L16"/>
    <mergeCell ref="K17:L17"/>
    <mergeCell ref="M23:N23"/>
    <mergeCell ref="A24:F24"/>
    <mergeCell ref="C25:D25"/>
    <mergeCell ref="E25:F25"/>
    <mergeCell ref="C26:D26"/>
    <mergeCell ref="E26:F26"/>
    <mergeCell ref="C23:D23"/>
    <mergeCell ref="E23:F23"/>
    <mergeCell ref="K23:L23"/>
    <mergeCell ref="A32:D32"/>
    <mergeCell ref="E32:F32"/>
    <mergeCell ref="E33:F33"/>
    <mergeCell ref="K39:N39"/>
    <mergeCell ref="C27:D27"/>
    <mergeCell ref="E27:F27"/>
    <mergeCell ref="C30:D30"/>
    <mergeCell ref="E30:F30"/>
    <mergeCell ref="C31:D31"/>
    <mergeCell ref="E31:F31"/>
    <mergeCell ref="C28:D28"/>
    <mergeCell ref="E28:F28"/>
    <mergeCell ref="E29:F29"/>
    <mergeCell ref="C29:D29"/>
  </mergeCells>
  <hyperlinks>
    <hyperlink ref="M23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2"/>
  <sheetViews>
    <sheetView zoomScale="80" workbookViewId="0">
      <pane xSplit="3" ySplit="9" topLeftCell="D37" activePane="bottomRight" state="frozen"/>
      <selection activeCell="Q11" sqref="Q11"/>
      <selection pane="topRight" activeCell="Q11" sqref="Q11"/>
      <selection pane="bottomLeft" activeCell="Q11" sqref="Q11"/>
      <selection pane="bottomRight" activeCell="E44" sqref="E44:F44"/>
    </sheetView>
  </sheetViews>
  <sheetFormatPr defaultRowHeight="13.5" x14ac:dyDescent="0.25"/>
  <cols>
    <col min="1" max="1" width="14.85546875" style="33" customWidth="1"/>
    <col min="2" max="2" width="20.85546875" style="1" customWidth="1"/>
    <col min="3" max="3" width="7.85546875" style="1" customWidth="1"/>
    <col min="4" max="4" width="25.140625" style="1" customWidth="1"/>
    <col min="5" max="5" width="8.42578125" style="1" customWidth="1"/>
    <col min="6" max="6" width="8.5703125" style="1" customWidth="1"/>
    <col min="7" max="7" width="15.28515625" style="1" customWidth="1"/>
    <col min="8" max="8" width="5.85546875" style="1" customWidth="1"/>
    <col min="9" max="9" width="3.85546875" style="1" customWidth="1"/>
    <col min="10" max="10" width="5.140625" style="1" customWidth="1"/>
    <col min="11" max="11" width="5.85546875" style="1" customWidth="1"/>
    <col min="12" max="12" width="2.85546875" style="1" customWidth="1"/>
    <col min="13" max="13" width="11.85546875" style="1" customWidth="1"/>
    <col min="14" max="14" width="10.5703125" style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4" s="866" customFormat="1" ht="15" x14ac:dyDescent="0.25"/>
    <row r="2" spans="1:14" s="866" customFormat="1" ht="15" x14ac:dyDescent="0.25"/>
    <row r="3" spans="1:14" s="866" customFormat="1" ht="15" x14ac:dyDescent="0.25"/>
    <row r="4" spans="1:14" s="866" customFormat="1" ht="15" x14ac:dyDescent="0.25"/>
    <row r="5" spans="1:14" s="866" customFormat="1" ht="15" x14ac:dyDescent="0.25"/>
    <row r="6" spans="1:14" s="866" customFormat="1" ht="15" x14ac:dyDescent="0.25"/>
    <row r="7" spans="1:14" s="866" customFormat="1" ht="15.75" thickBot="1" x14ac:dyDescent="0.3"/>
    <row r="8" spans="1:14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4" s="48" customFormat="1" ht="17.25" x14ac:dyDescent="0.25">
      <c r="A9" s="49" t="s">
        <v>13</v>
      </c>
      <c r="B9" s="50" t="s">
        <v>19</v>
      </c>
      <c r="C9" s="51" t="s">
        <v>20</v>
      </c>
      <c r="D9" s="51"/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4" s="59" customFormat="1" ht="26.25" customHeight="1" x14ac:dyDescent="0.25">
      <c r="A10" s="102">
        <v>1</v>
      </c>
      <c r="B10" s="890" t="s">
        <v>216</v>
      </c>
      <c r="C10" s="890" t="s">
        <v>31</v>
      </c>
      <c r="D10" s="51" t="s">
        <v>217</v>
      </c>
      <c r="E10" s="226">
        <f>12+9+7.5+4.5+15</f>
        <v>48</v>
      </c>
      <c r="F10" s="55">
        <v>8</v>
      </c>
      <c r="G10" s="56">
        <f>E10*F10</f>
        <v>384</v>
      </c>
      <c r="H10" s="226" t="s">
        <v>102</v>
      </c>
      <c r="I10" s="226">
        <v>2</v>
      </c>
      <c r="J10" s="226">
        <v>11</v>
      </c>
      <c r="K10" s="357" t="s">
        <v>74</v>
      </c>
      <c r="L10" s="358"/>
      <c r="M10" s="57">
        <v>41543</v>
      </c>
      <c r="N10" s="58"/>
    </row>
    <row r="11" spans="1:14" s="59" customFormat="1" ht="26.25" customHeight="1" x14ac:dyDescent="0.25">
      <c r="A11" s="90">
        <v>2</v>
      </c>
      <c r="B11" s="891"/>
      <c r="C11" s="891"/>
      <c r="D11" s="51" t="s">
        <v>218</v>
      </c>
      <c r="E11" s="80">
        <f>12+9+3+4.5+16.5</f>
        <v>45</v>
      </c>
      <c r="F11" s="55">
        <v>8</v>
      </c>
      <c r="G11" s="56">
        <f>E11*F11</f>
        <v>360</v>
      </c>
      <c r="H11" s="80" t="s">
        <v>98</v>
      </c>
      <c r="I11" s="80">
        <v>3</v>
      </c>
      <c r="J11" s="80">
        <v>10</v>
      </c>
      <c r="K11" s="357" t="s">
        <v>74</v>
      </c>
      <c r="L11" s="358"/>
      <c r="M11" s="57">
        <v>41543</v>
      </c>
      <c r="N11" s="84"/>
    </row>
    <row r="12" spans="1:14" s="59" customFormat="1" ht="26.25" customHeight="1" x14ac:dyDescent="0.25">
      <c r="A12" s="102">
        <v>3</v>
      </c>
      <c r="B12" s="891"/>
      <c r="C12" s="891"/>
      <c r="D12" s="79" t="s">
        <v>428</v>
      </c>
      <c r="E12" s="80">
        <f>12+3+3+6+7.5+3.5+3+3</f>
        <v>41</v>
      </c>
      <c r="F12" s="55">
        <v>8</v>
      </c>
      <c r="G12" s="56">
        <f>E12*F12</f>
        <v>328</v>
      </c>
      <c r="H12" s="80" t="s">
        <v>102</v>
      </c>
      <c r="I12" s="80">
        <v>2</v>
      </c>
      <c r="J12" s="80">
        <v>11</v>
      </c>
      <c r="K12" s="876" t="s">
        <v>74</v>
      </c>
      <c r="L12" s="877"/>
      <c r="M12" s="83">
        <v>41668</v>
      </c>
      <c r="N12" s="84"/>
    </row>
    <row r="13" spans="1:14" s="59" customFormat="1" ht="26.25" customHeight="1" x14ac:dyDescent="0.25">
      <c r="A13" s="90"/>
      <c r="B13" s="891"/>
      <c r="C13" s="891"/>
      <c r="D13" s="79"/>
      <c r="E13" s="80"/>
      <c r="F13" s="55"/>
      <c r="G13" s="82"/>
      <c r="H13" s="80"/>
      <c r="I13" s="80"/>
      <c r="J13" s="80"/>
      <c r="K13" s="876"/>
      <c r="L13" s="877"/>
      <c r="M13" s="83"/>
      <c r="N13" s="84"/>
    </row>
    <row r="14" spans="1:14" s="59" customFormat="1" ht="26.25" customHeight="1" x14ac:dyDescent="0.25">
      <c r="A14" s="102"/>
      <c r="B14" s="891"/>
      <c r="C14" s="891"/>
      <c r="D14" s="79"/>
      <c r="E14" s="80"/>
      <c r="F14" s="55"/>
      <c r="G14" s="82"/>
      <c r="H14" s="80"/>
      <c r="I14" s="80"/>
      <c r="J14" s="80"/>
      <c r="K14" s="876"/>
      <c r="L14" s="877"/>
      <c r="M14" s="83"/>
      <c r="N14" s="84"/>
    </row>
    <row r="15" spans="1:14" s="59" customFormat="1" ht="26.25" customHeight="1" x14ac:dyDescent="0.25">
      <c r="A15" s="102"/>
      <c r="B15" s="892"/>
      <c r="C15" s="892"/>
      <c r="D15" s="77"/>
      <c r="E15" s="80"/>
      <c r="F15" s="81"/>
      <c r="G15" s="82"/>
      <c r="H15" s="80"/>
      <c r="I15" s="80"/>
      <c r="J15" s="80"/>
      <c r="K15" s="876"/>
      <c r="L15" s="877"/>
      <c r="M15" s="83"/>
      <c r="N15" s="84"/>
    </row>
    <row r="16" spans="1:14" s="59" customFormat="1" ht="26.25" customHeight="1" x14ac:dyDescent="0.25">
      <c r="A16" s="925" t="s">
        <v>11</v>
      </c>
      <c r="B16" s="926"/>
      <c r="C16" s="926"/>
      <c r="D16" s="926"/>
      <c r="E16" s="228">
        <f>SUM(E10:E15)</f>
        <v>134</v>
      </c>
      <c r="F16" s="76"/>
      <c r="G16" s="62">
        <f>SUM(G10:G15)</f>
        <v>1072</v>
      </c>
      <c r="H16" s="227"/>
      <c r="I16" s="227"/>
      <c r="J16" s="227"/>
      <c r="K16" s="876"/>
      <c r="L16" s="877"/>
      <c r="M16" s="227"/>
      <c r="N16" s="63"/>
    </row>
    <row r="17" spans="1:14" s="59" customFormat="1" ht="26.25" customHeight="1" x14ac:dyDescent="0.25">
      <c r="A17" s="897" t="s">
        <v>24</v>
      </c>
      <c r="B17" s="898"/>
      <c r="C17" s="898"/>
      <c r="D17" s="898"/>
      <c r="E17" s="898"/>
      <c r="F17" s="898"/>
      <c r="G17" s="64">
        <f>G16</f>
        <v>1072</v>
      </c>
      <c r="H17" s="229"/>
      <c r="I17" s="229"/>
      <c r="J17" s="229"/>
      <c r="K17" s="859"/>
      <c r="L17" s="860"/>
      <c r="M17" s="229"/>
      <c r="N17" s="66"/>
    </row>
    <row r="18" spans="1:14" s="48" customFormat="1" ht="26.25" customHeight="1" x14ac:dyDescent="0.25">
      <c r="A18" s="899" t="s">
        <v>32</v>
      </c>
      <c r="B18" s="900"/>
      <c r="C18" s="900"/>
      <c r="D18" s="900"/>
      <c r="E18" s="900"/>
      <c r="F18" s="900"/>
      <c r="G18" s="900"/>
      <c r="H18" s="67"/>
      <c r="I18" s="67"/>
      <c r="J18" s="68" t="s">
        <v>44</v>
      </c>
      <c r="K18" s="67"/>
      <c r="L18" s="68"/>
      <c r="M18" s="69"/>
      <c r="N18" s="70"/>
    </row>
    <row r="19" spans="1:14" s="48" customFormat="1" ht="22.5" customHeight="1" thickBot="1" x14ac:dyDescent="0.3">
      <c r="A19" s="72" t="s">
        <v>5</v>
      </c>
      <c r="B19" s="71" t="s">
        <v>33</v>
      </c>
      <c r="C19" s="857" t="s">
        <v>21</v>
      </c>
      <c r="D19" s="858"/>
      <c r="E19" s="857" t="s">
        <v>34</v>
      </c>
      <c r="F19" s="858"/>
      <c r="G19" s="71" t="s">
        <v>0</v>
      </c>
      <c r="H19" s="71" t="s">
        <v>96</v>
      </c>
      <c r="I19" s="71" t="s">
        <v>26</v>
      </c>
      <c r="J19" s="71" t="s">
        <v>27</v>
      </c>
      <c r="K19" s="863" t="s">
        <v>28</v>
      </c>
      <c r="L19" s="857"/>
      <c r="M19" s="901"/>
      <c r="N19" s="902"/>
    </row>
    <row r="20" spans="1:14" s="3" customFormat="1" ht="26.25" customHeight="1" x14ac:dyDescent="0.25">
      <c r="A20" s="861" t="s">
        <v>35</v>
      </c>
      <c r="B20" s="862"/>
      <c r="C20" s="862"/>
      <c r="D20" s="862"/>
      <c r="E20" s="862"/>
      <c r="F20" s="862"/>
      <c r="G20" s="7">
        <f>G17</f>
        <v>1072</v>
      </c>
      <c r="H20" s="8"/>
      <c r="I20" s="8"/>
      <c r="J20" s="8"/>
      <c r="K20" s="8"/>
      <c r="L20" s="8"/>
      <c r="M20" s="8"/>
      <c r="N20" s="9"/>
    </row>
    <row r="21" spans="1:14" s="3" customFormat="1" ht="26.25" customHeight="1" x14ac:dyDescent="0.25">
      <c r="A21" s="10" t="s">
        <v>223</v>
      </c>
      <c r="B21" s="11">
        <v>41499</v>
      </c>
      <c r="C21" s="841" t="s">
        <v>217</v>
      </c>
      <c r="D21" s="841"/>
      <c r="E21" s="855">
        <v>50</v>
      </c>
      <c r="F21" s="855"/>
      <c r="G21" s="12">
        <f t="shared" ref="G21:G45" si="0">G20-E21</f>
        <v>1022</v>
      </c>
      <c r="H21" s="220"/>
      <c r="I21" s="220"/>
      <c r="J21" s="220"/>
      <c r="K21" s="220"/>
      <c r="L21" s="220"/>
      <c r="M21" s="220"/>
      <c r="N21" s="13"/>
    </row>
    <row r="22" spans="1:14" s="3" customFormat="1" ht="26.25" customHeight="1" x14ac:dyDescent="0.25">
      <c r="A22" s="10" t="s">
        <v>223</v>
      </c>
      <c r="B22" s="11">
        <v>41527</v>
      </c>
      <c r="C22" s="841" t="s">
        <v>217</v>
      </c>
      <c r="D22" s="841"/>
      <c r="E22" s="856">
        <v>50</v>
      </c>
      <c r="F22" s="856"/>
      <c r="G22" s="12">
        <f t="shared" si="0"/>
        <v>972</v>
      </c>
      <c r="H22" s="223"/>
      <c r="I22" s="223"/>
      <c r="J22" s="223"/>
      <c r="K22" s="223"/>
      <c r="L22" s="223"/>
      <c r="M22" s="223"/>
      <c r="N22" s="6"/>
    </row>
    <row r="23" spans="1:14" s="3" customFormat="1" ht="26.25" customHeight="1" x14ac:dyDescent="0.25">
      <c r="A23" s="14" t="s">
        <v>258</v>
      </c>
      <c r="B23" s="11">
        <v>41535</v>
      </c>
      <c r="C23" s="933" t="s">
        <v>218</v>
      </c>
      <c r="D23" s="934"/>
      <c r="E23" s="856">
        <v>50</v>
      </c>
      <c r="F23" s="856"/>
      <c r="G23" s="12">
        <f t="shared" si="0"/>
        <v>922</v>
      </c>
      <c r="H23" s="223"/>
      <c r="I23" s="223"/>
      <c r="J23" s="223"/>
      <c r="K23" s="223"/>
      <c r="L23" s="223"/>
      <c r="M23" s="223"/>
      <c r="N23" s="6"/>
    </row>
    <row r="24" spans="1:14" s="3" customFormat="1" ht="26.25" customHeight="1" x14ac:dyDescent="0.25">
      <c r="A24" s="14" t="s">
        <v>259</v>
      </c>
      <c r="B24" s="11">
        <v>41543</v>
      </c>
      <c r="C24" s="936" t="s">
        <v>218</v>
      </c>
      <c r="D24" s="1025"/>
      <c r="E24" s="845">
        <v>100</v>
      </c>
      <c r="F24" s="846"/>
      <c r="G24" s="12">
        <f t="shared" si="0"/>
        <v>822</v>
      </c>
      <c r="H24" s="223"/>
      <c r="I24" s="223"/>
      <c r="J24" s="223"/>
      <c r="K24" s="223"/>
      <c r="L24" s="223"/>
      <c r="M24" s="223"/>
      <c r="N24" s="6"/>
    </row>
    <row r="25" spans="1:14" s="3" customFormat="1" ht="26.25" customHeight="1" x14ac:dyDescent="0.25">
      <c r="A25" s="366" t="s">
        <v>266</v>
      </c>
      <c r="B25" s="367">
        <v>41548</v>
      </c>
      <c r="C25" s="936" t="s">
        <v>218</v>
      </c>
      <c r="D25" s="1025"/>
      <c r="E25" s="842">
        <v>40</v>
      </c>
      <c r="F25" s="843"/>
      <c r="G25" s="12">
        <f t="shared" si="0"/>
        <v>782</v>
      </c>
      <c r="H25" s="223"/>
      <c r="I25" s="223"/>
      <c r="J25" s="223"/>
      <c r="K25" s="223"/>
      <c r="L25" s="223"/>
      <c r="M25" s="223"/>
      <c r="N25" s="6"/>
    </row>
    <row r="26" spans="1:14" s="3" customFormat="1" ht="26.25" customHeight="1" x14ac:dyDescent="0.25">
      <c r="A26" s="366" t="s">
        <v>274</v>
      </c>
      <c r="B26" s="367">
        <v>41566</v>
      </c>
      <c r="C26" s="936" t="s">
        <v>218</v>
      </c>
      <c r="D26" s="1025"/>
      <c r="E26" s="845">
        <v>50</v>
      </c>
      <c r="F26" s="846"/>
      <c r="G26" s="12">
        <f t="shared" si="0"/>
        <v>732</v>
      </c>
      <c r="H26" s="223"/>
      <c r="I26" s="223"/>
      <c r="J26" s="223"/>
      <c r="K26" s="223"/>
      <c r="L26" s="223"/>
      <c r="M26" s="223"/>
      <c r="N26" s="6"/>
    </row>
    <row r="27" spans="1:14" s="3" customFormat="1" ht="26.25" customHeight="1" x14ac:dyDescent="0.25">
      <c r="A27" s="366" t="s">
        <v>298</v>
      </c>
      <c r="B27" s="367">
        <v>41577</v>
      </c>
      <c r="C27" s="936" t="s">
        <v>218</v>
      </c>
      <c r="D27" s="1025"/>
      <c r="E27" s="845">
        <v>100</v>
      </c>
      <c r="F27" s="846"/>
      <c r="G27" s="12">
        <f t="shared" si="0"/>
        <v>632</v>
      </c>
      <c r="H27" s="223"/>
      <c r="I27" s="223"/>
      <c r="J27" s="223"/>
      <c r="K27" s="223"/>
      <c r="L27" s="223"/>
      <c r="M27" s="223"/>
      <c r="N27" s="6"/>
    </row>
    <row r="28" spans="1:14" s="3" customFormat="1" ht="26.25" customHeight="1" x14ac:dyDescent="0.25">
      <c r="A28" s="366" t="s">
        <v>304</v>
      </c>
      <c r="B28" s="367">
        <v>41589</v>
      </c>
      <c r="C28" s="936" t="s">
        <v>218</v>
      </c>
      <c r="D28" s="1025"/>
      <c r="E28" s="845">
        <v>20</v>
      </c>
      <c r="F28" s="846"/>
      <c r="G28" s="12">
        <f t="shared" si="0"/>
        <v>612</v>
      </c>
      <c r="H28" s="223"/>
      <c r="I28" s="223"/>
      <c r="J28" s="223"/>
      <c r="K28" s="223"/>
      <c r="L28" s="223"/>
      <c r="M28" s="223"/>
      <c r="N28" s="6"/>
    </row>
    <row r="29" spans="1:14" s="3" customFormat="1" ht="26.25" customHeight="1" x14ac:dyDescent="0.25">
      <c r="A29" s="366" t="s">
        <v>307</v>
      </c>
      <c r="B29" s="367">
        <v>41599</v>
      </c>
      <c r="C29" s="936" t="s">
        <v>218</v>
      </c>
      <c r="D29" s="1025"/>
      <c r="E29" s="845">
        <v>100</v>
      </c>
      <c r="F29" s="846"/>
      <c r="G29" s="12">
        <f t="shared" si="0"/>
        <v>512</v>
      </c>
      <c r="H29" s="223"/>
      <c r="I29" s="223"/>
      <c r="J29" s="223"/>
      <c r="K29" s="223"/>
      <c r="L29" s="223"/>
      <c r="M29" s="223"/>
      <c r="N29" s="6"/>
    </row>
    <row r="30" spans="1:14" s="3" customFormat="1" ht="26.25" customHeight="1" x14ac:dyDescent="0.25">
      <c r="A30" s="366" t="s">
        <v>320</v>
      </c>
      <c r="B30" s="367">
        <v>41612</v>
      </c>
      <c r="C30" s="936" t="s">
        <v>218</v>
      </c>
      <c r="D30" s="1025"/>
      <c r="E30" s="845">
        <v>150</v>
      </c>
      <c r="F30" s="846"/>
      <c r="G30" s="12">
        <f t="shared" si="0"/>
        <v>362</v>
      </c>
      <c r="H30" s="223"/>
      <c r="I30" s="223"/>
      <c r="J30" s="223"/>
      <c r="K30" s="223"/>
      <c r="L30" s="223"/>
      <c r="M30" s="223"/>
      <c r="N30" s="6"/>
    </row>
    <row r="31" spans="1:14" s="3" customFormat="1" ht="26.25" customHeight="1" x14ac:dyDescent="0.25">
      <c r="A31" s="14" t="s">
        <v>380</v>
      </c>
      <c r="B31" s="367">
        <v>41661</v>
      </c>
      <c r="C31" s="936" t="s">
        <v>218</v>
      </c>
      <c r="D31" s="1025"/>
      <c r="E31" s="845">
        <v>15</v>
      </c>
      <c r="F31" s="846"/>
      <c r="G31" s="12">
        <f t="shared" si="0"/>
        <v>347</v>
      </c>
      <c r="H31" s="573"/>
      <c r="I31" s="573"/>
      <c r="J31" s="573"/>
      <c r="K31" s="573"/>
      <c r="L31" s="573"/>
      <c r="M31" s="573"/>
      <c r="N31" s="6"/>
    </row>
    <row r="32" spans="1:14" s="3" customFormat="1" ht="26.25" customHeight="1" x14ac:dyDescent="0.25">
      <c r="A32" s="14" t="s">
        <v>398</v>
      </c>
      <c r="B32" s="15">
        <v>41676</v>
      </c>
      <c r="C32" s="936" t="s">
        <v>218</v>
      </c>
      <c r="D32" s="1025"/>
      <c r="E32" s="845">
        <v>30</v>
      </c>
      <c r="F32" s="846"/>
      <c r="G32" s="12">
        <f t="shared" si="0"/>
        <v>317</v>
      </c>
      <c r="H32" s="619"/>
      <c r="I32" s="619"/>
      <c r="J32" s="619"/>
      <c r="K32" s="619"/>
      <c r="L32" s="619"/>
      <c r="M32" s="619"/>
      <c r="N32" s="6"/>
    </row>
    <row r="33" spans="1:14" s="3" customFormat="1" ht="26.25" customHeight="1" x14ac:dyDescent="0.25">
      <c r="A33" s="14" t="s">
        <v>403</v>
      </c>
      <c r="B33" s="367">
        <v>41686</v>
      </c>
      <c r="C33" s="936" t="s">
        <v>218</v>
      </c>
      <c r="D33" s="1025"/>
      <c r="E33" s="845">
        <v>24</v>
      </c>
      <c r="F33" s="846"/>
      <c r="G33" s="12">
        <f t="shared" si="0"/>
        <v>293</v>
      </c>
      <c r="H33" s="619"/>
      <c r="I33" s="619"/>
      <c r="J33" s="619"/>
      <c r="K33" s="619"/>
      <c r="L33" s="619"/>
      <c r="M33" s="619"/>
      <c r="N33" s="6"/>
    </row>
    <row r="34" spans="1:14" s="3" customFormat="1" ht="26.25" customHeight="1" x14ac:dyDescent="0.25">
      <c r="A34" s="14" t="s">
        <v>425</v>
      </c>
      <c r="B34" s="15">
        <v>41690</v>
      </c>
      <c r="C34" s="936" t="s">
        <v>399</v>
      </c>
      <c r="D34" s="1025"/>
      <c r="E34" s="845">
        <v>50</v>
      </c>
      <c r="F34" s="846"/>
      <c r="G34" s="12">
        <f t="shared" si="0"/>
        <v>243</v>
      </c>
      <c r="H34" s="619"/>
      <c r="I34" s="619"/>
      <c r="J34" s="619"/>
      <c r="K34" s="619"/>
      <c r="L34" s="619"/>
      <c r="M34" s="619"/>
      <c r="N34" s="6"/>
    </row>
    <row r="35" spans="1:14" s="3" customFormat="1" ht="26.25" customHeight="1" x14ac:dyDescent="0.25">
      <c r="A35" s="14" t="s">
        <v>457</v>
      </c>
      <c r="B35" s="652">
        <v>41697</v>
      </c>
      <c r="C35" s="936" t="s">
        <v>218</v>
      </c>
      <c r="D35" s="1025"/>
      <c r="E35" s="845">
        <v>10</v>
      </c>
      <c r="F35" s="846"/>
      <c r="G35" s="12">
        <f t="shared" si="0"/>
        <v>233</v>
      </c>
      <c r="H35" s="619"/>
      <c r="I35" s="619"/>
      <c r="J35" s="619"/>
      <c r="K35" s="619"/>
      <c r="L35" s="619"/>
      <c r="M35" s="619"/>
      <c r="N35" s="6"/>
    </row>
    <row r="36" spans="1:14" s="3" customFormat="1" ht="26.25" customHeight="1" x14ac:dyDescent="0.25">
      <c r="A36" s="14" t="s">
        <v>468</v>
      </c>
      <c r="B36" s="652">
        <v>41703</v>
      </c>
      <c r="C36" s="936" t="s">
        <v>218</v>
      </c>
      <c r="D36" s="1025"/>
      <c r="E36" s="845">
        <v>24</v>
      </c>
      <c r="F36" s="846"/>
      <c r="G36" s="12">
        <f t="shared" si="0"/>
        <v>209</v>
      </c>
      <c r="H36" s="619"/>
      <c r="I36" s="619"/>
      <c r="J36" s="619"/>
      <c r="K36" s="619"/>
      <c r="L36" s="619"/>
      <c r="M36" s="619"/>
      <c r="N36" s="6"/>
    </row>
    <row r="37" spans="1:14" s="3" customFormat="1" ht="26.25" customHeight="1" x14ac:dyDescent="0.25">
      <c r="A37" s="14" t="s">
        <v>482</v>
      </c>
      <c r="B37" s="652">
        <v>41715</v>
      </c>
      <c r="C37" s="936" t="s">
        <v>218</v>
      </c>
      <c r="D37" s="1025"/>
      <c r="E37" s="845">
        <v>25</v>
      </c>
      <c r="F37" s="846"/>
      <c r="G37" s="12">
        <f t="shared" si="0"/>
        <v>184</v>
      </c>
      <c r="H37" s="619"/>
      <c r="I37" s="619"/>
      <c r="J37" s="619"/>
      <c r="K37" s="619"/>
      <c r="L37" s="619"/>
      <c r="M37" s="619"/>
      <c r="N37" s="6"/>
    </row>
    <row r="38" spans="1:14" s="3" customFormat="1" ht="26.25" customHeight="1" x14ac:dyDescent="0.25">
      <c r="A38" s="14" t="s">
        <v>521</v>
      </c>
      <c r="B38" s="15">
        <v>41723</v>
      </c>
      <c r="C38" s="936" t="s">
        <v>218</v>
      </c>
      <c r="D38" s="1025"/>
      <c r="E38" s="845">
        <v>20</v>
      </c>
      <c r="F38" s="846"/>
      <c r="G38" s="12">
        <f t="shared" si="0"/>
        <v>164</v>
      </c>
      <c r="H38" s="573"/>
      <c r="I38" s="573"/>
      <c r="J38" s="573"/>
      <c r="K38" s="573"/>
      <c r="L38" s="573"/>
      <c r="M38" s="573"/>
      <c r="N38" s="6"/>
    </row>
    <row r="39" spans="1:14" s="760" customFormat="1" ht="26.25" customHeight="1" x14ac:dyDescent="0.25">
      <c r="A39" s="14" t="s">
        <v>522</v>
      </c>
      <c r="B39" s="15">
        <v>41725</v>
      </c>
      <c r="C39" s="936" t="s">
        <v>218</v>
      </c>
      <c r="D39" s="1025"/>
      <c r="E39" s="845">
        <v>28</v>
      </c>
      <c r="F39" s="846"/>
      <c r="G39" s="12">
        <f t="shared" si="0"/>
        <v>136</v>
      </c>
      <c r="H39" s="759"/>
      <c r="I39" s="759"/>
      <c r="J39" s="759"/>
      <c r="K39" s="759"/>
      <c r="L39" s="759"/>
      <c r="M39" s="759"/>
      <c r="N39" s="6"/>
    </row>
    <row r="40" spans="1:14" s="760" customFormat="1" ht="26.25" customHeight="1" x14ac:dyDescent="0.25">
      <c r="A40" s="14" t="s">
        <v>532</v>
      </c>
      <c r="B40" s="15">
        <v>41738</v>
      </c>
      <c r="C40" s="936" t="s">
        <v>218</v>
      </c>
      <c r="D40" s="1025"/>
      <c r="E40" s="845">
        <v>20</v>
      </c>
      <c r="F40" s="846"/>
      <c r="G40" s="12">
        <f t="shared" si="0"/>
        <v>116</v>
      </c>
      <c r="H40" s="759"/>
      <c r="I40" s="759"/>
      <c r="J40" s="759"/>
      <c r="K40" s="759"/>
      <c r="L40" s="759"/>
      <c r="M40" s="759"/>
      <c r="N40" s="6"/>
    </row>
    <row r="41" spans="1:14" s="3" customFormat="1" ht="26.25" customHeight="1" x14ac:dyDescent="0.25">
      <c r="A41" s="14" t="s">
        <v>559</v>
      </c>
      <c r="B41" s="15">
        <v>41761</v>
      </c>
      <c r="C41" s="936" t="s">
        <v>218</v>
      </c>
      <c r="D41" s="1025"/>
      <c r="E41" s="845">
        <v>40</v>
      </c>
      <c r="F41" s="846"/>
      <c r="G41" s="12">
        <f t="shared" si="0"/>
        <v>76</v>
      </c>
      <c r="H41" s="223"/>
      <c r="I41" s="223"/>
      <c r="J41" s="223"/>
      <c r="K41" s="223"/>
      <c r="L41" s="223"/>
      <c r="M41" s="223"/>
      <c r="N41" s="6"/>
    </row>
    <row r="42" spans="1:14" s="775" customFormat="1" ht="26.25" customHeight="1" x14ac:dyDescent="0.25">
      <c r="A42" s="14" t="s">
        <v>569</v>
      </c>
      <c r="B42" s="15">
        <v>41781</v>
      </c>
      <c r="C42" s="936" t="s">
        <v>218</v>
      </c>
      <c r="D42" s="1025"/>
      <c r="E42" s="845">
        <v>28</v>
      </c>
      <c r="F42" s="846"/>
      <c r="G42" s="12">
        <f t="shared" si="0"/>
        <v>48</v>
      </c>
      <c r="H42" s="774"/>
      <c r="I42" s="774"/>
      <c r="J42" s="774"/>
      <c r="K42" s="774"/>
      <c r="L42" s="774"/>
      <c r="M42" s="774"/>
      <c r="N42" s="6"/>
    </row>
    <row r="43" spans="1:14" s="775" customFormat="1" ht="26.25" customHeight="1" x14ac:dyDescent="0.25">
      <c r="A43" s="14" t="s">
        <v>591</v>
      </c>
      <c r="B43" s="15">
        <v>41789</v>
      </c>
      <c r="C43" s="936" t="s">
        <v>218</v>
      </c>
      <c r="D43" s="1025"/>
      <c r="E43" s="845">
        <v>40</v>
      </c>
      <c r="F43" s="846"/>
      <c r="G43" s="12">
        <f t="shared" si="0"/>
        <v>8</v>
      </c>
      <c r="H43" s="774"/>
      <c r="I43" s="774"/>
      <c r="J43" s="774"/>
      <c r="K43" s="774"/>
      <c r="L43" s="774"/>
      <c r="M43" s="774"/>
      <c r="N43" s="6"/>
    </row>
    <row r="44" spans="1:14" s="775" customFormat="1" ht="26.25" customHeight="1" x14ac:dyDescent="0.25">
      <c r="A44" s="14" t="s">
        <v>595</v>
      </c>
      <c r="B44" s="15">
        <v>41796</v>
      </c>
      <c r="C44" s="936" t="s">
        <v>218</v>
      </c>
      <c r="D44" s="1025"/>
      <c r="E44" s="845">
        <v>8</v>
      </c>
      <c r="F44" s="846"/>
      <c r="G44" s="12">
        <f t="shared" si="0"/>
        <v>0</v>
      </c>
      <c r="H44" s="774"/>
      <c r="I44" s="774"/>
      <c r="J44" s="774"/>
      <c r="K44" s="774"/>
      <c r="L44" s="774"/>
      <c r="M44" s="774"/>
      <c r="N44" s="6"/>
    </row>
    <row r="45" spans="1:14" s="3" customFormat="1" ht="26.25" customHeight="1" x14ac:dyDescent="0.25">
      <c r="A45" s="14"/>
      <c r="B45" s="15"/>
      <c r="C45" s="936"/>
      <c r="D45" s="1025"/>
      <c r="E45" s="845"/>
      <c r="F45" s="846"/>
      <c r="G45" s="12">
        <f t="shared" si="0"/>
        <v>0</v>
      </c>
      <c r="H45" s="697"/>
      <c r="I45" s="697"/>
      <c r="J45" s="697"/>
      <c r="K45" s="697"/>
      <c r="L45" s="697"/>
      <c r="M45" s="697"/>
      <c r="N45" s="6"/>
    </row>
    <row r="46" spans="1:14" s="23" customFormat="1" ht="26.25" customHeight="1" thickBot="1" x14ac:dyDescent="0.3">
      <c r="A46" s="851" t="s">
        <v>36</v>
      </c>
      <c r="B46" s="852"/>
      <c r="C46" s="852"/>
      <c r="D46" s="852"/>
      <c r="E46" s="1026">
        <f>SUM(E21:F45)</f>
        <v>1072</v>
      </c>
      <c r="F46" s="1027"/>
      <c r="G46" s="12"/>
      <c r="H46" s="21"/>
      <c r="I46" s="21"/>
      <c r="J46" s="21"/>
      <c r="K46" s="21"/>
      <c r="L46" s="21"/>
      <c r="M46" s="21"/>
      <c r="N46" s="22"/>
    </row>
    <row r="47" spans="1:14" s="3" customFormat="1" ht="26.25" customHeight="1" thickTop="1" x14ac:dyDescent="0.25">
      <c r="A47" s="24"/>
      <c r="E47" s="844" t="s">
        <v>65</v>
      </c>
      <c r="F47" s="844"/>
    </row>
    <row r="48" spans="1:14" s="3" customFormat="1" ht="26.25" customHeight="1" x14ac:dyDescent="0.3">
      <c r="A48" s="25" t="s">
        <v>41</v>
      </c>
      <c r="B48" s="25"/>
      <c r="C48" s="25"/>
      <c r="D48" s="25" t="s">
        <v>81</v>
      </c>
      <c r="E48" s="25"/>
      <c r="F48" s="26"/>
      <c r="G48" s="25" t="s">
        <v>38</v>
      </c>
      <c r="H48" s="25"/>
      <c r="I48" s="25"/>
      <c r="J48" s="25"/>
      <c r="K48" s="25"/>
      <c r="L48" s="25" t="s">
        <v>39</v>
      </c>
      <c r="M48" s="28"/>
      <c r="N48" s="26"/>
    </row>
    <row r="49" spans="1:14" s="3" customFormat="1" ht="26.25" customHeight="1" x14ac:dyDescent="0.3">
      <c r="A49" s="25"/>
      <c r="B49" s="25"/>
      <c r="C49" s="25"/>
      <c r="D49" s="25"/>
      <c r="E49" s="25"/>
      <c r="F49" s="26"/>
      <c r="G49" s="25"/>
      <c r="H49" s="25"/>
      <c r="I49" s="25"/>
      <c r="J49" s="25"/>
      <c r="K49" s="25"/>
      <c r="L49" s="25"/>
      <c r="M49" s="28"/>
      <c r="N49" s="26"/>
    </row>
    <row r="50" spans="1:14" s="3" customFormat="1" ht="26.25" customHeight="1" x14ac:dyDescent="0.3">
      <c r="A50" s="25"/>
      <c r="B50" s="25"/>
      <c r="C50" s="25"/>
      <c r="D50" s="25"/>
      <c r="E50" s="25"/>
      <c r="F50" s="26"/>
      <c r="G50" s="25"/>
      <c r="H50" s="25"/>
      <c r="I50" s="25"/>
      <c r="J50" s="25"/>
      <c r="K50" s="25"/>
      <c r="L50" s="25"/>
      <c r="M50" s="28"/>
      <c r="N50" s="26"/>
    </row>
    <row r="51" spans="1:14" s="3" customFormat="1" ht="26.25" customHeight="1" x14ac:dyDescent="0.3">
      <c r="A51" s="25"/>
      <c r="B51" s="25"/>
      <c r="C51" s="25"/>
      <c r="D51" s="25"/>
      <c r="E51" s="25"/>
      <c r="F51" s="26"/>
      <c r="G51" s="25"/>
      <c r="H51" s="25"/>
      <c r="I51" s="25"/>
      <c r="J51" s="25"/>
      <c r="K51" s="25"/>
      <c r="L51" s="25"/>
      <c r="M51" s="28"/>
      <c r="N51" s="26"/>
    </row>
    <row r="52" spans="1:14" s="3" customFormat="1" ht="26.25" customHeight="1" x14ac:dyDescent="0.3">
      <c r="A52" s="29"/>
      <c r="B52" s="25"/>
      <c r="C52" s="25"/>
      <c r="D52" s="29"/>
      <c r="E52" s="29"/>
      <c r="F52" s="26"/>
      <c r="G52" s="29"/>
      <c r="H52" s="25"/>
      <c r="I52" s="25"/>
      <c r="J52" s="25"/>
      <c r="K52" s="25"/>
      <c r="L52" s="27"/>
      <c r="M52" s="28"/>
      <c r="N52" s="26"/>
    </row>
    <row r="53" spans="1:14" s="30" customFormat="1" ht="17.25" x14ac:dyDescent="0.3">
      <c r="A53" s="25" t="s">
        <v>48</v>
      </c>
      <c r="B53" s="25"/>
      <c r="C53" s="25" t="s">
        <v>80</v>
      </c>
      <c r="D53" s="25"/>
      <c r="G53" s="25" t="str">
        <f>B10</f>
        <v>Pascal</v>
      </c>
      <c r="H53" s="25"/>
      <c r="I53" s="25"/>
      <c r="J53" s="25"/>
      <c r="K53" s="829" t="s">
        <v>90</v>
      </c>
      <c r="L53" s="829"/>
      <c r="M53" s="829"/>
      <c r="N53" s="829"/>
    </row>
    <row r="54" spans="1:14" s="30" customFormat="1" ht="16.5" x14ac:dyDescent="0.3">
      <c r="A54" s="32"/>
    </row>
    <row r="55" spans="1:14" s="30" customFormat="1" ht="16.5" x14ac:dyDescent="0.3">
      <c r="A55" s="32"/>
    </row>
    <row r="56" spans="1:14" s="30" customFormat="1" ht="16.5" x14ac:dyDescent="0.3">
      <c r="A56" s="32"/>
    </row>
    <row r="57" spans="1:14" s="30" customFormat="1" ht="16.5" x14ac:dyDescent="0.3">
      <c r="A57" s="32"/>
    </row>
    <row r="58" spans="1:14" s="30" customFormat="1" ht="16.5" x14ac:dyDescent="0.3">
      <c r="A58" s="32"/>
    </row>
    <row r="59" spans="1:14" s="30" customFormat="1" ht="16.5" x14ac:dyDescent="0.3">
      <c r="A59" s="32"/>
    </row>
    <row r="60" spans="1:14" s="30" customFormat="1" ht="16.5" x14ac:dyDescent="0.3">
      <c r="A60" s="32"/>
    </row>
    <row r="61" spans="1:14" s="30" customFormat="1" ht="16.5" x14ac:dyDescent="0.3">
      <c r="A61" s="32"/>
    </row>
    <row r="62" spans="1:14" s="30" customFormat="1" ht="16.5" x14ac:dyDescent="0.3">
      <c r="A62" s="32"/>
    </row>
  </sheetData>
  <mergeCells count="73">
    <mergeCell ref="K16:L16"/>
    <mergeCell ref="A17:F17"/>
    <mergeCell ref="K17:L17"/>
    <mergeCell ref="A1:XFD7"/>
    <mergeCell ref="A8:N8"/>
    <mergeCell ref="K9:L9"/>
    <mergeCell ref="B10:B15"/>
    <mergeCell ref="C10:C15"/>
    <mergeCell ref="K12:L12"/>
    <mergeCell ref="K13:L13"/>
    <mergeCell ref="K14:L14"/>
    <mergeCell ref="K15:L15"/>
    <mergeCell ref="A16:D16"/>
    <mergeCell ref="M19:N19"/>
    <mergeCell ref="A20:F20"/>
    <mergeCell ref="A18:G18"/>
    <mergeCell ref="C19:D19"/>
    <mergeCell ref="E19:F19"/>
    <mergeCell ref="K19:L19"/>
    <mergeCell ref="C22:D22"/>
    <mergeCell ref="E22:F22"/>
    <mergeCell ref="C23:D23"/>
    <mergeCell ref="E23:F23"/>
    <mergeCell ref="C21:D21"/>
    <mergeCell ref="E21:F21"/>
    <mergeCell ref="C24:D24"/>
    <mergeCell ref="E24:F24"/>
    <mergeCell ref="C25:D25"/>
    <mergeCell ref="E25:F25"/>
    <mergeCell ref="C26:D26"/>
    <mergeCell ref="E26:F26"/>
    <mergeCell ref="C27:D27"/>
    <mergeCell ref="E27:F27"/>
    <mergeCell ref="C28:D28"/>
    <mergeCell ref="E28:F28"/>
    <mergeCell ref="C29:D29"/>
    <mergeCell ref="E29:F29"/>
    <mergeCell ref="C30:D30"/>
    <mergeCell ref="E30:F30"/>
    <mergeCell ref="E47:F47"/>
    <mergeCell ref="K53:N53"/>
    <mergeCell ref="C41:D41"/>
    <mergeCell ref="E41:F41"/>
    <mergeCell ref="C45:D45"/>
    <mergeCell ref="E45:F45"/>
    <mergeCell ref="A46:D46"/>
    <mergeCell ref="E46:F46"/>
    <mergeCell ref="C31:D31"/>
    <mergeCell ref="E31:F31"/>
    <mergeCell ref="C38:D38"/>
    <mergeCell ref="E38:F38"/>
    <mergeCell ref="C32:D32"/>
    <mergeCell ref="E32:F32"/>
    <mergeCell ref="C33:D33"/>
    <mergeCell ref="E33:F33"/>
    <mergeCell ref="C34:D34"/>
    <mergeCell ref="E34:F34"/>
    <mergeCell ref="C35:D35"/>
    <mergeCell ref="E35:F35"/>
    <mergeCell ref="C42:D42"/>
    <mergeCell ref="E42:F42"/>
    <mergeCell ref="E43:F43"/>
    <mergeCell ref="E44:F44"/>
    <mergeCell ref="E36:F36"/>
    <mergeCell ref="E37:F37"/>
    <mergeCell ref="C36:D36"/>
    <mergeCell ref="C37:D37"/>
    <mergeCell ref="C39:D39"/>
    <mergeCell ref="E39:F39"/>
    <mergeCell ref="C40:D40"/>
    <mergeCell ref="E40:F40"/>
    <mergeCell ref="C43:D43"/>
    <mergeCell ref="C44:D44"/>
  </mergeCells>
  <printOptions horizontalCentered="1"/>
  <pageMargins left="0.25" right="0.25" top="0.47" bottom="0.25" header="0.5" footer="0.5"/>
  <pageSetup scale="70" orientation="portrait" verticalDpi="300" r:id="rId1"/>
  <headerFooter alignWithMargins="0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8"/>
  <sheetViews>
    <sheetView zoomScale="80" workbookViewId="0">
      <pane xSplit="3" ySplit="9" topLeftCell="D37" activePane="bottomRight" state="frozen"/>
      <selection activeCell="Q11" sqref="Q11"/>
      <selection pane="topRight" activeCell="Q11" sqref="Q11"/>
      <selection pane="bottomLeft" activeCell="Q11" sqref="Q11"/>
      <selection pane="bottomRight" activeCell="D49" sqref="D49"/>
    </sheetView>
  </sheetViews>
  <sheetFormatPr defaultRowHeight="13.5" x14ac:dyDescent="0.25"/>
  <cols>
    <col min="1" max="1" width="16.85546875" style="33" customWidth="1"/>
    <col min="2" max="2" width="20.85546875" style="1" customWidth="1"/>
    <col min="3" max="3" width="8.42578125" style="1" customWidth="1"/>
    <col min="4" max="4" width="25.140625" style="1" customWidth="1"/>
    <col min="5" max="5" width="8.42578125" style="1" customWidth="1"/>
    <col min="6" max="6" width="8.5703125" style="1" customWidth="1"/>
    <col min="7" max="7" width="20.7109375" style="1" customWidth="1"/>
    <col min="8" max="8" width="5.85546875" style="1" customWidth="1"/>
    <col min="9" max="9" width="3.85546875" style="1" customWidth="1"/>
    <col min="10" max="10" width="5.140625" style="1" customWidth="1"/>
    <col min="11" max="11" width="5.85546875" style="1" customWidth="1"/>
    <col min="12" max="12" width="6.5703125" style="1" customWidth="1"/>
    <col min="13" max="13" width="11.85546875" style="1" customWidth="1"/>
    <col min="14" max="14" width="10.5703125" style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4" s="866" customFormat="1" ht="15" x14ac:dyDescent="0.25"/>
    <row r="2" spans="1:14" s="866" customFormat="1" ht="15" x14ac:dyDescent="0.25"/>
    <row r="3" spans="1:14" s="866" customFormat="1" ht="15" x14ac:dyDescent="0.25"/>
    <row r="4" spans="1:14" s="866" customFormat="1" ht="15" x14ac:dyDescent="0.25"/>
    <row r="5" spans="1:14" s="866" customFormat="1" ht="15" x14ac:dyDescent="0.25"/>
    <row r="6" spans="1:14" s="866" customFormat="1" ht="15" x14ac:dyDescent="0.25"/>
    <row r="7" spans="1:14" s="866" customFormat="1" ht="15.75" thickBot="1" x14ac:dyDescent="0.3"/>
    <row r="8" spans="1:14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4" s="48" customFormat="1" ht="17.25" x14ac:dyDescent="0.25">
      <c r="A9" s="49" t="s">
        <v>13</v>
      </c>
      <c r="B9" s="50" t="s">
        <v>19</v>
      </c>
      <c r="C9" s="51" t="s">
        <v>20</v>
      </c>
      <c r="D9" s="51"/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4" s="361" customFormat="1" ht="26.25" customHeight="1" x14ac:dyDescent="0.25">
      <c r="A10" s="102">
        <v>1</v>
      </c>
      <c r="B10" s="890" t="s">
        <v>221</v>
      </c>
      <c r="C10" s="890" t="s">
        <v>31</v>
      </c>
      <c r="D10" s="51" t="s">
        <v>219</v>
      </c>
      <c r="E10" s="362">
        <f>12+9+6+4.5+13.5+10.5</f>
        <v>55.5</v>
      </c>
      <c r="F10" s="55">
        <v>8</v>
      </c>
      <c r="G10" s="56">
        <f>E10*F10</f>
        <v>444</v>
      </c>
      <c r="H10" s="362" t="s">
        <v>102</v>
      </c>
      <c r="I10" s="362">
        <v>2</v>
      </c>
      <c r="J10" s="362">
        <v>11</v>
      </c>
      <c r="K10" s="357" t="s">
        <v>74</v>
      </c>
      <c r="L10" s="358"/>
      <c r="M10" s="57">
        <v>41543</v>
      </c>
      <c r="N10" s="58"/>
    </row>
    <row r="11" spans="1:14" s="361" customFormat="1" ht="26.25" customHeight="1" x14ac:dyDescent="0.25">
      <c r="A11" s="90">
        <v>2</v>
      </c>
      <c r="B11" s="891"/>
      <c r="C11" s="891"/>
      <c r="D11" s="51" t="s">
        <v>220</v>
      </c>
      <c r="E11" s="80">
        <f>12+9+6+4.5+13.5+10.5</f>
        <v>55.5</v>
      </c>
      <c r="F11" s="55">
        <v>8</v>
      </c>
      <c r="G11" s="56">
        <f>E11*F11</f>
        <v>444</v>
      </c>
      <c r="H11" s="80" t="s">
        <v>98</v>
      </c>
      <c r="I11" s="80">
        <v>3</v>
      </c>
      <c r="J11" s="80">
        <v>10</v>
      </c>
      <c r="K11" s="357" t="s">
        <v>74</v>
      </c>
      <c r="M11" s="57">
        <v>41543</v>
      </c>
      <c r="N11" s="84"/>
    </row>
    <row r="12" spans="1:14" s="361" customFormat="1" ht="26.25" customHeight="1" x14ac:dyDescent="0.25">
      <c r="A12" s="102">
        <v>3</v>
      </c>
      <c r="B12" s="891"/>
      <c r="C12" s="891"/>
      <c r="D12" s="51" t="s">
        <v>220</v>
      </c>
      <c r="E12" s="80">
        <f>12+9+6+6+18</f>
        <v>51</v>
      </c>
      <c r="F12" s="55">
        <v>8</v>
      </c>
      <c r="G12" s="56">
        <f>E12*F12</f>
        <v>408</v>
      </c>
      <c r="H12" s="80" t="s">
        <v>25</v>
      </c>
      <c r="I12" s="80">
        <v>3</v>
      </c>
      <c r="J12" s="80">
        <v>10</v>
      </c>
      <c r="K12" s="583" t="s">
        <v>74</v>
      </c>
      <c r="M12" s="57">
        <v>41668</v>
      </c>
      <c r="N12" s="84"/>
    </row>
    <row r="13" spans="1:14" s="361" customFormat="1" ht="26.25" customHeight="1" x14ac:dyDescent="0.25">
      <c r="A13" s="90"/>
      <c r="B13" s="891"/>
      <c r="C13" s="891"/>
      <c r="D13" s="79" t="s">
        <v>464</v>
      </c>
      <c r="E13" s="80">
        <f>12+6+24+3</f>
        <v>45</v>
      </c>
      <c r="F13" s="55">
        <v>8</v>
      </c>
      <c r="G13" s="56">
        <f>E13*F13</f>
        <v>360</v>
      </c>
      <c r="H13" s="80" t="s">
        <v>106</v>
      </c>
      <c r="I13" s="80">
        <v>4</v>
      </c>
      <c r="J13" s="80">
        <v>9</v>
      </c>
      <c r="K13" s="876" t="s">
        <v>256</v>
      </c>
      <c r="L13" s="877"/>
      <c r="M13" s="83">
        <v>41699</v>
      </c>
      <c r="N13" s="84"/>
    </row>
    <row r="14" spans="1:14" s="361" customFormat="1" ht="26.25" customHeight="1" x14ac:dyDescent="0.25">
      <c r="A14" s="102"/>
      <c r="B14" s="891"/>
      <c r="C14" s="891"/>
      <c r="D14" s="79"/>
      <c r="E14" s="80"/>
      <c r="F14" s="55"/>
      <c r="G14" s="82"/>
      <c r="H14" s="80"/>
      <c r="I14" s="80"/>
      <c r="J14" s="80"/>
      <c r="K14" s="876"/>
      <c r="L14" s="877"/>
      <c r="M14" s="83"/>
      <c r="N14" s="84"/>
    </row>
    <row r="15" spans="1:14" s="361" customFormat="1" ht="26.25" customHeight="1" x14ac:dyDescent="0.25">
      <c r="A15" s="102"/>
      <c r="B15" s="892"/>
      <c r="C15" s="892"/>
      <c r="D15" s="77"/>
      <c r="E15" s="80"/>
      <c r="F15" s="81"/>
      <c r="G15" s="82"/>
      <c r="H15" s="80"/>
      <c r="I15" s="80"/>
      <c r="J15" s="80"/>
      <c r="K15" s="876"/>
      <c r="L15" s="877"/>
      <c r="M15" s="83"/>
      <c r="N15" s="84"/>
    </row>
    <row r="16" spans="1:14" s="361" customFormat="1" ht="26.25" customHeight="1" x14ac:dyDescent="0.25">
      <c r="A16" s="925" t="s">
        <v>11</v>
      </c>
      <c r="B16" s="926"/>
      <c r="C16" s="926"/>
      <c r="D16" s="926"/>
      <c r="E16" s="364">
        <f>SUM(E10:E15)</f>
        <v>207</v>
      </c>
      <c r="F16" s="76"/>
      <c r="G16" s="62">
        <f>SUM(G10:G15)</f>
        <v>1656</v>
      </c>
      <c r="H16" s="363"/>
      <c r="I16" s="363"/>
      <c r="J16" s="363"/>
      <c r="K16" s="876"/>
      <c r="L16" s="877"/>
      <c r="M16" s="363"/>
      <c r="N16" s="63"/>
    </row>
    <row r="17" spans="1:14" s="361" customFormat="1" ht="26.25" customHeight="1" x14ac:dyDescent="0.25">
      <c r="A17" s="897" t="s">
        <v>24</v>
      </c>
      <c r="B17" s="898"/>
      <c r="C17" s="898"/>
      <c r="D17" s="898"/>
      <c r="E17" s="898"/>
      <c r="F17" s="898"/>
      <c r="G17" s="64">
        <f>G16</f>
        <v>1656</v>
      </c>
      <c r="H17" s="365"/>
      <c r="I17" s="365"/>
      <c r="J17" s="365"/>
      <c r="K17" s="859"/>
      <c r="L17" s="860"/>
      <c r="M17" s="365"/>
      <c r="N17" s="66"/>
    </row>
    <row r="18" spans="1:14" s="48" customFormat="1" ht="26.25" customHeight="1" x14ac:dyDescent="0.25">
      <c r="A18" s="899" t="s">
        <v>32</v>
      </c>
      <c r="B18" s="900"/>
      <c r="C18" s="900"/>
      <c r="D18" s="900"/>
      <c r="E18" s="900"/>
      <c r="F18" s="900"/>
      <c r="G18" s="900"/>
      <c r="H18" s="67"/>
      <c r="I18" s="67"/>
      <c r="J18" s="68" t="s">
        <v>44</v>
      </c>
      <c r="K18" s="67"/>
      <c r="L18" s="68"/>
      <c r="M18" s="69"/>
      <c r="N18" s="70"/>
    </row>
    <row r="19" spans="1:14" s="48" customFormat="1" ht="22.5" customHeight="1" thickBot="1" x14ac:dyDescent="0.3">
      <c r="A19" s="72" t="s">
        <v>5</v>
      </c>
      <c r="B19" s="71" t="s">
        <v>33</v>
      </c>
      <c r="C19" s="857" t="s">
        <v>21</v>
      </c>
      <c r="D19" s="858"/>
      <c r="E19" s="857" t="s">
        <v>34</v>
      </c>
      <c r="F19" s="858"/>
      <c r="G19" s="71" t="s">
        <v>0</v>
      </c>
      <c r="H19" s="71" t="s">
        <v>96</v>
      </c>
      <c r="I19" s="71" t="s">
        <v>26</v>
      </c>
      <c r="J19" s="71" t="s">
        <v>27</v>
      </c>
      <c r="K19" s="863" t="s">
        <v>28</v>
      </c>
      <c r="L19" s="857"/>
      <c r="M19" s="901" t="s">
        <v>50</v>
      </c>
      <c r="N19" s="902"/>
    </row>
    <row r="20" spans="1:14" s="3" customFormat="1" ht="26.25" customHeight="1" x14ac:dyDescent="0.25">
      <c r="A20" s="861" t="s">
        <v>35</v>
      </c>
      <c r="B20" s="862"/>
      <c r="C20" s="862"/>
      <c r="D20" s="862"/>
      <c r="E20" s="862"/>
      <c r="F20" s="862"/>
      <c r="G20" s="7">
        <f>G17</f>
        <v>1656</v>
      </c>
      <c r="H20" s="8"/>
      <c r="I20" s="8"/>
      <c r="J20" s="8"/>
      <c r="K20" s="8"/>
      <c r="L20" s="8"/>
      <c r="M20" s="8"/>
      <c r="N20" s="9"/>
    </row>
    <row r="21" spans="1:14" s="3" customFormat="1" ht="26.25" customHeight="1" x14ac:dyDescent="0.25">
      <c r="A21" s="10" t="s">
        <v>222</v>
      </c>
      <c r="B21" s="11">
        <v>41517</v>
      </c>
      <c r="C21" s="841" t="s">
        <v>219</v>
      </c>
      <c r="D21" s="841"/>
      <c r="E21" s="1033">
        <v>50</v>
      </c>
      <c r="F21" s="1033"/>
      <c r="G21" s="12">
        <f t="shared" ref="G21:G38" si="0">G20-E21</f>
        <v>1606</v>
      </c>
      <c r="H21" s="359"/>
      <c r="I21" s="359"/>
      <c r="J21" s="359"/>
      <c r="K21" s="359"/>
      <c r="L21" s="359"/>
      <c r="M21" s="359"/>
      <c r="N21" s="13"/>
    </row>
    <row r="22" spans="1:14" s="3" customFormat="1" ht="26.25" customHeight="1" x14ac:dyDescent="0.25">
      <c r="A22" s="10" t="s">
        <v>224</v>
      </c>
      <c r="B22" s="11">
        <v>41530</v>
      </c>
      <c r="C22" s="841" t="s">
        <v>219</v>
      </c>
      <c r="D22" s="841"/>
      <c r="E22" s="1032">
        <v>50</v>
      </c>
      <c r="F22" s="1032"/>
      <c r="G22" s="12">
        <f t="shared" si="0"/>
        <v>1556</v>
      </c>
      <c r="H22" s="360"/>
      <c r="I22" s="360"/>
      <c r="J22" s="360"/>
      <c r="K22" s="360"/>
      <c r="L22" s="360"/>
      <c r="M22" s="360"/>
      <c r="N22" s="6"/>
    </row>
    <row r="23" spans="1:14" s="3" customFormat="1" ht="26.25" customHeight="1" x14ac:dyDescent="0.25">
      <c r="A23" s="10" t="s">
        <v>257</v>
      </c>
      <c r="B23" s="11">
        <v>41543</v>
      </c>
      <c r="C23" s="933" t="s">
        <v>220</v>
      </c>
      <c r="D23" s="934"/>
      <c r="E23" s="1032">
        <v>100</v>
      </c>
      <c r="F23" s="1032"/>
      <c r="G23" s="12">
        <f t="shared" si="0"/>
        <v>1456</v>
      </c>
      <c r="H23" s="360"/>
      <c r="I23" s="360"/>
      <c r="J23" s="360"/>
      <c r="K23" s="360"/>
      <c r="L23" s="360"/>
      <c r="M23" s="360"/>
      <c r="N23" s="6"/>
    </row>
    <row r="24" spans="1:14" s="3" customFormat="1" ht="26.25" customHeight="1" x14ac:dyDescent="0.25">
      <c r="A24" s="10" t="s">
        <v>267</v>
      </c>
      <c r="B24" s="11">
        <v>41548</v>
      </c>
      <c r="C24" s="933" t="s">
        <v>220</v>
      </c>
      <c r="D24" s="934"/>
      <c r="E24" s="1034">
        <v>80</v>
      </c>
      <c r="F24" s="1035"/>
      <c r="G24" s="12">
        <f t="shared" si="0"/>
        <v>1376</v>
      </c>
      <c r="H24" s="360"/>
      <c r="I24" s="360"/>
      <c r="J24" s="360"/>
      <c r="K24" s="360"/>
      <c r="L24" s="360"/>
      <c r="M24" s="360"/>
      <c r="N24" s="6"/>
    </row>
    <row r="25" spans="1:14" s="3" customFormat="1" ht="26.25" customHeight="1" x14ac:dyDescent="0.25">
      <c r="A25" s="10" t="s">
        <v>275</v>
      </c>
      <c r="B25" s="11">
        <v>41566</v>
      </c>
      <c r="C25" s="936" t="s">
        <v>220</v>
      </c>
      <c r="D25" s="1025"/>
      <c r="E25" s="1036">
        <v>50</v>
      </c>
      <c r="F25" s="1037"/>
      <c r="G25" s="12">
        <f t="shared" si="0"/>
        <v>1326</v>
      </c>
      <c r="H25" s="360"/>
      <c r="I25" s="360"/>
      <c r="J25" s="360"/>
      <c r="K25" s="360"/>
      <c r="L25" s="360"/>
      <c r="M25" s="360"/>
      <c r="N25" s="6"/>
    </row>
    <row r="26" spans="1:14" s="3" customFormat="1" ht="26.25" customHeight="1" x14ac:dyDescent="0.25">
      <c r="A26" s="10" t="s">
        <v>299</v>
      </c>
      <c r="B26" s="11">
        <v>41577</v>
      </c>
      <c r="C26" s="936" t="s">
        <v>220</v>
      </c>
      <c r="D26" s="1025"/>
      <c r="E26" s="1034">
        <v>100</v>
      </c>
      <c r="F26" s="1035"/>
      <c r="G26" s="12">
        <f t="shared" si="0"/>
        <v>1226</v>
      </c>
      <c r="H26" s="360"/>
      <c r="I26" s="360"/>
      <c r="J26" s="360"/>
      <c r="K26" s="360"/>
      <c r="L26" s="360"/>
      <c r="M26" s="360"/>
      <c r="N26" s="6"/>
    </row>
    <row r="27" spans="1:14" s="3" customFormat="1" ht="26.25" customHeight="1" x14ac:dyDescent="0.25">
      <c r="A27" s="10" t="s">
        <v>305</v>
      </c>
      <c r="B27" s="11">
        <v>41589</v>
      </c>
      <c r="C27" s="936" t="s">
        <v>220</v>
      </c>
      <c r="D27" s="1025"/>
      <c r="E27" s="1034">
        <v>20</v>
      </c>
      <c r="F27" s="1035"/>
      <c r="G27" s="12">
        <f t="shared" si="0"/>
        <v>1206</v>
      </c>
      <c r="H27" s="360"/>
      <c r="I27" s="360"/>
      <c r="J27" s="360"/>
      <c r="K27" s="360"/>
      <c r="L27" s="360"/>
      <c r="M27" s="360"/>
      <c r="N27" s="6"/>
    </row>
    <row r="28" spans="1:14" s="3" customFormat="1" ht="26.25" customHeight="1" x14ac:dyDescent="0.25">
      <c r="A28" s="10" t="s">
        <v>306</v>
      </c>
      <c r="B28" s="11">
        <v>41593</v>
      </c>
      <c r="C28" s="936" t="s">
        <v>220</v>
      </c>
      <c r="D28" s="1025"/>
      <c r="E28" s="1034">
        <v>200</v>
      </c>
      <c r="F28" s="1035"/>
      <c r="G28" s="12">
        <f t="shared" si="0"/>
        <v>1006</v>
      </c>
      <c r="H28" s="360"/>
      <c r="I28" s="360"/>
      <c r="J28" s="360"/>
      <c r="K28" s="360"/>
      <c r="L28" s="360"/>
      <c r="M28" s="360"/>
      <c r="N28" s="6"/>
    </row>
    <row r="29" spans="1:14" s="3" customFormat="1" ht="26.25" customHeight="1" x14ac:dyDescent="0.25">
      <c r="A29" s="10" t="s">
        <v>319</v>
      </c>
      <c r="B29" s="11">
        <v>41607</v>
      </c>
      <c r="C29" s="936" t="s">
        <v>220</v>
      </c>
      <c r="D29" s="1025"/>
      <c r="E29" s="1034">
        <v>70</v>
      </c>
      <c r="F29" s="1035"/>
      <c r="G29" s="12">
        <f t="shared" si="0"/>
        <v>936</v>
      </c>
      <c r="H29" s="360"/>
      <c r="I29" s="360"/>
      <c r="J29" s="360"/>
      <c r="K29" s="360"/>
      <c r="L29" s="360"/>
      <c r="M29" s="360"/>
      <c r="N29" s="6"/>
    </row>
    <row r="30" spans="1:14" s="3" customFormat="1" ht="26.25" customHeight="1" x14ac:dyDescent="0.25">
      <c r="A30" s="10" t="s">
        <v>323</v>
      </c>
      <c r="B30" s="11">
        <v>41615</v>
      </c>
      <c r="C30" s="936" t="s">
        <v>220</v>
      </c>
      <c r="D30" s="1025"/>
      <c r="E30" s="1034">
        <v>50</v>
      </c>
      <c r="F30" s="1035"/>
      <c r="G30" s="12">
        <f t="shared" si="0"/>
        <v>886</v>
      </c>
      <c r="H30" s="360"/>
      <c r="I30" s="360"/>
      <c r="J30" s="360"/>
      <c r="K30" s="360"/>
      <c r="L30" s="360"/>
      <c r="M30" s="360"/>
      <c r="N30" s="6"/>
    </row>
    <row r="31" spans="1:14" s="3" customFormat="1" ht="26.25" customHeight="1" x14ac:dyDescent="0.25">
      <c r="A31" s="10" t="s">
        <v>369</v>
      </c>
      <c r="B31" s="11">
        <v>41277</v>
      </c>
      <c r="C31" s="936" t="s">
        <v>220</v>
      </c>
      <c r="D31" s="1025"/>
      <c r="E31" s="1034">
        <v>20</v>
      </c>
      <c r="F31" s="1035"/>
      <c r="G31" s="12">
        <f t="shared" si="0"/>
        <v>866</v>
      </c>
      <c r="H31" s="360"/>
      <c r="I31" s="360"/>
      <c r="J31" s="360"/>
      <c r="K31" s="360"/>
      <c r="L31" s="360"/>
      <c r="M31" s="360"/>
      <c r="N31" s="6"/>
    </row>
    <row r="32" spans="1:14" s="3" customFormat="1" ht="26.25" customHeight="1" x14ac:dyDescent="0.25">
      <c r="A32" s="14" t="s">
        <v>379</v>
      </c>
      <c r="B32" s="11">
        <v>41278</v>
      </c>
      <c r="C32" s="1038" t="s">
        <v>220</v>
      </c>
      <c r="D32" s="1039"/>
      <c r="E32" s="1034">
        <v>10</v>
      </c>
      <c r="F32" s="1035"/>
      <c r="G32" s="12">
        <f t="shared" si="0"/>
        <v>856</v>
      </c>
      <c r="H32" s="664"/>
      <c r="I32" s="664"/>
      <c r="J32" s="664"/>
      <c r="K32" s="664"/>
      <c r="L32" s="664"/>
      <c r="M32" s="664"/>
      <c r="N32" s="6"/>
    </row>
    <row r="33" spans="1:14" s="3" customFormat="1" ht="26.25" customHeight="1" x14ac:dyDescent="0.25">
      <c r="A33" s="569" t="s">
        <v>402</v>
      </c>
      <c r="B33" s="570">
        <v>41682</v>
      </c>
      <c r="C33" s="1030" t="s">
        <v>220</v>
      </c>
      <c r="D33" s="1031"/>
      <c r="E33" s="1034">
        <v>50</v>
      </c>
      <c r="F33" s="1035"/>
      <c r="G33" s="12">
        <f t="shared" si="0"/>
        <v>806</v>
      </c>
      <c r="H33" s="664"/>
      <c r="I33" s="664"/>
      <c r="J33" s="664"/>
      <c r="K33" s="664"/>
      <c r="L33" s="664"/>
      <c r="M33" s="664"/>
      <c r="N33" s="6"/>
    </row>
    <row r="34" spans="1:14" s="3" customFormat="1" ht="26.25" customHeight="1" x14ac:dyDescent="0.25">
      <c r="A34" s="14" t="s">
        <v>426</v>
      </c>
      <c r="B34" s="11">
        <v>41691</v>
      </c>
      <c r="C34" s="1030" t="s">
        <v>220</v>
      </c>
      <c r="D34" s="1031"/>
      <c r="E34" s="845">
        <v>50</v>
      </c>
      <c r="F34" s="846"/>
      <c r="G34" s="12">
        <f t="shared" si="0"/>
        <v>756</v>
      </c>
      <c r="H34" s="664"/>
      <c r="I34" s="664"/>
      <c r="J34" s="664"/>
      <c r="K34" s="664"/>
      <c r="L34" s="664"/>
      <c r="M34" s="664"/>
      <c r="N34" s="6"/>
    </row>
    <row r="35" spans="1:14" s="3" customFormat="1" ht="26.25" customHeight="1" x14ac:dyDescent="0.25">
      <c r="A35" s="14" t="s">
        <v>467</v>
      </c>
      <c r="B35" s="11">
        <v>41700</v>
      </c>
      <c r="C35" s="1030" t="s">
        <v>220</v>
      </c>
      <c r="D35" s="1031"/>
      <c r="E35" s="1034">
        <v>20</v>
      </c>
      <c r="F35" s="1035"/>
      <c r="G35" s="12">
        <f t="shared" si="0"/>
        <v>736</v>
      </c>
      <c r="H35" s="573"/>
      <c r="I35" s="573"/>
      <c r="J35" s="573"/>
      <c r="K35" s="573"/>
      <c r="L35" s="573"/>
      <c r="M35" s="573"/>
      <c r="N35" s="6"/>
    </row>
    <row r="36" spans="1:14" s="3" customFormat="1" ht="26.25" customHeight="1" x14ac:dyDescent="0.25">
      <c r="A36" s="569" t="s">
        <v>465</v>
      </c>
      <c r="B36" s="570">
        <v>41703</v>
      </c>
      <c r="C36" s="1030" t="s">
        <v>220</v>
      </c>
      <c r="D36" s="1031"/>
      <c r="E36" s="1034">
        <v>80</v>
      </c>
      <c r="F36" s="1035"/>
      <c r="G36" s="12">
        <f t="shared" si="0"/>
        <v>656</v>
      </c>
      <c r="H36" s="677"/>
      <c r="I36" s="677"/>
      <c r="J36" s="677"/>
      <c r="K36" s="677"/>
      <c r="L36" s="677"/>
      <c r="M36" s="677"/>
      <c r="N36" s="6"/>
    </row>
    <row r="37" spans="1:14" s="3" customFormat="1" ht="26.25" customHeight="1" x14ac:dyDescent="0.25">
      <c r="A37" s="14" t="s">
        <v>470</v>
      </c>
      <c r="B37" s="11">
        <v>41711</v>
      </c>
      <c r="C37" s="1030" t="s">
        <v>220</v>
      </c>
      <c r="D37" s="1031"/>
      <c r="E37" s="845">
        <v>100</v>
      </c>
      <c r="F37" s="846"/>
      <c r="G37" s="12">
        <f t="shared" si="0"/>
        <v>556</v>
      </c>
      <c r="H37" s="677"/>
      <c r="I37" s="677"/>
      <c r="J37" s="677"/>
      <c r="K37" s="677"/>
      <c r="L37" s="677"/>
      <c r="M37" s="677"/>
      <c r="N37" s="6"/>
    </row>
    <row r="38" spans="1:14" s="3" customFormat="1" ht="26.25" customHeight="1" x14ac:dyDescent="0.25">
      <c r="A38" s="14" t="s">
        <v>480</v>
      </c>
      <c r="B38" s="680">
        <v>41715</v>
      </c>
      <c r="C38" s="1030" t="s">
        <v>220</v>
      </c>
      <c r="D38" s="1031"/>
      <c r="E38" s="845">
        <v>20</v>
      </c>
      <c r="F38" s="846"/>
      <c r="G38" s="12">
        <f t="shared" si="0"/>
        <v>536</v>
      </c>
      <c r="H38" s="677"/>
      <c r="I38" s="677"/>
      <c r="J38" s="677"/>
      <c r="K38" s="677"/>
      <c r="L38" s="677"/>
      <c r="M38" s="677"/>
      <c r="N38" s="6"/>
    </row>
    <row r="39" spans="1:14" s="3" customFormat="1" ht="26.25" customHeight="1" x14ac:dyDescent="0.25">
      <c r="A39" s="14" t="s">
        <v>481</v>
      </c>
      <c r="B39" s="680">
        <v>41721</v>
      </c>
      <c r="C39" s="1030" t="s">
        <v>220</v>
      </c>
      <c r="D39" s="1031"/>
      <c r="E39" s="1034">
        <v>30</v>
      </c>
      <c r="F39" s="1035"/>
      <c r="G39" s="12">
        <f>G38-E39</f>
        <v>506</v>
      </c>
      <c r="H39" s="573"/>
      <c r="I39" s="573"/>
      <c r="J39" s="573"/>
      <c r="K39" s="573"/>
      <c r="L39" s="573"/>
      <c r="M39" s="573"/>
      <c r="N39" s="6"/>
    </row>
    <row r="40" spans="1:14" s="3" customFormat="1" ht="26.25" customHeight="1" x14ac:dyDescent="0.25">
      <c r="A40" s="14" t="s">
        <v>528</v>
      </c>
      <c r="B40" s="15">
        <v>41725</v>
      </c>
      <c r="C40" s="1030" t="s">
        <v>220</v>
      </c>
      <c r="D40" s="1031"/>
      <c r="E40" s="845">
        <v>150</v>
      </c>
      <c r="F40" s="846"/>
      <c r="G40" s="12">
        <f>G39-E40</f>
        <v>356</v>
      </c>
      <c r="H40" s="360"/>
      <c r="I40" s="360"/>
      <c r="J40" s="360"/>
      <c r="K40" s="360"/>
      <c r="L40" s="360"/>
      <c r="M40" s="360"/>
      <c r="N40" s="6"/>
    </row>
    <row r="41" spans="1:14" s="744" customFormat="1" ht="26.25" customHeight="1" x14ac:dyDescent="0.25">
      <c r="A41" s="569" t="s">
        <v>531</v>
      </c>
      <c r="B41" s="570">
        <v>41738</v>
      </c>
      <c r="C41" s="1030" t="s">
        <v>220</v>
      </c>
      <c r="D41" s="1031"/>
      <c r="E41" s="845">
        <v>50</v>
      </c>
      <c r="F41" s="846"/>
      <c r="G41" s="12">
        <f t="shared" ref="G41" si="1">G40-E41</f>
        <v>306</v>
      </c>
      <c r="H41" s="571"/>
      <c r="I41" s="571"/>
      <c r="J41" s="571"/>
      <c r="K41" s="571"/>
      <c r="L41" s="571"/>
      <c r="M41" s="571"/>
      <c r="N41" s="572"/>
    </row>
    <row r="42" spans="1:14" s="744" customFormat="1" ht="26.25" customHeight="1" x14ac:dyDescent="0.25">
      <c r="A42" s="569" t="s">
        <v>544</v>
      </c>
      <c r="B42" s="570">
        <v>41753</v>
      </c>
      <c r="C42" s="1030" t="s">
        <v>220</v>
      </c>
      <c r="D42" s="1031"/>
      <c r="E42" s="845">
        <v>50</v>
      </c>
      <c r="F42" s="846"/>
      <c r="G42" s="12">
        <f>G41-E42</f>
        <v>256</v>
      </c>
      <c r="H42" s="571"/>
      <c r="I42" s="571"/>
      <c r="J42" s="571"/>
      <c r="K42" s="571"/>
      <c r="L42" s="571"/>
      <c r="M42" s="571"/>
      <c r="N42" s="572"/>
    </row>
    <row r="43" spans="1:14" s="3" customFormat="1" ht="26.25" customHeight="1" x14ac:dyDescent="0.25">
      <c r="A43" s="14" t="s">
        <v>563</v>
      </c>
      <c r="B43" s="15">
        <v>41768</v>
      </c>
      <c r="C43" s="1030" t="s">
        <v>220</v>
      </c>
      <c r="D43" s="1031"/>
      <c r="E43" s="845">
        <v>60</v>
      </c>
      <c r="F43" s="846"/>
      <c r="G43" s="12">
        <f>G42-E43</f>
        <v>196</v>
      </c>
      <c r="H43" s="571"/>
      <c r="I43" s="571"/>
      <c r="J43" s="571"/>
      <c r="K43" s="571"/>
      <c r="L43" s="571"/>
      <c r="M43" s="571"/>
      <c r="N43" s="572"/>
    </row>
    <row r="44" spans="1:14" s="775" customFormat="1" ht="26.25" customHeight="1" x14ac:dyDescent="0.25">
      <c r="A44" s="569" t="s">
        <v>568</v>
      </c>
      <c r="B44" s="776">
        <v>41781</v>
      </c>
      <c r="C44" s="1030" t="s">
        <v>220</v>
      </c>
      <c r="D44" s="1031"/>
      <c r="E44" s="907">
        <v>30</v>
      </c>
      <c r="F44" s="908"/>
      <c r="G44" s="12">
        <f>G43-E44</f>
        <v>166</v>
      </c>
      <c r="H44" s="571"/>
      <c r="I44" s="571"/>
      <c r="J44" s="571"/>
      <c r="K44" s="571"/>
      <c r="L44" s="571"/>
      <c r="M44" s="571"/>
      <c r="N44" s="572"/>
    </row>
    <row r="45" spans="1:14" s="775" customFormat="1" ht="26.25" customHeight="1" x14ac:dyDescent="0.25">
      <c r="A45" s="569" t="s">
        <v>596</v>
      </c>
      <c r="B45" s="776">
        <v>41787</v>
      </c>
      <c r="C45" s="1030" t="s">
        <v>220</v>
      </c>
      <c r="D45" s="1031"/>
      <c r="E45" s="1028">
        <v>150</v>
      </c>
      <c r="F45" s="1029"/>
      <c r="G45" s="12">
        <f>G44-E45</f>
        <v>16</v>
      </c>
      <c r="H45" s="571"/>
      <c r="I45" s="571"/>
      <c r="J45" s="571"/>
      <c r="K45" s="571"/>
      <c r="L45" s="571"/>
      <c r="M45" s="571"/>
      <c r="N45" s="572"/>
    </row>
    <row r="46" spans="1:14" s="775" customFormat="1" ht="26.25" customHeight="1" x14ac:dyDescent="0.25">
      <c r="A46" s="569" t="s">
        <v>597</v>
      </c>
      <c r="B46" s="776" t="s">
        <v>598</v>
      </c>
      <c r="C46" s="1030" t="s">
        <v>220</v>
      </c>
      <c r="D46" s="1031"/>
      <c r="E46" s="1028">
        <v>16</v>
      </c>
      <c r="F46" s="1029"/>
      <c r="G46" s="12">
        <f t="shared" ref="G46:G50" si="2">G45-E46</f>
        <v>0</v>
      </c>
      <c r="H46" s="571"/>
      <c r="I46" s="571"/>
      <c r="J46" s="571"/>
      <c r="K46" s="571"/>
      <c r="L46" s="571"/>
      <c r="M46" s="571"/>
      <c r="N46" s="572"/>
    </row>
    <row r="47" spans="1:14" s="812" customFormat="1" ht="26.25" customHeight="1" x14ac:dyDescent="0.25">
      <c r="A47" s="569" t="s">
        <v>599</v>
      </c>
      <c r="B47" s="776">
        <v>41810</v>
      </c>
      <c r="C47" s="1030" t="s">
        <v>600</v>
      </c>
      <c r="D47" s="1031"/>
      <c r="E47" s="1028">
        <v>50</v>
      </c>
      <c r="F47" s="1029"/>
      <c r="G47" s="12">
        <f t="shared" si="2"/>
        <v>-50</v>
      </c>
      <c r="H47" s="571"/>
      <c r="I47" s="571"/>
      <c r="J47" s="571"/>
      <c r="K47" s="571"/>
      <c r="L47" s="571"/>
      <c r="M47" s="571"/>
      <c r="N47" s="572"/>
    </row>
    <row r="48" spans="1:14" s="812" customFormat="1" ht="26.25" customHeight="1" x14ac:dyDescent="0.25">
      <c r="A48" s="569"/>
      <c r="B48" s="776"/>
      <c r="C48" s="777"/>
      <c r="D48" s="778"/>
      <c r="E48" s="1028"/>
      <c r="F48" s="1029"/>
      <c r="G48" s="12">
        <f t="shared" si="2"/>
        <v>-50</v>
      </c>
      <c r="H48" s="571"/>
      <c r="I48" s="571"/>
      <c r="J48" s="571"/>
      <c r="K48" s="571"/>
      <c r="L48" s="571"/>
      <c r="M48" s="571"/>
      <c r="N48" s="572"/>
    </row>
    <row r="49" spans="1:14" s="812" customFormat="1" ht="26.25" customHeight="1" x14ac:dyDescent="0.25">
      <c r="A49" s="569"/>
      <c r="B49" s="776"/>
      <c r="C49" s="777"/>
      <c r="D49" s="778"/>
      <c r="E49" s="1028"/>
      <c r="F49" s="1029"/>
      <c r="G49" s="12">
        <f t="shared" si="2"/>
        <v>-50</v>
      </c>
      <c r="H49" s="571"/>
      <c r="I49" s="571"/>
      <c r="J49" s="571"/>
      <c r="K49" s="571"/>
      <c r="L49" s="571"/>
      <c r="M49" s="571"/>
      <c r="N49" s="572"/>
    </row>
    <row r="50" spans="1:14" s="812" customFormat="1" ht="26.25" customHeight="1" x14ac:dyDescent="0.25">
      <c r="A50" s="569"/>
      <c r="B50" s="776"/>
      <c r="C50" s="777"/>
      <c r="D50" s="778"/>
      <c r="E50" s="1028"/>
      <c r="F50" s="1029"/>
      <c r="G50" s="12">
        <f t="shared" si="2"/>
        <v>-50</v>
      </c>
      <c r="H50" s="571"/>
      <c r="I50" s="571"/>
      <c r="J50" s="571"/>
      <c r="K50" s="571"/>
      <c r="L50" s="571"/>
      <c r="M50" s="571"/>
      <c r="N50" s="572"/>
    </row>
    <row r="51" spans="1:14" s="775" customFormat="1" ht="26.25" customHeight="1" x14ac:dyDescent="0.25">
      <c r="A51" s="569"/>
      <c r="B51" s="776"/>
      <c r="C51" s="777"/>
      <c r="D51" s="778"/>
      <c r="E51" s="1028"/>
      <c r="F51" s="1029"/>
      <c r="G51" s="12">
        <f>G46-E51</f>
        <v>0</v>
      </c>
      <c r="H51" s="571"/>
      <c r="I51" s="571"/>
      <c r="J51" s="571"/>
      <c r="K51" s="571"/>
      <c r="L51" s="571"/>
      <c r="M51" s="571"/>
      <c r="N51" s="572"/>
    </row>
    <row r="52" spans="1:14" s="23" customFormat="1" ht="26.25" customHeight="1" thickBot="1" x14ac:dyDescent="0.3">
      <c r="A52" s="851" t="s">
        <v>36</v>
      </c>
      <c r="B52" s="852"/>
      <c r="C52" s="852"/>
      <c r="D52" s="852"/>
      <c r="E52" s="853">
        <f>SUM(E21:F51)</f>
        <v>1706</v>
      </c>
      <c r="F52" s="854"/>
      <c r="G52" s="20"/>
      <c r="H52" s="21"/>
      <c r="I52" s="21"/>
      <c r="J52" s="21"/>
      <c r="K52" s="21"/>
      <c r="L52" s="21"/>
      <c r="M52" s="21"/>
      <c r="N52" s="22"/>
    </row>
    <row r="53" spans="1:14" s="3" customFormat="1" ht="26.25" customHeight="1" thickTop="1" x14ac:dyDescent="0.25">
      <c r="A53" s="24"/>
      <c r="E53" s="844" t="s">
        <v>65</v>
      </c>
      <c r="F53" s="844"/>
    </row>
    <row r="54" spans="1:14" s="3" customFormat="1" ht="26.25" customHeight="1" x14ac:dyDescent="0.3">
      <c r="A54" s="25" t="s">
        <v>41</v>
      </c>
      <c r="B54" s="25"/>
      <c r="C54" s="25"/>
      <c r="D54" s="25" t="s">
        <v>81</v>
      </c>
      <c r="E54" s="25"/>
      <c r="F54" s="26"/>
      <c r="G54" s="25" t="s">
        <v>38</v>
      </c>
      <c r="H54" s="25"/>
      <c r="I54" s="25"/>
      <c r="J54" s="25"/>
      <c r="K54" s="25"/>
      <c r="L54" s="25" t="s">
        <v>39</v>
      </c>
      <c r="M54" s="28"/>
      <c r="N54" s="26"/>
    </row>
    <row r="55" spans="1:14" s="3" customFormat="1" ht="26.25" customHeight="1" x14ac:dyDescent="0.3">
      <c r="A55" s="25"/>
      <c r="B55" s="25"/>
      <c r="C55" s="25"/>
      <c r="D55" s="25"/>
      <c r="E55" s="25"/>
      <c r="F55" s="26"/>
      <c r="G55" s="25"/>
      <c r="H55" s="25"/>
      <c r="I55" s="25"/>
      <c r="J55" s="25"/>
      <c r="K55" s="25"/>
      <c r="L55" s="25"/>
      <c r="M55" s="28"/>
      <c r="N55" s="26"/>
    </row>
    <row r="56" spans="1:14" s="3" customFormat="1" ht="26.25" customHeight="1" x14ac:dyDescent="0.3">
      <c r="A56" s="25"/>
      <c r="B56" s="25"/>
      <c r="C56" s="25"/>
      <c r="D56" s="25"/>
      <c r="E56" s="25"/>
      <c r="F56" s="26"/>
      <c r="G56" s="25"/>
      <c r="H56" s="25"/>
      <c r="I56" s="25"/>
      <c r="J56" s="25"/>
      <c r="K56" s="25"/>
      <c r="L56" s="25"/>
      <c r="M56" s="28"/>
      <c r="N56" s="26"/>
    </row>
    <row r="57" spans="1:14" s="3" customFormat="1" ht="26.25" customHeight="1" x14ac:dyDescent="0.3">
      <c r="A57" s="25"/>
      <c r="B57" s="25"/>
      <c r="C57" s="25"/>
      <c r="D57" s="25"/>
      <c r="E57" s="25"/>
      <c r="F57" s="26"/>
      <c r="G57" s="25"/>
      <c r="H57" s="25"/>
      <c r="I57" s="25"/>
      <c r="J57" s="25"/>
      <c r="K57" s="25"/>
      <c r="L57" s="25"/>
      <c r="M57" s="28"/>
      <c r="N57" s="26"/>
    </row>
    <row r="58" spans="1:14" s="3" customFormat="1" ht="26.25" customHeight="1" x14ac:dyDescent="0.3">
      <c r="A58" s="29"/>
      <c r="B58" s="25"/>
      <c r="C58" s="25"/>
      <c r="D58" s="29"/>
      <c r="E58" s="29"/>
      <c r="F58" s="26"/>
      <c r="G58" s="29"/>
      <c r="H58" s="25"/>
      <c r="I58" s="25"/>
      <c r="J58" s="25"/>
      <c r="K58" s="25"/>
      <c r="L58" s="27"/>
      <c r="M58" s="28"/>
      <c r="N58" s="26"/>
    </row>
    <row r="59" spans="1:14" s="30" customFormat="1" ht="17.25" x14ac:dyDescent="0.3">
      <c r="A59" s="25" t="s">
        <v>48</v>
      </c>
      <c r="B59" s="25"/>
      <c r="C59" s="25" t="s">
        <v>80</v>
      </c>
      <c r="D59" s="25"/>
      <c r="G59" s="25" t="str">
        <f>B10</f>
        <v>Jerry</v>
      </c>
      <c r="H59" s="25"/>
      <c r="I59" s="25"/>
      <c r="J59" s="25"/>
      <c r="K59" s="829" t="s">
        <v>90</v>
      </c>
      <c r="L59" s="829"/>
      <c r="M59" s="829"/>
      <c r="N59" s="829"/>
    </row>
    <row r="60" spans="1:14" s="30" customFormat="1" ht="16.5" x14ac:dyDescent="0.3">
      <c r="A60" s="32"/>
    </row>
    <row r="61" spans="1:14" s="30" customFormat="1" ht="16.5" x14ac:dyDescent="0.3">
      <c r="A61" s="32"/>
    </row>
    <row r="62" spans="1:14" s="30" customFormat="1" ht="16.5" x14ac:dyDescent="0.3">
      <c r="A62" s="32"/>
    </row>
    <row r="63" spans="1:14" s="30" customFormat="1" ht="16.5" x14ac:dyDescent="0.3">
      <c r="A63" s="32"/>
    </row>
    <row r="64" spans="1:14" s="30" customFormat="1" ht="16.5" x14ac:dyDescent="0.3">
      <c r="A64" s="32"/>
    </row>
    <row r="65" spans="1:1" s="30" customFormat="1" ht="16.5" x14ac:dyDescent="0.3">
      <c r="A65" s="32"/>
    </row>
    <row r="66" spans="1:1" s="30" customFormat="1" ht="16.5" x14ac:dyDescent="0.3">
      <c r="A66" s="32"/>
    </row>
    <row r="67" spans="1:1" s="30" customFormat="1" ht="16.5" x14ac:dyDescent="0.3">
      <c r="A67" s="32"/>
    </row>
    <row r="68" spans="1:1" s="30" customFormat="1" ht="16.5" x14ac:dyDescent="0.3">
      <c r="A68" s="32"/>
    </row>
  </sheetData>
  <mergeCells count="80">
    <mergeCell ref="C41:D41"/>
    <mergeCell ref="E41:F41"/>
    <mergeCell ref="C42:D42"/>
    <mergeCell ref="E42:F42"/>
    <mergeCell ref="C35:D35"/>
    <mergeCell ref="E35:F35"/>
    <mergeCell ref="C37:D37"/>
    <mergeCell ref="E37:F37"/>
    <mergeCell ref="C38:D38"/>
    <mergeCell ref="E38:F38"/>
    <mergeCell ref="C27:D27"/>
    <mergeCell ref="E27:F27"/>
    <mergeCell ref="C28:D28"/>
    <mergeCell ref="E28:F28"/>
    <mergeCell ref="C32:D32"/>
    <mergeCell ref="E32:F32"/>
    <mergeCell ref="C29:D29"/>
    <mergeCell ref="E29:F29"/>
    <mergeCell ref="C30:D30"/>
    <mergeCell ref="E30:F30"/>
    <mergeCell ref="C31:D31"/>
    <mergeCell ref="E31:F31"/>
    <mergeCell ref="C33:D33"/>
    <mergeCell ref="E33:F33"/>
    <mergeCell ref="C34:D34"/>
    <mergeCell ref="E34:F34"/>
    <mergeCell ref="K59:N59"/>
    <mergeCell ref="C40:D40"/>
    <mergeCell ref="E40:F40"/>
    <mergeCell ref="A52:D52"/>
    <mergeCell ref="E52:F52"/>
    <mergeCell ref="E53:F53"/>
    <mergeCell ref="C39:D39"/>
    <mergeCell ref="E39:F39"/>
    <mergeCell ref="C43:D43"/>
    <mergeCell ref="E43:F43"/>
    <mergeCell ref="C36:D36"/>
    <mergeCell ref="E36:F36"/>
    <mergeCell ref="C24:D24"/>
    <mergeCell ref="E24:F24"/>
    <mergeCell ref="C25:D25"/>
    <mergeCell ref="E25:F25"/>
    <mergeCell ref="C26:D26"/>
    <mergeCell ref="E26:F26"/>
    <mergeCell ref="C23:D23"/>
    <mergeCell ref="E23:F23"/>
    <mergeCell ref="A20:F20"/>
    <mergeCell ref="C21:D21"/>
    <mergeCell ref="E21:F21"/>
    <mergeCell ref="C22:D22"/>
    <mergeCell ref="E22:F22"/>
    <mergeCell ref="A1:XFD7"/>
    <mergeCell ref="A8:N8"/>
    <mergeCell ref="K9:L9"/>
    <mergeCell ref="B10:B15"/>
    <mergeCell ref="C10:C15"/>
    <mergeCell ref="K13:L13"/>
    <mergeCell ref="K14:L14"/>
    <mergeCell ref="K15:L15"/>
    <mergeCell ref="M19:N19"/>
    <mergeCell ref="A16:D16"/>
    <mergeCell ref="K16:L16"/>
    <mergeCell ref="A17:F17"/>
    <mergeCell ref="K17:L17"/>
    <mergeCell ref="A18:G18"/>
    <mergeCell ref="C19:D19"/>
    <mergeCell ref="E19:F19"/>
    <mergeCell ref="K19:L19"/>
    <mergeCell ref="E44:F44"/>
    <mergeCell ref="E45:F45"/>
    <mergeCell ref="E46:F46"/>
    <mergeCell ref="E51:F51"/>
    <mergeCell ref="C44:D44"/>
    <mergeCell ref="C45:D45"/>
    <mergeCell ref="C46:D46"/>
    <mergeCell ref="E47:F47"/>
    <mergeCell ref="E48:F48"/>
    <mergeCell ref="E49:F49"/>
    <mergeCell ref="E50:F50"/>
    <mergeCell ref="C47:D47"/>
  </mergeCells>
  <printOptions horizontalCentered="1"/>
  <pageMargins left="0.25" right="0.25" top="0.47" bottom="0.25" header="0.5" footer="0.5"/>
  <pageSetup scale="70" orientation="portrait" verticalDpi="300" r:id="rId1"/>
  <headerFooter alignWithMargins="0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4"/>
  <sheetViews>
    <sheetView zoomScale="80" workbookViewId="0">
      <pane xSplit="3" ySplit="9" topLeftCell="D25" activePane="bottomRight" state="frozen"/>
      <selection activeCell="M19" sqref="M19:N19"/>
      <selection pane="topRight" activeCell="M19" sqref="M19:N19"/>
      <selection pane="bottomLeft" activeCell="M19" sqref="M19:N19"/>
      <selection pane="bottomRight" activeCell="T19" sqref="T19"/>
    </sheetView>
  </sheetViews>
  <sheetFormatPr defaultRowHeight="13.5" x14ac:dyDescent="0.25"/>
  <cols>
    <col min="1" max="1" width="18.5703125" style="33" customWidth="1"/>
    <col min="2" max="2" width="21" style="1" customWidth="1"/>
    <col min="3" max="3" width="5.5703125" style="1" customWidth="1"/>
    <col min="4" max="4" width="26.140625" style="1" customWidth="1"/>
    <col min="5" max="5" width="8.42578125" style="1" customWidth="1"/>
    <col min="6" max="6" width="8.28515625" style="1" customWidth="1"/>
    <col min="7" max="7" width="15.28515625" style="1" bestFit="1" customWidth="1"/>
    <col min="8" max="8" width="5.140625" style="1" customWidth="1"/>
    <col min="9" max="9" width="3.85546875" style="1" customWidth="1"/>
    <col min="10" max="10" width="3.5703125" style="1" customWidth="1"/>
    <col min="11" max="11" width="10.85546875" style="1" customWidth="1"/>
    <col min="12" max="12" width="7.140625" style="1" customWidth="1"/>
    <col min="13" max="13" width="14.7109375" style="1" customWidth="1"/>
    <col min="14" max="14" width="7.28515625" style="1" bestFit="1" customWidth="1"/>
    <col min="15" max="17" width="9.140625" style="1"/>
    <col min="18" max="18" width="19.28515625" style="1" customWidth="1"/>
    <col min="19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66" customFormat="1" ht="15" x14ac:dyDescent="0.25"/>
    <row r="2" spans="1:18" s="866" customFormat="1" ht="15" x14ac:dyDescent="0.25"/>
    <row r="3" spans="1:18" s="866" customFormat="1" ht="15" x14ac:dyDescent="0.25"/>
    <row r="4" spans="1:18" s="866" customFormat="1" ht="15" x14ac:dyDescent="0.25"/>
    <row r="5" spans="1:18" s="866" customFormat="1" ht="15" x14ac:dyDescent="0.25"/>
    <row r="6" spans="1:18" s="866" customFormat="1" ht="15" x14ac:dyDescent="0.25"/>
    <row r="7" spans="1:18" s="866" customFormat="1" ht="15.75" thickBot="1" x14ac:dyDescent="0.3"/>
    <row r="8" spans="1:18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8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8" s="425" customFormat="1" ht="26.25" customHeight="1" x14ac:dyDescent="0.25">
      <c r="A10" s="102">
        <v>1</v>
      </c>
      <c r="B10" s="964" t="s">
        <v>240</v>
      </c>
      <c r="C10" s="964" t="s">
        <v>31</v>
      </c>
      <c r="D10" s="53" t="s">
        <v>241</v>
      </c>
      <c r="E10" s="430">
        <f>27+18</f>
        <v>45</v>
      </c>
      <c r="F10" s="55">
        <v>7</v>
      </c>
      <c r="G10" s="56">
        <f>E10*F10</f>
        <v>315</v>
      </c>
      <c r="H10" s="426" t="s">
        <v>106</v>
      </c>
      <c r="I10" s="426">
        <v>4</v>
      </c>
      <c r="J10" s="426">
        <v>9</v>
      </c>
      <c r="K10" s="878" t="s">
        <v>242</v>
      </c>
      <c r="L10" s="879"/>
      <c r="M10" s="99">
        <v>41517</v>
      </c>
      <c r="N10" s="58"/>
      <c r="O10" s="931"/>
      <c r="P10" s="932"/>
      <c r="Q10" s="932"/>
      <c r="R10" s="932"/>
    </row>
    <row r="11" spans="1:18" s="425" customFormat="1" ht="26.25" customHeight="1" x14ac:dyDescent="0.25">
      <c r="A11" s="90">
        <v>2</v>
      </c>
      <c r="B11" s="965"/>
      <c r="C11" s="965"/>
      <c r="D11" s="53"/>
      <c r="E11" s="431"/>
      <c r="F11" s="81"/>
      <c r="G11" s="56">
        <f t="shared" ref="G11:G17" si="0">E11*F11</f>
        <v>0</v>
      </c>
      <c r="H11" s="80"/>
      <c r="I11" s="80"/>
      <c r="J11" s="80"/>
      <c r="K11" s="878"/>
      <c r="L11" s="879"/>
      <c r="M11" s="120"/>
      <c r="N11" s="84"/>
    </row>
    <row r="12" spans="1:18" s="425" customFormat="1" ht="26.25" customHeight="1" x14ac:dyDescent="0.25">
      <c r="A12" s="90">
        <v>3</v>
      </c>
      <c r="B12" s="965"/>
      <c r="C12" s="965"/>
      <c r="D12" s="107"/>
      <c r="E12" s="431"/>
      <c r="F12" s="81"/>
      <c r="G12" s="56">
        <f t="shared" si="0"/>
        <v>0</v>
      </c>
      <c r="H12" s="80"/>
      <c r="I12" s="80"/>
      <c r="J12" s="80"/>
      <c r="K12" s="878"/>
      <c r="L12" s="879"/>
      <c r="M12" s="120"/>
      <c r="N12" s="84"/>
    </row>
    <row r="13" spans="1:18" s="425" customFormat="1" ht="26.25" customHeight="1" x14ac:dyDescent="0.25">
      <c r="A13" s="90">
        <v>4</v>
      </c>
      <c r="B13" s="965"/>
      <c r="C13" s="965"/>
      <c r="D13" s="53"/>
      <c r="E13" s="431"/>
      <c r="F13" s="81"/>
      <c r="G13" s="56">
        <f t="shared" si="0"/>
        <v>0</v>
      </c>
      <c r="H13" s="80"/>
      <c r="I13" s="80"/>
      <c r="J13" s="80"/>
      <c r="K13" s="878"/>
      <c r="L13" s="879"/>
      <c r="M13" s="120"/>
      <c r="N13" s="84"/>
    </row>
    <row r="14" spans="1:18" s="425" customFormat="1" ht="26.25" customHeight="1" x14ac:dyDescent="0.25">
      <c r="A14" s="90">
        <v>5</v>
      </c>
      <c r="B14" s="965"/>
      <c r="C14" s="965"/>
      <c r="D14" s="53"/>
      <c r="E14" s="431"/>
      <c r="F14" s="81"/>
      <c r="G14" s="56">
        <f t="shared" si="0"/>
        <v>0</v>
      </c>
      <c r="H14" s="80"/>
      <c r="I14" s="80"/>
      <c r="J14" s="80"/>
      <c r="K14" s="878"/>
      <c r="L14" s="879"/>
      <c r="M14" s="120"/>
      <c r="N14" s="84"/>
    </row>
    <row r="15" spans="1:18" s="425" customFormat="1" ht="26.25" customHeight="1" x14ac:dyDescent="0.25">
      <c r="A15" s="127"/>
      <c r="B15" s="966"/>
      <c r="C15" s="966"/>
      <c r="D15" s="115"/>
      <c r="E15" s="431"/>
      <c r="F15" s="81"/>
      <c r="G15" s="56">
        <f t="shared" si="0"/>
        <v>0</v>
      </c>
      <c r="H15" s="427"/>
      <c r="I15" s="427"/>
      <c r="J15" s="427"/>
      <c r="K15" s="876"/>
      <c r="L15" s="877"/>
      <c r="M15" s="120"/>
      <c r="N15" s="84"/>
    </row>
    <row r="16" spans="1:18" s="425" customFormat="1" ht="26.25" customHeight="1" x14ac:dyDescent="0.25">
      <c r="A16" s="103">
        <v>7</v>
      </c>
      <c r="B16" s="967"/>
      <c r="C16" s="967"/>
      <c r="D16" s="115"/>
      <c r="E16" s="431"/>
      <c r="F16" s="81"/>
      <c r="G16" s="56">
        <f t="shared" si="0"/>
        <v>0</v>
      </c>
      <c r="H16" s="427"/>
      <c r="I16" s="427"/>
      <c r="J16" s="427"/>
      <c r="K16" s="876"/>
      <c r="L16" s="877"/>
      <c r="M16" s="78"/>
      <c r="N16" s="84"/>
    </row>
    <row r="17" spans="1:19" s="425" customFormat="1" ht="26.25" customHeight="1" x14ac:dyDescent="0.25">
      <c r="A17" s="874" t="s">
        <v>11</v>
      </c>
      <c r="B17" s="875"/>
      <c r="C17" s="875"/>
      <c r="D17" s="875"/>
      <c r="E17" s="434"/>
      <c r="F17" s="76"/>
      <c r="G17" s="56">
        <f t="shared" si="0"/>
        <v>0</v>
      </c>
      <c r="H17" s="427"/>
      <c r="I17" s="427"/>
      <c r="J17" s="427"/>
      <c r="K17" s="876"/>
      <c r="L17" s="877"/>
      <c r="M17" s="427"/>
      <c r="N17" s="63"/>
    </row>
    <row r="18" spans="1:19" s="425" customFormat="1" ht="26.25" customHeight="1" x14ac:dyDescent="0.25">
      <c r="A18" s="897" t="s">
        <v>24</v>
      </c>
      <c r="B18" s="898"/>
      <c r="C18" s="898"/>
      <c r="D18" s="898"/>
      <c r="E18" s="898"/>
      <c r="F18" s="898"/>
      <c r="G18" s="64">
        <f>SUM(G10:G17)</f>
        <v>315</v>
      </c>
      <c r="H18" s="429"/>
      <c r="I18" s="429"/>
      <c r="J18" s="429"/>
      <c r="K18" s="859"/>
      <c r="L18" s="860"/>
      <c r="M18" s="429"/>
      <c r="N18" s="66"/>
    </row>
    <row r="19" spans="1:19" s="48" customFormat="1" ht="26.25" customHeight="1" x14ac:dyDescent="0.25">
      <c r="A19" s="899" t="s">
        <v>32</v>
      </c>
      <c r="B19" s="900"/>
      <c r="C19" s="900"/>
      <c r="D19" s="900"/>
      <c r="E19" s="900"/>
      <c r="F19" s="900"/>
      <c r="G19" s="900"/>
      <c r="H19" s="67"/>
      <c r="I19" s="67"/>
      <c r="J19" s="68" t="s">
        <v>44</v>
      </c>
      <c r="K19" s="67"/>
      <c r="L19" s="68"/>
      <c r="M19" s="69"/>
      <c r="N19" s="70"/>
    </row>
    <row r="20" spans="1:19" s="48" customFormat="1" ht="22.5" customHeight="1" thickBot="1" x14ac:dyDescent="0.3">
      <c r="A20" s="72" t="s">
        <v>5</v>
      </c>
      <c r="B20" s="71" t="s">
        <v>33</v>
      </c>
      <c r="C20" s="857" t="s">
        <v>21</v>
      </c>
      <c r="D20" s="858"/>
      <c r="E20" s="857" t="s">
        <v>34</v>
      </c>
      <c r="F20" s="858"/>
      <c r="G20" s="71" t="s">
        <v>0</v>
      </c>
      <c r="H20" s="71" t="s">
        <v>96</v>
      </c>
      <c r="I20" s="71" t="s">
        <v>26</v>
      </c>
      <c r="J20" s="71" t="s">
        <v>27</v>
      </c>
      <c r="K20" s="863" t="s">
        <v>28</v>
      </c>
      <c r="L20" s="857"/>
      <c r="M20" s="901"/>
      <c r="N20" s="902"/>
    </row>
    <row r="21" spans="1:19" s="425" customFormat="1" ht="26.25" customHeight="1" x14ac:dyDescent="0.25">
      <c r="A21" s="1042" t="s">
        <v>35</v>
      </c>
      <c r="B21" s="1043"/>
      <c r="C21" s="1043"/>
      <c r="D21" s="1043"/>
      <c r="E21" s="1043"/>
      <c r="F21" s="1043"/>
      <c r="G21" s="85">
        <f>G18</f>
        <v>315</v>
      </c>
      <c r="H21" s="86"/>
      <c r="I21" s="86"/>
      <c r="J21" s="86"/>
      <c r="K21" s="86"/>
      <c r="L21" s="86"/>
      <c r="M21" s="86"/>
      <c r="N21" s="87"/>
      <c r="S21" s="48"/>
    </row>
    <row r="22" spans="1:19" s="3" customFormat="1" ht="26.25" customHeight="1" x14ac:dyDescent="0.25">
      <c r="A22" s="366" t="s">
        <v>321</v>
      </c>
      <c r="B22" s="367">
        <v>41612</v>
      </c>
      <c r="C22" s="1040" t="s">
        <v>241</v>
      </c>
      <c r="D22" s="1041"/>
      <c r="E22" s="855">
        <v>150</v>
      </c>
      <c r="F22" s="855"/>
      <c r="G22" s="34">
        <f>G21-E22</f>
        <v>165</v>
      </c>
      <c r="H22" s="419"/>
      <c r="I22" s="419"/>
      <c r="J22" s="419"/>
      <c r="K22" s="419"/>
      <c r="L22" s="419"/>
      <c r="M22" s="419"/>
      <c r="N22" s="13"/>
    </row>
    <row r="23" spans="1:19" s="3" customFormat="1" ht="26.25" customHeight="1" x14ac:dyDescent="0.25">
      <c r="A23" s="313" t="s">
        <v>370</v>
      </c>
      <c r="B23" s="312">
        <v>41645</v>
      </c>
      <c r="C23" s="1040" t="s">
        <v>241</v>
      </c>
      <c r="D23" s="1041"/>
      <c r="E23" s="856">
        <v>80</v>
      </c>
      <c r="F23" s="856"/>
      <c r="G23" s="34">
        <f t="shared" ref="G23:G37" si="1">G22-E23</f>
        <v>85</v>
      </c>
      <c r="H23" s="422"/>
      <c r="I23" s="422"/>
      <c r="J23" s="422"/>
      <c r="K23" s="422"/>
      <c r="L23" s="422"/>
      <c r="M23" s="422"/>
      <c r="N23" s="6"/>
    </row>
    <row r="24" spans="1:19" s="3" customFormat="1" ht="26.25" customHeight="1" x14ac:dyDescent="0.25">
      <c r="A24" s="313" t="s">
        <v>537</v>
      </c>
      <c r="B24" s="312">
        <v>41739</v>
      </c>
      <c r="C24" s="1040" t="s">
        <v>241</v>
      </c>
      <c r="D24" s="1041"/>
      <c r="E24" s="856">
        <v>85</v>
      </c>
      <c r="F24" s="856"/>
      <c r="G24" s="34">
        <f t="shared" si="1"/>
        <v>0</v>
      </c>
      <c r="H24" s="422"/>
      <c r="I24" s="422"/>
      <c r="J24" s="422"/>
      <c r="K24" s="422"/>
      <c r="L24" s="422"/>
      <c r="M24" s="422"/>
      <c r="N24" s="6"/>
    </row>
    <row r="25" spans="1:19" s="3" customFormat="1" ht="26.25" customHeight="1" x14ac:dyDescent="0.25">
      <c r="A25" s="14"/>
      <c r="B25" s="15"/>
      <c r="C25" s="934"/>
      <c r="D25" s="934"/>
      <c r="E25" s="856"/>
      <c r="F25" s="856"/>
      <c r="G25" s="34">
        <f t="shared" si="1"/>
        <v>0</v>
      </c>
      <c r="H25" s="422"/>
      <c r="I25" s="422"/>
      <c r="J25" s="422"/>
      <c r="K25" s="422"/>
      <c r="L25" s="422"/>
      <c r="M25" s="422"/>
      <c r="N25" s="6"/>
    </row>
    <row r="26" spans="1:19" s="3" customFormat="1" ht="26.25" customHeight="1" x14ac:dyDescent="0.25">
      <c r="A26" s="14"/>
      <c r="B26" s="15"/>
      <c r="C26" s="934"/>
      <c r="D26" s="934"/>
      <c r="E26" s="845"/>
      <c r="F26" s="846"/>
      <c r="G26" s="34">
        <f t="shared" si="1"/>
        <v>0</v>
      </c>
      <c r="H26" s="422"/>
      <c r="I26" s="422"/>
      <c r="J26" s="422"/>
      <c r="K26" s="422"/>
      <c r="L26" s="422"/>
      <c r="M26" s="422"/>
      <c r="N26" s="6"/>
    </row>
    <row r="27" spans="1:19" s="3" customFormat="1" ht="26.25" customHeight="1" x14ac:dyDescent="0.25">
      <c r="A27" s="14"/>
      <c r="B27" s="15"/>
      <c r="C27" s="934"/>
      <c r="D27" s="934"/>
      <c r="E27" s="845"/>
      <c r="F27" s="846"/>
      <c r="G27" s="34">
        <f t="shared" si="1"/>
        <v>0</v>
      </c>
      <c r="H27" s="422"/>
      <c r="I27" s="422"/>
      <c r="J27" s="422"/>
      <c r="K27" s="422"/>
      <c r="L27" s="422"/>
      <c r="M27" s="422"/>
      <c r="N27" s="6"/>
    </row>
    <row r="28" spans="1:19" s="3" customFormat="1" ht="26.25" customHeight="1" x14ac:dyDescent="0.25">
      <c r="A28" s="14"/>
      <c r="B28" s="15"/>
      <c r="C28" s="934"/>
      <c r="D28" s="934"/>
      <c r="E28" s="845"/>
      <c r="F28" s="846"/>
      <c r="G28" s="34">
        <f t="shared" si="1"/>
        <v>0</v>
      </c>
      <c r="H28" s="422"/>
      <c r="I28" s="422"/>
      <c r="J28" s="422"/>
      <c r="K28" s="422"/>
      <c r="L28" s="422"/>
      <c r="M28" s="422"/>
      <c r="N28" s="6"/>
    </row>
    <row r="29" spans="1:19" s="3" customFormat="1" ht="26.25" customHeight="1" x14ac:dyDescent="0.25">
      <c r="A29" s="14"/>
      <c r="B29" s="15"/>
      <c r="C29" s="934"/>
      <c r="D29" s="934"/>
      <c r="E29" s="845"/>
      <c r="F29" s="846"/>
      <c r="G29" s="34">
        <f t="shared" si="1"/>
        <v>0</v>
      </c>
      <c r="H29" s="422"/>
      <c r="I29" s="422"/>
      <c r="J29" s="422"/>
      <c r="K29" s="422"/>
      <c r="L29" s="422"/>
      <c r="M29" s="422"/>
      <c r="N29" s="6"/>
    </row>
    <row r="30" spans="1:19" s="3" customFormat="1" ht="26.25" customHeight="1" x14ac:dyDescent="0.25">
      <c r="A30" s="14"/>
      <c r="B30" s="15"/>
      <c r="C30" s="934"/>
      <c r="D30" s="934"/>
      <c r="E30" s="845"/>
      <c r="F30" s="846"/>
      <c r="G30" s="34">
        <f t="shared" si="1"/>
        <v>0</v>
      </c>
      <c r="H30" s="422"/>
      <c r="I30" s="422"/>
      <c r="J30" s="422"/>
      <c r="K30" s="422"/>
      <c r="L30" s="422"/>
      <c r="M30" s="422"/>
      <c r="N30" s="6"/>
    </row>
    <row r="31" spans="1:19" s="3" customFormat="1" ht="26.25" customHeight="1" x14ac:dyDescent="0.25">
      <c r="A31" s="14"/>
      <c r="B31" s="17"/>
      <c r="C31" s="934"/>
      <c r="D31" s="934"/>
      <c r="E31" s="845"/>
      <c r="F31" s="846"/>
      <c r="G31" s="34">
        <f t="shared" si="1"/>
        <v>0</v>
      </c>
      <c r="H31" s="18"/>
      <c r="I31" s="18"/>
      <c r="J31" s="18"/>
      <c r="K31" s="18"/>
      <c r="L31" s="18"/>
      <c r="M31" s="18"/>
      <c r="N31" s="19"/>
    </row>
    <row r="32" spans="1:19" s="3" customFormat="1" ht="26.25" customHeight="1" x14ac:dyDescent="0.25">
      <c r="A32" s="16"/>
      <c r="B32" s="17"/>
      <c r="C32" s="934"/>
      <c r="D32" s="934"/>
      <c r="E32" s="907"/>
      <c r="F32" s="908"/>
      <c r="G32" s="34">
        <f t="shared" si="1"/>
        <v>0</v>
      </c>
      <c r="H32" s="18"/>
      <c r="I32" s="18"/>
      <c r="J32" s="18"/>
      <c r="K32" s="18"/>
      <c r="L32" s="18"/>
      <c r="M32" s="18"/>
      <c r="N32" s="19"/>
    </row>
    <row r="33" spans="1:14" s="3" customFormat="1" ht="26.25" customHeight="1" x14ac:dyDescent="0.25">
      <c r="A33" s="16"/>
      <c r="B33" s="17"/>
      <c r="C33" s="934"/>
      <c r="D33" s="934"/>
      <c r="E33" s="907"/>
      <c r="F33" s="908"/>
      <c r="G33" s="34">
        <f t="shared" si="1"/>
        <v>0</v>
      </c>
      <c r="H33" s="18"/>
      <c r="I33" s="18"/>
      <c r="J33" s="18"/>
      <c r="K33" s="18"/>
      <c r="L33" s="18"/>
      <c r="M33" s="18"/>
      <c r="N33" s="19"/>
    </row>
    <row r="34" spans="1:14" s="3" customFormat="1" ht="26.25" customHeight="1" x14ac:dyDescent="0.25">
      <c r="A34" s="16"/>
      <c r="B34" s="17"/>
      <c r="C34" s="934"/>
      <c r="D34" s="934"/>
      <c r="E34" s="845"/>
      <c r="F34" s="846"/>
      <c r="G34" s="34">
        <f t="shared" si="1"/>
        <v>0</v>
      </c>
      <c r="H34" s="18"/>
      <c r="I34" s="18"/>
      <c r="J34" s="18"/>
      <c r="K34" s="18"/>
      <c r="L34" s="18"/>
      <c r="M34" s="18"/>
      <c r="N34" s="19"/>
    </row>
    <row r="35" spans="1:14" s="3" customFormat="1" ht="26.25" customHeight="1" x14ac:dyDescent="0.25">
      <c r="A35" s="16"/>
      <c r="B35" s="17"/>
      <c r="C35" s="934"/>
      <c r="D35" s="934"/>
      <c r="E35" s="845"/>
      <c r="F35" s="846"/>
      <c r="G35" s="34">
        <f t="shared" si="1"/>
        <v>0</v>
      </c>
      <c r="H35" s="18"/>
      <c r="I35" s="18"/>
      <c r="J35" s="18"/>
      <c r="K35" s="18"/>
      <c r="L35" s="18"/>
      <c r="M35" s="18"/>
      <c r="N35" s="19"/>
    </row>
    <row r="36" spans="1:14" s="3" customFormat="1" ht="26.25" customHeight="1" x14ac:dyDescent="0.25">
      <c r="A36" s="16"/>
      <c r="B36" s="17"/>
      <c r="C36" s="934"/>
      <c r="D36" s="934"/>
      <c r="E36" s="849"/>
      <c r="F36" s="850"/>
      <c r="G36" s="34">
        <f t="shared" si="1"/>
        <v>0</v>
      </c>
      <c r="H36" s="18"/>
      <c r="I36" s="18"/>
      <c r="J36" s="18"/>
      <c r="K36" s="18"/>
      <c r="L36" s="18"/>
      <c r="M36" s="18"/>
      <c r="N36" s="19"/>
    </row>
    <row r="37" spans="1:14" s="3" customFormat="1" ht="26.25" customHeight="1" x14ac:dyDescent="0.25">
      <c r="A37" s="16"/>
      <c r="B37" s="17"/>
      <c r="C37" s="934"/>
      <c r="D37" s="934"/>
      <c r="E37" s="849"/>
      <c r="F37" s="850"/>
      <c r="G37" s="34">
        <f t="shared" si="1"/>
        <v>0</v>
      </c>
      <c r="H37" s="18"/>
      <c r="I37" s="18"/>
      <c r="J37" s="18"/>
      <c r="K37" s="18"/>
      <c r="L37" s="18"/>
      <c r="M37" s="18"/>
      <c r="N37" s="19"/>
    </row>
    <row r="38" spans="1:14" s="23" customFormat="1" ht="26.25" customHeight="1" thickBot="1" x14ac:dyDescent="0.3">
      <c r="A38" s="851" t="s">
        <v>36</v>
      </c>
      <c r="B38" s="852"/>
      <c r="C38" s="852"/>
      <c r="D38" s="852"/>
      <c r="E38" s="853">
        <f>SUM(E22:F37)</f>
        <v>315</v>
      </c>
      <c r="F38" s="854"/>
      <c r="G38" s="20"/>
      <c r="H38" s="21"/>
      <c r="I38" s="21"/>
      <c r="J38" s="21"/>
      <c r="K38" s="21"/>
      <c r="L38" s="21"/>
      <c r="M38" s="21"/>
      <c r="N38" s="22"/>
    </row>
    <row r="39" spans="1:14" s="3" customFormat="1" ht="26.25" customHeight="1" thickTop="1" x14ac:dyDescent="0.25">
      <c r="A39" s="24"/>
      <c r="E39" s="844"/>
      <c r="F39" s="844"/>
    </row>
    <row r="40" spans="1:14" s="3" customFormat="1" ht="26.25" customHeight="1" x14ac:dyDescent="0.3">
      <c r="A40" s="25" t="s">
        <v>41</v>
      </c>
      <c r="B40" s="25"/>
      <c r="C40" s="25"/>
      <c r="D40" s="25" t="s">
        <v>81</v>
      </c>
      <c r="E40" s="25"/>
      <c r="F40" s="26"/>
      <c r="G40" s="25" t="s">
        <v>38</v>
      </c>
      <c r="H40" s="25"/>
      <c r="I40" s="25"/>
      <c r="J40" s="25"/>
      <c r="K40" s="25"/>
      <c r="L40" s="25" t="s">
        <v>39</v>
      </c>
      <c r="M40" s="28"/>
      <c r="N40" s="26"/>
    </row>
    <row r="41" spans="1:14" s="3" customFormat="1" ht="26.25" customHeight="1" x14ac:dyDescent="0.3">
      <c r="A41" s="25"/>
      <c r="B41" s="25"/>
      <c r="C41" s="25"/>
      <c r="D41" s="25"/>
      <c r="E41" s="25"/>
      <c r="F41" s="26"/>
      <c r="G41" s="25"/>
      <c r="H41" s="25"/>
      <c r="I41" s="25"/>
      <c r="J41" s="25"/>
      <c r="K41" s="25"/>
      <c r="L41" s="25"/>
      <c r="M41" s="28"/>
      <c r="N41" s="26"/>
    </row>
    <row r="42" spans="1:14" s="3" customFormat="1" ht="26.25" customHeight="1" x14ac:dyDescent="0.3">
      <c r="A42" s="25"/>
      <c r="B42" s="25"/>
      <c r="C42" s="25"/>
      <c r="D42" s="25"/>
      <c r="E42" s="25"/>
      <c r="F42" s="26"/>
      <c r="G42" s="25"/>
      <c r="H42" s="25"/>
      <c r="I42" s="25"/>
      <c r="J42" s="25"/>
      <c r="K42" s="25"/>
      <c r="L42" s="25"/>
      <c r="M42" s="28"/>
      <c r="N42" s="26"/>
    </row>
    <row r="43" spans="1:14" s="3" customFormat="1" ht="26.25" customHeight="1" x14ac:dyDescent="0.3">
      <c r="A43" s="25"/>
      <c r="B43" s="25"/>
      <c r="C43" s="25"/>
      <c r="D43" s="25"/>
      <c r="E43" s="25"/>
      <c r="F43" s="26"/>
      <c r="G43" s="25"/>
      <c r="H43" s="25"/>
      <c r="I43" s="25"/>
      <c r="J43" s="25"/>
      <c r="K43" s="25"/>
      <c r="L43" s="25"/>
      <c r="M43" s="28"/>
      <c r="N43" s="26"/>
    </row>
    <row r="44" spans="1:14" s="3" customFormat="1" ht="26.25" customHeight="1" x14ac:dyDescent="0.3">
      <c r="A44" s="29"/>
      <c r="B44" s="25"/>
      <c r="C44" s="25"/>
      <c r="D44" s="29"/>
      <c r="E44" s="29"/>
      <c r="F44" s="26"/>
      <c r="G44" s="29"/>
      <c r="H44" s="25"/>
      <c r="I44" s="25"/>
      <c r="J44" s="25"/>
      <c r="K44" s="25"/>
      <c r="L44" s="27"/>
      <c r="M44" s="28"/>
      <c r="N44" s="26"/>
    </row>
    <row r="45" spans="1:14" s="30" customFormat="1" ht="17.25" x14ac:dyDescent="0.3">
      <c r="A45" s="25" t="s">
        <v>48</v>
      </c>
      <c r="B45" s="25"/>
      <c r="C45" s="25" t="s">
        <v>80</v>
      </c>
      <c r="D45" s="25"/>
      <c r="G45" s="25" t="str">
        <f>B10</f>
        <v>Neang Bunthea</v>
      </c>
      <c r="H45" s="25"/>
      <c r="I45" s="25"/>
      <c r="J45" s="25"/>
      <c r="K45" s="829" t="s">
        <v>90</v>
      </c>
      <c r="L45" s="829"/>
      <c r="M45" s="829"/>
      <c r="N45" s="829"/>
    </row>
    <row r="46" spans="1:14" s="30" customFormat="1" ht="16.5" x14ac:dyDescent="0.3">
      <c r="A46" s="32"/>
    </row>
    <row r="47" spans="1:14" s="30" customFormat="1" ht="16.5" x14ac:dyDescent="0.3">
      <c r="A47" s="32"/>
    </row>
    <row r="48" spans="1:14" s="30" customFormat="1" ht="16.5" x14ac:dyDescent="0.3">
      <c r="A48" s="32"/>
    </row>
    <row r="49" spans="1:1" s="30" customFormat="1" ht="16.5" x14ac:dyDescent="0.3">
      <c r="A49" s="32"/>
    </row>
    <row r="50" spans="1:1" s="30" customFormat="1" ht="16.5" x14ac:dyDescent="0.3">
      <c r="A50" s="32"/>
    </row>
    <row r="51" spans="1:1" s="30" customFormat="1" ht="16.5" x14ac:dyDescent="0.3">
      <c r="A51" s="32"/>
    </row>
    <row r="52" spans="1:1" s="30" customFormat="1" ht="16.5" x14ac:dyDescent="0.3">
      <c r="A52" s="32"/>
    </row>
    <row r="53" spans="1:1" s="30" customFormat="1" ht="16.5" x14ac:dyDescent="0.3">
      <c r="A53" s="32"/>
    </row>
    <row r="54" spans="1:1" s="30" customFormat="1" ht="16.5" x14ac:dyDescent="0.3">
      <c r="A54" s="32"/>
    </row>
  </sheetData>
  <mergeCells count="59">
    <mergeCell ref="K45:N45"/>
    <mergeCell ref="C34:D34"/>
    <mergeCell ref="E34:F34"/>
    <mergeCell ref="C35:D35"/>
    <mergeCell ref="E35:F35"/>
    <mergeCell ref="C36:D36"/>
    <mergeCell ref="E36:F36"/>
    <mergeCell ref="C37:D37"/>
    <mergeCell ref="E37:F37"/>
    <mergeCell ref="A38:D38"/>
    <mergeCell ref="E38:F38"/>
    <mergeCell ref="E39:F39"/>
    <mergeCell ref="C31:D31"/>
    <mergeCell ref="E31:F31"/>
    <mergeCell ref="C32:D32"/>
    <mergeCell ref="E32:F32"/>
    <mergeCell ref="C33:D33"/>
    <mergeCell ref="E33:F33"/>
    <mergeCell ref="C28:D28"/>
    <mergeCell ref="E28:F28"/>
    <mergeCell ref="C29:D29"/>
    <mergeCell ref="E29:F29"/>
    <mergeCell ref="C30:D30"/>
    <mergeCell ref="E30:F30"/>
    <mergeCell ref="C25:D25"/>
    <mergeCell ref="E25:F25"/>
    <mergeCell ref="C26:D26"/>
    <mergeCell ref="E26:F26"/>
    <mergeCell ref="C27:D27"/>
    <mergeCell ref="E27:F27"/>
    <mergeCell ref="E22:F22"/>
    <mergeCell ref="C23:D23"/>
    <mergeCell ref="E23:F23"/>
    <mergeCell ref="A21:F21"/>
    <mergeCell ref="C24:D24"/>
    <mergeCell ref="E24:F24"/>
    <mergeCell ref="C22:D22"/>
    <mergeCell ref="A17:D17"/>
    <mergeCell ref="K17:L17"/>
    <mergeCell ref="A18:F18"/>
    <mergeCell ref="K18:L18"/>
    <mergeCell ref="M20:N20"/>
    <mergeCell ref="A19:G19"/>
    <mergeCell ref="C20:D20"/>
    <mergeCell ref="E20:F20"/>
    <mergeCell ref="K20:L20"/>
    <mergeCell ref="A1:XFD7"/>
    <mergeCell ref="A8:N8"/>
    <mergeCell ref="K9:L9"/>
    <mergeCell ref="B10:B16"/>
    <mergeCell ref="C10:C16"/>
    <mergeCell ref="K10:L10"/>
    <mergeCell ref="K11:L11"/>
    <mergeCell ref="K12:L12"/>
    <mergeCell ref="K13:L13"/>
    <mergeCell ref="K14:L14"/>
    <mergeCell ref="K15:L15"/>
    <mergeCell ref="K16:L16"/>
    <mergeCell ref="O10:R10"/>
  </mergeCells>
  <pageMargins left="0.25" right="0.25" top="0.46" bottom="0.25" header="0.5" footer="0.5"/>
  <pageSetup paperSize="9" scale="70" orientation="portrait" verticalDpi="300" r:id="rId1"/>
  <headerFooter alignWithMargins="0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4"/>
  <sheetViews>
    <sheetView zoomScale="80" workbookViewId="0">
      <pane xSplit="3" ySplit="9" topLeftCell="D10" activePane="bottomRight" state="frozen"/>
      <selection activeCell="M19" sqref="M19:N19"/>
      <selection pane="topRight" activeCell="M19" sqref="M19:N19"/>
      <selection pane="bottomLeft" activeCell="M19" sqref="M19:N19"/>
      <selection pane="bottomRight" activeCell="E29" sqref="E29:F29"/>
    </sheetView>
  </sheetViews>
  <sheetFormatPr defaultRowHeight="13.5" x14ac:dyDescent="0.25"/>
  <cols>
    <col min="1" max="1" width="15" style="33" customWidth="1"/>
    <col min="2" max="2" width="16.28515625" style="1" customWidth="1"/>
    <col min="3" max="3" width="5.5703125" style="1" customWidth="1"/>
    <col min="4" max="4" width="29.85546875" style="1" customWidth="1"/>
    <col min="5" max="5" width="8.42578125" style="1" customWidth="1"/>
    <col min="6" max="6" width="8.28515625" style="1" customWidth="1"/>
    <col min="7" max="7" width="15.28515625" style="1" bestFit="1" customWidth="1"/>
    <col min="8" max="8" width="5.140625" style="1" customWidth="1"/>
    <col min="9" max="9" width="3.85546875" style="1" customWidth="1"/>
    <col min="10" max="10" width="3.5703125" style="1" customWidth="1"/>
    <col min="11" max="11" width="10.85546875" style="1" customWidth="1"/>
    <col min="12" max="12" width="7.140625" style="1" customWidth="1"/>
    <col min="13" max="13" width="13.5703125" style="1" customWidth="1"/>
    <col min="14" max="14" width="7.28515625" style="1" bestFit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4" s="866" customFormat="1" ht="15" x14ac:dyDescent="0.25"/>
    <row r="2" spans="1:14" s="866" customFormat="1" ht="15" x14ac:dyDescent="0.25"/>
    <row r="3" spans="1:14" s="866" customFormat="1" ht="15" x14ac:dyDescent="0.25"/>
    <row r="4" spans="1:14" s="866" customFormat="1" ht="15" x14ac:dyDescent="0.25"/>
    <row r="5" spans="1:14" s="866" customFormat="1" ht="15" x14ac:dyDescent="0.25"/>
    <row r="6" spans="1:14" s="866" customFormat="1" ht="15" x14ac:dyDescent="0.25"/>
    <row r="7" spans="1:14" s="866" customFormat="1" ht="15.75" thickBot="1" x14ac:dyDescent="0.3"/>
    <row r="8" spans="1:14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4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4" s="425" customFormat="1" ht="26.25" customHeight="1" x14ac:dyDescent="0.25">
      <c r="A10" s="102">
        <v>1</v>
      </c>
      <c r="B10" s="964" t="s">
        <v>238</v>
      </c>
      <c r="C10" s="964" t="s">
        <v>31</v>
      </c>
      <c r="D10" s="53" t="s">
        <v>239</v>
      </c>
      <c r="E10" s="430">
        <f>6+18+18+3</f>
        <v>45</v>
      </c>
      <c r="F10" s="55">
        <v>7</v>
      </c>
      <c r="G10" s="56">
        <f>E10*F10</f>
        <v>315</v>
      </c>
      <c r="H10" s="426" t="s">
        <v>102</v>
      </c>
      <c r="I10" s="426">
        <v>3</v>
      </c>
      <c r="J10" s="426">
        <v>10</v>
      </c>
      <c r="K10" s="878" t="s">
        <v>42</v>
      </c>
      <c r="L10" s="879"/>
      <c r="M10" s="99">
        <v>41539</v>
      </c>
      <c r="N10" s="58"/>
    </row>
    <row r="11" spans="1:14" s="425" customFormat="1" ht="26.25" customHeight="1" x14ac:dyDescent="0.25">
      <c r="A11" s="90">
        <v>2</v>
      </c>
      <c r="B11" s="965"/>
      <c r="C11" s="965"/>
      <c r="D11" s="53" t="s">
        <v>239</v>
      </c>
      <c r="E11" s="431">
        <f>18+15+12</f>
        <v>45</v>
      </c>
      <c r="F11" s="81">
        <v>7</v>
      </c>
      <c r="G11" s="56">
        <f>E11*F11</f>
        <v>315</v>
      </c>
      <c r="H11" s="80" t="s">
        <v>63</v>
      </c>
      <c r="I11" s="80">
        <v>2</v>
      </c>
      <c r="J11" s="80">
        <v>11</v>
      </c>
      <c r="K11" s="878" t="s">
        <v>231</v>
      </c>
      <c r="L11" s="879"/>
      <c r="M11" s="120">
        <v>41513</v>
      </c>
      <c r="N11" s="84"/>
    </row>
    <row r="12" spans="1:14" s="425" customFormat="1" ht="26.25" customHeight="1" x14ac:dyDescent="0.25">
      <c r="A12" s="90" t="s">
        <v>438</v>
      </c>
      <c r="B12" s="965"/>
      <c r="C12" s="965"/>
      <c r="D12" s="107"/>
      <c r="E12" s="431"/>
      <c r="F12" s="81"/>
      <c r="G12" s="56">
        <f t="shared" ref="G12:G13" si="0">E12*F12</f>
        <v>0</v>
      </c>
      <c r="H12" s="80"/>
      <c r="I12" s="80"/>
      <c r="J12" s="80"/>
      <c r="K12" s="878"/>
      <c r="L12" s="879"/>
      <c r="M12" s="120"/>
      <c r="N12" s="84"/>
    </row>
    <row r="13" spans="1:14" s="425" customFormat="1" ht="26.25" customHeight="1" x14ac:dyDescent="0.25">
      <c r="A13" s="90">
        <v>1</v>
      </c>
      <c r="B13" s="965"/>
      <c r="C13" s="965"/>
      <c r="D13" s="53" t="s">
        <v>443</v>
      </c>
      <c r="E13" s="431">
        <f>6+9+12+18</f>
        <v>45</v>
      </c>
      <c r="F13" s="81">
        <v>7</v>
      </c>
      <c r="G13" s="56">
        <f t="shared" si="0"/>
        <v>315</v>
      </c>
      <c r="H13" s="80" t="s">
        <v>63</v>
      </c>
      <c r="I13" s="80">
        <v>2</v>
      </c>
      <c r="J13" s="80">
        <v>11</v>
      </c>
      <c r="K13" s="878" t="s">
        <v>231</v>
      </c>
      <c r="L13" s="879"/>
      <c r="M13" s="120">
        <v>41680</v>
      </c>
      <c r="N13" s="84"/>
    </row>
    <row r="14" spans="1:14" s="425" customFormat="1" ht="26.25" customHeight="1" x14ac:dyDescent="0.25">
      <c r="A14" s="90"/>
      <c r="B14" s="965"/>
      <c r="C14" s="965"/>
      <c r="D14" s="53"/>
      <c r="E14" s="431"/>
      <c r="F14" s="81"/>
      <c r="G14" s="56"/>
      <c r="H14" s="80"/>
      <c r="I14" s="80"/>
      <c r="J14" s="80"/>
      <c r="K14" s="878"/>
      <c r="L14" s="879"/>
      <c r="M14" s="120"/>
      <c r="N14" s="84"/>
    </row>
    <row r="15" spans="1:14" s="425" customFormat="1" ht="26.25" customHeight="1" x14ac:dyDescent="0.25">
      <c r="A15" s="127"/>
      <c r="B15" s="966"/>
      <c r="C15" s="966"/>
      <c r="D15" s="115"/>
      <c r="E15" s="431"/>
      <c r="F15" s="81"/>
      <c r="G15" s="56"/>
      <c r="H15" s="427"/>
      <c r="I15" s="427"/>
      <c r="J15" s="427"/>
      <c r="K15" s="876"/>
      <c r="L15" s="877"/>
      <c r="M15" s="120"/>
      <c r="N15" s="84"/>
    </row>
    <row r="16" spans="1:14" s="425" customFormat="1" ht="26.25" customHeight="1" x14ac:dyDescent="0.25">
      <c r="A16" s="103"/>
      <c r="B16" s="967"/>
      <c r="C16" s="967"/>
      <c r="D16" s="115"/>
      <c r="E16" s="431"/>
      <c r="F16" s="81"/>
      <c r="G16" s="56"/>
      <c r="H16" s="427"/>
      <c r="I16" s="427"/>
      <c r="J16" s="427"/>
      <c r="K16" s="876"/>
      <c r="L16" s="877"/>
      <c r="M16" s="78"/>
      <c r="N16" s="84"/>
    </row>
    <row r="17" spans="1:19" s="425" customFormat="1" ht="26.25" customHeight="1" x14ac:dyDescent="0.25">
      <c r="A17" s="874" t="s">
        <v>11</v>
      </c>
      <c r="B17" s="875"/>
      <c r="C17" s="875"/>
      <c r="D17" s="875"/>
      <c r="E17" s="428">
        <f>SUM(E10:E16)</f>
        <v>135</v>
      </c>
      <c r="F17" s="76">
        <v>7</v>
      </c>
      <c r="G17" s="56">
        <f>E17*F17</f>
        <v>945</v>
      </c>
      <c r="H17" s="427"/>
      <c r="I17" s="427"/>
      <c r="J17" s="427"/>
      <c r="K17" s="876"/>
      <c r="L17" s="877"/>
      <c r="M17" s="427"/>
      <c r="N17" s="63"/>
    </row>
    <row r="18" spans="1:19" s="425" customFormat="1" ht="26.25" customHeight="1" x14ac:dyDescent="0.25">
      <c r="A18" s="897" t="s">
        <v>24</v>
      </c>
      <c r="B18" s="898"/>
      <c r="C18" s="898"/>
      <c r="D18" s="898"/>
      <c r="E18" s="898"/>
      <c r="F18" s="898"/>
      <c r="G18" s="56">
        <f>G17</f>
        <v>945</v>
      </c>
      <c r="H18" s="429"/>
      <c r="I18" s="429"/>
      <c r="J18" s="429"/>
      <c r="K18" s="859"/>
      <c r="L18" s="860"/>
      <c r="M18" s="429"/>
      <c r="N18" s="66"/>
    </row>
    <row r="19" spans="1:19" s="48" customFormat="1" ht="26.25" customHeight="1" x14ac:dyDescent="0.25">
      <c r="A19" s="899" t="s">
        <v>32</v>
      </c>
      <c r="B19" s="900"/>
      <c r="C19" s="900"/>
      <c r="D19" s="900"/>
      <c r="E19" s="900"/>
      <c r="F19" s="900"/>
      <c r="G19" s="900"/>
      <c r="H19" s="67"/>
      <c r="I19" s="67"/>
      <c r="J19" s="68" t="s">
        <v>44</v>
      </c>
      <c r="K19" s="67"/>
      <c r="L19" s="68"/>
      <c r="M19" s="69"/>
      <c r="N19" s="70"/>
    </row>
    <row r="20" spans="1:19" s="48" customFormat="1" ht="22.5" customHeight="1" thickBot="1" x14ac:dyDescent="0.3">
      <c r="A20" s="72" t="s">
        <v>5</v>
      </c>
      <c r="B20" s="71" t="s">
        <v>33</v>
      </c>
      <c r="C20" s="857" t="s">
        <v>21</v>
      </c>
      <c r="D20" s="858"/>
      <c r="E20" s="857" t="s">
        <v>34</v>
      </c>
      <c r="F20" s="858"/>
      <c r="G20" s="71" t="s">
        <v>0</v>
      </c>
      <c r="H20" s="71" t="s">
        <v>96</v>
      </c>
      <c r="I20" s="71" t="s">
        <v>26</v>
      </c>
      <c r="J20" s="71" t="s">
        <v>27</v>
      </c>
      <c r="K20" s="863" t="s">
        <v>28</v>
      </c>
      <c r="L20" s="857"/>
      <c r="M20" s="901"/>
      <c r="N20" s="902"/>
    </row>
    <row r="21" spans="1:19" s="425" customFormat="1" ht="26.25" customHeight="1" x14ac:dyDescent="0.25">
      <c r="A21" s="1042" t="s">
        <v>35</v>
      </c>
      <c r="B21" s="1043"/>
      <c r="C21" s="1043"/>
      <c r="D21" s="1043"/>
      <c r="E21" s="1043"/>
      <c r="F21" s="1043"/>
      <c r="G21" s="85">
        <f>G18</f>
        <v>945</v>
      </c>
      <c r="H21" s="86"/>
      <c r="I21" s="86"/>
      <c r="J21" s="86"/>
      <c r="K21" s="86"/>
      <c r="L21" s="86"/>
      <c r="M21" s="86"/>
      <c r="N21" s="87"/>
      <c r="S21" s="48"/>
    </row>
    <row r="22" spans="1:19" s="3" customFormat="1" ht="26.25" customHeight="1" x14ac:dyDescent="0.25">
      <c r="A22" s="10" t="s">
        <v>263</v>
      </c>
      <c r="B22" s="11">
        <v>41549</v>
      </c>
      <c r="C22" s="53"/>
      <c r="D22" s="53" t="s">
        <v>241</v>
      </c>
      <c r="E22" s="855">
        <v>80</v>
      </c>
      <c r="F22" s="855"/>
      <c r="G22" s="34">
        <f>G21-E22</f>
        <v>865</v>
      </c>
      <c r="H22" s="419"/>
      <c r="I22" s="419"/>
      <c r="J22" s="419"/>
      <c r="K22" s="419"/>
      <c r="L22" s="419"/>
      <c r="M22" s="419"/>
      <c r="N22" s="13"/>
    </row>
    <row r="23" spans="1:19" s="3" customFormat="1" ht="26.25" customHeight="1" x14ac:dyDescent="0.25">
      <c r="A23" s="10" t="s">
        <v>300</v>
      </c>
      <c r="B23" s="11">
        <v>41578</v>
      </c>
      <c r="C23" s="53"/>
      <c r="D23" s="53" t="s">
        <v>241</v>
      </c>
      <c r="E23" s="856">
        <v>159</v>
      </c>
      <c r="F23" s="856"/>
      <c r="G23" s="34">
        <f t="shared" ref="G23:G37" si="1">G22-E23</f>
        <v>706</v>
      </c>
      <c r="H23" s="422"/>
      <c r="I23" s="422"/>
      <c r="J23" s="422"/>
      <c r="K23" s="422"/>
      <c r="L23" s="422"/>
      <c r="M23" s="422"/>
      <c r="N23" s="6"/>
    </row>
    <row r="24" spans="1:19" s="3" customFormat="1" ht="26.25" customHeight="1" x14ac:dyDescent="0.25">
      <c r="A24" s="10" t="s">
        <v>321</v>
      </c>
      <c r="B24" s="11">
        <v>41612</v>
      </c>
      <c r="C24" s="53"/>
      <c r="D24" s="53" t="s">
        <v>241</v>
      </c>
      <c r="E24" s="856">
        <v>180</v>
      </c>
      <c r="F24" s="856"/>
      <c r="G24" s="34">
        <f t="shared" si="1"/>
        <v>526</v>
      </c>
      <c r="H24" s="422"/>
      <c r="I24" s="422"/>
      <c r="J24" s="422"/>
      <c r="K24" s="422"/>
      <c r="L24" s="422"/>
      <c r="M24" s="422"/>
      <c r="N24" s="6"/>
    </row>
    <row r="25" spans="1:19" s="3" customFormat="1" ht="26.25" customHeight="1" x14ac:dyDescent="0.25">
      <c r="A25" s="313" t="s">
        <v>370</v>
      </c>
      <c r="B25" s="312">
        <v>41645</v>
      </c>
      <c r="C25" s="53"/>
      <c r="D25" s="53" t="s">
        <v>241</v>
      </c>
      <c r="E25" s="856">
        <v>100</v>
      </c>
      <c r="F25" s="856"/>
      <c r="G25" s="34">
        <f t="shared" si="1"/>
        <v>426</v>
      </c>
      <c r="H25" s="422"/>
      <c r="I25" s="422"/>
      <c r="J25" s="422"/>
      <c r="K25" s="422"/>
      <c r="L25" s="422"/>
      <c r="M25" s="422"/>
      <c r="N25" s="6"/>
    </row>
    <row r="26" spans="1:19" s="3" customFormat="1" ht="26.25" customHeight="1" x14ac:dyDescent="0.25">
      <c r="A26" s="313" t="s">
        <v>537</v>
      </c>
      <c r="B26" s="312">
        <v>41739</v>
      </c>
      <c r="C26" s="53"/>
      <c r="D26" s="53" t="s">
        <v>241</v>
      </c>
      <c r="E26" s="845">
        <v>100</v>
      </c>
      <c r="F26" s="846"/>
      <c r="G26" s="34">
        <f t="shared" si="1"/>
        <v>326</v>
      </c>
      <c r="H26" s="422"/>
      <c r="I26" s="422"/>
      <c r="J26" s="422"/>
      <c r="K26" s="422"/>
      <c r="L26" s="422"/>
      <c r="M26" s="422"/>
      <c r="N26" s="6"/>
    </row>
    <row r="27" spans="1:19" s="3" customFormat="1" ht="26.25" customHeight="1" x14ac:dyDescent="0.25">
      <c r="A27" s="14" t="s">
        <v>563</v>
      </c>
      <c r="B27" s="15">
        <v>41768</v>
      </c>
      <c r="C27" s="934" t="s">
        <v>241</v>
      </c>
      <c r="D27" s="934"/>
      <c r="E27" s="845">
        <v>200</v>
      </c>
      <c r="F27" s="846"/>
      <c r="G27" s="34">
        <f t="shared" si="1"/>
        <v>126</v>
      </c>
      <c r="H27" s="422"/>
      <c r="I27" s="422"/>
      <c r="J27" s="422"/>
      <c r="K27" s="422"/>
      <c r="L27" s="422"/>
      <c r="M27" s="422"/>
      <c r="N27" s="6"/>
    </row>
    <row r="28" spans="1:19" s="3" customFormat="1" ht="26.25" customHeight="1" x14ac:dyDescent="0.25">
      <c r="A28" s="14" t="s">
        <v>592</v>
      </c>
      <c r="B28" s="15">
        <v>41793</v>
      </c>
      <c r="C28" s="934" t="s">
        <v>241</v>
      </c>
      <c r="D28" s="934"/>
      <c r="E28" s="845">
        <v>60</v>
      </c>
      <c r="F28" s="846"/>
      <c r="G28" s="34">
        <f t="shared" si="1"/>
        <v>66</v>
      </c>
      <c r="H28" s="422"/>
      <c r="I28" s="422"/>
      <c r="J28" s="422"/>
      <c r="K28" s="422"/>
      <c r="L28" s="422"/>
      <c r="M28" s="422"/>
      <c r="N28" s="6"/>
    </row>
    <row r="29" spans="1:19" s="3" customFormat="1" ht="26.25" customHeight="1" x14ac:dyDescent="0.25">
      <c r="A29" s="14"/>
      <c r="B29" s="15"/>
      <c r="C29" s="934"/>
      <c r="D29" s="934"/>
      <c r="E29" s="845"/>
      <c r="F29" s="846"/>
      <c r="G29" s="34">
        <f t="shared" si="1"/>
        <v>66</v>
      </c>
      <c r="H29" s="422"/>
      <c r="I29" s="422"/>
      <c r="J29" s="422"/>
      <c r="K29" s="422"/>
      <c r="L29" s="422"/>
      <c r="M29" s="422"/>
      <c r="N29" s="6"/>
    </row>
    <row r="30" spans="1:19" s="3" customFormat="1" ht="26.25" customHeight="1" x14ac:dyDescent="0.25">
      <c r="A30" s="14"/>
      <c r="B30" s="15"/>
      <c r="C30" s="934"/>
      <c r="D30" s="934"/>
      <c r="E30" s="845"/>
      <c r="F30" s="846"/>
      <c r="G30" s="34">
        <f t="shared" si="1"/>
        <v>66</v>
      </c>
      <c r="H30" s="422"/>
      <c r="I30" s="422"/>
      <c r="J30" s="422"/>
      <c r="K30" s="422"/>
      <c r="L30" s="422"/>
      <c r="M30" s="422"/>
      <c r="N30" s="6"/>
    </row>
    <row r="31" spans="1:19" s="3" customFormat="1" ht="26.25" customHeight="1" x14ac:dyDescent="0.25">
      <c r="A31" s="14"/>
      <c r="B31" s="17"/>
      <c r="C31" s="934"/>
      <c r="D31" s="934"/>
      <c r="E31" s="845"/>
      <c r="F31" s="846"/>
      <c r="G31" s="34">
        <f t="shared" si="1"/>
        <v>66</v>
      </c>
      <c r="H31" s="18"/>
      <c r="I31" s="18"/>
      <c r="J31" s="18"/>
      <c r="K31" s="18"/>
      <c r="L31" s="18"/>
      <c r="M31" s="18"/>
      <c r="N31" s="19"/>
    </row>
    <row r="32" spans="1:19" s="3" customFormat="1" ht="26.25" customHeight="1" x14ac:dyDescent="0.25">
      <c r="A32" s="16"/>
      <c r="B32" s="17"/>
      <c r="C32" s="934"/>
      <c r="D32" s="934"/>
      <c r="E32" s="907"/>
      <c r="F32" s="908"/>
      <c r="G32" s="34">
        <f t="shared" si="1"/>
        <v>66</v>
      </c>
      <c r="H32" s="18"/>
      <c r="I32" s="18"/>
      <c r="J32" s="18"/>
      <c r="K32" s="18"/>
      <c r="L32" s="18"/>
      <c r="M32" s="18"/>
      <c r="N32" s="19"/>
    </row>
    <row r="33" spans="1:14" s="3" customFormat="1" ht="26.25" customHeight="1" x14ac:dyDescent="0.25">
      <c r="A33" s="16"/>
      <c r="B33" s="17"/>
      <c r="C33" s="934"/>
      <c r="D33" s="934"/>
      <c r="E33" s="907"/>
      <c r="F33" s="908"/>
      <c r="G33" s="34">
        <f t="shared" si="1"/>
        <v>66</v>
      </c>
      <c r="H33" s="18"/>
      <c r="I33" s="18"/>
      <c r="J33" s="18"/>
      <c r="K33" s="18"/>
      <c r="L33" s="18"/>
      <c r="M33" s="18"/>
      <c r="N33" s="19"/>
    </row>
    <row r="34" spans="1:14" s="3" customFormat="1" ht="26.25" customHeight="1" x14ac:dyDescent="0.25">
      <c r="A34" s="16"/>
      <c r="B34" s="17"/>
      <c r="C34" s="934"/>
      <c r="D34" s="934"/>
      <c r="E34" s="845"/>
      <c r="F34" s="846"/>
      <c r="G34" s="34">
        <f t="shared" si="1"/>
        <v>66</v>
      </c>
      <c r="H34" s="18"/>
      <c r="I34" s="18"/>
      <c r="J34" s="18"/>
      <c r="K34" s="18"/>
      <c r="L34" s="18"/>
      <c r="M34" s="18"/>
      <c r="N34" s="19"/>
    </row>
    <row r="35" spans="1:14" s="3" customFormat="1" ht="26.25" customHeight="1" x14ac:dyDescent="0.25">
      <c r="A35" s="16"/>
      <c r="B35" s="17"/>
      <c r="C35" s="934"/>
      <c r="D35" s="934"/>
      <c r="E35" s="845"/>
      <c r="F35" s="846"/>
      <c r="G35" s="34">
        <f t="shared" si="1"/>
        <v>66</v>
      </c>
      <c r="H35" s="18"/>
      <c r="I35" s="18"/>
      <c r="J35" s="18"/>
      <c r="K35" s="18"/>
      <c r="L35" s="18"/>
      <c r="M35" s="18"/>
      <c r="N35" s="19"/>
    </row>
    <row r="36" spans="1:14" s="3" customFormat="1" ht="26.25" customHeight="1" x14ac:dyDescent="0.25">
      <c r="A36" s="16"/>
      <c r="B36" s="17"/>
      <c r="C36" s="934"/>
      <c r="D36" s="934"/>
      <c r="E36" s="849"/>
      <c r="F36" s="850"/>
      <c r="G36" s="34">
        <f t="shared" si="1"/>
        <v>66</v>
      </c>
      <c r="H36" s="18"/>
      <c r="I36" s="18"/>
      <c r="J36" s="18"/>
      <c r="K36" s="18"/>
      <c r="L36" s="18"/>
      <c r="M36" s="18"/>
      <c r="N36" s="19"/>
    </row>
    <row r="37" spans="1:14" s="3" customFormat="1" ht="26.25" customHeight="1" x14ac:dyDescent="0.25">
      <c r="A37" s="16"/>
      <c r="B37" s="17"/>
      <c r="C37" s="934"/>
      <c r="D37" s="934"/>
      <c r="E37" s="849"/>
      <c r="F37" s="850"/>
      <c r="G37" s="34">
        <f t="shared" si="1"/>
        <v>66</v>
      </c>
      <c r="H37" s="18"/>
      <c r="I37" s="18"/>
      <c r="J37" s="18"/>
      <c r="K37" s="18"/>
      <c r="L37" s="18"/>
      <c r="M37" s="18"/>
      <c r="N37" s="19"/>
    </row>
    <row r="38" spans="1:14" s="23" customFormat="1" ht="26.25" customHeight="1" thickBot="1" x14ac:dyDescent="0.3">
      <c r="A38" s="851" t="s">
        <v>36</v>
      </c>
      <c r="B38" s="852"/>
      <c r="C38" s="852"/>
      <c r="D38" s="852"/>
      <c r="E38" s="853">
        <f>SUM(E22:F37)</f>
        <v>879</v>
      </c>
      <c r="F38" s="854"/>
      <c r="G38" s="20"/>
      <c r="H38" s="21"/>
      <c r="I38" s="21"/>
      <c r="J38" s="21"/>
      <c r="K38" s="21"/>
      <c r="L38" s="21"/>
      <c r="M38" s="21"/>
      <c r="N38" s="22"/>
    </row>
    <row r="39" spans="1:14" s="3" customFormat="1" ht="26.25" customHeight="1" thickTop="1" x14ac:dyDescent="0.25">
      <c r="A39" s="24"/>
      <c r="E39" s="844"/>
      <c r="F39" s="844"/>
    </row>
    <row r="40" spans="1:14" s="3" customFormat="1" ht="26.25" customHeight="1" x14ac:dyDescent="0.3">
      <c r="A40" s="25" t="s">
        <v>41</v>
      </c>
      <c r="B40" s="25"/>
      <c r="C40" s="25"/>
      <c r="D40" s="25" t="s">
        <v>81</v>
      </c>
      <c r="E40" s="25"/>
      <c r="F40" s="26"/>
      <c r="G40" s="25" t="s">
        <v>38</v>
      </c>
      <c r="H40" s="25"/>
      <c r="I40" s="25"/>
      <c r="J40" s="25"/>
      <c r="K40" s="25"/>
      <c r="L40" s="25" t="s">
        <v>39</v>
      </c>
      <c r="M40" s="28"/>
      <c r="N40" s="26"/>
    </row>
    <row r="41" spans="1:14" s="3" customFormat="1" ht="26.25" customHeight="1" x14ac:dyDescent="0.3">
      <c r="A41" s="25"/>
      <c r="B41" s="25"/>
      <c r="C41" s="25"/>
      <c r="D41" s="25"/>
      <c r="E41" s="25"/>
      <c r="F41" s="26"/>
      <c r="G41" s="25"/>
      <c r="H41" s="25"/>
      <c r="I41" s="25"/>
      <c r="J41" s="25"/>
      <c r="K41" s="25"/>
      <c r="L41" s="25"/>
      <c r="M41" s="28"/>
      <c r="N41" s="26"/>
    </row>
    <row r="42" spans="1:14" s="3" customFormat="1" ht="26.25" customHeight="1" x14ac:dyDescent="0.3">
      <c r="A42" s="25"/>
      <c r="B42" s="25"/>
      <c r="C42" s="25"/>
      <c r="D42" s="25"/>
      <c r="E42" s="25"/>
      <c r="F42" s="26"/>
      <c r="G42" s="25"/>
      <c r="H42" s="25"/>
      <c r="I42" s="25"/>
      <c r="J42" s="25"/>
      <c r="K42" s="25"/>
      <c r="L42" s="25"/>
      <c r="M42" s="28"/>
      <c r="N42" s="26"/>
    </row>
    <row r="43" spans="1:14" s="3" customFormat="1" ht="26.25" customHeight="1" x14ac:dyDescent="0.3">
      <c r="A43" s="25"/>
      <c r="B43" s="25"/>
      <c r="C43" s="25"/>
      <c r="D43" s="25"/>
      <c r="E43" s="25"/>
      <c r="F43" s="26"/>
      <c r="G43" s="25"/>
      <c r="H43" s="25"/>
      <c r="I43" s="25"/>
      <c r="J43" s="25"/>
      <c r="K43" s="25"/>
      <c r="L43" s="25"/>
      <c r="M43" s="28"/>
      <c r="N43" s="26"/>
    </row>
    <row r="44" spans="1:14" s="3" customFormat="1" ht="26.25" customHeight="1" x14ac:dyDescent="0.3">
      <c r="A44" s="29"/>
      <c r="B44" s="25"/>
      <c r="C44" s="25"/>
      <c r="D44" s="29"/>
      <c r="E44" s="29"/>
      <c r="F44" s="26"/>
      <c r="G44" s="29"/>
      <c r="H44" s="25"/>
      <c r="I44" s="25"/>
      <c r="J44" s="25"/>
      <c r="K44" s="25"/>
      <c r="L44" s="27"/>
      <c r="M44" s="28"/>
      <c r="N44" s="26"/>
    </row>
    <row r="45" spans="1:14" s="30" customFormat="1" ht="17.25" x14ac:dyDescent="0.3">
      <c r="A45" s="25" t="s">
        <v>48</v>
      </c>
      <c r="B45" s="25"/>
      <c r="C45" s="25" t="s">
        <v>80</v>
      </c>
      <c r="D45" s="25"/>
      <c r="G45" s="25" t="str">
        <f>B10</f>
        <v>Te Kim Lin</v>
      </c>
      <c r="H45" s="25"/>
      <c r="I45" s="25"/>
      <c r="J45" s="25"/>
      <c r="K45" s="829" t="s">
        <v>90</v>
      </c>
      <c r="L45" s="829"/>
      <c r="M45" s="829"/>
      <c r="N45" s="829"/>
    </row>
    <row r="46" spans="1:14" s="30" customFormat="1" ht="16.5" x14ac:dyDescent="0.3">
      <c r="A46" s="32"/>
    </row>
    <row r="47" spans="1:14" s="30" customFormat="1" ht="16.5" x14ac:dyDescent="0.3">
      <c r="A47" s="32"/>
    </row>
    <row r="48" spans="1:14" s="30" customFormat="1" ht="16.5" x14ac:dyDescent="0.3">
      <c r="A48" s="32"/>
    </row>
    <row r="49" spans="1:1" s="30" customFormat="1" ht="16.5" x14ac:dyDescent="0.3">
      <c r="A49" s="32"/>
    </row>
    <row r="50" spans="1:1" s="30" customFormat="1" ht="16.5" x14ac:dyDescent="0.3">
      <c r="A50" s="32"/>
    </row>
    <row r="51" spans="1:1" s="30" customFormat="1" ht="16.5" x14ac:dyDescent="0.3">
      <c r="A51" s="32"/>
    </row>
    <row r="52" spans="1:1" s="30" customFormat="1" ht="16.5" x14ac:dyDescent="0.3">
      <c r="A52" s="32"/>
    </row>
    <row r="53" spans="1:1" s="30" customFormat="1" ht="16.5" x14ac:dyDescent="0.3">
      <c r="A53" s="32"/>
    </row>
    <row r="54" spans="1:1" s="30" customFormat="1" ht="16.5" x14ac:dyDescent="0.3">
      <c r="A54" s="32"/>
    </row>
  </sheetData>
  <mergeCells count="53">
    <mergeCell ref="C32:D32"/>
    <mergeCell ref="E32:F32"/>
    <mergeCell ref="C33:D33"/>
    <mergeCell ref="E33:F33"/>
    <mergeCell ref="K45:N45"/>
    <mergeCell ref="C34:D34"/>
    <mergeCell ref="E34:F34"/>
    <mergeCell ref="C35:D35"/>
    <mergeCell ref="E35:F35"/>
    <mergeCell ref="C36:D36"/>
    <mergeCell ref="E36:F36"/>
    <mergeCell ref="C37:D37"/>
    <mergeCell ref="E37:F37"/>
    <mergeCell ref="A38:D38"/>
    <mergeCell ref="E38:F38"/>
    <mergeCell ref="E39:F39"/>
    <mergeCell ref="C29:D29"/>
    <mergeCell ref="E29:F29"/>
    <mergeCell ref="C30:D30"/>
    <mergeCell ref="E30:F30"/>
    <mergeCell ref="C31:D31"/>
    <mergeCell ref="E31:F31"/>
    <mergeCell ref="E25:F25"/>
    <mergeCell ref="E26:F26"/>
    <mergeCell ref="C27:D27"/>
    <mergeCell ref="E27:F27"/>
    <mergeCell ref="C28:D28"/>
    <mergeCell ref="E28:F28"/>
    <mergeCell ref="E22:F22"/>
    <mergeCell ref="E23:F23"/>
    <mergeCell ref="A21:F21"/>
    <mergeCell ref="E24:F24"/>
    <mergeCell ref="A17:D17"/>
    <mergeCell ref="K17:L17"/>
    <mergeCell ref="A18:F18"/>
    <mergeCell ref="K18:L18"/>
    <mergeCell ref="M20:N20"/>
    <mergeCell ref="A19:G19"/>
    <mergeCell ref="C20:D20"/>
    <mergeCell ref="E20:F20"/>
    <mergeCell ref="K20:L20"/>
    <mergeCell ref="A1:XFD7"/>
    <mergeCell ref="A8:N8"/>
    <mergeCell ref="K9:L9"/>
    <mergeCell ref="B10:B16"/>
    <mergeCell ref="C10:C16"/>
    <mergeCell ref="K10:L10"/>
    <mergeCell ref="K11:L11"/>
    <mergeCell ref="K12:L12"/>
    <mergeCell ref="K13:L13"/>
    <mergeCell ref="K14:L14"/>
    <mergeCell ref="K15:L15"/>
    <mergeCell ref="K16:L16"/>
  </mergeCells>
  <pageMargins left="0.25" right="0.25" top="0.46" bottom="0.25" header="0.5" footer="0.5"/>
  <pageSetup paperSize="9" scale="70" orientation="portrait" verticalDpi="300" r:id="rId1"/>
  <headerFooter alignWithMargins="0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4"/>
  <sheetViews>
    <sheetView zoomScale="80" workbookViewId="0">
      <pane xSplit="3" ySplit="9" topLeftCell="D10" activePane="bottomRight" state="frozen"/>
      <selection activeCell="Q11" sqref="Q11"/>
      <selection pane="topRight" activeCell="Q11" sqref="Q11"/>
      <selection pane="bottomLeft" activeCell="Q11" sqref="Q11"/>
      <selection pane="bottomRight" activeCell="E18" sqref="E18"/>
    </sheetView>
  </sheetViews>
  <sheetFormatPr defaultRowHeight="13.5" x14ac:dyDescent="0.25"/>
  <cols>
    <col min="1" max="1" width="17" style="33" customWidth="1"/>
    <col min="2" max="2" width="20.85546875" style="1" customWidth="1"/>
    <col min="3" max="3" width="5.5703125" style="1" customWidth="1"/>
    <col min="4" max="4" width="25.140625" style="1" customWidth="1"/>
    <col min="5" max="5" width="7" style="1" customWidth="1"/>
    <col min="6" max="6" width="8.42578125" style="1" customWidth="1"/>
    <col min="7" max="7" width="14.140625" style="1" customWidth="1"/>
    <col min="8" max="8" width="3.7109375" style="1" customWidth="1"/>
    <col min="9" max="9" width="3.85546875" style="1" customWidth="1"/>
    <col min="10" max="10" width="5.140625" style="1" customWidth="1"/>
    <col min="11" max="11" width="5.85546875" style="1" customWidth="1"/>
    <col min="12" max="12" width="4.28515625" style="1" customWidth="1"/>
    <col min="13" max="13" width="11.85546875" style="1" customWidth="1"/>
    <col min="14" max="14" width="10.5703125" style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9" s="866" customFormat="1" ht="15" x14ac:dyDescent="0.25"/>
    <row r="2" spans="1:19" s="866" customFormat="1" ht="15" x14ac:dyDescent="0.25"/>
    <row r="3" spans="1:19" s="866" customFormat="1" ht="15" x14ac:dyDescent="0.25"/>
    <row r="4" spans="1:19" s="866" customFormat="1" ht="15" x14ac:dyDescent="0.25"/>
    <row r="5" spans="1:19" s="866" customFormat="1" ht="15" x14ac:dyDescent="0.25"/>
    <row r="6" spans="1:19" s="866" customFormat="1" ht="15" x14ac:dyDescent="0.25"/>
    <row r="7" spans="1:19" s="866" customFormat="1" ht="15.75" thickBot="1" x14ac:dyDescent="0.3"/>
    <row r="8" spans="1:19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9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9" s="361" customFormat="1" ht="26.25" customHeight="1" x14ac:dyDescent="0.25">
      <c r="A10" s="102">
        <v>1</v>
      </c>
      <c r="B10" s="890" t="s">
        <v>49</v>
      </c>
      <c r="C10" s="890" t="s">
        <v>31</v>
      </c>
      <c r="D10" s="51" t="s">
        <v>119</v>
      </c>
      <c r="E10" s="362">
        <f>9+9+12+15</f>
        <v>45</v>
      </c>
      <c r="F10" s="55">
        <v>8</v>
      </c>
      <c r="G10" s="56">
        <f>E10*F10</f>
        <v>360</v>
      </c>
      <c r="H10" s="362" t="s">
        <v>107</v>
      </c>
      <c r="I10" s="362">
        <v>2</v>
      </c>
      <c r="J10" s="362">
        <v>11</v>
      </c>
      <c r="K10" s="878" t="s">
        <v>74</v>
      </c>
      <c r="L10" s="879"/>
      <c r="M10" s="57">
        <v>41514</v>
      </c>
      <c r="N10" s="58"/>
      <c r="O10" s="931" t="s">
        <v>378</v>
      </c>
      <c r="P10" s="932"/>
      <c r="Q10" s="932"/>
      <c r="R10" s="932"/>
      <c r="S10" s="932"/>
    </row>
    <row r="11" spans="1:19" s="361" customFormat="1" ht="26.25" customHeight="1" x14ac:dyDescent="0.25">
      <c r="A11" s="90">
        <v>2</v>
      </c>
      <c r="B11" s="891"/>
      <c r="C11" s="891"/>
      <c r="D11" s="51" t="s">
        <v>119</v>
      </c>
      <c r="E11" s="80">
        <f>9+9+12+15</f>
        <v>45</v>
      </c>
      <c r="F11" s="55">
        <v>8</v>
      </c>
      <c r="G11" s="56">
        <f t="shared" ref="G11" si="0">E11*F11</f>
        <v>360</v>
      </c>
      <c r="H11" s="80" t="s">
        <v>64</v>
      </c>
      <c r="I11" s="80">
        <v>2</v>
      </c>
      <c r="J11" s="80">
        <v>11</v>
      </c>
      <c r="K11" s="878" t="s">
        <v>74</v>
      </c>
      <c r="L11" s="879"/>
      <c r="M11" s="83">
        <v>41515</v>
      </c>
      <c r="N11" s="84"/>
      <c r="O11" s="931"/>
      <c r="P11" s="932"/>
      <c r="Q11" s="932"/>
      <c r="R11" s="932"/>
      <c r="S11" s="932"/>
    </row>
    <row r="12" spans="1:19" s="361" customFormat="1" ht="26.25" customHeight="1" x14ac:dyDescent="0.25">
      <c r="A12" s="102">
        <v>3</v>
      </c>
      <c r="B12" s="891"/>
      <c r="C12" s="891"/>
      <c r="D12" s="51" t="s">
        <v>119</v>
      </c>
      <c r="E12" s="80">
        <f>9+9+10.5+16.5</f>
        <v>45</v>
      </c>
      <c r="F12" s="55">
        <v>8</v>
      </c>
      <c r="G12" s="56">
        <f>E12*F12</f>
        <v>360</v>
      </c>
      <c r="H12" s="80" t="s">
        <v>107</v>
      </c>
      <c r="I12" s="80">
        <v>2</v>
      </c>
      <c r="J12" s="80">
        <v>11</v>
      </c>
      <c r="K12" s="876" t="s">
        <v>231</v>
      </c>
      <c r="L12" s="877"/>
      <c r="M12" s="57">
        <v>41514</v>
      </c>
      <c r="N12" s="84"/>
      <c r="O12" s="931"/>
      <c r="P12" s="932"/>
      <c r="Q12" s="932"/>
      <c r="R12" s="932"/>
      <c r="S12" s="932"/>
    </row>
    <row r="13" spans="1:19" s="361" customFormat="1" ht="26.25" customHeight="1" x14ac:dyDescent="0.25">
      <c r="A13" s="90">
        <v>4</v>
      </c>
      <c r="B13" s="891"/>
      <c r="C13" s="891"/>
      <c r="D13" s="51" t="s">
        <v>119</v>
      </c>
      <c r="E13" s="80">
        <f>9+9+15+15</f>
        <v>48</v>
      </c>
      <c r="F13" s="55">
        <v>8</v>
      </c>
      <c r="G13" s="56">
        <f t="shared" ref="G13:G20" si="1">E13*F13</f>
        <v>384</v>
      </c>
      <c r="H13" s="80" t="s">
        <v>64</v>
      </c>
      <c r="I13" s="80">
        <v>2</v>
      </c>
      <c r="J13" s="80">
        <v>11</v>
      </c>
      <c r="K13" s="876" t="s">
        <v>75</v>
      </c>
      <c r="L13" s="877"/>
      <c r="M13" s="83">
        <v>41514</v>
      </c>
      <c r="N13" s="84"/>
      <c r="O13" s="931"/>
      <c r="P13" s="932"/>
      <c r="Q13" s="932"/>
      <c r="R13" s="932"/>
      <c r="S13" s="932"/>
    </row>
    <row r="14" spans="1:19" s="361" customFormat="1" ht="26.25" customHeight="1" x14ac:dyDescent="0.25">
      <c r="A14" s="102"/>
      <c r="B14" s="891"/>
      <c r="C14" s="891"/>
      <c r="D14" s="79"/>
      <c r="E14" s="80"/>
      <c r="F14" s="55"/>
      <c r="G14" s="56"/>
      <c r="H14" s="80"/>
      <c r="I14" s="80"/>
      <c r="J14" s="80"/>
      <c r="K14" s="876"/>
      <c r="L14" s="877"/>
      <c r="M14" s="83"/>
      <c r="N14" s="84"/>
    </row>
    <row r="15" spans="1:19" s="783" customFormat="1" ht="26.25" customHeight="1" x14ac:dyDescent="0.25">
      <c r="A15" s="102"/>
      <c r="B15" s="891"/>
      <c r="C15" s="891"/>
      <c r="D15" s="79" t="s">
        <v>574</v>
      </c>
      <c r="E15" s="80">
        <f>18+12</f>
        <v>30</v>
      </c>
      <c r="F15" s="81">
        <v>8</v>
      </c>
      <c r="G15" s="56">
        <f t="shared" si="1"/>
        <v>240</v>
      </c>
      <c r="H15" s="80" t="s">
        <v>107</v>
      </c>
      <c r="I15" s="80">
        <v>1</v>
      </c>
      <c r="J15" s="80">
        <v>12</v>
      </c>
      <c r="K15" s="876" t="s">
        <v>487</v>
      </c>
      <c r="L15" s="877"/>
      <c r="M15" s="83">
        <v>41719</v>
      </c>
      <c r="N15" s="84"/>
    </row>
    <row r="16" spans="1:19" s="783" customFormat="1" ht="26.25" customHeight="1" x14ac:dyDescent="0.25">
      <c r="A16" s="102"/>
      <c r="B16" s="891"/>
      <c r="C16" s="891"/>
      <c r="D16" s="79" t="s">
        <v>574</v>
      </c>
      <c r="E16" s="80">
        <f>9+15</f>
        <v>24</v>
      </c>
      <c r="F16" s="81">
        <v>8</v>
      </c>
      <c r="G16" s="56">
        <f t="shared" si="1"/>
        <v>192</v>
      </c>
      <c r="H16" s="80" t="s">
        <v>63</v>
      </c>
      <c r="I16" s="80">
        <v>1</v>
      </c>
      <c r="J16" s="80">
        <v>12</v>
      </c>
      <c r="K16" s="876" t="s">
        <v>343</v>
      </c>
      <c r="L16" s="877"/>
      <c r="M16" s="83">
        <v>41726</v>
      </c>
      <c r="N16" s="84"/>
    </row>
    <row r="17" spans="1:14" s="783" customFormat="1" ht="26.25" customHeight="1" x14ac:dyDescent="0.25">
      <c r="A17" s="102"/>
      <c r="B17" s="891"/>
      <c r="C17" s="891"/>
      <c r="D17" s="79" t="s">
        <v>576</v>
      </c>
      <c r="E17" s="80">
        <f>12+12</f>
        <v>24</v>
      </c>
      <c r="F17" s="81">
        <v>8</v>
      </c>
      <c r="G17" s="56">
        <f t="shared" si="1"/>
        <v>192</v>
      </c>
      <c r="H17" s="80" t="s">
        <v>432</v>
      </c>
      <c r="I17" s="80">
        <v>2</v>
      </c>
      <c r="J17" s="80">
        <v>11</v>
      </c>
      <c r="K17" s="876" t="s">
        <v>577</v>
      </c>
      <c r="L17" s="877"/>
      <c r="M17" s="83">
        <v>41762</v>
      </c>
      <c r="N17" s="84"/>
    </row>
    <row r="18" spans="1:14" s="783" customFormat="1" ht="26.25" customHeight="1" x14ac:dyDescent="0.25">
      <c r="A18" s="102"/>
      <c r="B18" s="891"/>
      <c r="C18" s="891"/>
      <c r="D18" s="79"/>
      <c r="E18" s="80"/>
      <c r="F18" s="81"/>
      <c r="G18" s="56">
        <f t="shared" si="1"/>
        <v>0</v>
      </c>
      <c r="H18" s="80"/>
      <c r="I18" s="80"/>
      <c r="J18" s="80"/>
      <c r="K18" s="876"/>
      <c r="L18" s="877"/>
      <c r="M18" s="83"/>
      <c r="N18" s="84"/>
    </row>
    <row r="19" spans="1:14" s="783" customFormat="1" ht="26.25" customHeight="1" x14ac:dyDescent="0.25">
      <c r="A19" s="102"/>
      <c r="B19" s="891"/>
      <c r="C19" s="891"/>
      <c r="D19" s="79"/>
      <c r="E19" s="80"/>
      <c r="F19" s="81"/>
      <c r="G19" s="56">
        <f t="shared" si="1"/>
        <v>0</v>
      </c>
      <c r="H19" s="80"/>
      <c r="I19" s="80"/>
      <c r="J19" s="80"/>
      <c r="K19" s="876"/>
      <c r="L19" s="877"/>
      <c r="M19" s="83"/>
      <c r="N19" s="84"/>
    </row>
    <row r="20" spans="1:14" s="361" customFormat="1" ht="26.25" customHeight="1" x14ac:dyDescent="0.25">
      <c r="A20" s="102"/>
      <c r="B20" s="892"/>
      <c r="C20" s="892"/>
      <c r="D20" s="77"/>
      <c r="E20" s="80"/>
      <c r="F20" s="81"/>
      <c r="G20" s="56">
        <f t="shared" si="1"/>
        <v>0</v>
      </c>
      <c r="H20" s="80"/>
      <c r="I20" s="80"/>
      <c r="J20" s="80"/>
      <c r="K20" s="876"/>
      <c r="L20" s="877"/>
      <c r="M20" s="83"/>
      <c r="N20" s="84"/>
    </row>
    <row r="21" spans="1:14" s="361" customFormat="1" ht="26.25" customHeight="1" x14ac:dyDescent="0.25">
      <c r="A21" s="925" t="s">
        <v>11</v>
      </c>
      <c r="B21" s="926"/>
      <c r="C21" s="926"/>
      <c r="D21" s="926"/>
      <c r="E21" s="364">
        <f>SUM(E10:E20)</f>
        <v>261</v>
      </c>
      <c r="F21" s="76">
        <v>8</v>
      </c>
      <c r="G21" s="62">
        <f>E21*F21</f>
        <v>2088</v>
      </c>
      <c r="H21" s="363"/>
      <c r="I21" s="363"/>
      <c r="J21" s="363"/>
      <c r="K21" s="876"/>
      <c r="L21" s="877"/>
      <c r="M21" s="363"/>
      <c r="N21" s="63"/>
    </row>
    <row r="22" spans="1:14" s="361" customFormat="1" ht="26.25" customHeight="1" x14ac:dyDescent="0.25">
      <c r="A22" s="897" t="s">
        <v>24</v>
      </c>
      <c r="B22" s="898"/>
      <c r="C22" s="898"/>
      <c r="D22" s="898"/>
      <c r="E22" s="898"/>
      <c r="F22" s="898"/>
      <c r="G22" s="64">
        <f>G21</f>
        <v>2088</v>
      </c>
      <c r="H22" s="365"/>
      <c r="I22" s="365"/>
      <c r="J22" s="365"/>
      <c r="K22" s="859"/>
      <c r="L22" s="860"/>
      <c r="M22" s="365"/>
      <c r="N22" s="66"/>
    </row>
    <row r="23" spans="1:14" s="48" customFormat="1" ht="26.25" customHeight="1" x14ac:dyDescent="0.25">
      <c r="A23" s="899" t="s">
        <v>32</v>
      </c>
      <c r="B23" s="900"/>
      <c r="C23" s="900"/>
      <c r="D23" s="900"/>
      <c r="E23" s="900"/>
      <c r="F23" s="900"/>
      <c r="G23" s="900"/>
      <c r="H23" s="67"/>
      <c r="I23" s="67"/>
      <c r="J23" s="68" t="s">
        <v>44</v>
      </c>
      <c r="K23" s="67"/>
      <c r="L23" s="68"/>
      <c r="M23" s="69"/>
      <c r="N23" s="70"/>
    </row>
    <row r="24" spans="1:14" s="48" customFormat="1" ht="22.5" customHeight="1" thickBot="1" x14ac:dyDescent="0.3">
      <c r="A24" s="72" t="s">
        <v>5</v>
      </c>
      <c r="B24" s="71" t="s">
        <v>33</v>
      </c>
      <c r="C24" s="857" t="s">
        <v>21</v>
      </c>
      <c r="D24" s="858"/>
      <c r="E24" s="857" t="s">
        <v>34</v>
      </c>
      <c r="F24" s="858"/>
      <c r="G24" s="71" t="s">
        <v>0</v>
      </c>
      <c r="H24" s="71" t="s">
        <v>96</v>
      </c>
      <c r="I24" s="71" t="s">
        <v>26</v>
      </c>
      <c r="J24" s="71" t="s">
        <v>27</v>
      </c>
      <c r="K24" s="863" t="s">
        <v>28</v>
      </c>
      <c r="L24" s="857"/>
      <c r="M24" s="901" t="s">
        <v>50</v>
      </c>
      <c r="N24" s="902"/>
    </row>
    <row r="25" spans="1:14" s="3" customFormat="1" ht="26.25" customHeight="1" x14ac:dyDescent="0.25">
      <c r="A25" s="861" t="s">
        <v>35</v>
      </c>
      <c r="B25" s="862"/>
      <c r="C25" s="862"/>
      <c r="D25" s="862"/>
      <c r="E25" s="862"/>
      <c r="F25" s="862"/>
      <c r="G25" s="7">
        <f>G22</f>
        <v>2088</v>
      </c>
      <c r="H25" s="8"/>
      <c r="I25" s="8"/>
      <c r="J25" s="8"/>
      <c r="K25" s="8"/>
      <c r="L25" s="8"/>
      <c r="M25" s="8"/>
      <c r="N25" s="9"/>
    </row>
    <row r="26" spans="1:14" s="3" customFormat="1" ht="26.25" customHeight="1" x14ac:dyDescent="0.25">
      <c r="A26" s="10" t="s">
        <v>265</v>
      </c>
      <c r="B26" s="11">
        <v>41557</v>
      </c>
      <c r="C26" s="888" t="s">
        <v>119</v>
      </c>
      <c r="D26" s="889"/>
      <c r="E26" s="855">
        <v>144</v>
      </c>
      <c r="F26" s="855"/>
      <c r="G26" s="12">
        <f>G25-E26</f>
        <v>1944</v>
      </c>
      <c r="H26" s="359"/>
      <c r="I26" s="359"/>
      <c r="J26" s="359"/>
      <c r="K26" s="359"/>
      <c r="L26" s="359"/>
      <c r="M26" s="359"/>
      <c r="N26" s="13"/>
    </row>
    <row r="27" spans="1:14" s="3" customFormat="1" ht="26.25" customHeight="1" x14ac:dyDescent="0.25">
      <c r="A27" s="10" t="s">
        <v>300</v>
      </c>
      <c r="B27" s="11">
        <v>41578</v>
      </c>
      <c r="C27" s="888" t="s">
        <v>119</v>
      </c>
      <c r="D27" s="889"/>
      <c r="E27" s="856">
        <v>216</v>
      </c>
      <c r="F27" s="856"/>
      <c r="G27" s="12">
        <f t="shared" ref="G27:G37" si="2">G26-E27</f>
        <v>1728</v>
      </c>
      <c r="H27" s="360"/>
      <c r="I27" s="360"/>
      <c r="J27" s="360"/>
      <c r="K27" s="360"/>
      <c r="L27" s="360"/>
      <c r="M27" s="360"/>
      <c r="N27" s="6"/>
    </row>
    <row r="28" spans="1:14" s="3" customFormat="1" ht="26.25" customHeight="1" x14ac:dyDescent="0.25">
      <c r="A28" s="10" t="s">
        <v>321</v>
      </c>
      <c r="B28" s="11">
        <v>41612</v>
      </c>
      <c r="C28" s="905" t="s">
        <v>119</v>
      </c>
      <c r="D28" s="906"/>
      <c r="E28" s="856">
        <v>200</v>
      </c>
      <c r="F28" s="856"/>
      <c r="G28" s="12">
        <f t="shared" si="2"/>
        <v>1528</v>
      </c>
      <c r="H28" s="360"/>
      <c r="I28" s="360"/>
      <c r="J28" s="360"/>
      <c r="K28" s="360"/>
      <c r="L28" s="360"/>
      <c r="M28" s="360"/>
      <c r="N28" s="6"/>
    </row>
    <row r="29" spans="1:14" s="3" customFormat="1" ht="26.25" customHeight="1" x14ac:dyDescent="0.25">
      <c r="A29" s="313" t="s">
        <v>370</v>
      </c>
      <c r="B29" s="312">
        <v>41645</v>
      </c>
      <c r="C29" s="905" t="s">
        <v>119</v>
      </c>
      <c r="D29" s="906"/>
      <c r="E29" s="845">
        <v>500</v>
      </c>
      <c r="F29" s="846"/>
      <c r="G29" s="12">
        <f t="shared" si="2"/>
        <v>1028</v>
      </c>
      <c r="H29" s="360"/>
      <c r="I29" s="360"/>
      <c r="J29" s="360"/>
      <c r="K29" s="360"/>
      <c r="L29" s="360"/>
      <c r="M29" s="360"/>
      <c r="N29" s="6"/>
    </row>
    <row r="30" spans="1:14" s="3" customFormat="1" ht="26.25" customHeight="1" x14ac:dyDescent="0.25">
      <c r="A30" s="14" t="s">
        <v>377</v>
      </c>
      <c r="B30" s="15">
        <v>41659</v>
      </c>
      <c r="C30" s="905" t="s">
        <v>119</v>
      </c>
      <c r="D30" s="906"/>
      <c r="E30" s="842">
        <v>404</v>
      </c>
      <c r="F30" s="843"/>
      <c r="G30" s="12">
        <f t="shared" si="2"/>
        <v>624</v>
      </c>
      <c r="H30" s="360"/>
      <c r="I30" s="360"/>
      <c r="J30" s="360"/>
      <c r="K30" s="360"/>
      <c r="L30" s="360"/>
      <c r="M30" s="360"/>
      <c r="N30" s="6"/>
    </row>
    <row r="31" spans="1:14" s="3" customFormat="1" ht="26.25" customHeight="1" x14ac:dyDescent="0.25">
      <c r="A31" s="14" t="s">
        <v>592</v>
      </c>
      <c r="B31" s="15">
        <v>41793</v>
      </c>
      <c r="C31" s="905" t="s">
        <v>119</v>
      </c>
      <c r="D31" s="906"/>
      <c r="E31" s="845">
        <v>160</v>
      </c>
      <c r="F31" s="846"/>
      <c r="G31" s="12">
        <f t="shared" si="2"/>
        <v>464</v>
      </c>
      <c r="H31" s="360"/>
      <c r="I31" s="360"/>
      <c r="J31" s="360"/>
      <c r="K31" s="360"/>
      <c r="L31" s="360"/>
      <c r="M31" s="360"/>
      <c r="N31" s="6"/>
    </row>
    <row r="32" spans="1:14" s="3" customFormat="1" ht="26.25" customHeight="1" x14ac:dyDescent="0.25">
      <c r="A32" s="14"/>
      <c r="B32" s="15"/>
      <c r="C32" s="935"/>
      <c r="D32" s="877"/>
      <c r="E32" s="845"/>
      <c r="F32" s="846"/>
      <c r="G32" s="12">
        <f t="shared" si="2"/>
        <v>464</v>
      </c>
      <c r="H32" s="360"/>
      <c r="I32" s="360"/>
      <c r="J32" s="360"/>
      <c r="K32" s="360"/>
      <c r="L32" s="360"/>
      <c r="M32" s="360"/>
      <c r="N32" s="6"/>
    </row>
    <row r="33" spans="1:14" s="3" customFormat="1" ht="26.25" customHeight="1" x14ac:dyDescent="0.25">
      <c r="A33" s="14"/>
      <c r="B33" s="15"/>
      <c r="C33" s="935"/>
      <c r="D33" s="877"/>
      <c r="E33" s="845"/>
      <c r="F33" s="846"/>
      <c r="G33" s="12">
        <f t="shared" si="2"/>
        <v>464</v>
      </c>
      <c r="H33" s="360"/>
      <c r="I33" s="360"/>
      <c r="J33" s="360"/>
      <c r="K33" s="360"/>
      <c r="L33" s="360"/>
      <c r="M33" s="360"/>
      <c r="N33" s="6"/>
    </row>
    <row r="34" spans="1:14" s="3" customFormat="1" ht="26.25" customHeight="1" x14ac:dyDescent="0.25">
      <c r="A34" s="14"/>
      <c r="B34" s="15"/>
      <c r="C34" s="935"/>
      <c r="D34" s="877"/>
      <c r="E34" s="845"/>
      <c r="F34" s="846"/>
      <c r="G34" s="12">
        <f t="shared" si="2"/>
        <v>464</v>
      </c>
      <c r="H34" s="360"/>
      <c r="I34" s="360"/>
      <c r="J34" s="360"/>
      <c r="K34" s="360"/>
      <c r="L34" s="360"/>
      <c r="M34" s="360"/>
      <c r="N34" s="6"/>
    </row>
    <row r="35" spans="1:14" s="3" customFormat="1" ht="26.25" customHeight="1" x14ac:dyDescent="0.25">
      <c r="A35" s="14"/>
      <c r="B35" s="15"/>
      <c r="C35" s="935"/>
      <c r="D35" s="939"/>
      <c r="E35" s="845"/>
      <c r="F35" s="846"/>
      <c r="G35" s="12">
        <f t="shared" si="2"/>
        <v>464</v>
      </c>
      <c r="H35" s="360"/>
      <c r="I35" s="360"/>
      <c r="J35" s="360"/>
      <c r="K35" s="360"/>
      <c r="L35" s="360"/>
      <c r="M35" s="360"/>
      <c r="N35" s="6"/>
    </row>
    <row r="36" spans="1:14" s="3" customFormat="1" ht="26.25" customHeight="1" x14ac:dyDescent="0.25">
      <c r="A36" s="14"/>
      <c r="B36" s="15"/>
      <c r="C36" s="935"/>
      <c r="D36" s="939"/>
      <c r="E36" s="845"/>
      <c r="F36" s="846"/>
      <c r="G36" s="12">
        <f t="shared" si="2"/>
        <v>464</v>
      </c>
      <c r="H36" s="360"/>
      <c r="I36" s="360"/>
      <c r="J36" s="360"/>
      <c r="K36" s="360"/>
      <c r="L36" s="360"/>
      <c r="M36" s="360"/>
      <c r="N36" s="6"/>
    </row>
    <row r="37" spans="1:14" s="3" customFormat="1" ht="26.25" customHeight="1" x14ac:dyDescent="0.25">
      <c r="A37" s="14"/>
      <c r="B37" s="15"/>
      <c r="C37" s="935"/>
      <c r="D37" s="939"/>
      <c r="E37" s="845"/>
      <c r="F37" s="846"/>
      <c r="G37" s="12">
        <f t="shared" si="2"/>
        <v>464</v>
      </c>
      <c r="H37" s="360"/>
      <c r="I37" s="360"/>
      <c r="J37" s="360"/>
      <c r="K37" s="360"/>
      <c r="L37" s="360"/>
      <c r="M37" s="360"/>
      <c r="N37" s="6"/>
    </row>
    <row r="38" spans="1:14" s="23" customFormat="1" ht="26.25" customHeight="1" thickBot="1" x14ac:dyDescent="0.3">
      <c r="A38" s="851" t="s">
        <v>36</v>
      </c>
      <c r="B38" s="852"/>
      <c r="C38" s="852"/>
      <c r="D38" s="852"/>
      <c r="E38" s="853">
        <f>SUM(E26:F37)</f>
        <v>1624</v>
      </c>
      <c r="F38" s="854"/>
      <c r="G38" s="20"/>
      <c r="H38" s="21"/>
      <c r="I38" s="21"/>
      <c r="J38" s="21"/>
      <c r="K38" s="21"/>
      <c r="L38" s="21"/>
      <c r="M38" s="21"/>
      <c r="N38" s="22"/>
    </row>
    <row r="39" spans="1:14" s="3" customFormat="1" ht="26.25" customHeight="1" thickTop="1" x14ac:dyDescent="0.25">
      <c r="A39" s="24"/>
      <c r="E39" s="844" t="s">
        <v>65</v>
      </c>
      <c r="F39" s="844"/>
    </row>
    <row r="40" spans="1:14" s="3" customFormat="1" ht="26.25" customHeight="1" x14ac:dyDescent="0.3">
      <c r="A40" s="25" t="s">
        <v>41</v>
      </c>
      <c r="B40" s="25"/>
      <c r="C40" s="25"/>
      <c r="D40" s="25" t="s">
        <v>81</v>
      </c>
      <c r="E40" s="25"/>
      <c r="F40" s="26"/>
      <c r="G40" s="25" t="s">
        <v>38</v>
      </c>
      <c r="H40" s="25"/>
      <c r="I40" s="25"/>
      <c r="J40" s="25"/>
      <c r="K40" s="25"/>
      <c r="L40" s="25" t="s">
        <v>39</v>
      </c>
      <c r="M40" s="28"/>
      <c r="N40" s="26"/>
    </row>
    <row r="41" spans="1:14" s="3" customFormat="1" ht="26.25" customHeight="1" x14ac:dyDescent="0.3">
      <c r="A41" s="25"/>
      <c r="B41" s="25"/>
      <c r="C41" s="25"/>
      <c r="D41" s="25"/>
      <c r="E41" s="25"/>
      <c r="F41" s="26"/>
      <c r="G41" s="25"/>
      <c r="H41" s="25"/>
      <c r="I41" s="25"/>
      <c r="J41" s="25"/>
      <c r="K41" s="25"/>
      <c r="L41" s="25"/>
      <c r="M41" s="28"/>
      <c r="N41" s="26"/>
    </row>
    <row r="42" spans="1:14" s="3" customFormat="1" ht="26.25" customHeight="1" x14ac:dyDescent="0.3">
      <c r="A42" s="25"/>
      <c r="B42" s="25"/>
      <c r="C42" s="25"/>
      <c r="D42" s="25"/>
      <c r="E42" s="25"/>
      <c r="F42" s="26"/>
      <c r="G42" s="25"/>
      <c r="H42" s="25"/>
      <c r="I42" s="25"/>
      <c r="J42" s="25"/>
      <c r="K42" s="25"/>
      <c r="L42" s="25"/>
      <c r="M42" s="28"/>
      <c r="N42" s="26"/>
    </row>
    <row r="43" spans="1:14" s="3" customFormat="1" ht="26.25" customHeight="1" x14ac:dyDescent="0.3">
      <c r="A43" s="25"/>
      <c r="B43" s="25"/>
      <c r="C43" s="25"/>
      <c r="D43" s="25"/>
      <c r="E43" s="25"/>
      <c r="F43" s="26"/>
      <c r="G43" s="25"/>
      <c r="H43" s="25"/>
      <c r="I43" s="25"/>
      <c r="J43" s="25"/>
      <c r="K43" s="25"/>
      <c r="L43" s="25"/>
      <c r="M43" s="28"/>
      <c r="N43" s="26"/>
    </row>
    <row r="44" spans="1:14" s="3" customFormat="1" ht="26.25" customHeight="1" x14ac:dyDescent="0.3">
      <c r="A44" s="29"/>
      <c r="B44" s="25"/>
      <c r="C44" s="25"/>
      <c r="D44" s="29"/>
      <c r="E44" s="29"/>
      <c r="F44" s="26"/>
      <c r="G44" s="29"/>
      <c r="H44" s="25"/>
      <c r="I44" s="25"/>
      <c r="J44" s="25"/>
      <c r="K44" s="25"/>
      <c r="L44" s="27"/>
      <c r="M44" s="28"/>
      <c r="N44" s="26"/>
    </row>
    <row r="45" spans="1:14" s="30" customFormat="1" ht="17.25" x14ac:dyDescent="0.3">
      <c r="A45" s="25" t="s">
        <v>48</v>
      </c>
      <c r="B45" s="25"/>
      <c r="C45" s="25" t="s">
        <v>80</v>
      </c>
      <c r="D45" s="25"/>
      <c r="G45" s="25" t="str">
        <f>B10</f>
        <v>Chan Senvichit</v>
      </c>
      <c r="H45" s="25"/>
      <c r="I45" s="25"/>
      <c r="J45" s="25"/>
      <c r="K45" s="829" t="s">
        <v>90</v>
      </c>
      <c r="L45" s="829"/>
      <c r="M45" s="829"/>
      <c r="N45" s="829"/>
    </row>
    <row r="46" spans="1:14" s="30" customFormat="1" ht="16.5" x14ac:dyDescent="0.3">
      <c r="A46" s="32"/>
    </row>
    <row r="47" spans="1:14" s="30" customFormat="1" ht="16.5" x14ac:dyDescent="0.3">
      <c r="A47" s="32"/>
    </row>
    <row r="48" spans="1:14" s="30" customFormat="1" ht="16.5" x14ac:dyDescent="0.3">
      <c r="A48" s="32"/>
    </row>
    <row r="49" spans="1:1" s="30" customFormat="1" ht="16.5" x14ac:dyDescent="0.3">
      <c r="A49" s="32"/>
    </row>
    <row r="50" spans="1:1" s="30" customFormat="1" ht="16.5" x14ac:dyDescent="0.3">
      <c r="A50" s="32"/>
    </row>
    <row r="51" spans="1:1" s="30" customFormat="1" ht="16.5" x14ac:dyDescent="0.3">
      <c r="A51" s="32"/>
    </row>
    <row r="52" spans="1:1" s="30" customFormat="1" ht="16.5" x14ac:dyDescent="0.3">
      <c r="A52" s="32"/>
    </row>
    <row r="53" spans="1:1" s="30" customFormat="1" ht="16.5" x14ac:dyDescent="0.3">
      <c r="A53" s="32"/>
    </row>
    <row r="54" spans="1:1" s="30" customFormat="1" ht="16.5" x14ac:dyDescent="0.3">
      <c r="A54" s="32"/>
    </row>
  </sheetData>
  <mergeCells count="55">
    <mergeCell ref="K19:L19"/>
    <mergeCell ref="C35:D35"/>
    <mergeCell ref="E35:F35"/>
    <mergeCell ref="E39:F39"/>
    <mergeCell ref="K45:N45"/>
    <mergeCell ref="C36:D36"/>
    <mergeCell ref="E36:F36"/>
    <mergeCell ref="C37:D37"/>
    <mergeCell ref="E37:F37"/>
    <mergeCell ref="A38:D38"/>
    <mergeCell ref="E38:F38"/>
    <mergeCell ref="C32:D32"/>
    <mergeCell ref="E32:F32"/>
    <mergeCell ref="C33:D33"/>
    <mergeCell ref="E33:F33"/>
    <mergeCell ref="C34:D34"/>
    <mergeCell ref="E34:F34"/>
    <mergeCell ref="C29:D29"/>
    <mergeCell ref="E29:F29"/>
    <mergeCell ref="C30:D30"/>
    <mergeCell ref="E30:F30"/>
    <mergeCell ref="C31:D31"/>
    <mergeCell ref="E31:F31"/>
    <mergeCell ref="C27:D27"/>
    <mergeCell ref="E27:F27"/>
    <mergeCell ref="C28:D28"/>
    <mergeCell ref="E28:F28"/>
    <mergeCell ref="C26:D26"/>
    <mergeCell ref="E26:F26"/>
    <mergeCell ref="K21:L21"/>
    <mergeCell ref="A22:F22"/>
    <mergeCell ref="K22:L22"/>
    <mergeCell ref="M24:N24"/>
    <mergeCell ref="A25:F25"/>
    <mergeCell ref="A23:G23"/>
    <mergeCell ref="C24:D24"/>
    <mergeCell ref="E24:F24"/>
    <mergeCell ref="K24:L24"/>
    <mergeCell ref="A21:D21"/>
    <mergeCell ref="A1:XFD7"/>
    <mergeCell ref="A8:N8"/>
    <mergeCell ref="K9:L9"/>
    <mergeCell ref="B10:B20"/>
    <mergeCell ref="C10:C20"/>
    <mergeCell ref="K10:L10"/>
    <mergeCell ref="K11:L11"/>
    <mergeCell ref="K12:L12"/>
    <mergeCell ref="K13:L13"/>
    <mergeCell ref="K14:L14"/>
    <mergeCell ref="K20:L20"/>
    <mergeCell ref="O10:S13"/>
    <mergeCell ref="K15:L15"/>
    <mergeCell ref="K16:L16"/>
    <mergeCell ref="K17:L17"/>
    <mergeCell ref="K18:L18"/>
  </mergeCells>
  <printOptions horizontalCentered="1"/>
  <pageMargins left="0.25" right="0.25" top="0.47" bottom="0.25" header="0.5" footer="0.5"/>
  <pageSetup scale="70" orientation="portrait" verticalDpi="300" r:id="rId1"/>
  <headerFooter alignWithMargins="0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6"/>
  <sheetViews>
    <sheetView topLeftCell="A4" zoomScale="86" zoomScaleNormal="86" workbookViewId="0">
      <selection activeCell="E18" sqref="E18"/>
    </sheetView>
  </sheetViews>
  <sheetFormatPr defaultRowHeight="13.5" x14ac:dyDescent="0.25"/>
  <cols>
    <col min="1" max="1" width="15.7109375" style="33" customWidth="1"/>
    <col min="2" max="2" width="19.140625" style="1" customWidth="1"/>
    <col min="3" max="3" width="4.85546875" style="1" customWidth="1"/>
    <col min="4" max="4" width="22.42578125" style="1" customWidth="1"/>
    <col min="5" max="5" width="8.42578125" style="1" customWidth="1"/>
    <col min="6" max="6" width="8.28515625" style="1" customWidth="1"/>
    <col min="7" max="7" width="15.28515625" style="1" bestFit="1" customWidth="1"/>
    <col min="8" max="8" width="3.7109375" style="1" customWidth="1"/>
    <col min="9" max="9" width="3.85546875" style="1" customWidth="1"/>
    <col min="10" max="10" width="5" style="1" customWidth="1"/>
    <col min="11" max="12" width="7.140625" style="1" customWidth="1"/>
    <col min="13" max="13" width="11.5703125" style="1" bestFit="1" customWidth="1"/>
    <col min="14" max="14" width="7.28515625" style="1" bestFit="1" customWidth="1"/>
    <col min="15" max="16" width="9.140625" style="1"/>
    <col min="17" max="17" width="10.140625" style="1" bestFit="1" customWidth="1"/>
    <col min="18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9" s="866" customFormat="1" ht="15" x14ac:dyDescent="0.25"/>
    <row r="2" spans="1:19" s="866" customFormat="1" ht="15" x14ac:dyDescent="0.25"/>
    <row r="3" spans="1:19" s="866" customFormat="1" ht="15" x14ac:dyDescent="0.25"/>
    <row r="4" spans="1:19" s="866" customFormat="1" ht="15" x14ac:dyDescent="0.25"/>
    <row r="5" spans="1:19" s="866" customFormat="1" ht="15" x14ac:dyDescent="0.25"/>
    <row r="6" spans="1:19" s="866" customFormat="1" ht="15" x14ac:dyDescent="0.25"/>
    <row r="7" spans="1:19" s="866" customFormat="1" ht="15.75" thickBot="1" x14ac:dyDescent="0.3"/>
    <row r="8" spans="1:19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9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9" s="425" customFormat="1" ht="26.25" customHeight="1" x14ac:dyDescent="0.25">
      <c r="A10" s="102">
        <v>1</v>
      </c>
      <c r="B10" s="890" t="s">
        <v>45</v>
      </c>
      <c r="C10" s="890" t="s">
        <v>31</v>
      </c>
      <c r="D10" s="53" t="s">
        <v>243</v>
      </c>
      <c r="E10" s="426">
        <f>12+3+21+9</f>
        <v>45</v>
      </c>
      <c r="F10" s="55">
        <v>8</v>
      </c>
      <c r="G10" s="56">
        <f t="shared" ref="G10:G12" si="0">E10*F10</f>
        <v>360</v>
      </c>
      <c r="H10" s="426" t="s">
        <v>63</v>
      </c>
      <c r="I10" s="426">
        <v>3</v>
      </c>
      <c r="J10" s="426">
        <v>10</v>
      </c>
      <c r="K10" s="878" t="s">
        <v>74</v>
      </c>
      <c r="L10" s="879"/>
      <c r="M10" s="99">
        <v>41512</v>
      </c>
      <c r="N10" s="58"/>
      <c r="O10" s="931" t="s">
        <v>376</v>
      </c>
      <c r="P10" s="932"/>
      <c r="Q10" s="932"/>
      <c r="R10" s="932"/>
      <c r="S10" s="932"/>
    </row>
    <row r="11" spans="1:19" s="425" customFormat="1" ht="26.25" customHeight="1" x14ac:dyDescent="0.25">
      <c r="A11" s="103">
        <v>2</v>
      </c>
      <c r="B11" s="891"/>
      <c r="C11" s="891"/>
      <c r="D11" s="53" t="s">
        <v>243</v>
      </c>
      <c r="E11" s="427">
        <f>12+3+21+9</f>
        <v>45</v>
      </c>
      <c r="F11" s="61">
        <v>8</v>
      </c>
      <c r="G11" s="56">
        <f t="shared" si="0"/>
        <v>360</v>
      </c>
      <c r="H11" s="427" t="s">
        <v>98</v>
      </c>
      <c r="I11" s="427">
        <v>3</v>
      </c>
      <c r="J11" s="427">
        <v>10</v>
      </c>
      <c r="K11" s="876" t="s">
        <v>75</v>
      </c>
      <c r="L11" s="877"/>
      <c r="M11" s="99">
        <v>41512</v>
      </c>
      <c r="N11" s="84"/>
      <c r="O11" s="931" t="s">
        <v>376</v>
      </c>
      <c r="P11" s="932"/>
      <c r="Q11" s="932"/>
      <c r="R11" s="932"/>
      <c r="S11" s="932"/>
    </row>
    <row r="12" spans="1:19" s="608" customFormat="1" ht="26.25" customHeight="1" x14ac:dyDescent="0.25">
      <c r="A12" s="102">
        <v>1</v>
      </c>
      <c r="B12" s="891"/>
      <c r="C12" s="891"/>
      <c r="D12" s="107" t="s">
        <v>282</v>
      </c>
      <c r="E12" s="614">
        <f>6+11.5+7.5+20</f>
        <v>45</v>
      </c>
      <c r="F12" s="55">
        <v>8</v>
      </c>
      <c r="G12" s="56">
        <f t="shared" si="0"/>
        <v>360</v>
      </c>
      <c r="H12" s="614" t="s">
        <v>107</v>
      </c>
      <c r="I12" s="614">
        <v>1</v>
      </c>
      <c r="J12" s="614">
        <v>12</v>
      </c>
      <c r="K12" s="876" t="s">
        <v>74</v>
      </c>
      <c r="L12" s="877"/>
      <c r="M12" s="78">
        <v>41577</v>
      </c>
      <c r="N12" s="84"/>
      <c r="O12" s="1044" t="s">
        <v>472</v>
      </c>
      <c r="P12" s="1045"/>
      <c r="Q12" s="1045"/>
      <c r="R12" s="1045"/>
      <c r="S12" s="1045"/>
    </row>
    <row r="13" spans="1:19" s="608" customFormat="1" ht="26.25" customHeight="1" x14ac:dyDescent="0.25">
      <c r="A13" s="103">
        <v>2</v>
      </c>
      <c r="B13" s="891"/>
      <c r="C13" s="891"/>
      <c r="D13" s="107" t="s">
        <v>282</v>
      </c>
      <c r="E13" s="614">
        <f>11.5+13.5+9+11</f>
        <v>45</v>
      </c>
      <c r="F13" s="61">
        <v>8</v>
      </c>
      <c r="G13" s="56">
        <f>E13*F13</f>
        <v>360</v>
      </c>
      <c r="H13" s="614" t="s">
        <v>98</v>
      </c>
      <c r="I13" s="614">
        <v>1</v>
      </c>
      <c r="J13" s="614">
        <v>12</v>
      </c>
      <c r="K13" s="876" t="s">
        <v>308</v>
      </c>
      <c r="L13" s="877"/>
      <c r="M13" s="78">
        <v>41578</v>
      </c>
      <c r="N13" s="84"/>
      <c r="O13" s="1044"/>
      <c r="P13" s="1045"/>
      <c r="Q13" s="1045"/>
      <c r="R13" s="1045"/>
      <c r="S13" s="1045"/>
    </row>
    <row r="14" spans="1:19" s="608" customFormat="1" ht="26.25" customHeight="1" x14ac:dyDescent="0.25">
      <c r="A14" s="102">
        <v>3</v>
      </c>
      <c r="B14" s="891"/>
      <c r="C14" s="891"/>
      <c r="D14" s="107" t="s">
        <v>282</v>
      </c>
      <c r="E14" s="614">
        <f>6+10.5+7.5+21</f>
        <v>45</v>
      </c>
      <c r="F14" s="55">
        <v>8</v>
      </c>
      <c r="G14" s="56">
        <f t="shared" ref="G14:G20" si="1">E14*F14</f>
        <v>360</v>
      </c>
      <c r="H14" s="614" t="s">
        <v>64</v>
      </c>
      <c r="I14" s="614">
        <v>1</v>
      </c>
      <c r="J14" s="614">
        <v>12</v>
      </c>
      <c r="K14" s="876" t="s">
        <v>74</v>
      </c>
      <c r="L14" s="877"/>
      <c r="M14" s="78">
        <v>41577</v>
      </c>
      <c r="N14" s="84"/>
      <c r="O14" s="1044"/>
      <c r="P14" s="1045"/>
      <c r="Q14" s="1045"/>
      <c r="R14" s="1045"/>
      <c r="S14" s="1045"/>
    </row>
    <row r="15" spans="1:19" s="608" customFormat="1" ht="26.25" customHeight="1" x14ac:dyDescent="0.25">
      <c r="A15" s="103">
        <v>4</v>
      </c>
      <c r="B15" s="891"/>
      <c r="C15" s="891"/>
      <c r="D15" s="107" t="s">
        <v>282</v>
      </c>
      <c r="E15" s="614">
        <f>12+9+15+9</f>
        <v>45</v>
      </c>
      <c r="F15" s="61">
        <v>8</v>
      </c>
      <c r="G15" s="56">
        <f t="shared" si="1"/>
        <v>360</v>
      </c>
      <c r="H15" s="614" t="s">
        <v>63</v>
      </c>
      <c r="I15" s="614">
        <v>1</v>
      </c>
      <c r="J15" s="614">
        <v>12</v>
      </c>
      <c r="K15" s="876" t="s">
        <v>75</v>
      </c>
      <c r="L15" s="877"/>
      <c r="M15" s="78">
        <v>41598</v>
      </c>
      <c r="N15" s="84"/>
      <c r="O15" s="1044"/>
      <c r="P15" s="1045"/>
      <c r="Q15" s="1045"/>
      <c r="R15" s="1045"/>
      <c r="S15" s="1045"/>
    </row>
    <row r="16" spans="1:19" s="608" customFormat="1" ht="26.25" customHeight="1" x14ac:dyDescent="0.25">
      <c r="A16" s="634" t="s">
        <v>438</v>
      </c>
      <c r="B16" s="891"/>
      <c r="C16" s="891"/>
      <c r="D16" s="77"/>
      <c r="E16" s="614"/>
      <c r="F16" s="61"/>
      <c r="G16" s="56">
        <f t="shared" si="1"/>
        <v>0</v>
      </c>
      <c r="H16" s="614"/>
      <c r="I16" s="614"/>
      <c r="J16" s="614"/>
      <c r="K16" s="604"/>
      <c r="L16" s="605"/>
      <c r="M16" s="120"/>
      <c r="N16" s="84"/>
      <c r="O16" s="617"/>
    </row>
    <row r="17" spans="1:19" s="608" customFormat="1" ht="26.25" customHeight="1" x14ac:dyDescent="0.25">
      <c r="A17" s="634">
        <v>1</v>
      </c>
      <c r="B17" s="891"/>
      <c r="C17" s="891"/>
      <c r="D17" s="77" t="s">
        <v>451</v>
      </c>
      <c r="E17" s="614">
        <f>3+12+12+12+6</f>
        <v>45</v>
      </c>
      <c r="F17" s="61">
        <v>8</v>
      </c>
      <c r="G17" s="56">
        <f>E17*F17</f>
        <v>360</v>
      </c>
      <c r="H17" s="614" t="s">
        <v>98</v>
      </c>
      <c r="I17" s="614">
        <v>2</v>
      </c>
      <c r="J17" s="614">
        <v>11</v>
      </c>
      <c r="K17" s="604" t="s">
        <v>74</v>
      </c>
      <c r="L17" s="605"/>
      <c r="M17" s="120">
        <v>41666</v>
      </c>
      <c r="N17" s="84"/>
      <c r="O17" s="617"/>
    </row>
    <row r="18" spans="1:19" s="608" customFormat="1" ht="26.25" customHeight="1" x14ac:dyDescent="0.25">
      <c r="A18" s="634">
        <v>2</v>
      </c>
      <c r="B18" s="891"/>
      <c r="C18" s="891"/>
      <c r="D18" s="77" t="s">
        <v>451</v>
      </c>
      <c r="E18" s="614">
        <f>6+12+12+12+3</f>
        <v>45</v>
      </c>
      <c r="F18" s="61">
        <v>8</v>
      </c>
      <c r="G18" s="56">
        <f t="shared" si="1"/>
        <v>360</v>
      </c>
      <c r="H18" s="614" t="s">
        <v>107</v>
      </c>
      <c r="I18" s="614">
        <v>2</v>
      </c>
      <c r="J18" s="614">
        <v>11</v>
      </c>
      <c r="K18" s="604" t="s">
        <v>231</v>
      </c>
      <c r="L18" s="605"/>
      <c r="M18" s="120">
        <v>41666</v>
      </c>
      <c r="N18" s="84"/>
      <c r="O18" s="617"/>
    </row>
    <row r="19" spans="1:19" s="608" customFormat="1" ht="26.25" customHeight="1" x14ac:dyDescent="0.25">
      <c r="A19" s="634">
        <v>3</v>
      </c>
      <c r="B19" s="891"/>
      <c r="C19" s="891"/>
      <c r="D19" s="77" t="s">
        <v>451</v>
      </c>
      <c r="E19" s="614">
        <f>6+12+12+15</f>
        <v>45</v>
      </c>
      <c r="F19" s="61">
        <v>8</v>
      </c>
      <c r="G19" s="56">
        <f t="shared" si="1"/>
        <v>360</v>
      </c>
      <c r="H19" s="614" t="s">
        <v>64</v>
      </c>
      <c r="I19" s="614">
        <v>2</v>
      </c>
      <c r="J19" s="614">
        <v>11</v>
      </c>
      <c r="K19" s="604" t="s">
        <v>75</v>
      </c>
      <c r="L19" s="605"/>
      <c r="M19" s="120">
        <v>41666</v>
      </c>
      <c r="N19" s="84" t="s">
        <v>607</v>
      </c>
      <c r="O19" s="617"/>
    </row>
    <row r="20" spans="1:19" s="425" customFormat="1" ht="26.25" customHeight="1" x14ac:dyDescent="0.25">
      <c r="A20" s="102">
        <v>4</v>
      </c>
      <c r="B20" s="891"/>
      <c r="C20" s="891"/>
      <c r="D20" s="107" t="s">
        <v>451</v>
      </c>
      <c r="E20" s="427">
        <f>21+12</f>
        <v>33</v>
      </c>
      <c r="F20" s="61">
        <v>8</v>
      </c>
      <c r="G20" s="56">
        <f t="shared" si="1"/>
        <v>264</v>
      </c>
      <c r="H20" s="427" t="s">
        <v>107</v>
      </c>
      <c r="I20" s="427">
        <v>2</v>
      </c>
      <c r="J20" s="427">
        <v>11</v>
      </c>
      <c r="K20" s="876" t="s">
        <v>118</v>
      </c>
      <c r="L20" s="877"/>
      <c r="M20" s="78">
        <v>41727</v>
      </c>
      <c r="N20" s="84"/>
    </row>
    <row r="21" spans="1:19" s="425" customFormat="1" ht="26.25" customHeight="1" x14ac:dyDescent="0.25">
      <c r="A21" s="103"/>
      <c r="B21" s="891"/>
      <c r="C21" s="891"/>
      <c r="D21" s="107"/>
      <c r="E21" s="427"/>
      <c r="F21" s="61"/>
      <c r="G21" s="56"/>
      <c r="H21" s="427"/>
      <c r="I21" s="427"/>
      <c r="J21" s="427"/>
      <c r="K21" s="876"/>
      <c r="L21" s="877"/>
      <c r="M21" s="78"/>
      <c r="N21" s="84"/>
    </row>
    <row r="22" spans="1:19" s="425" customFormat="1" ht="26.25" customHeight="1" x14ac:dyDescent="0.25">
      <c r="A22" s="102"/>
      <c r="B22" s="891"/>
      <c r="C22" s="891"/>
      <c r="D22" s="107"/>
      <c r="E22" s="427"/>
      <c r="F22" s="61"/>
      <c r="G22" s="56"/>
      <c r="H22" s="427"/>
      <c r="I22" s="427"/>
      <c r="J22" s="427"/>
      <c r="K22" s="876"/>
      <c r="L22" s="877"/>
      <c r="M22" s="78"/>
      <c r="N22" s="84"/>
    </row>
    <row r="23" spans="1:19" s="425" customFormat="1" ht="26.25" customHeight="1" x14ac:dyDescent="0.25">
      <c r="A23" s="103"/>
      <c r="B23" s="891"/>
      <c r="C23" s="891"/>
      <c r="D23" s="107"/>
      <c r="E23" s="427"/>
      <c r="F23" s="61"/>
      <c r="G23" s="56"/>
      <c r="H23" s="427"/>
      <c r="I23" s="427"/>
      <c r="J23" s="427"/>
      <c r="K23" s="876"/>
      <c r="L23" s="877"/>
      <c r="M23" s="78"/>
      <c r="N23" s="84"/>
    </row>
    <row r="24" spans="1:19" s="425" customFormat="1" ht="26.25" customHeight="1" x14ac:dyDescent="0.25">
      <c r="A24" s="874" t="s">
        <v>11</v>
      </c>
      <c r="B24" s="875"/>
      <c r="C24" s="875"/>
      <c r="D24" s="875"/>
      <c r="E24" s="424">
        <f>SUM(E10:E23)</f>
        <v>438</v>
      </c>
      <c r="F24" s="101">
        <v>8</v>
      </c>
      <c r="G24" s="126"/>
      <c r="H24" s="427"/>
      <c r="I24" s="427"/>
      <c r="J24" s="427"/>
      <c r="K24" s="876"/>
      <c r="L24" s="877"/>
      <c r="M24" s="427"/>
      <c r="N24" s="63"/>
    </row>
    <row r="25" spans="1:19" s="425" customFormat="1" ht="26.25" customHeight="1" x14ac:dyDescent="0.25">
      <c r="A25" s="897" t="s">
        <v>24</v>
      </c>
      <c r="B25" s="898"/>
      <c r="C25" s="898"/>
      <c r="D25" s="898"/>
      <c r="E25" s="898"/>
      <c r="F25" s="898"/>
      <c r="G25" s="64">
        <f>SUM(G10:G24)</f>
        <v>3504</v>
      </c>
      <c r="H25" s="429"/>
      <c r="I25" s="429"/>
      <c r="J25" s="429"/>
      <c r="K25" s="859"/>
      <c r="L25" s="860"/>
      <c r="M25" s="429"/>
      <c r="N25" s="66"/>
    </row>
    <row r="26" spans="1:19" s="48" customFormat="1" ht="26.25" customHeight="1" x14ac:dyDescent="0.25">
      <c r="A26" s="899" t="s">
        <v>32</v>
      </c>
      <c r="B26" s="900"/>
      <c r="C26" s="900"/>
      <c r="D26" s="900"/>
      <c r="E26" s="900"/>
      <c r="F26" s="900"/>
      <c r="G26" s="900"/>
      <c r="H26" s="67"/>
      <c r="I26" s="67"/>
      <c r="J26" s="68" t="s">
        <v>44</v>
      </c>
      <c r="K26" s="67"/>
      <c r="L26" s="68"/>
      <c r="M26" s="69"/>
      <c r="N26" s="70"/>
    </row>
    <row r="27" spans="1:19" s="48" customFormat="1" ht="22.5" customHeight="1" thickBot="1" x14ac:dyDescent="0.3">
      <c r="A27" s="72" t="s">
        <v>5</v>
      </c>
      <c r="B27" s="71" t="s">
        <v>33</v>
      </c>
      <c r="C27" s="857" t="s">
        <v>21</v>
      </c>
      <c r="D27" s="858"/>
      <c r="E27" s="857" t="s">
        <v>34</v>
      </c>
      <c r="F27" s="858"/>
      <c r="G27" s="71" t="s">
        <v>0</v>
      </c>
      <c r="H27" s="71" t="s">
        <v>96</v>
      </c>
      <c r="I27" s="71" t="s">
        <v>26</v>
      </c>
      <c r="J27" s="71" t="s">
        <v>27</v>
      </c>
      <c r="K27" s="863" t="s">
        <v>28</v>
      </c>
      <c r="L27" s="857"/>
      <c r="M27" s="901"/>
      <c r="N27" s="902"/>
    </row>
    <row r="28" spans="1:19" s="425" customFormat="1" ht="26.25" customHeight="1" x14ac:dyDescent="0.25">
      <c r="A28" s="1042" t="s">
        <v>35</v>
      </c>
      <c r="B28" s="1043"/>
      <c r="C28" s="1043"/>
      <c r="D28" s="1043"/>
      <c r="E28" s="1043"/>
      <c r="F28" s="1043"/>
      <c r="G28" s="85">
        <f>G25</f>
        <v>3504</v>
      </c>
      <c r="H28" s="86"/>
      <c r="I28" s="86"/>
      <c r="J28" s="86"/>
      <c r="K28" s="86"/>
      <c r="L28" s="86"/>
      <c r="M28" s="86"/>
      <c r="N28" s="87"/>
      <c r="S28" s="48"/>
    </row>
    <row r="29" spans="1:19" s="3" customFormat="1" ht="26.25" customHeight="1" x14ac:dyDescent="0.25">
      <c r="A29" s="366" t="s">
        <v>263</v>
      </c>
      <c r="B29" s="367">
        <v>41549</v>
      </c>
      <c r="C29" s="841" t="s">
        <v>243</v>
      </c>
      <c r="D29" s="841"/>
      <c r="E29" s="855">
        <v>70</v>
      </c>
      <c r="F29" s="855"/>
      <c r="G29" s="34">
        <f>G28-E29</f>
        <v>3434</v>
      </c>
      <c r="H29" s="419"/>
      <c r="I29" s="419"/>
      <c r="J29" s="419"/>
      <c r="K29" s="419"/>
      <c r="L29" s="419"/>
      <c r="M29" s="419"/>
      <c r="N29" s="13"/>
    </row>
    <row r="30" spans="1:19" s="3" customFormat="1" ht="26.25" customHeight="1" x14ac:dyDescent="0.25">
      <c r="A30" s="366" t="s">
        <v>300</v>
      </c>
      <c r="B30" s="367">
        <v>41578</v>
      </c>
      <c r="C30" s="841" t="s">
        <v>243</v>
      </c>
      <c r="D30" s="841"/>
      <c r="E30" s="856">
        <v>85</v>
      </c>
      <c r="F30" s="856"/>
      <c r="G30" s="34">
        <f t="shared" ref="G30:G49" si="2">G29-E30</f>
        <v>3349</v>
      </c>
      <c r="H30" s="422"/>
      <c r="I30" s="422"/>
      <c r="J30" s="422"/>
      <c r="K30" s="422"/>
      <c r="L30" s="422"/>
      <c r="M30" s="422"/>
      <c r="N30" s="6"/>
    </row>
    <row r="31" spans="1:19" s="3" customFormat="1" ht="26.25" customHeight="1" x14ac:dyDescent="0.25">
      <c r="A31" s="366" t="s">
        <v>321</v>
      </c>
      <c r="B31" s="367">
        <v>41612</v>
      </c>
      <c r="C31" s="841" t="s">
        <v>243</v>
      </c>
      <c r="D31" s="841"/>
      <c r="E31" s="856">
        <v>250</v>
      </c>
      <c r="F31" s="856"/>
      <c r="G31" s="34">
        <f t="shared" si="2"/>
        <v>3099</v>
      </c>
      <c r="H31" s="422"/>
      <c r="I31" s="422"/>
      <c r="J31" s="422"/>
      <c r="K31" s="422"/>
      <c r="L31" s="422"/>
      <c r="M31" s="422"/>
      <c r="N31" s="6"/>
    </row>
    <row r="32" spans="1:19" s="3" customFormat="1" ht="26.25" customHeight="1" x14ac:dyDescent="0.25">
      <c r="A32" s="313" t="s">
        <v>370</v>
      </c>
      <c r="B32" s="312">
        <v>41645</v>
      </c>
      <c r="C32" s="841" t="s">
        <v>243</v>
      </c>
      <c r="D32" s="841"/>
      <c r="E32" s="856">
        <v>200</v>
      </c>
      <c r="F32" s="856"/>
      <c r="G32" s="34">
        <f t="shared" si="2"/>
        <v>2899</v>
      </c>
      <c r="H32" s="422"/>
      <c r="I32" s="422"/>
      <c r="J32" s="422"/>
      <c r="K32" s="422"/>
      <c r="L32" s="422"/>
      <c r="M32" s="422"/>
      <c r="N32" s="6"/>
    </row>
    <row r="33" spans="1:14" s="3" customFormat="1" ht="26.25" customHeight="1" x14ac:dyDescent="0.25">
      <c r="A33" s="14" t="s">
        <v>465</v>
      </c>
      <c r="B33" s="15">
        <v>41703</v>
      </c>
      <c r="C33" s="841" t="s">
        <v>243</v>
      </c>
      <c r="D33" s="841"/>
      <c r="E33" s="845">
        <v>300</v>
      </c>
      <c r="F33" s="846"/>
      <c r="G33" s="34">
        <f t="shared" si="2"/>
        <v>2599</v>
      </c>
      <c r="H33" s="422"/>
      <c r="I33" s="422"/>
      <c r="J33" s="422"/>
      <c r="K33" s="422"/>
      <c r="L33" s="422"/>
      <c r="M33" s="422"/>
      <c r="N33" s="6"/>
    </row>
    <row r="34" spans="1:14" s="3" customFormat="1" ht="26.25" customHeight="1" x14ac:dyDescent="0.25">
      <c r="A34" s="14" t="s">
        <v>537</v>
      </c>
      <c r="B34" s="15">
        <v>41739</v>
      </c>
      <c r="C34" s="841" t="s">
        <v>243</v>
      </c>
      <c r="D34" s="841"/>
      <c r="E34" s="845">
        <v>330</v>
      </c>
      <c r="F34" s="846"/>
      <c r="G34" s="34">
        <f t="shared" si="2"/>
        <v>2269</v>
      </c>
      <c r="H34" s="422"/>
      <c r="I34" s="422"/>
      <c r="J34" s="422"/>
      <c r="K34" s="422"/>
      <c r="L34" s="422"/>
      <c r="M34" s="422"/>
      <c r="N34" s="6"/>
    </row>
    <row r="35" spans="1:14" s="3" customFormat="1" ht="26.25" customHeight="1" x14ac:dyDescent="0.25">
      <c r="A35" s="14" t="s">
        <v>563</v>
      </c>
      <c r="B35" s="15">
        <v>41768</v>
      </c>
      <c r="C35" s="841" t="s">
        <v>243</v>
      </c>
      <c r="D35" s="841"/>
      <c r="E35" s="845">
        <v>1375</v>
      </c>
      <c r="F35" s="846"/>
      <c r="G35" s="34">
        <f t="shared" si="2"/>
        <v>894</v>
      </c>
      <c r="H35" s="422"/>
      <c r="I35" s="422"/>
      <c r="J35" s="422"/>
      <c r="K35" s="422"/>
      <c r="L35" s="422"/>
      <c r="M35" s="422"/>
      <c r="N35" s="6"/>
    </row>
    <row r="36" spans="1:14" s="3" customFormat="1" ht="26.25" customHeight="1" x14ac:dyDescent="0.25">
      <c r="A36" s="14" t="s">
        <v>592</v>
      </c>
      <c r="B36" s="15">
        <v>41793</v>
      </c>
      <c r="C36" s="841" t="s">
        <v>243</v>
      </c>
      <c r="D36" s="841"/>
      <c r="E36" s="845">
        <v>410</v>
      </c>
      <c r="F36" s="846"/>
      <c r="G36" s="34">
        <f t="shared" si="2"/>
        <v>484</v>
      </c>
      <c r="H36" s="422"/>
      <c r="I36" s="422"/>
      <c r="J36" s="422"/>
      <c r="K36" s="422"/>
      <c r="L36" s="422"/>
      <c r="M36" s="422"/>
      <c r="N36" s="6"/>
    </row>
    <row r="37" spans="1:14" s="3" customFormat="1" ht="26.25" customHeight="1" x14ac:dyDescent="0.25">
      <c r="A37" s="14"/>
      <c r="B37" s="15"/>
      <c r="C37" s="893"/>
      <c r="D37" s="894"/>
      <c r="E37" s="845"/>
      <c r="F37" s="846"/>
      <c r="G37" s="34">
        <f t="shared" si="2"/>
        <v>484</v>
      </c>
      <c r="H37" s="422"/>
      <c r="I37" s="422"/>
      <c r="J37" s="422"/>
      <c r="K37" s="422"/>
      <c r="L37" s="422"/>
      <c r="M37" s="422"/>
      <c r="N37" s="6"/>
    </row>
    <row r="38" spans="1:14" s="3" customFormat="1" ht="26.25" customHeight="1" x14ac:dyDescent="0.25">
      <c r="A38" s="14"/>
      <c r="B38" s="17"/>
      <c r="C38" s="934"/>
      <c r="D38" s="934"/>
      <c r="E38" s="845"/>
      <c r="F38" s="846"/>
      <c r="G38" s="34">
        <f t="shared" si="2"/>
        <v>484</v>
      </c>
      <c r="H38" s="18"/>
      <c r="I38" s="18"/>
      <c r="J38" s="18"/>
      <c r="K38" s="18"/>
      <c r="L38" s="18"/>
      <c r="M38" s="18"/>
      <c r="N38" s="19"/>
    </row>
    <row r="39" spans="1:14" s="3" customFormat="1" ht="26.25" customHeight="1" x14ac:dyDescent="0.25">
      <c r="A39" s="16"/>
      <c r="B39" s="17"/>
      <c r="C39" s="934"/>
      <c r="D39" s="934"/>
      <c r="E39" s="845"/>
      <c r="F39" s="846"/>
      <c r="G39" s="34">
        <f t="shared" si="2"/>
        <v>484</v>
      </c>
      <c r="H39" s="18"/>
      <c r="I39" s="18"/>
      <c r="J39" s="18"/>
      <c r="K39" s="18"/>
      <c r="L39" s="18"/>
      <c r="M39" s="18"/>
      <c r="N39" s="19"/>
    </row>
    <row r="40" spans="1:14" s="3" customFormat="1" ht="26.25" customHeight="1" x14ac:dyDescent="0.25">
      <c r="A40" s="16"/>
      <c r="B40" s="17"/>
      <c r="C40" s="420"/>
      <c r="D40" s="421"/>
      <c r="E40" s="845"/>
      <c r="F40" s="846"/>
      <c r="G40" s="34">
        <f t="shared" si="2"/>
        <v>484</v>
      </c>
      <c r="H40" s="18"/>
      <c r="I40" s="18"/>
      <c r="J40" s="18"/>
      <c r="K40" s="18"/>
      <c r="L40" s="18"/>
      <c r="M40" s="18"/>
      <c r="N40" s="19"/>
    </row>
    <row r="41" spans="1:14" s="3" customFormat="1" ht="26.25" customHeight="1" x14ac:dyDescent="0.25">
      <c r="A41" s="16"/>
      <c r="B41" s="17"/>
      <c r="C41" s="420"/>
      <c r="D41" s="421"/>
      <c r="E41" s="845"/>
      <c r="F41" s="846"/>
      <c r="G41" s="34">
        <f t="shared" si="2"/>
        <v>484</v>
      </c>
      <c r="H41" s="18"/>
      <c r="I41" s="18"/>
      <c r="J41" s="18"/>
      <c r="K41" s="18"/>
      <c r="L41" s="18"/>
      <c r="M41" s="18"/>
      <c r="N41" s="19"/>
    </row>
    <row r="42" spans="1:14" s="3" customFormat="1" ht="26.25" customHeight="1" x14ac:dyDescent="0.25">
      <c r="A42" s="16"/>
      <c r="B42" s="17"/>
      <c r="C42" s="146"/>
      <c r="D42" s="421"/>
      <c r="E42" s="907"/>
      <c r="F42" s="908"/>
      <c r="G42" s="34">
        <f t="shared" si="2"/>
        <v>484</v>
      </c>
      <c r="H42" s="18"/>
      <c r="I42" s="18"/>
      <c r="J42" s="18"/>
      <c r="K42" s="18"/>
      <c r="L42" s="18"/>
      <c r="M42" s="18"/>
      <c r="N42" s="19"/>
    </row>
    <row r="43" spans="1:14" s="3" customFormat="1" ht="26.25" customHeight="1" x14ac:dyDescent="0.25">
      <c r="A43" s="16"/>
      <c r="B43" s="17"/>
      <c r="C43" s="146"/>
      <c r="D43" s="421"/>
      <c r="E43" s="907"/>
      <c r="F43" s="908"/>
      <c r="G43" s="34">
        <f t="shared" si="2"/>
        <v>484</v>
      </c>
      <c r="H43" s="18"/>
      <c r="I43" s="18"/>
      <c r="J43" s="18"/>
      <c r="K43" s="18"/>
      <c r="L43" s="18"/>
      <c r="M43" s="18"/>
      <c r="N43" s="19"/>
    </row>
    <row r="44" spans="1:14" s="3" customFormat="1" ht="26.25" customHeight="1" x14ac:dyDescent="0.25">
      <c r="A44" s="16"/>
      <c r="B44" s="17"/>
      <c r="C44" s="146"/>
      <c r="D44" s="421"/>
      <c r="E44" s="907"/>
      <c r="F44" s="908"/>
      <c r="G44" s="34">
        <f t="shared" si="2"/>
        <v>484</v>
      </c>
      <c r="H44" s="18"/>
      <c r="I44" s="18"/>
      <c r="J44" s="18"/>
      <c r="K44" s="18"/>
      <c r="L44" s="18"/>
      <c r="M44" s="18"/>
      <c r="N44" s="19"/>
    </row>
    <row r="45" spans="1:14" s="3" customFormat="1" ht="26.25" customHeight="1" x14ac:dyDescent="0.25">
      <c r="A45" s="16"/>
      <c r="B45" s="17"/>
      <c r="C45" s="1048"/>
      <c r="D45" s="1049"/>
      <c r="E45" s="907"/>
      <c r="F45" s="908"/>
      <c r="G45" s="34">
        <f t="shared" si="2"/>
        <v>484</v>
      </c>
      <c r="H45" s="18"/>
      <c r="I45" s="18"/>
      <c r="J45" s="18"/>
      <c r="K45" s="18"/>
      <c r="L45" s="18"/>
      <c r="M45" s="18"/>
      <c r="N45" s="19"/>
    </row>
    <row r="46" spans="1:14" s="3" customFormat="1" ht="26.25" customHeight="1" x14ac:dyDescent="0.25">
      <c r="A46" s="16"/>
      <c r="B46" s="17"/>
      <c r="C46" s="1046"/>
      <c r="D46" s="1047"/>
      <c r="E46" s="907"/>
      <c r="F46" s="908"/>
      <c r="G46" s="34">
        <f t="shared" si="2"/>
        <v>484</v>
      </c>
      <c r="H46" s="18"/>
      <c r="I46" s="18"/>
      <c r="J46" s="18"/>
      <c r="K46" s="18"/>
      <c r="L46" s="18"/>
      <c r="M46" s="18"/>
      <c r="N46" s="19"/>
    </row>
    <row r="47" spans="1:14" s="3" customFormat="1" ht="26.25" customHeight="1" x14ac:dyDescent="0.25">
      <c r="A47" s="16"/>
      <c r="B47" s="17"/>
      <c r="C47" s="1046"/>
      <c r="D47" s="1047"/>
      <c r="E47" s="907"/>
      <c r="F47" s="908"/>
      <c r="G47" s="34">
        <f t="shared" si="2"/>
        <v>484</v>
      </c>
      <c r="H47" s="18"/>
      <c r="I47" s="18"/>
      <c r="J47" s="18"/>
      <c r="K47" s="18"/>
      <c r="L47" s="18"/>
      <c r="M47" s="18"/>
      <c r="N47" s="19"/>
    </row>
    <row r="48" spans="1:14" s="3" customFormat="1" ht="26.25" customHeight="1" x14ac:dyDescent="0.25">
      <c r="A48" s="16"/>
      <c r="B48" s="17"/>
      <c r="C48" s="1046"/>
      <c r="D48" s="1047"/>
      <c r="E48" s="907"/>
      <c r="F48" s="908"/>
      <c r="G48" s="34">
        <f t="shared" si="2"/>
        <v>484</v>
      </c>
      <c r="H48" s="18"/>
      <c r="I48" s="18"/>
      <c r="J48" s="18"/>
      <c r="K48" s="18"/>
      <c r="L48" s="18"/>
      <c r="M48" s="18"/>
      <c r="N48" s="19"/>
    </row>
    <row r="49" spans="1:14" s="3" customFormat="1" ht="26.25" customHeight="1" x14ac:dyDescent="0.25">
      <c r="A49" s="16"/>
      <c r="B49" s="17"/>
      <c r="C49" s="1046"/>
      <c r="D49" s="1047"/>
      <c r="E49" s="907"/>
      <c r="F49" s="908"/>
      <c r="G49" s="34">
        <f t="shared" si="2"/>
        <v>484</v>
      </c>
      <c r="H49" s="18"/>
      <c r="I49" s="18"/>
      <c r="J49" s="18"/>
      <c r="K49" s="18"/>
      <c r="L49" s="18"/>
      <c r="M49" s="18"/>
      <c r="N49" s="19"/>
    </row>
    <row r="50" spans="1:14" s="23" customFormat="1" ht="26.25" customHeight="1" thickBot="1" x14ac:dyDescent="0.3">
      <c r="A50" s="851" t="s">
        <v>36</v>
      </c>
      <c r="B50" s="852"/>
      <c r="C50" s="852"/>
      <c r="D50" s="852"/>
      <c r="E50" s="853">
        <f>SUM(E29:F49)</f>
        <v>3020</v>
      </c>
      <c r="F50" s="854"/>
      <c r="G50" s="20"/>
      <c r="H50" s="21"/>
      <c r="I50" s="21"/>
      <c r="J50" s="21"/>
      <c r="K50" s="21"/>
      <c r="L50" s="21"/>
      <c r="M50" s="21"/>
      <c r="N50" s="22"/>
    </row>
    <row r="51" spans="1:14" s="3" customFormat="1" ht="26.25" customHeight="1" thickTop="1" x14ac:dyDescent="0.25">
      <c r="A51" s="24"/>
      <c r="E51" s="844"/>
      <c r="F51" s="844"/>
    </row>
    <row r="52" spans="1:14" s="3" customFormat="1" ht="26.25" customHeight="1" x14ac:dyDescent="0.3">
      <c r="A52" s="25" t="s">
        <v>41</v>
      </c>
      <c r="B52" s="25"/>
      <c r="C52" s="25"/>
      <c r="D52" s="25" t="s">
        <v>81</v>
      </c>
      <c r="E52" s="25"/>
      <c r="F52" s="26"/>
      <c r="G52" s="25" t="s">
        <v>38</v>
      </c>
      <c r="H52" s="25"/>
      <c r="I52" s="25"/>
      <c r="J52" s="25"/>
      <c r="K52" s="25"/>
      <c r="L52" s="25" t="s">
        <v>39</v>
      </c>
      <c r="M52" s="28"/>
      <c r="N52" s="26"/>
    </row>
    <row r="53" spans="1:14" s="3" customFormat="1" ht="26.25" customHeight="1" x14ac:dyDescent="0.3">
      <c r="A53" s="25"/>
      <c r="B53" s="25"/>
      <c r="C53" s="25"/>
      <c r="D53" s="25"/>
      <c r="E53" s="25"/>
      <c r="F53" s="26"/>
      <c r="G53" s="25"/>
      <c r="H53" s="25"/>
      <c r="I53" s="25"/>
      <c r="J53" s="25"/>
      <c r="K53" s="25"/>
      <c r="L53" s="25"/>
      <c r="M53" s="28"/>
      <c r="N53" s="26"/>
    </row>
    <row r="54" spans="1:14" s="3" customFormat="1" ht="26.25" customHeight="1" x14ac:dyDescent="0.3">
      <c r="A54" s="25"/>
      <c r="B54" s="25"/>
      <c r="C54" s="25"/>
      <c r="D54" s="25"/>
      <c r="E54" s="25"/>
      <c r="F54" s="26"/>
      <c r="G54" s="25"/>
      <c r="H54" s="25"/>
      <c r="I54" s="25"/>
      <c r="J54" s="25"/>
      <c r="K54" s="25"/>
      <c r="L54" s="25"/>
      <c r="M54" s="28"/>
      <c r="N54" s="26"/>
    </row>
    <row r="55" spans="1:14" s="3" customFormat="1" ht="26.25" customHeight="1" x14ac:dyDescent="0.3">
      <c r="A55" s="25"/>
      <c r="B55" s="25"/>
      <c r="C55" s="25"/>
      <c r="D55" s="25"/>
      <c r="E55" s="25"/>
      <c r="F55" s="26"/>
      <c r="G55" s="25"/>
      <c r="H55" s="25"/>
      <c r="I55" s="25"/>
      <c r="J55" s="25"/>
      <c r="K55" s="25"/>
      <c r="L55" s="25"/>
      <c r="M55" s="28"/>
      <c r="N55" s="26"/>
    </row>
    <row r="56" spans="1:14" s="3" customFormat="1" ht="26.25" customHeight="1" x14ac:dyDescent="0.3">
      <c r="A56" s="29"/>
      <c r="B56" s="25"/>
      <c r="C56" s="25"/>
      <c r="D56" s="29"/>
      <c r="E56" s="29"/>
      <c r="F56" s="26"/>
      <c r="G56" s="29"/>
      <c r="H56" s="25"/>
      <c r="I56" s="25"/>
      <c r="J56" s="25"/>
      <c r="K56" s="25"/>
      <c r="L56" s="27"/>
      <c r="M56" s="28"/>
      <c r="N56" s="26"/>
    </row>
    <row r="57" spans="1:14" s="30" customFormat="1" ht="17.25" x14ac:dyDescent="0.3">
      <c r="A57" s="25" t="s">
        <v>48</v>
      </c>
      <c r="B57" s="25"/>
      <c r="C57" s="25" t="s">
        <v>84</v>
      </c>
      <c r="D57" s="25"/>
      <c r="G57" s="25" t="str">
        <f>B10</f>
        <v>Som Bony</v>
      </c>
      <c r="H57" s="25"/>
      <c r="I57" s="25"/>
      <c r="J57" s="25"/>
      <c r="K57" s="829" t="s">
        <v>90</v>
      </c>
      <c r="L57" s="829"/>
      <c r="M57" s="829"/>
      <c r="N57" s="829"/>
    </row>
    <row r="58" spans="1:14" s="30" customFormat="1" ht="16.5" x14ac:dyDescent="0.3">
      <c r="A58" s="32"/>
    </row>
    <row r="59" spans="1:14" s="30" customFormat="1" ht="16.5" x14ac:dyDescent="0.3">
      <c r="A59" s="32"/>
    </row>
    <row r="60" spans="1:14" s="30" customFormat="1" ht="16.5" x14ac:dyDescent="0.3">
      <c r="A60" s="32"/>
    </row>
    <row r="61" spans="1:14" s="30" customFormat="1" ht="16.5" x14ac:dyDescent="0.3">
      <c r="A61" s="32"/>
    </row>
    <row r="62" spans="1:14" s="30" customFormat="1" ht="16.5" x14ac:dyDescent="0.3">
      <c r="A62" s="32"/>
    </row>
    <row r="63" spans="1:14" s="30" customFormat="1" ht="16.5" x14ac:dyDescent="0.3">
      <c r="A63" s="32"/>
    </row>
    <row r="64" spans="1:14" s="30" customFormat="1" ht="16.5" x14ac:dyDescent="0.3">
      <c r="A64" s="32"/>
    </row>
    <row r="65" spans="1:1" s="30" customFormat="1" ht="16.5" x14ac:dyDescent="0.3">
      <c r="A65" s="32"/>
    </row>
    <row r="66" spans="1:1" s="30" customFormat="1" ht="16.5" x14ac:dyDescent="0.3">
      <c r="A66" s="32"/>
    </row>
  </sheetData>
  <mergeCells count="69">
    <mergeCell ref="O12:S15"/>
    <mergeCell ref="K15:L15"/>
    <mergeCell ref="K57:N57"/>
    <mergeCell ref="C46:D46"/>
    <mergeCell ref="E46:F46"/>
    <mergeCell ref="C47:D47"/>
    <mergeCell ref="E47:F47"/>
    <mergeCell ref="C48:D48"/>
    <mergeCell ref="E48:F48"/>
    <mergeCell ref="C49:D49"/>
    <mergeCell ref="E49:F49"/>
    <mergeCell ref="A50:D50"/>
    <mergeCell ref="E50:F50"/>
    <mergeCell ref="E51:F51"/>
    <mergeCell ref="C45:D45"/>
    <mergeCell ref="E45:F45"/>
    <mergeCell ref="C37:D37"/>
    <mergeCell ref="E37:F37"/>
    <mergeCell ref="C38:D38"/>
    <mergeCell ref="E38:F38"/>
    <mergeCell ref="C39:D39"/>
    <mergeCell ref="E39:F39"/>
    <mergeCell ref="E40:F40"/>
    <mergeCell ref="E41:F41"/>
    <mergeCell ref="E42:F42"/>
    <mergeCell ref="E43:F43"/>
    <mergeCell ref="E44:F44"/>
    <mergeCell ref="C34:D34"/>
    <mergeCell ref="E34:F34"/>
    <mergeCell ref="C35:D35"/>
    <mergeCell ref="E35:F35"/>
    <mergeCell ref="C36:D36"/>
    <mergeCell ref="E36:F36"/>
    <mergeCell ref="C31:D31"/>
    <mergeCell ref="E31:F31"/>
    <mergeCell ref="C32:D32"/>
    <mergeCell ref="E32:F32"/>
    <mergeCell ref="C33:D33"/>
    <mergeCell ref="E33:F33"/>
    <mergeCell ref="M27:N27"/>
    <mergeCell ref="A28:F28"/>
    <mergeCell ref="C29:D29"/>
    <mergeCell ref="E29:F29"/>
    <mergeCell ref="C30:D30"/>
    <mergeCell ref="E30:F30"/>
    <mergeCell ref="C27:D27"/>
    <mergeCell ref="E27:F27"/>
    <mergeCell ref="K27:L27"/>
    <mergeCell ref="A24:D24"/>
    <mergeCell ref="K24:L24"/>
    <mergeCell ref="A25:F25"/>
    <mergeCell ref="K25:L25"/>
    <mergeCell ref="A26:G26"/>
    <mergeCell ref="A1:XFD7"/>
    <mergeCell ref="A8:N8"/>
    <mergeCell ref="K9:L9"/>
    <mergeCell ref="B10:B23"/>
    <mergeCell ref="C10:C23"/>
    <mergeCell ref="K10:L10"/>
    <mergeCell ref="K11:L11"/>
    <mergeCell ref="K23:L23"/>
    <mergeCell ref="K20:L20"/>
    <mergeCell ref="K21:L21"/>
    <mergeCell ref="K22:L22"/>
    <mergeCell ref="O10:S10"/>
    <mergeCell ref="O11:S11"/>
    <mergeCell ref="K12:L12"/>
    <mergeCell ref="K13:L13"/>
    <mergeCell ref="K14:L14"/>
  </mergeCells>
  <pageMargins left="0.25" right="0.25" top="0.46" bottom="0.25" header="0.5" footer="0.5"/>
  <pageSetup paperSize="9" scale="70" orientation="portrait" verticalDpi="300" r:id="rId1"/>
  <headerFooter alignWithMargins="0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8"/>
  <sheetViews>
    <sheetView zoomScale="86" zoomScaleNormal="86" workbookViewId="0">
      <selection activeCell="E14" sqref="E14"/>
    </sheetView>
  </sheetViews>
  <sheetFormatPr defaultRowHeight="13.5" x14ac:dyDescent="0.25"/>
  <cols>
    <col min="1" max="1" width="16.7109375" style="33" customWidth="1"/>
    <col min="2" max="2" width="19.140625" style="1" customWidth="1"/>
    <col min="3" max="3" width="4.85546875" style="1" customWidth="1"/>
    <col min="4" max="4" width="22.42578125" style="1" customWidth="1"/>
    <col min="5" max="5" width="8.42578125" style="1" customWidth="1"/>
    <col min="6" max="6" width="8.28515625" style="1" customWidth="1"/>
    <col min="7" max="7" width="15.28515625" style="1" bestFit="1" customWidth="1"/>
    <col min="8" max="8" width="3.7109375" style="1" customWidth="1"/>
    <col min="9" max="9" width="3.85546875" style="1" customWidth="1"/>
    <col min="10" max="10" width="5" style="1" customWidth="1"/>
    <col min="11" max="12" width="7.140625" style="1" customWidth="1"/>
    <col min="13" max="13" width="11.5703125" style="1" bestFit="1" customWidth="1"/>
    <col min="14" max="14" width="7.28515625" style="1" bestFit="1" customWidth="1"/>
    <col min="15" max="16" width="8.85546875" style="1"/>
    <col min="17" max="17" width="10.140625" style="1" bestFit="1" customWidth="1"/>
    <col min="18" max="256" width="8.8554687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8.8554687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8.8554687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8.8554687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8.8554687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8.8554687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8.8554687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8.8554687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8.8554687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8.8554687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8.8554687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8.8554687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8.8554687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8.8554687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8.8554687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8.8554687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8.8554687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8.8554687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8.8554687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8.8554687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8.8554687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8.8554687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8.8554687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8.8554687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8.8554687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8.8554687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8.8554687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8.8554687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8.8554687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8.8554687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8.8554687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8.8554687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8.8554687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8.8554687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8.8554687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8.8554687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8.8554687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8.8554687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8.8554687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8.8554687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8.8554687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8.8554687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8.8554687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8.8554687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8.8554687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8.8554687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8.8554687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8.8554687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8.8554687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8.8554687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8.8554687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8.8554687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8.8554687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8.8554687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8.8554687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8.8554687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8.8554687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8.8554687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8.8554687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8.8554687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8.8554687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8.8554687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8.8554687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8.85546875" style="1"/>
  </cols>
  <sheetData>
    <row r="1" spans="1:18" s="866" customFormat="1" ht="15" x14ac:dyDescent="0.25"/>
    <row r="2" spans="1:18" s="866" customFormat="1" ht="15" x14ac:dyDescent="0.25"/>
    <row r="3" spans="1:18" s="866" customFormat="1" ht="15" x14ac:dyDescent="0.25"/>
    <row r="4" spans="1:18" s="866" customFormat="1" ht="15" x14ac:dyDescent="0.25"/>
    <row r="5" spans="1:18" s="866" customFormat="1" ht="15" x14ac:dyDescent="0.25"/>
    <row r="6" spans="1:18" s="866" customFormat="1" ht="15" x14ac:dyDescent="0.25"/>
    <row r="7" spans="1:18" s="866" customFormat="1" ht="15.75" thickBot="1" x14ac:dyDescent="0.3"/>
    <row r="8" spans="1:18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8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8" s="59" customFormat="1" ht="26.25" customHeight="1" x14ac:dyDescent="0.25">
      <c r="A10" s="102">
        <v>1</v>
      </c>
      <c r="B10" s="890" t="s">
        <v>244</v>
      </c>
      <c r="C10" s="890" t="s">
        <v>31</v>
      </c>
      <c r="D10" s="53" t="s">
        <v>245</v>
      </c>
      <c r="E10" s="54">
        <f>6+6+5+4.5+23.5</f>
        <v>45</v>
      </c>
      <c r="F10" s="55">
        <v>8</v>
      </c>
      <c r="G10" s="56">
        <f>E10*F10</f>
        <v>360</v>
      </c>
      <c r="H10" s="54" t="s">
        <v>63</v>
      </c>
      <c r="I10" s="54">
        <v>2</v>
      </c>
      <c r="J10" s="54">
        <v>11</v>
      </c>
      <c r="K10" s="878" t="s">
        <v>231</v>
      </c>
      <c r="L10" s="879"/>
      <c r="M10" s="99">
        <v>41523</v>
      </c>
      <c r="N10" s="58"/>
      <c r="O10" s="931" t="s">
        <v>261</v>
      </c>
      <c r="P10" s="932"/>
      <c r="Q10" s="932"/>
      <c r="R10" s="932"/>
    </row>
    <row r="11" spans="1:18" s="59" customFormat="1" ht="26.25" customHeight="1" x14ac:dyDescent="0.25">
      <c r="A11" s="103">
        <v>2</v>
      </c>
      <c r="B11" s="891"/>
      <c r="C11" s="891"/>
      <c r="D11" s="107" t="s">
        <v>254</v>
      </c>
      <c r="E11" s="60">
        <f>18+13+12+2</f>
        <v>45</v>
      </c>
      <c r="F11" s="61">
        <v>8</v>
      </c>
      <c r="G11" s="56">
        <f t="shared" ref="G11:G16" si="0">E11*F11</f>
        <v>360</v>
      </c>
      <c r="H11" s="60"/>
      <c r="I11" s="60"/>
      <c r="J11" s="60"/>
      <c r="K11" s="876"/>
      <c r="L11" s="877"/>
      <c r="M11" s="78"/>
      <c r="N11" s="84"/>
      <c r="O11" s="931" t="s">
        <v>261</v>
      </c>
      <c r="P11" s="932"/>
      <c r="Q11" s="932"/>
      <c r="R11" s="932"/>
    </row>
    <row r="12" spans="1:18" s="59" customFormat="1" ht="26.25" customHeight="1" x14ac:dyDescent="0.25">
      <c r="A12" s="102" t="s">
        <v>438</v>
      </c>
      <c r="B12" s="891"/>
      <c r="C12" s="891"/>
      <c r="D12" s="107"/>
      <c r="E12" s="140"/>
      <c r="F12" s="61"/>
      <c r="G12" s="56">
        <f t="shared" si="0"/>
        <v>0</v>
      </c>
      <c r="H12" s="140"/>
      <c r="I12" s="140"/>
      <c r="J12" s="140"/>
      <c r="K12" s="138"/>
      <c r="L12" s="139"/>
      <c r="M12" s="78"/>
      <c r="N12" s="84"/>
    </row>
    <row r="13" spans="1:18" s="59" customFormat="1" ht="26.25" customHeight="1" x14ac:dyDescent="0.25">
      <c r="A13" s="103">
        <v>1</v>
      </c>
      <c r="B13" s="891"/>
      <c r="C13" s="891"/>
      <c r="D13" s="53" t="s">
        <v>582</v>
      </c>
      <c r="E13" s="140">
        <f>6+6+9+18.5</f>
        <v>39.5</v>
      </c>
      <c r="F13" s="61">
        <v>8</v>
      </c>
      <c r="G13" s="56">
        <f t="shared" si="0"/>
        <v>316</v>
      </c>
      <c r="H13" s="140" t="s">
        <v>63</v>
      </c>
      <c r="I13" s="140">
        <v>2</v>
      </c>
      <c r="J13" s="140">
        <v>11</v>
      </c>
      <c r="K13" s="138" t="s">
        <v>231</v>
      </c>
      <c r="L13" s="139"/>
      <c r="M13" s="78">
        <v>41677</v>
      </c>
      <c r="N13" s="84"/>
      <c r="O13" s="931" t="s">
        <v>261</v>
      </c>
      <c r="P13" s="932"/>
      <c r="Q13" s="932"/>
      <c r="R13" s="932"/>
    </row>
    <row r="14" spans="1:18" s="59" customFormat="1" ht="26.25" customHeight="1" x14ac:dyDescent="0.25">
      <c r="A14" s="102"/>
      <c r="B14" s="891"/>
      <c r="C14" s="891"/>
      <c r="D14" s="107"/>
      <c r="E14" s="140"/>
      <c r="F14" s="61"/>
      <c r="G14" s="56">
        <f t="shared" si="0"/>
        <v>0</v>
      </c>
      <c r="H14" s="140"/>
      <c r="I14" s="140"/>
      <c r="J14" s="140"/>
      <c r="K14" s="138"/>
      <c r="L14" s="139"/>
      <c r="M14" s="78"/>
      <c r="N14" s="84"/>
    </row>
    <row r="15" spans="1:18" s="59" customFormat="1" ht="26.25" customHeight="1" x14ac:dyDescent="0.25">
      <c r="A15" s="103"/>
      <c r="B15" s="891"/>
      <c r="C15" s="891"/>
      <c r="D15" s="107"/>
      <c r="E15" s="60"/>
      <c r="F15" s="61"/>
      <c r="G15" s="56">
        <f t="shared" si="0"/>
        <v>0</v>
      </c>
      <c r="H15" s="60"/>
      <c r="I15" s="60"/>
      <c r="J15" s="60"/>
      <c r="K15" s="876"/>
      <c r="L15" s="877"/>
      <c r="M15" s="78"/>
      <c r="N15" s="84"/>
    </row>
    <row r="16" spans="1:18" s="59" customFormat="1" ht="26.25" customHeight="1" x14ac:dyDescent="0.25">
      <c r="A16" s="874" t="s">
        <v>11</v>
      </c>
      <c r="B16" s="875"/>
      <c r="C16" s="875"/>
      <c r="D16" s="875"/>
      <c r="E16" s="125">
        <f>SUM(E10:E15)</f>
        <v>129.5</v>
      </c>
      <c r="F16" s="101"/>
      <c r="G16" s="56">
        <f t="shared" si="0"/>
        <v>0</v>
      </c>
      <c r="H16" s="60"/>
      <c r="I16" s="60"/>
      <c r="J16" s="60"/>
      <c r="K16" s="876"/>
      <c r="L16" s="877"/>
      <c r="M16" s="60"/>
      <c r="N16" s="63"/>
    </row>
    <row r="17" spans="1:19" s="59" customFormat="1" ht="26.25" customHeight="1" x14ac:dyDescent="0.25">
      <c r="A17" s="897" t="s">
        <v>24</v>
      </c>
      <c r="B17" s="898"/>
      <c r="C17" s="898"/>
      <c r="D17" s="898"/>
      <c r="E17" s="898"/>
      <c r="F17" s="898"/>
      <c r="G17" s="64">
        <f>SUM(G10:G16)</f>
        <v>1036</v>
      </c>
      <c r="H17" s="65"/>
      <c r="I17" s="65"/>
      <c r="J17" s="65"/>
      <c r="K17" s="859"/>
      <c r="L17" s="860"/>
      <c r="M17" s="65"/>
      <c r="N17" s="66"/>
    </row>
    <row r="18" spans="1:19" s="48" customFormat="1" ht="26.25" customHeight="1" x14ac:dyDescent="0.25">
      <c r="A18" s="899" t="s">
        <v>32</v>
      </c>
      <c r="B18" s="900"/>
      <c r="C18" s="900"/>
      <c r="D18" s="900"/>
      <c r="E18" s="900"/>
      <c r="F18" s="900"/>
      <c r="G18" s="900"/>
      <c r="H18" s="67"/>
      <c r="I18" s="67"/>
      <c r="J18" s="68" t="s">
        <v>44</v>
      </c>
      <c r="K18" s="67"/>
      <c r="L18" s="68"/>
      <c r="M18" s="69"/>
      <c r="N18" s="70"/>
    </row>
    <row r="19" spans="1:19" s="48" customFormat="1" ht="22.5" customHeight="1" thickBot="1" x14ac:dyDescent="0.3">
      <c r="A19" s="72" t="s">
        <v>5</v>
      </c>
      <c r="B19" s="71" t="s">
        <v>33</v>
      </c>
      <c r="C19" s="857" t="s">
        <v>21</v>
      </c>
      <c r="D19" s="858"/>
      <c r="E19" s="857" t="s">
        <v>34</v>
      </c>
      <c r="F19" s="858"/>
      <c r="G19" s="71" t="s">
        <v>0</v>
      </c>
      <c r="H19" s="71" t="s">
        <v>25</v>
      </c>
      <c r="I19" s="71" t="s">
        <v>26</v>
      </c>
      <c r="J19" s="71" t="s">
        <v>27</v>
      </c>
      <c r="K19" s="863" t="s">
        <v>28</v>
      </c>
      <c r="L19" s="857"/>
      <c r="M19" s="901"/>
      <c r="N19" s="902"/>
    </row>
    <row r="20" spans="1:19" s="59" customFormat="1" ht="26.25" customHeight="1" x14ac:dyDescent="0.25">
      <c r="A20" s="1042" t="s">
        <v>35</v>
      </c>
      <c r="B20" s="1043"/>
      <c r="C20" s="1043"/>
      <c r="D20" s="1043"/>
      <c r="E20" s="1043"/>
      <c r="F20" s="1043"/>
      <c r="G20" s="85">
        <f>G17</f>
        <v>1036</v>
      </c>
      <c r="H20" s="86"/>
      <c r="I20" s="86"/>
      <c r="J20" s="86"/>
      <c r="K20" s="86"/>
      <c r="L20" s="86"/>
      <c r="M20" s="86"/>
      <c r="N20" s="87"/>
      <c r="S20" s="48"/>
    </row>
    <row r="21" spans="1:19" s="3" customFormat="1" ht="26.25" customHeight="1" x14ac:dyDescent="0.25">
      <c r="A21" s="366" t="s">
        <v>300</v>
      </c>
      <c r="B21" s="367">
        <v>41578</v>
      </c>
      <c r="C21" s="1050" t="s">
        <v>254</v>
      </c>
      <c r="D21" s="1051"/>
      <c r="E21" s="855">
        <v>120</v>
      </c>
      <c r="F21" s="855"/>
      <c r="G21" s="34">
        <f>G20-E21</f>
        <v>916</v>
      </c>
      <c r="H21" s="98"/>
      <c r="I21" s="98"/>
      <c r="J21" s="98"/>
      <c r="K21" s="98"/>
      <c r="L21" s="98"/>
      <c r="M21" s="98"/>
      <c r="N21" s="13"/>
    </row>
    <row r="22" spans="1:19" s="3" customFormat="1" ht="26.25" customHeight="1" x14ac:dyDescent="0.25">
      <c r="A22" s="366" t="s">
        <v>321</v>
      </c>
      <c r="B22" s="367">
        <v>41612</v>
      </c>
      <c r="C22" s="1050" t="s">
        <v>254</v>
      </c>
      <c r="D22" s="1051"/>
      <c r="E22" s="856">
        <v>130</v>
      </c>
      <c r="F22" s="856"/>
      <c r="G22" s="34">
        <f>G21-E22</f>
        <v>786</v>
      </c>
      <c r="H22" s="97"/>
      <c r="I22" s="97"/>
      <c r="J22" s="97"/>
      <c r="K22" s="97"/>
      <c r="L22" s="97"/>
      <c r="M22" s="97"/>
      <c r="N22" s="6"/>
    </row>
    <row r="23" spans="1:19" s="3" customFormat="1" ht="26.25" customHeight="1" x14ac:dyDescent="0.25">
      <c r="A23" s="313" t="s">
        <v>370</v>
      </c>
      <c r="B23" s="312">
        <v>41645</v>
      </c>
      <c r="C23" s="1050" t="s">
        <v>254</v>
      </c>
      <c r="D23" s="1051"/>
      <c r="E23" s="856">
        <v>100</v>
      </c>
      <c r="F23" s="856"/>
      <c r="G23" s="34">
        <f>G22-E23</f>
        <v>686</v>
      </c>
      <c r="H23" s="97"/>
      <c r="I23" s="97"/>
      <c r="J23" s="97"/>
      <c r="K23" s="97"/>
      <c r="L23" s="97"/>
      <c r="M23" s="97"/>
      <c r="N23" s="6"/>
    </row>
    <row r="24" spans="1:19" s="3" customFormat="1" ht="26.25" customHeight="1" x14ac:dyDescent="0.25">
      <c r="A24" s="14" t="s">
        <v>466</v>
      </c>
      <c r="B24" s="15">
        <v>41703</v>
      </c>
      <c r="C24" s="1050" t="s">
        <v>254</v>
      </c>
      <c r="D24" s="1051"/>
      <c r="E24" s="856">
        <v>180</v>
      </c>
      <c r="F24" s="856"/>
      <c r="G24" s="34">
        <f>G23-E24</f>
        <v>506</v>
      </c>
      <c r="H24" s="97"/>
      <c r="I24" s="97"/>
      <c r="J24" s="97"/>
      <c r="K24" s="97"/>
      <c r="L24" s="97"/>
      <c r="M24" s="97"/>
      <c r="N24" s="6"/>
    </row>
    <row r="25" spans="1:19" s="3" customFormat="1" ht="26.25" customHeight="1" x14ac:dyDescent="0.25">
      <c r="A25" s="14" t="s">
        <v>540</v>
      </c>
      <c r="B25" s="15">
        <v>41739</v>
      </c>
      <c r="C25" s="1050" t="s">
        <v>254</v>
      </c>
      <c r="D25" s="1051"/>
      <c r="E25" s="845">
        <v>150</v>
      </c>
      <c r="F25" s="846"/>
      <c r="G25" s="34">
        <f t="shared" ref="G25:G41" si="1">G24-E25</f>
        <v>356</v>
      </c>
      <c r="H25" s="97"/>
      <c r="I25" s="97"/>
      <c r="J25" s="97"/>
      <c r="K25" s="97"/>
      <c r="L25" s="97"/>
      <c r="M25" s="97"/>
      <c r="N25" s="6"/>
    </row>
    <row r="26" spans="1:19" s="3" customFormat="1" ht="26.25" customHeight="1" x14ac:dyDescent="0.25">
      <c r="A26" s="14" t="s">
        <v>563</v>
      </c>
      <c r="B26" s="15">
        <v>41768</v>
      </c>
      <c r="C26" s="1050" t="s">
        <v>254</v>
      </c>
      <c r="D26" s="1051"/>
      <c r="E26" s="845">
        <v>50</v>
      </c>
      <c r="F26" s="846"/>
      <c r="G26" s="34">
        <f t="shared" si="1"/>
        <v>306</v>
      </c>
      <c r="H26" s="97"/>
      <c r="I26" s="97"/>
      <c r="J26" s="97"/>
      <c r="K26" s="97"/>
      <c r="L26" s="97"/>
      <c r="M26" s="97"/>
      <c r="N26" s="6"/>
    </row>
    <row r="27" spans="1:19" s="3" customFormat="1" ht="26.25" customHeight="1" x14ac:dyDescent="0.25">
      <c r="A27" s="14" t="s">
        <v>592</v>
      </c>
      <c r="B27" s="15">
        <v>41793</v>
      </c>
      <c r="C27" s="1050" t="s">
        <v>254</v>
      </c>
      <c r="D27" s="1051"/>
      <c r="E27" s="845">
        <v>80</v>
      </c>
      <c r="F27" s="846"/>
      <c r="G27" s="34">
        <f t="shared" si="1"/>
        <v>226</v>
      </c>
      <c r="H27" s="97"/>
      <c r="I27" s="97"/>
      <c r="J27" s="97"/>
      <c r="K27" s="97"/>
      <c r="L27" s="97"/>
      <c r="M27" s="97"/>
      <c r="N27" s="6"/>
    </row>
    <row r="28" spans="1:19" s="3" customFormat="1" ht="26.25" customHeight="1" x14ac:dyDescent="0.25">
      <c r="A28" s="14"/>
      <c r="B28" s="15"/>
      <c r="C28" s="893"/>
      <c r="D28" s="894"/>
      <c r="E28" s="845"/>
      <c r="F28" s="846"/>
      <c r="G28" s="34">
        <f t="shared" si="1"/>
        <v>226</v>
      </c>
      <c r="H28" s="97"/>
      <c r="I28" s="97"/>
      <c r="J28" s="97"/>
      <c r="K28" s="97"/>
      <c r="L28" s="97"/>
      <c r="M28" s="97"/>
      <c r="N28" s="6"/>
    </row>
    <row r="29" spans="1:19" s="3" customFormat="1" ht="26.25" customHeight="1" x14ac:dyDescent="0.25">
      <c r="A29" s="14"/>
      <c r="B29" s="15"/>
      <c r="C29" s="893"/>
      <c r="D29" s="894"/>
      <c r="E29" s="845"/>
      <c r="F29" s="846"/>
      <c r="G29" s="34">
        <f t="shared" si="1"/>
        <v>226</v>
      </c>
      <c r="H29" s="97"/>
      <c r="I29" s="97"/>
      <c r="J29" s="97"/>
      <c r="K29" s="97"/>
      <c r="L29" s="97"/>
      <c r="M29" s="97"/>
      <c r="N29" s="6"/>
    </row>
    <row r="30" spans="1:19" s="3" customFormat="1" ht="26.25" customHeight="1" x14ac:dyDescent="0.25">
      <c r="A30" s="14"/>
      <c r="B30" s="17"/>
      <c r="C30" s="934"/>
      <c r="D30" s="934"/>
      <c r="E30" s="845"/>
      <c r="F30" s="846"/>
      <c r="G30" s="34">
        <f t="shared" si="1"/>
        <v>226</v>
      </c>
      <c r="H30" s="18"/>
      <c r="I30" s="18"/>
      <c r="J30" s="18"/>
      <c r="K30" s="18"/>
      <c r="L30" s="18"/>
      <c r="M30" s="18"/>
      <c r="N30" s="19"/>
    </row>
    <row r="31" spans="1:19" s="3" customFormat="1" ht="26.25" customHeight="1" x14ac:dyDescent="0.25">
      <c r="A31" s="16"/>
      <c r="B31" s="17"/>
      <c r="C31" s="934"/>
      <c r="D31" s="934"/>
      <c r="E31" s="845"/>
      <c r="F31" s="846"/>
      <c r="G31" s="34">
        <f t="shared" si="1"/>
        <v>226</v>
      </c>
      <c r="H31" s="18"/>
      <c r="I31" s="18"/>
      <c r="J31" s="18"/>
      <c r="K31" s="18"/>
      <c r="L31" s="18"/>
      <c r="M31" s="18"/>
      <c r="N31" s="19"/>
    </row>
    <row r="32" spans="1:19" s="3" customFormat="1" ht="26.25" customHeight="1" x14ac:dyDescent="0.25">
      <c r="A32" s="16"/>
      <c r="B32" s="17"/>
      <c r="C32" s="131"/>
      <c r="D32" s="132"/>
      <c r="E32" s="845"/>
      <c r="F32" s="846"/>
      <c r="G32" s="34">
        <f t="shared" si="1"/>
        <v>226</v>
      </c>
      <c r="H32" s="18"/>
      <c r="I32" s="18"/>
      <c r="J32" s="18"/>
      <c r="K32" s="18"/>
      <c r="L32" s="18"/>
      <c r="M32" s="18"/>
      <c r="N32" s="19"/>
    </row>
    <row r="33" spans="1:14" s="3" customFormat="1" ht="26.25" customHeight="1" x14ac:dyDescent="0.25">
      <c r="A33" s="16"/>
      <c r="B33" s="17"/>
      <c r="C33" s="136"/>
      <c r="D33" s="137"/>
      <c r="E33" s="845"/>
      <c r="F33" s="846"/>
      <c r="G33" s="34">
        <f t="shared" si="1"/>
        <v>226</v>
      </c>
      <c r="H33" s="18"/>
      <c r="I33" s="18"/>
      <c r="J33" s="18"/>
      <c r="K33" s="18"/>
      <c r="L33" s="18"/>
      <c r="M33" s="18"/>
      <c r="N33" s="19"/>
    </row>
    <row r="34" spans="1:14" s="3" customFormat="1" ht="26.25" customHeight="1" x14ac:dyDescent="0.25">
      <c r="A34" s="16"/>
      <c r="B34" s="17"/>
      <c r="C34" s="146"/>
      <c r="D34" s="147"/>
      <c r="E34" s="907"/>
      <c r="F34" s="908"/>
      <c r="G34" s="34">
        <f t="shared" si="1"/>
        <v>226</v>
      </c>
      <c r="H34" s="18"/>
      <c r="I34" s="18"/>
      <c r="J34" s="18"/>
      <c r="K34" s="18"/>
      <c r="L34" s="18"/>
      <c r="M34" s="18"/>
      <c r="N34" s="19"/>
    </row>
    <row r="35" spans="1:14" s="3" customFormat="1" ht="26.25" customHeight="1" x14ac:dyDescent="0.25">
      <c r="A35" s="16"/>
      <c r="B35" s="17"/>
      <c r="C35" s="146"/>
      <c r="D35" s="152"/>
      <c r="E35" s="907"/>
      <c r="F35" s="908"/>
      <c r="G35" s="34">
        <f t="shared" si="1"/>
        <v>226</v>
      </c>
      <c r="H35" s="18"/>
      <c r="I35" s="18"/>
      <c r="J35" s="18"/>
      <c r="K35" s="18"/>
      <c r="L35" s="18"/>
      <c r="M35" s="18"/>
      <c r="N35" s="19"/>
    </row>
    <row r="36" spans="1:14" s="3" customFormat="1" ht="26.25" customHeight="1" x14ac:dyDescent="0.25">
      <c r="A36" s="16"/>
      <c r="B36" s="17"/>
      <c r="C36" s="146"/>
      <c r="D36" s="154"/>
      <c r="E36" s="907"/>
      <c r="F36" s="908"/>
      <c r="G36" s="34">
        <f t="shared" si="1"/>
        <v>226</v>
      </c>
      <c r="H36" s="18"/>
      <c r="I36" s="18"/>
      <c r="J36" s="18"/>
      <c r="K36" s="18"/>
      <c r="L36" s="18"/>
      <c r="M36" s="18"/>
      <c r="N36" s="19"/>
    </row>
    <row r="37" spans="1:14" s="3" customFormat="1" ht="26.25" customHeight="1" x14ac:dyDescent="0.25">
      <c r="A37" s="16"/>
      <c r="B37" s="17"/>
      <c r="C37" s="1048"/>
      <c r="D37" s="1049"/>
      <c r="E37" s="907"/>
      <c r="F37" s="908"/>
      <c r="G37" s="34">
        <f t="shared" si="1"/>
        <v>226</v>
      </c>
      <c r="H37" s="18"/>
      <c r="I37" s="18"/>
      <c r="J37" s="18"/>
      <c r="K37" s="18"/>
      <c r="L37" s="18"/>
      <c r="M37" s="18"/>
      <c r="N37" s="19"/>
    </row>
    <row r="38" spans="1:14" s="3" customFormat="1" ht="26.25" customHeight="1" x14ac:dyDescent="0.25">
      <c r="A38" s="16"/>
      <c r="B38" s="17"/>
      <c r="C38" s="1046"/>
      <c r="D38" s="1047"/>
      <c r="E38" s="907"/>
      <c r="F38" s="908"/>
      <c r="G38" s="34">
        <f t="shared" si="1"/>
        <v>226</v>
      </c>
      <c r="H38" s="18"/>
      <c r="I38" s="18"/>
      <c r="J38" s="18"/>
      <c r="K38" s="18"/>
      <c r="L38" s="18"/>
      <c r="M38" s="18"/>
      <c r="N38" s="19"/>
    </row>
    <row r="39" spans="1:14" s="3" customFormat="1" ht="26.25" customHeight="1" x14ac:dyDescent="0.25">
      <c r="A39" s="16"/>
      <c r="B39" s="17"/>
      <c r="C39" s="1046"/>
      <c r="D39" s="1047"/>
      <c r="E39" s="907"/>
      <c r="F39" s="908"/>
      <c r="G39" s="34">
        <f t="shared" si="1"/>
        <v>226</v>
      </c>
      <c r="H39" s="18"/>
      <c r="I39" s="18"/>
      <c r="J39" s="18"/>
      <c r="K39" s="18"/>
      <c r="L39" s="18"/>
      <c r="M39" s="18"/>
      <c r="N39" s="19"/>
    </row>
    <row r="40" spans="1:14" s="3" customFormat="1" ht="26.25" customHeight="1" x14ac:dyDescent="0.25">
      <c r="A40" s="16"/>
      <c r="B40" s="17"/>
      <c r="C40" s="1046"/>
      <c r="D40" s="1047"/>
      <c r="E40" s="907"/>
      <c r="F40" s="908"/>
      <c r="G40" s="34">
        <f t="shared" si="1"/>
        <v>226</v>
      </c>
      <c r="H40" s="18"/>
      <c r="I40" s="18"/>
      <c r="J40" s="18"/>
      <c r="K40" s="18"/>
      <c r="L40" s="18"/>
      <c r="M40" s="18"/>
      <c r="N40" s="19"/>
    </row>
    <row r="41" spans="1:14" s="3" customFormat="1" ht="26.25" customHeight="1" x14ac:dyDescent="0.25">
      <c r="A41" s="16"/>
      <c r="B41" s="17"/>
      <c r="C41" s="1046"/>
      <c r="D41" s="1047"/>
      <c r="E41" s="907"/>
      <c r="F41" s="908"/>
      <c r="G41" s="34">
        <f t="shared" si="1"/>
        <v>226</v>
      </c>
      <c r="H41" s="18"/>
      <c r="I41" s="18"/>
      <c r="J41" s="18"/>
      <c r="K41" s="18"/>
      <c r="L41" s="18"/>
      <c r="M41" s="18"/>
      <c r="N41" s="19"/>
    </row>
    <row r="42" spans="1:14" s="23" customFormat="1" ht="26.25" customHeight="1" thickBot="1" x14ac:dyDescent="0.3">
      <c r="A42" s="851" t="s">
        <v>36</v>
      </c>
      <c r="B42" s="852"/>
      <c r="C42" s="852"/>
      <c r="D42" s="852"/>
      <c r="E42" s="853">
        <f>SUM(E21:F41)</f>
        <v>810</v>
      </c>
      <c r="F42" s="854"/>
      <c r="G42" s="20"/>
      <c r="H42" s="21"/>
      <c r="I42" s="21"/>
      <c r="J42" s="21"/>
      <c r="K42" s="21"/>
      <c r="L42" s="21"/>
      <c r="M42" s="21"/>
      <c r="N42" s="22"/>
    </row>
    <row r="43" spans="1:14" s="3" customFormat="1" ht="26.25" customHeight="1" thickTop="1" x14ac:dyDescent="0.25">
      <c r="A43" s="24"/>
      <c r="E43" s="844"/>
      <c r="F43" s="844"/>
    </row>
    <row r="44" spans="1:14" s="3" customFormat="1" ht="26.25" customHeight="1" x14ac:dyDescent="0.3">
      <c r="A44" s="25" t="s">
        <v>41</v>
      </c>
      <c r="B44" s="25"/>
      <c r="C44" s="25"/>
      <c r="D44" s="25" t="s">
        <v>81</v>
      </c>
      <c r="E44" s="25"/>
      <c r="F44" s="26"/>
      <c r="G44" s="25" t="s">
        <v>38</v>
      </c>
      <c r="H44" s="25"/>
      <c r="I44" s="25"/>
      <c r="J44" s="25"/>
      <c r="K44" s="25"/>
      <c r="L44" s="25" t="s">
        <v>39</v>
      </c>
      <c r="M44" s="28"/>
      <c r="N44" s="26"/>
    </row>
    <row r="45" spans="1:14" s="3" customFormat="1" ht="26.25" customHeight="1" x14ac:dyDescent="0.3">
      <c r="A45" s="25"/>
      <c r="B45" s="25"/>
      <c r="C45" s="25"/>
      <c r="D45" s="25"/>
      <c r="E45" s="25"/>
      <c r="F45" s="26"/>
      <c r="G45" s="25"/>
      <c r="H45" s="25"/>
      <c r="I45" s="25"/>
      <c r="J45" s="25"/>
      <c r="K45" s="25"/>
      <c r="L45" s="25"/>
      <c r="M45" s="28"/>
      <c r="N45" s="26"/>
    </row>
    <row r="46" spans="1:14" s="3" customFormat="1" ht="26.25" customHeight="1" x14ac:dyDescent="0.3">
      <c r="A46" s="25"/>
      <c r="B46" s="25"/>
      <c r="C46" s="25"/>
      <c r="D46" s="25"/>
      <c r="E46" s="25"/>
      <c r="F46" s="26"/>
      <c r="G46" s="25"/>
      <c r="H46" s="25"/>
      <c r="I46" s="25"/>
      <c r="J46" s="25"/>
      <c r="K46" s="25"/>
      <c r="L46" s="25"/>
      <c r="M46" s="28"/>
      <c r="N46" s="26"/>
    </row>
    <row r="47" spans="1:14" s="3" customFormat="1" ht="26.25" customHeight="1" x14ac:dyDescent="0.3">
      <c r="A47" s="25"/>
      <c r="B47" s="25"/>
      <c r="C47" s="25"/>
      <c r="D47" s="25"/>
      <c r="E47" s="25"/>
      <c r="F47" s="26"/>
      <c r="G47" s="25"/>
      <c r="H47" s="25"/>
      <c r="I47" s="25"/>
      <c r="J47" s="25"/>
      <c r="K47" s="25"/>
      <c r="L47" s="25"/>
      <c r="M47" s="28"/>
      <c r="N47" s="26"/>
    </row>
    <row r="48" spans="1:14" s="3" customFormat="1" ht="26.25" customHeight="1" x14ac:dyDescent="0.3">
      <c r="A48" s="29"/>
      <c r="B48" s="25"/>
      <c r="C48" s="25"/>
      <c r="D48" s="29"/>
      <c r="E48" s="29"/>
      <c r="F48" s="26"/>
      <c r="G48" s="29"/>
      <c r="H48" s="25"/>
      <c r="I48" s="25"/>
      <c r="J48" s="25"/>
      <c r="K48" s="25"/>
      <c r="L48" s="27"/>
      <c r="M48" s="28"/>
      <c r="N48" s="26"/>
    </row>
    <row r="49" spans="1:14" s="30" customFormat="1" ht="17.25" x14ac:dyDescent="0.3">
      <c r="A49" s="25" t="s">
        <v>48</v>
      </c>
      <c r="B49" s="25"/>
      <c r="C49" s="25" t="s">
        <v>84</v>
      </c>
      <c r="D49" s="25"/>
      <c r="G49" s="25" t="str">
        <f>B10</f>
        <v>Sam Sen</v>
      </c>
      <c r="H49" s="25"/>
      <c r="I49" s="25"/>
      <c r="J49" s="25"/>
      <c r="K49" s="829" t="s">
        <v>90</v>
      </c>
      <c r="L49" s="829"/>
      <c r="M49" s="829"/>
      <c r="N49" s="829"/>
    </row>
    <row r="50" spans="1:14" s="30" customFormat="1" ht="16.5" x14ac:dyDescent="0.3">
      <c r="A50" s="32"/>
    </row>
    <row r="51" spans="1:14" s="30" customFormat="1" ht="16.5" x14ac:dyDescent="0.3">
      <c r="A51" s="32"/>
    </row>
    <row r="52" spans="1:14" s="30" customFormat="1" ht="16.5" x14ac:dyDescent="0.3">
      <c r="A52" s="32"/>
    </row>
    <row r="53" spans="1:14" s="30" customFormat="1" ht="16.5" x14ac:dyDescent="0.3">
      <c r="A53" s="32"/>
    </row>
    <row r="54" spans="1:14" s="30" customFormat="1" ht="16.5" x14ac:dyDescent="0.3">
      <c r="A54" s="32"/>
    </row>
    <row r="55" spans="1:14" s="30" customFormat="1" ht="16.5" x14ac:dyDescent="0.3">
      <c r="A55" s="32"/>
    </row>
    <row r="56" spans="1:14" s="30" customFormat="1" ht="16.5" x14ac:dyDescent="0.3">
      <c r="A56" s="32"/>
    </row>
    <row r="57" spans="1:14" s="30" customFormat="1" ht="16.5" x14ac:dyDescent="0.3">
      <c r="A57" s="32"/>
    </row>
    <row r="58" spans="1:14" s="30" customFormat="1" ht="16.5" x14ac:dyDescent="0.3">
      <c r="A58" s="32"/>
    </row>
  </sheetData>
  <mergeCells count="62">
    <mergeCell ref="O10:R10"/>
    <mergeCell ref="K49:N49"/>
    <mergeCell ref="A1:XFD7"/>
    <mergeCell ref="A8:N8"/>
    <mergeCell ref="K9:L9"/>
    <mergeCell ref="K10:L10"/>
    <mergeCell ref="K11:L11"/>
    <mergeCell ref="B10:B15"/>
    <mergeCell ref="C10:C15"/>
    <mergeCell ref="K15:L15"/>
    <mergeCell ref="A16:D16"/>
    <mergeCell ref="K16:L16"/>
    <mergeCell ref="A17:F17"/>
    <mergeCell ref="K17:L17"/>
    <mergeCell ref="A18:G18"/>
    <mergeCell ref="M19:N19"/>
    <mergeCell ref="C27:D27"/>
    <mergeCell ref="E27:F27"/>
    <mergeCell ref="A20:F20"/>
    <mergeCell ref="K19:L19"/>
    <mergeCell ref="C23:D23"/>
    <mergeCell ref="E23:F23"/>
    <mergeCell ref="C19:D19"/>
    <mergeCell ref="E19:F19"/>
    <mergeCell ref="C22:D22"/>
    <mergeCell ref="E22:F22"/>
    <mergeCell ref="C25:D25"/>
    <mergeCell ref="E25:F25"/>
    <mergeCell ref="C26:D26"/>
    <mergeCell ref="E26:F26"/>
    <mergeCell ref="C38:D38"/>
    <mergeCell ref="C40:D40"/>
    <mergeCell ref="E40:F40"/>
    <mergeCell ref="O13:R13"/>
    <mergeCell ref="C28:D28"/>
    <mergeCell ref="E28:F28"/>
    <mergeCell ref="E38:F38"/>
    <mergeCell ref="C39:D39"/>
    <mergeCell ref="E39:F39"/>
    <mergeCell ref="E36:F36"/>
    <mergeCell ref="E37:F37"/>
    <mergeCell ref="C37:D37"/>
    <mergeCell ref="C24:D24"/>
    <mergeCell ref="E24:F24"/>
    <mergeCell ref="C21:D21"/>
    <mergeCell ref="E21:F21"/>
    <mergeCell ref="O11:R11"/>
    <mergeCell ref="A42:D42"/>
    <mergeCell ref="E42:F42"/>
    <mergeCell ref="E43:F43"/>
    <mergeCell ref="C29:D29"/>
    <mergeCell ref="E29:F29"/>
    <mergeCell ref="C30:D30"/>
    <mergeCell ref="E30:F30"/>
    <mergeCell ref="E41:F41"/>
    <mergeCell ref="E32:F32"/>
    <mergeCell ref="E33:F33"/>
    <mergeCell ref="C31:D31"/>
    <mergeCell ref="E31:F31"/>
    <mergeCell ref="E34:F34"/>
    <mergeCell ref="E35:F35"/>
    <mergeCell ref="C41:D41"/>
  </mergeCells>
  <pageMargins left="0.25" right="0.25" top="0.46" bottom="0.25" header="0.5" footer="0.5"/>
  <pageSetup paperSize="9" scale="70" orientation="portrait" verticalDpi="300" r:id="rId1"/>
  <headerFooter alignWithMargins="0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2"/>
  <sheetViews>
    <sheetView zoomScale="80" workbookViewId="0">
      <pane ySplit="9" topLeftCell="A10" activePane="bottomLeft" state="frozen"/>
      <selection pane="bottomLeft" activeCell="N17" sqref="N17"/>
    </sheetView>
  </sheetViews>
  <sheetFormatPr defaultRowHeight="13.5" x14ac:dyDescent="0.25"/>
  <cols>
    <col min="1" max="1" width="21.5703125" style="33" customWidth="1"/>
    <col min="2" max="2" width="21.28515625" style="1" customWidth="1"/>
    <col min="3" max="3" width="5.5703125" style="1" customWidth="1"/>
    <col min="4" max="4" width="26.140625" style="1" customWidth="1"/>
    <col min="5" max="5" width="10" style="1" customWidth="1"/>
    <col min="6" max="6" width="8" style="1" customWidth="1"/>
    <col min="7" max="7" width="16.42578125" style="1" customWidth="1"/>
    <col min="8" max="8" width="3.7109375" style="1" customWidth="1"/>
    <col min="9" max="9" width="3.85546875" style="1" customWidth="1"/>
    <col min="10" max="10" width="5" style="1" customWidth="1"/>
    <col min="11" max="11" width="8" style="1" customWidth="1"/>
    <col min="12" max="12" width="5.28515625" style="1" customWidth="1"/>
    <col min="13" max="13" width="12.140625" style="1" bestFit="1" customWidth="1"/>
    <col min="14" max="14" width="10.28515625" style="1" bestFit="1" customWidth="1"/>
    <col min="15" max="17" width="9.140625" style="1"/>
    <col min="18" max="18" width="12" style="1" customWidth="1"/>
    <col min="19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9" s="866" customFormat="1" ht="15" x14ac:dyDescent="0.25"/>
    <row r="2" spans="1:19" s="866" customFormat="1" ht="15" x14ac:dyDescent="0.25"/>
    <row r="3" spans="1:19" s="866" customFormat="1" ht="15" x14ac:dyDescent="0.25"/>
    <row r="4" spans="1:19" s="866" customFormat="1" ht="15" x14ac:dyDescent="0.25"/>
    <row r="5" spans="1:19" s="866" customFormat="1" ht="15" x14ac:dyDescent="0.25"/>
    <row r="6" spans="1:19" s="866" customFormat="1" ht="15" x14ac:dyDescent="0.25"/>
    <row r="7" spans="1:19" s="866" customFormat="1" ht="15.75" thickBot="1" x14ac:dyDescent="0.3"/>
    <row r="8" spans="1:19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9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9" s="59" customFormat="1" ht="26.25" customHeight="1" x14ac:dyDescent="0.25">
      <c r="A10" s="91">
        <v>1</v>
      </c>
      <c r="B10" s="890" t="s">
        <v>88</v>
      </c>
      <c r="C10" s="890" t="s">
        <v>31</v>
      </c>
      <c r="D10" s="77" t="s">
        <v>246</v>
      </c>
      <c r="E10" s="205">
        <f>18+4.5+12+10.5</f>
        <v>45</v>
      </c>
      <c r="F10" s="55">
        <v>8</v>
      </c>
      <c r="G10" s="56">
        <f>E10*F10</f>
        <v>360</v>
      </c>
      <c r="H10" s="205" t="s">
        <v>107</v>
      </c>
      <c r="I10" s="205">
        <v>2</v>
      </c>
      <c r="J10" s="205">
        <v>11</v>
      </c>
      <c r="K10" s="878" t="s">
        <v>74</v>
      </c>
      <c r="L10" s="879"/>
      <c r="M10" s="92">
        <v>41509</v>
      </c>
      <c r="N10" s="58"/>
      <c r="O10" s="444" t="s">
        <v>261</v>
      </c>
      <c r="P10" s="445"/>
    </row>
    <row r="11" spans="1:19" s="59" customFormat="1" ht="26.25" customHeight="1" x14ac:dyDescent="0.25">
      <c r="A11" s="93">
        <v>2</v>
      </c>
      <c r="B11" s="891"/>
      <c r="C11" s="891"/>
      <c r="D11" s="77" t="s">
        <v>246</v>
      </c>
      <c r="E11" s="80">
        <f>12+3+9+21</f>
        <v>45</v>
      </c>
      <c r="F11" s="55">
        <v>8</v>
      </c>
      <c r="G11" s="56">
        <f t="shared" ref="G11:G12" si="0">E11*F11</f>
        <v>360</v>
      </c>
      <c r="H11" s="80" t="s">
        <v>64</v>
      </c>
      <c r="I11" s="80">
        <v>2</v>
      </c>
      <c r="J11" s="80">
        <v>11</v>
      </c>
      <c r="K11" s="876" t="s">
        <v>74</v>
      </c>
      <c r="L11" s="877"/>
      <c r="M11" s="92">
        <v>41513</v>
      </c>
      <c r="N11" s="84"/>
      <c r="O11" s="444" t="s">
        <v>261</v>
      </c>
      <c r="P11" s="445"/>
      <c r="Q11" s="477"/>
    </row>
    <row r="12" spans="1:19" s="59" customFormat="1" ht="26.25" customHeight="1" x14ac:dyDescent="0.25">
      <c r="A12" s="93">
        <v>3</v>
      </c>
      <c r="B12" s="891"/>
      <c r="C12" s="891"/>
      <c r="D12" s="77" t="s">
        <v>246</v>
      </c>
      <c r="E12" s="80">
        <f>19.5+6+12+7.5</f>
        <v>45</v>
      </c>
      <c r="F12" s="55">
        <v>8</v>
      </c>
      <c r="G12" s="56">
        <f t="shared" si="0"/>
        <v>360</v>
      </c>
      <c r="H12" s="80" t="s">
        <v>107</v>
      </c>
      <c r="I12" s="80">
        <v>2</v>
      </c>
      <c r="J12" s="80">
        <v>11</v>
      </c>
      <c r="K12" s="181" t="s">
        <v>247</v>
      </c>
      <c r="L12" s="182"/>
      <c r="M12" s="94">
        <v>41508</v>
      </c>
      <c r="N12" s="84"/>
      <c r="O12" s="444" t="s">
        <v>261</v>
      </c>
      <c r="P12" s="445"/>
      <c r="Q12" s="506"/>
    </row>
    <row r="13" spans="1:19" s="59" customFormat="1" ht="26.25" customHeight="1" x14ac:dyDescent="0.25">
      <c r="A13" s="93">
        <v>4</v>
      </c>
      <c r="B13" s="891"/>
      <c r="C13" s="891"/>
      <c r="D13" s="77" t="s">
        <v>246</v>
      </c>
      <c r="E13" s="80">
        <f>24+12+9</f>
        <v>45</v>
      </c>
      <c r="F13" s="55">
        <v>8</v>
      </c>
      <c r="G13" s="56">
        <f>E13*F13</f>
        <v>360</v>
      </c>
      <c r="H13" s="80" t="s">
        <v>64</v>
      </c>
      <c r="I13" s="80">
        <v>2</v>
      </c>
      <c r="J13" s="80">
        <v>11</v>
      </c>
      <c r="K13" s="181" t="s">
        <v>75</v>
      </c>
      <c r="L13" s="182"/>
      <c r="M13" s="94">
        <v>41508</v>
      </c>
      <c r="N13" s="84"/>
      <c r="O13" s="444" t="s">
        <v>261</v>
      </c>
      <c r="P13" s="445"/>
      <c r="Q13" s="506"/>
    </row>
    <row r="14" spans="1:19" s="59" customFormat="1" ht="26.25" customHeight="1" x14ac:dyDescent="0.25">
      <c r="A14" s="93">
        <v>5</v>
      </c>
      <c r="B14" s="891"/>
      <c r="C14" s="891"/>
      <c r="D14" s="77" t="s">
        <v>246</v>
      </c>
      <c r="E14" s="80">
        <v>45</v>
      </c>
      <c r="F14" s="55">
        <v>8</v>
      </c>
      <c r="G14" s="56">
        <f>E14*F14</f>
        <v>360</v>
      </c>
      <c r="H14" s="80" t="s">
        <v>107</v>
      </c>
      <c r="I14" s="80">
        <v>2</v>
      </c>
      <c r="J14" s="80">
        <v>11</v>
      </c>
      <c r="K14" s="181" t="s">
        <v>256</v>
      </c>
      <c r="L14" s="182"/>
      <c r="M14" s="94">
        <v>41650</v>
      </c>
      <c r="N14" s="84"/>
      <c r="O14" s="444" t="s">
        <v>371</v>
      </c>
      <c r="P14" s="445"/>
      <c r="Q14" s="554"/>
    </row>
    <row r="15" spans="1:19" s="671" customFormat="1" ht="26.25" customHeight="1" x14ac:dyDescent="0.25">
      <c r="A15" s="102" t="s">
        <v>438</v>
      </c>
      <c r="B15" s="891"/>
      <c r="C15" s="891"/>
      <c r="D15" s="77"/>
      <c r="E15" s="80"/>
      <c r="F15" s="55"/>
      <c r="G15" s="56">
        <f t="shared" ref="G15:G21" si="1">E15*F15</f>
        <v>0</v>
      </c>
      <c r="H15" s="80"/>
      <c r="I15" s="80"/>
      <c r="J15" s="80"/>
      <c r="K15" s="181"/>
      <c r="L15" s="182"/>
      <c r="M15" s="94"/>
      <c r="N15" s="84"/>
      <c r="O15" s="444"/>
      <c r="P15" s="445"/>
      <c r="Q15" s="672"/>
      <c r="R15" s="672"/>
    </row>
    <row r="16" spans="1:19" s="703" customFormat="1" ht="26.25" customHeight="1" x14ac:dyDescent="0.25">
      <c r="A16" s="721">
        <v>1</v>
      </c>
      <c r="B16" s="891"/>
      <c r="C16" s="891"/>
      <c r="D16" s="77" t="s">
        <v>507</v>
      </c>
      <c r="E16" s="80">
        <f>6+9+9+15</f>
        <v>39</v>
      </c>
      <c r="F16" s="55">
        <v>8</v>
      </c>
      <c r="G16" s="56">
        <f t="shared" si="1"/>
        <v>312</v>
      </c>
      <c r="H16" s="80" t="s">
        <v>98</v>
      </c>
      <c r="I16" s="80">
        <v>3</v>
      </c>
      <c r="J16" s="80">
        <v>9</v>
      </c>
      <c r="K16" s="181" t="s">
        <v>75</v>
      </c>
      <c r="L16" s="182"/>
      <c r="M16" s="94">
        <v>41710</v>
      </c>
      <c r="N16" s="84"/>
      <c r="O16" s="444" t="s">
        <v>371</v>
      </c>
      <c r="P16" s="445"/>
      <c r="S16" s="703" t="s">
        <v>469</v>
      </c>
    </row>
    <row r="17" spans="1:20" s="703" customFormat="1" ht="26.25" customHeight="1" x14ac:dyDescent="0.25">
      <c r="A17" s="721">
        <v>2</v>
      </c>
      <c r="B17" s="891"/>
      <c r="C17" s="891"/>
      <c r="D17" s="77" t="s">
        <v>507</v>
      </c>
      <c r="E17" s="80">
        <v>11</v>
      </c>
      <c r="F17" s="55">
        <v>8</v>
      </c>
      <c r="G17" s="56">
        <f t="shared" si="1"/>
        <v>88</v>
      </c>
      <c r="H17" s="80" t="s">
        <v>98</v>
      </c>
      <c r="I17" s="80">
        <v>3</v>
      </c>
      <c r="J17" s="80">
        <v>9</v>
      </c>
      <c r="K17" s="876" t="s">
        <v>42</v>
      </c>
      <c r="L17" s="877"/>
      <c r="M17" s="94">
        <v>41797</v>
      </c>
      <c r="N17" s="84"/>
      <c r="O17" s="444" t="s">
        <v>526</v>
      </c>
      <c r="P17" s="445"/>
      <c r="S17" s="703" t="s">
        <v>469</v>
      </c>
    </row>
    <row r="18" spans="1:20" s="703" customFormat="1" ht="26.25" customHeight="1" x14ac:dyDescent="0.25">
      <c r="A18" s="721">
        <v>3</v>
      </c>
      <c r="B18" s="891"/>
      <c r="C18" s="891"/>
      <c r="D18" s="77" t="s">
        <v>545</v>
      </c>
      <c r="E18" s="80">
        <f>20+6+11.5</f>
        <v>37.5</v>
      </c>
      <c r="F18" s="55">
        <v>8</v>
      </c>
      <c r="G18" s="56">
        <f t="shared" si="1"/>
        <v>300</v>
      </c>
      <c r="H18" s="80" t="s">
        <v>107</v>
      </c>
      <c r="I18" s="80">
        <v>1</v>
      </c>
      <c r="J18" s="80">
        <v>12</v>
      </c>
      <c r="K18" s="181" t="s">
        <v>74</v>
      </c>
      <c r="L18" s="182"/>
      <c r="M18" s="94">
        <v>41711</v>
      </c>
      <c r="N18" s="84"/>
      <c r="O18" s="444" t="s">
        <v>526</v>
      </c>
      <c r="P18" s="445"/>
      <c r="Q18" s="739"/>
      <c r="R18" s="739"/>
      <c r="S18" s="739" t="s">
        <v>469</v>
      </c>
      <c r="T18" s="739"/>
    </row>
    <row r="19" spans="1:20" s="703" customFormat="1" ht="26.25" customHeight="1" x14ac:dyDescent="0.25">
      <c r="A19" s="721"/>
      <c r="B19" s="891"/>
      <c r="C19" s="891"/>
      <c r="D19" s="77"/>
      <c r="E19" s="80"/>
      <c r="F19" s="55"/>
      <c r="G19" s="56">
        <f t="shared" si="1"/>
        <v>0</v>
      </c>
      <c r="H19" s="80"/>
      <c r="I19" s="80"/>
      <c r="J19" s="80"/>
      <c r="K19" s="181"/>
      <c r="L19" s="182"/>
      <c r="M19" s="94"/>
      <c r="N19" s="84"/>
      <c r="O19" s="444" t="s">
        <v>571</v>
      </c>
      <c r="P19" s="445"/>
      <c r="Q19" s="779"/>
      <c r="R19" s="779"/>
      <c r="S19" s="779" t="s">
        <v>572</v>
      </c>
      <c r="T19" s="779"/>
    </row>
    <row r="20" spans="1:20" s="671" customFormat="1" ht="26.25" customHeight="1" x14ac:dyDescent="0.25">
      <c r="A20" s="93"/>
      <c r="B20" s="891"/>
      <c r="C20" s="891"/>
      <c r="D20" s="77"/>
      <c r="E20" s="80"/>
      <c r="F20" s="55"/>
      <c r="G20" s="56">
        <f t="shared" si="1"/>
        <v>0</v>
      </c>
      <c r="H20" s="80"/>
      <c r="I20" s="80"/>
      <c r="J20" s="80"/>
      <c r="K20" s="181"/>
      <c r="L20" s="182"/>
      <c r="M20" s="94"/>
      <c r="N20" s="84"/>
      <c r="O20" s="444"/>
      <c r="P20" s="445"/>
      <c r="Q20" s="672"/>
      <c r="R20" s="672"/>
    </row>
    <row r="21" spans="1:20" s="59" customFormat="1" ht="26.25" customHeight="1" x14ac:dyDescent="0.25">
      <c r="A21" s="93"/>
      <c r="B21" s="891"/>
      <c r="C21" s="891"/>
      <c r="D21" s="77"/>
      <c r="E21" s="80"/>
      <c r="F21" s="55"/>
      <c r="G21" s="56">
        <f t="shared" si="1"/>
        <v>0</v>
      </c>
      <c r="H21" s="80"/>
      <c r="I21" s="80"/>
      <c r="J21" s="80"/>
      <c r="K21" s="876"/>
      <c r="L21" s="877"/>
      <c r="M21" s="94"/>
      <c r="N21" s="84"/>
      <c r="O21" s="444"/>
      <c r="P21" s="445"/>
      <c r="Q21" s="703"/>
      <c r="R21" s="703"/>
      <c r="S21" s="703"/>
      <c r="T21" s="703"/>
    </row>
    <row r="22" spans="1:20" s="59" customFormat="1" ht="26.25" customHeight="1" x14ac:dyDescent="0.25">
      <c r="A22" s="925" t="s">
        <v>11</v>
      </c>
      <c r="B22" s="926"/>
      <c r="C22" s="926"/>
      <c r="D22" s="926"/>
      <c r="E22" s="207">
        <f>SUM(E10:E21)</f>
        <v>312.5</v>
      </c>
      <c r="F22" s="76">
        <v>8</v>
      </c>
      <c r="G22" s="56">
        <f>E22*F22</f>
        <v>2500</v>
      </c>
      <c r="H22" s="206"/>
      <c r="I22" s="206"/>
      <c r="J22" s="206"/>
      <c r="K22" s="876"/>
      <c r="L22" s="877"/>
      <c r="M22" s="206"/>
      <c r="N22" s="63"/>
    </row>
    <row r="23" spans="1:20" s="59" customFormat="1" ht="26.25" customHeight="1" x14ac:dyDescent="0.25">
      <c r="A23" s="927" t="s">
        <v>24</v>
      </c>
      <c r="B23" s="928"/>
      <c r="C23" s="928"/>
      <c r="D23" s="928"/>
      <c r="E23" s="928"/>
      <c r="F23" s="928"/>
      <c r="G23" s="64">
        <f>G22</f>
        <v>2500</v>
      </c>
      <c r="H23" s="208"/>
      <c r="I23" s="208"/>
      <c r="J23" s="208"/>
      <c r="K23" s="859"/>
      <c r="L23" s="860"/>
      <c r="M23" s="208"/>
      <c r="N23" s="66"/>
    </row>
    <row r="24" spans="1:20" s="48" customFormat="1" ht="26.25" customHeight="1" x14ac:dyDescent="0.25">
      <c r="A24" s="929" t="s">
        <v>32</v>
      </c>
      <c r="B24" s="930"/>
      <c r="C24" s="930"/>
      <c r="D24" s="930"/>
      <c r="E24" s="930"/>
      <c r="F24" s="930"/>
      <c r="G24" s="900"/>
      <c r="H24" s="67"/>
      <c r="I24" s="67"/>
      <c r="J24" s="68" t="s">
        <v>44</v>
      </c>
      <c r="K24" s="67"/>
      <c r="L24" s="68"/>
      <c r="M24" s="69"/>
      <c r="N24" s="70"/>
    </row>
    <row r="25" spans="1:20" s="48" customFormat="1" ht="22.5" customHeight="1" thickBot="1" x14ac:dyDescent="0.3">
      <c r="A25" s="72" t="s">
        <v>5</v>
      </c>
      <c r="B25" s="71" t="s">
        <v>33</v>
      </c>
      <c r="C25" s="857" t="s">
        <v>21</v>
      </c>
      <c r="D25" s="858"/>
      <c r="E25" s="857" t="s">
        <v>34</v>
      </c>
      <c r="F25" s="858"/>
      <c r="G25" s="71" t="s">
        <v>0</v>
      </c>
      <c r="H25" s="71" t="s">
        <v>96</v>
      </c>
      <c r="I25" s="71" t="s">
        <v>26</v>
      </c>
      <c r="J25" s="71" t="s">
        <v>27</v>
      </c>
      <c r="K25" s="863" t="s">
        <v>28</v>
      </c>
      <c r="L25" s="857"/>
      <c r="M25" s="901" t="s">
        <v>43</v>
      </c>
      <c r="N25" s="902"/>
    </row>
    <row r="26" spans="1:20" s="3" customFormat="1" ht="26.25" customHeight="1" x14ac:dyDescent="0.25">
      <c r="A26" s="922" t="s">
        <v>35</v>
      </c>
      <c r="B26" s="923"/>
      <c r="C26" s="923"/>
      <c r="D26" s="923"/>
      <c r="E26" s="923"/>
      <c r="F26" s="923"/>
      <c r="G26" s="162">
        <f>G23</f>
        <v>2500</v>
      </c>
      <c r="H26" s="163"/>
      <c r="I26" s="163"/>
      <c r="J26" s="163"/>
      <c r="K26" s="163"/>
      <c r="L26" s="163"/>
      <c r="M26" s="163"/>
      <c r="N26" s="164"/>
    </row>
    <row r="27" spans="1:20" s="3" customFormat="1" ht="26.25" customHeight="1" x14ac:dyDescent="0.25">
      <c r="A27" s="10" t="s">
        <v>265</v>
      </c>
      <c r="B27" s="11">
        <v>41557</v>
      </c>
      <c r="C27" s="446"/>
      <c r="D27" s="447" t="s">
        <v>246</v>
      </c>
      <c r="E27" s="918">
        <v>250</v>
      </c>
      <c r="F27" s="918"/>
      <c r="G27" s="167">
        <f>G26-E27</f>
        <v>2250</v>
      </c>
      <c r="H27" s="209"/>
      <c r="I27" s="209"/>
      <c r="J27" s="209"/>
      <c r="K27" s="209"/>
      <c r="L27" s="209"/>
      <c r="M27" s="209"/>
      <c r="N27" s="168"/>
    </row>
    <row r="28" spans="1:20" s="3" customFormat="1" ht="26.25" customHeight="1" x14ac:dyDescent="0.25">
      <c r="A28" s="10" t="s">
        <v>300</v>
      </c>
      <c r="B28" s="11">
        <v>41578</v>
      </c>
      <c r="C28" s="446"/>
      <c r="D28" s="447" t="s">
        <v>246</v>
      </c>
      <c r="E28" s="918">
        <v>223</v>
      </c>
      <c r="F28" s="918"/>
      <c r="G28" s="167">
        <f t="shared" ref="G28:G29" si="2">G27-E28</f>
        <v>2027</v>
      </c>
      <c r="H28" s="209"/>
      <c r="I28" s="209"/>
      <c r="J28" s="209"/>
      <c r="K28" s="209"/>
      <c r="L28" s="209"/>
      <c r="M28" s="209"/>
      <c r="N28" s="168"/>
    </row>
    <row r="29" spans="1:20" s="3" customFormat="1" ht="26.25" customHeight="1" x14ac:dyDescent="0.25">
      <c r="A29" s="10" t="s">
        <v>321</v>
      </c>
      <c r="B29" s="11">
        <v>41612</v>
      </c>
      <c r="C29" s="446"/>
      <c r="D29" s="447" t="s">
        <v>246</v>
      </c>
      <c r="E29" s="918">
        <v>200</v>
      </c>
      <c r="F29" s="918"/>
      <c r="G29" s="167">
        <f t="shared" si="2"/>
        <v>1827</v>
      </c>
      <c r="H29" s="209"/>
      <c r="I29" s="209"/>
      <c r="J29" s="209"/>
      <c r="K29" s="209"/>
      <c r="L29" s="209"/>
      <c r="M29" s="209"/>
      <c r="N29" s="168"/>
    </row>
    <row r="30" spans="1:20" s="3" customFormat="1" ht="26.25" customHeight="1" x14ac:dyDescent="0.25">
      <c r="A30" s="313" t="s">
        <v>370</v>
      </c>
      <c r="B30" s="312">
        <v>41645</v>
      </c>
      <c r="C30" s="446"/>
      <c r="D30" s="447" t="s">
        <v>246</v>
      </c>
      <c r="E30" s="918">
        <v>200</v>
      </c>
      <c r="F30" s="918"/>
      <c r="G30" s="167">
        <f t="shared" ref="G30:G35" si="3">G29-E30</f>
        <v>1627</v>
      </c>
      <c r="H30" s="667"/>
      <c r="I30" s="667"/>
      <c r="J30" s="667"/>
      <c r="K30" s="667"/>
      <c r="L30" s="667"/>
      <c r="M30" s="667"/>
      <c r="N30" s="168"/>
    </row>
    <row r="31" spans="1:20" s="3" customFormat="1" ht="26.25" customHeight="1" x14ac:dyDescent="0.25">
      <c r="A31" s="491" t="s">
        <v>465</v>
      </c>
      <c r="B31" s="492">
        <v>41703</v>
      </c>
      <c r="C31" s="446"/>
      <c r="D31" s="447" t="s">
        <v>246</v>
      </c>
      <c r="E31" s="845">
        <v>250</v>
      </c>
      <c r="F31" s="920"/>
      <c r="G31" s="167">
        <f t="shared" si="3"/>
        <v>1377</v>
      </c>
      <c r="H31" s="667"/>
      <c r="I31" s="667"/>
      <c r="J31" s="667"/>
      <c r="K31" s="667"/>
      <c r="L31" s="667"/>
      <c r="M31" s="667"/>
      <c r="N31" s="168"/>
    </row>
    <row r="32" spans="1:20" s="3" customFormat="1" ht="26.25" customHeight="1" x14ac:dyDescent="0.25">
      <c r="A32" s="491" t="s">
        <v>537</v>
      </c>
      <c r="B32" s="492">
        <v>41739</v>
      </c>
      <c r="C32" s="446"/>
      <c r="D32" s="447" t="s">
        <v>246</v>
      </c>
      <c r="E32" s="845">
        <v>300</v>
      </c>
      <c r="F32" s="920"/>
      <c r="G32" s="167">
        <f t="shared" si="3"/>
        <v>1077</v>
      </c>
      <c r="H32" s="667"/>
      <c r="I32" s="667"/>
      <c r="J32" s="667"/>
      <c r="K32" s="667"/>
      <c r="L32" s="667"/>
      <c r="M32" s="667"/>
      <c r="N32" s="168"/>
    </row>
    <row r="33" spans="1:14" s="3" customFormat="1" ht="26.25" customHeight="1" x14ac:dyDescent="0.25">
      <c r="A33" s="14" t="s">
        <v>563</v>
      </c>
      <c r="B33" s="15">
        <v>41768</v>
      </c>
      <c r="C33" s="446"/>
      <c r="D33" s="447" t="s">
        <v>246</v>
      </c>
      <c r="E33" s="845">
        <v>517</v>
      </c>
      <c r="F33" s="920"/>
      <c r="G33" s="167">
        <f t="shared" si="3"/>
        <v>560</v>
      </c>
      <c r="H33" s="667"/>
      <c r="I33" s="667"/>
      <c r="J33" s="667"/>
      <c r="K33" s="667"/>
      <c r="L33" s="667"/>
      <c r="M33" s="667"/>
      <c r="N33" s="168"/>
    </row>
    <row r="34" spans="1:14" s="3" customFormat="1" ht="26.25" customHeight="1" x14ac:dyDescent="0.25">
      <c r="A34" s="313" t="s">
        <v>592</v>
      </c>
      <c r="B34" s="312">
        <v>41793</v>
      </c>
      <c r="C34" s="446"/>
      <c r="D34" s="447" t="s">
        <v>246</v>
      </c>
      <c r="E34" s="918">
        <v>135</v>
      </c>
      <c r="F34" s="918"/>
      <c r="G34" s="167">
        <f t="shared" si="3"/>
        <v>425</v>
      </c>
      <c r="H34" s="209"/>
      <c r="I34" s="209"/>
      <c r="J34" s="209"/>
      <c r="K34" s="209"/>
      <c r="L34" s="209"/>
      <c r="M34" s="209"/>
      <c r="N34" s="168"/>
    </row>
    <row r="35" spans="1:14" s="3" customFormat="1" ht="26.25" customHeight="1" x14ac:dyDescent="0.25">
      <c r="A35" s="169"/>
      <c r="B35" s="166"/>
      <c r="C35" s="945"/>
      <c r="D35" s="945"/>
      <c r="E35" s="919"/>
      <c r="F35" s="919"/>
      <c r="G35" s="167">
        <f t="shared" si="3"/>
        <v>425</v>
      </c>
      <c r="H35" s="209"/>
      <c r="I35" s="209"/>
      <c r="J35" s="209"/>
      <c r="K35" s="209"/>
      <c r="L35" s="209"/>
      <c r="M35" s="209"/>
      <c r="N35" s="168"/>
    </row>
    <row r="36" spans="1:14" s="23" customFormat="1" ht="26.25" customHeight="1" thickBot="1" x14ac:dyDescent="0.3">
      <c r="A36" s="914" t="s">
        <v>36</v>
      </c>
      <c r="B36" s="915"/>
      <c r="C36" s="915"/>
      <c r="D36" s="915"/>
      <c r="E36" s="916">
        <f>SUM(E27:F35)</f>
        <v>2075</v>
      </c>
      <c r="F36" s="917"/>
      <c r="G36" s="171"/>
      <c r="H36" s="172"/>
      <c r="I36" s="172"/>
      <c r="J36" s="172"/>
      <c r="K36" s="172"/>
      <c r="L36" s="172"/>
      <c r="M36" s="172"/>
      <c r="N36" s="173"/>
    </row>
    <row r="37" spans="1:14" s="3" customFormat="1" ht="26.25" customHeight="1" thickTop="1" x14ac:dyDescent="0.25">
      <c r="A37" s="24"/>
      <c r="E37" s="844"/>
      <c r="F37" s="844"/>
    </row>
    <row r="38" spans="1:14" s="3" customFormat="1" ht="26.25" customHeight="1" x14ac:dyDescent="0.3">
      <c r="A38" s="25" t="s">
        <v>41</v>
      </c>
      <c r="B38" s="25"/>
      <c r="C38" s="25"/>
      <c r="D38" s="25" t="s">
        <v>81</v>
      </c>
      <c r="E38" s="25"/>
      <c r="F38" s="26"/>
      <c r="G38" s="25" t="s">
        <v>38</v>
      </c>
      <c r="H38" s="25"/>
      <c r="I38" s="25"/>
      <c r="J38" s="25"/>
      <c r="K38" s="25"/>
      <c r="L38" s="25" t="s">
        <v>39</v>
      </c>
      <c r="M38" s="28"/>
      <c r="N38" s="26"/>
    </row>
    <row r="39" spans="1:14" s="3" customFormat="1" ht="26.25" customHeight="1" x14ac:dyDescent="0.3">
      <c r="A39" s="25"/>
      <c r="B39" s="25"/>
      <c r="C39" s="25"/>
      <c r="D39" s="25"/>
      <c r="E39" s="25"/>
      <c r="F39" s="26"/>
      <c r="G39" s="25"/>
      <c r="H39" s="25"/>
      <c r="I39" s="25"/>
      <c r="J39" s="25"/>
      <c r="K39" s="25"/>
      <c r="L39" s="25"/>
      <c r="M39" s="28"/>
      <c r="N39" s="26"/>
    </row>
    <row r="40" spans="1:14" s="3" customFormat="1" ht="26.25" customHeight="1" x14ac:dyDescent="0.3">
      <c r="A40" s="25"/>
      <c r="B40" s="25"/>
      <c r="C40" s="25"/>
      <c r="D40" s="25"/>
      <c r="E40" s="25"/>
      <c r="F40" s="26"/>
      <c r="G40" s="25"/>
      <c r="H40" s="25"/>
      <c r="I40" s="25"/>
      <c r="J40" s="25"/>
      <c r="K40" s="25"/>
      <c r="L40" s="25"/>
      <c r="M40" s="28"/>
      <c r="N40" s="26"/>
    </row>
    <row r="41" spans="1:14" s="3" customFormat="1" ht="26.25" customHeight="1" x14ac:dyDescent="0.3">
      <c r="A41" s="25"/>
      <c r="B41" s="25"/>
      <c r="C41" s="25"/>
      <c r="D41" s="25"/>
      <c r="E41" s="25"/>
      <c r="F41" s="26"/>
      <c r="G41" s="25"/>
      <c r="H41" s="25"/>
      <c r="I41" s="25"/>
      <c r="J41" s="25"/>
      <c r="K41" s="25"/>
      <c r="L41" s="25"/>
      <c r="M41" s="28"/>
      <c r="N41" s="26"/>
    </row>
    <row r="42" spans="1:14" s="3" customFormat="1" ht="26.25" customHeight="1" x14ac:dyDescent="0.3">
      <c r="A42" s="29"/>
      <c r="B42" s="25"/>
      <c r="C42" s="25"/>
      <c r="D42" s="29"/>
      <c r="E42" s="29"/>
      <c r="F42" s="26"/>
      <c r="G42" s="29"/>
      <c r="H42" s="25"/>
      <c r="I42" s="25"/>
      <c r="J42" s="25"/>
      <c r="K42" s="25"/>
      <c r="L42" s="27"/>
      <c r="M42" s="28"/>
      <c r="N42" s="26"/>
    </row>
    <row r="43" spans="1:14" s="30" customFormat="1" ht="17.25" x14ac:dyDescent="0.3">
      <c r="A43" s="25" t="s">
        <v>48</v>
      </c>
      <c r="B43" s="25"/>
      <c r="C43" s="25" t="s">
        <v>80</v>
      </c>
      <c r="D43" s="25"/>
      <c r="G43" s="25" t="str">
        <f>B10</f>
        <v>Leang Sophanna</v>
      </c>
      <c r="H43" s="25"/>
      <c r="I43" s="25"/>
      <c r="J43" s="25"/>
      <c r="K43" s="829" t="s">
        <v>90</v>
      </c>
      <c r="L43" s="829"/>
      <c r="M43" s="829"/>
      <c r="N43" s="829"/>
    </row>
    <row r="44" spans="1:14" s="30" customFormat="1" ht="16.5" x14ac:dyDescent="0.3">
      <c r="A44" s="32"/>
    </row>
    <row r="45" spans="1:14" s="30" customFormat="1" ht="16.5" x14ac:dyDescent="0.3">
      <c r="A45" s="32"/>
    </row>
    <row r="46" spans="1:14" s="30" customFormat="1" ht="16.5" x14ac:dyDescent="0.3">
      <c r="A46" s="32"/>
    </row>
    <row r="47" spans="1:14" s="30" customFormat="1" ht="16.5" x14ac:dyDescent="0.3">
      <c r="A47" s="32"/>
    </row>
    <row r="48" spans="1:14" s="30" customFormat="1" ht="16.5" x14ac:dyDescent="0.3">
      <c r="A48" s="32"/>
    </row>
    <row r="49" spans="1:1" s="30" customFormat="1" ht="16.5" x14ac:dyDescent="0.3">
      <c r="A49" s="32"/>
    </row>
    <row r="50" spans="1:1" s="30" customFormat="1" ht="16.5" x14ac:dyDescent="0.3">
      <c r="A50" s="32"/>
    </row>
    <row r="51" spans="1:1" s="30" customFormat="1" ht="16.5" x14ac:dyDescent="0.3">
      <c r="A51" s="32"/>
    </row>
    <row r="52" spans="1:1" s="30" customFormat="1" ht="16.5" x14ac:dyDescent="0.3">
      <c r="A52" s="32"/>
    </row>
  </sheetData>
  <mergeCells count="33">
    <mergeCell ref="A36:D36"/>
    <mergeCell ref="E36:F36"/>
    <mergeCell ref="E37:F37"/>
    <mergeCell ref="K43:N43"/>
    <mergeCell ref="E29:F29"/>
    <mergeCell ref="E34:F34"/>
    <mergeCell ref="C35:D35"/>
    <mergeCell ref="E35:F35"/>
    <mergeCell ref="E30:F30"/>
    <mergeCell ref="E31:F31"/>
    <mergeCell ref="E32:F32"/>
    <mergeCell ref="E33:F33"/>
    <mergeCell ref="M25:N25"/>
    <mergeCell ref="A26:F26"/>
    <mergeCell ref="E27:F27"/>
    <mergeCell ref="E28:F28"/>
    <mergeCell ref="C25:D25"/>
    <mergeCell ref="E25:F25"/>
    <mergeCell ref="K25:L25"/>
    <mergeCell ref="A22:D22"/>
    <mergeCell ref="K22:L22"/>
    <mergeCell ref="A23:F23"/>
    <mergeCell ref="K23:L23"/>
    <mergeCell ref="A24:G24"/>
    <mergeCell ref="A1:XFD7"/>
    <mergeCell ref="A8:N8"/>
    <mergeCell ref="K9:L9"/>
    <mergeCell ref="B10:B21"/>
    <mergeCell ref="C10:C21"/>
    <mergeCell ref="K10:L10"/>
    <mergeCell ref="K11:L11"/>
    <mergeCell ref="K21:L21"/>
    <mergeCell ref="K17:L17"/>
  </mergeCells>
  <hyperlinks>
    <hyperlink ref="M25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1"/>
  <sheetViews>
    <sheetView zoomScale="80" workbookViewId="0">
      <pane ySplit="9" topLeftCell="A10" activePane="bottomLeft" state="frozen"/>
      <selection pane="bottomLeft" activeCell="E12" sqref="E12"/>
    </sheetView>
  </sheetViews>
  <sheetFormatPr defaultRowHeight="13.5" x14ac:dyDescent="0.25"/>
  <cols>
    <col min="1" max="1" width="15" style="33" customWidth="1"/>
    <col min="2" max="2" width="19.140625" style="1" customWidth="1"/>
    <col min="3" max="3" width="5.5703125" style="1" customWidth="1"/>
    <col min="4" max="4" width="24.7109375" style="1" customWidth="1"/>
    <col min="5" max="5" width="8.42578125" style="1" customWidth="1"/>
    <col min="6" max="6" width="10.85546875" style="1" customWidth="1"/>
    <col min="7" max="7" width="16.42578125" style="1" customWidth="1"/>
    <col min="8" max="8" width="7.285156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4.5703125" style="1" customWidth="1"/>
    <col min="14" max="14" width="10.28515625" style="1" bestFit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27" s="866" customFormat="1" ht="15" x14ac:dyDescent="0.25"/>
    <row r="2" spans="1:27" s="866" customFormat="1" ht="15" x14ac:dyDescent="0.25"/>
    <row r="3" spans="1:27" s="866" customFormat="1" ht="15" x14ac:dyDescent="0.25"/>
    <row r="4" spans="1:27" s="866" customFormat="1" ht="15" x14ac:dyDescent="0.25"/>
    <row r="5" spans="1:27" s="866" customFormat="1" ht="15" x14ac:dyDescent="0.25"/>
    <row r="6" spans="1:27" s="866" customFormat="1" ht="15" x14ac:dyDescent="0.25"/>
    <row r="7" spans="1:27" s="866" customFormat="1" ht="15.75" thickBot="1" x14ac:dyDescent="0.3"/>
    <row r="8" spans="1:27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27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27" s="59" customFormat="1" ht="26.25" customHeight="1" x14ac:dyDescent="0.25">
      <c r="A10" s="91">
        <v>1</v>
      </c>
      <c r="B10" s="890" t="s">
        <v>68</v>
      </c>
      <c r="C10" s="890" t="s">
        <v>31</v>
      </c>
      <c r="D10" s="53" t="s">
        <v>248</v>
      </c>
      <c r="E10" s="174">
        <f>24+21</f>
        <v>45</v>
      </c>
      <c r="F10" s="55">
        <v>8</v>
      </c>
      <c r="G10" s="56">
        <f>E10*F10</f>
        <v>360</v>
      </c>
      <c r="H10" s="174" t="s">
        <v>63</v>
      </c>
      <c r="I10" s="174">
        <v>3</v>
      </c>
      <c r="J10" s="174">
        <v>10</v>
      </c>
      <c r="K10" s="878" t="s">
        <v>74</v>
      </c>
      <c r="L10" s="879"/>
      <c r="M10" s="92">
        <v>41513</v>
      </c>
      <c r="N10" s="58"/>
      <c r="O10" s="931" t="s">
        <v>594</v>
      </c>
      <c r="P10" s="912"/>
      <c r="Q10" s="912"/>
      <c r="R10" s="912"/>
      <c r="S10" s="912"/>
      <c r="T10" s="912"/>
      <c r="U10" s="912"/>
      <c r="V10" s="912"/>
      <c r="W10" s="912"/>
      <c r="X10" s="912"/>
      <c r="Y10" s="912"/>
      <c r="Z10" s="912"/>
      <c r="AA10" s="912"/>
    </row>
    <row r="11" spans="1:27" s="59" customFormat="1" ht="26.25" customHeight="1" x14ac:dyDescent="0.25">
      <c r="A11" s="93">
        <v>2</v>
      </c>
      <c r="B11" s="891"/>
      <c r="C11" s="891"/>
      <c r="D11" s="53" t="s">
        <v>248</v>
      </c>
      <c r="E11" s="174">
        <f>24+21</f>
        <v>45</v>
      </c>
      <c r="F11" s="55">
        <v>8</v>
      </c>
      <c r="G11" s="56">
        <f t="shared" ref="G11:G12" si="0">E11*F11</f>
        <v>360</v>
      </c>
      <c r="H11" s="80" t="s">
        <v>98</v>
      </c>
      <c r="I11" s="80">
        <v>3</v>
      </c>
      <c r="J11" s="80">
        <v>10</v>
      </c>
      <c r="K11" s="876" t="s">
        <v>75</v>
      </c>
      <c r="L11" s="877"/>
      <c r="M11" s="94">
        <v>41513</v>
      </c>
      <c r="N11" s="84"/>
      <c r="O11" s="931"/>
      <c r="P11" s="912"/>
      <c r="Q11" s="912"/>
      <c r="R11" s="912"/>
      <c r="S11" s="912"/>
      <c r="T11" s="912"/>
      <c r="U11" s="912"/>
      <c r="V11" s="912"/>
      <c r="W11" s="912"/>
      <c r="X11" s="912"/>
      <c r="Y11" s="912"/>
      <c r="Z11" s="912"/>
      <c r="AA11" s="912"/>
    </row>
    <row r="12" spans="1:27" s="59" customFormat="1" ht="26.25" customHeight="1" x14ac:dyDescent="0.25">
      <c r="A12" s="93">
        <v>3</v>
      </c>
      <c r="B12" s="891"/>
      <c r="C12" s="891"/>
      <c r="D12" s="77" t="s">
        <v>350</v>
      </c>
      <c r="E12" s="80">
        <f>12+33</f>
        <v>45</v>
      </c>
      <c r="F12" s="55">
        <v>8</v>
      </c>
      <c r="G12" s="56">
        <f t="shared" si="0"/>
        <v>360</v>
      </c>
      <c r="H12" s="80" t="s">
        <v>53</v>
      </c>
      <c r="I12" s="80">
        <v>4</v>
      </c>
      <c r="J12" s="80">
        <v>9</v>
      </c>
      <c r="K12" s="876" t="s">
        <v>242</v>
      </c>
      <c r="L12" s="877"/>
      <c r="M12" s="94">
        <v>41629</v>
      </c>
      <c r="N12" s="84"/>
      <c r="O12" s="931"/>
      <c r="P12" s="912"/>
      <c r="Q12" s="912"/>
      <c r="R12" s="912"/>
      <c r="S12" s="912"/>
      <c r="T12" s="912"/>
      <c r="U12" s="912"/>
      <c r="V12" s="912"/>
      <c r="W12" s="912"/>
      <c r="X12" s="912"/>
      <c r="Y12" s="912"/>
      <c r="Z12" s="912"/>
      <c r="AA12" s="912"/>
    </row>
    <row r="13" spans="1:27" s="59" customFormat="1" ht="26.25" customHeight="1" x14ac:dyDescent="0.25">
      <c r="A13" s="93">
        <v>4</v>
      </c>
      <c r="B13" s="891"/>
      <c r="C13" s="891"/>
      <c r="D13" s="77" t="s">
        <v>431</v>
      </c>
      <c r="E13" s="80">
        <f>33+12</f>
        <v>45</v>
      </c>
      <c r="F13" s="55">
        <v>8</v>
      </c>
      <c r="G13" s="56">
        <f>E13*F13</f>
        <v>360</v>
      </c>
      <c r="H13" s="80" t="s">
        <v>432</v>
      </c>
      <c r="I13" s="80">
        <v>3</v>
      </c>
      <c r="J13" s="80">
        <v>10</v>
      </c>
      <c r="K13" s="876" t="s">
        <v>242</v>
      </c>
      <c r="L13" s="877"/>
      <c r="M13" s="94">
        <v>41671</v>
      </c>
      <c r="N13" s="84"/>
      <c r="O13" s="931"/>
      <c r="P13" s="912"/>
      <c r="Q13" s="912"/>
      <c r="R13" s="912"/>
      <c r="S13" s="912"/>
      <c r="T13" s="912"/>
      <c r="U13" s="912"/>
      <c r="V13" s="912"/>
      <c r="W13" s="912"/>
      <c r="X13" s="912"/>
      <c r="Y13" s="912"/>
      <c r="Z13" s="912"/>
      <c r="AA13" s="912"/>
    </row>
    <row r="14" spans="1:27" s="783" customFormat="1" ht="26.25" customHeight="1" x14ac:dyDescent="0.25">
      <c r="A14" s="93"/>
      <c r="B14" s="891"/>
      <c r="C14" s="891"/>
      <c r="D14" s="77"/>
      <c r="E14" s="80"/>
      <c r="F14" s="55"/>
      <c r="G14" s="56">
        <f t="shared" ref="G14:G18" si="1">E14*F14</f>
        <v>0</v>
      </c>
      <c r="H14" s="80"/>
      <c r="I14" s="80"/>
      <c r="J14" s="80"/>
      <c r="K14" s="780"/>
      <c r="L14" s="781"/>
      <c r="M14" s="94"/>
      <c r="N14" s="84"/>
      <c r="O14" s="931"/>
      <c r="P14" s="912"/>
      <c r="Q14" s="912"/>
      <c r="R14" s="912"/>
      <c r="S14" s="912"/>
      <c r="T14" s="912"/>
      <c r="U14" s="912"/>
      <c r="V14" s="912"/>
      <c r="W14" s="912"/>
      <c r="X14" s="912"/>
      <c r="Y14" s="912"/>
      <c r="Z14" s="912"/>
      <c r="AA14" s="912"/>
    </row>
    <row r="15" spans="1:27" s="783" customFormat="1" ht="26.25" customHeight="1" x14ac:dyDescent="0.25">
      <c r="A15" s="93"/>
      <c r="B15" s="891"/>
      <c r="C15" s="891"/>
      <c r="D15" s="77" t="s">
        <v>578</v>
      </c>
      <c r="E15" s="80">
        <f>12+12</f>
        <v>24</v>
      </c>
      <c r="F15" s="55">
        <v>8</v>
      </c>
      <c r="G15" s="56">
        <f t="shared" si="1"/>
        <v>192</v>
      </c>
      <c r="H15" s="80" t="s">
        <v>107</v>
      </c>
      <c r="I15" s="80">
        <v>3</v>
      </c>
      <c r="J15" s="80">
        <v>10</v>
      </c>
      <c r="K15" s="876" t="s">
        <v>242</v>
      </c>
      <c r="L15" s="877"/>
      <c r="M15" s="94">
        <v>41769</v>
      </c>
      <c r="N15" s="84"/>
      <c r="O15" s="931"/>
      <c r="P15" s="912"/>
      <c r="Q15" s="912"/>
      <c r="R15" s="912"/>
      <c r="S15" s="912"/>
      <c r="T15" s="912"/>
      <c r="U15" s="912"/>
      <c r="V15" s="912"/>
      <c r="W15" s="912"/>
      <c r="X15" s="912"/>
      <c r="Y15" s="912"/>
      <c r="Z15" s="912"/>
      <c r="AA15" s="912"/>
    </row>
    <row r="16" spans="1:27" s="783" customFormat="1" ht="26.25" customHeight="1" x14ac:dyDescent="0.25">
      <c r="A16" s="93"/>
      <c r="B16" s="891"/>
      <c r="C16" s="891"/>
      <c r="D16" s="77"/>
      <c r="E16" s="80"/>
      <c r="F16" s="55"/>
      <c r="G16" s="56">
        <f t="shared" si="1"/>
        <v>0</v>
      </c>
      <c r="H16" s="80"/>
      <c r="I16" s="80"/>
      <c r="J16" s="80"/>
      <c r="K16" s="876"/>
      <c r="L16" s="877"/>
      <c r="M16" s="94"/>
      <c r="N16" s="84"/>
      <c r="O16" s="931"/>
      <c r="P16" s="912"/>
      <c r="Q16" s="912"/>
      <c r="R16" s="912"/>
      <c r="S16" s="912"/>
      <c r="T16" s="912"/>
      <c r="U16" s="912"/>
      <c r="V16" s="912"/>
      <c r="W16" s="912"/>
      <c r="X16" s="912"/>
      <c r="Y16" s="912"/>
      <c r="Z16" s="912"/>
      <c r="AA16" s="912"/>
    </row>
    <row r="17" spans="1:14" s="783" customFormat="1" ht="26.25" customHeight="1" x14ac:dyDescent="0.25">
      <c r="A17" s="93"/>
      <c r="B17" s="891"/>
      <c r="C17" s="891"/>
      <c r="D17" s="77"/>
      <c r="E17" s="80"/>
      <c r="F17" s="55"/>
      <c r="G17" s="56">
        <f t="shared" si="1"/>
        <v>0</v>
      </c>
      <c r="H17" s="80"/>
      <c r="I17" s="80"/>
      <c r="J17" s="80"/>
      <c r="K17" s="876"/>
      <c r="L17" s="877"/>
      <c r="M17" s="94"/>
      <c r="N17" s="84"/>
    </row>
    <row r="18" spans="1:14" s="783" customFormat="1" ht="26.25" customHeight="1" x14ac:dyDescent="0.25">
      <c r="A18" s="93"/>
      <c r="B18" s="891"/>
      <c r="C18" s="891"/>
      <c r="D18" s="77"/>
      <c r="E18" s="80"/>
      <c r="F18" s="55"/>
      <c r="G18" s="56">
        <f t="shared" si="1"/>
        <v>0</v>
      </c>
      <c r="H18" s="80"/>
      <c r="I18" s="80"/>
      <c r="J18" s="80"/>
      <c r="K18" s="876"/>
      <c r="L18" s="877"/>
      <c r="M18" s="94"/>
      <c r="N18" s="84"/>
    </row>
    <row r="19" spans="1:14" s="59" customFormat="1" ht="26.25" customHeight="1" x14ac:dyDescent="0.25">
      <c r="A19" s="93"/>
      <c r="B19" s="891"/>
      <c r="C19" s="891"/>
      <c r="D19" s="77"/>
      <c r="E19" s="80"/>
      <c r="F19" s="55"/>
      <c r="G19" s="56">
        <f>E19*F19</f>
        <v>0</v>
      </c>
      <c r="H19" s="80"/>
      <c r="I19" s="80"/>
      <c r="J19" s="80"/>
      <c r="K19" s="876"/>
      <c r="L19" s="877"/>
      <c r="M19" s="94"/>
      <c r="N19" s="84"/>
    </row>
    <row r="20" spans="1:14" s="59" customFormat="1" ht="26.25" customHeight="1" x14ac:dyDescent="0.25">
      <c r="A20" s="925" t="s">
        <v>11</v>
      </c>
      <c r="B20" s="926"/>
      <c r="C20" s="926"/>
      <c r="D20" s="926"/>
      <c r="E20" s="178">
        <f>SUM(E10:E19)</f>
        <v>204</v>
      </c>
      <c r="F20" s="76">
        <v>8</v>
      </c>
      <c r="G20" s="56">
        <f>E20*F20</f>
        <v>1632</v>
      </c>
      <c r="H20" s="175"/>
      <c r="I20" s="175"/>
      <c r="J20" s="175"/>
      <c r="K20" s="876"/>
      <c r="L20" s="877"/>
      <c r="M20" s="175"/>
      <c r="N20" s="63"/>
    </row>
    <row r="21" spans="1:14" s="59" customFormat="1" ht="26.25" customHeight="1" x14ac:dyDescent="0.25">
      <c r="A21" s="927" t="s">
        <v>24</v>
      </c>
      <c r="B21" s="928"/>
      <c r="C21" s="928"/>
      <c r="D21" s="928"/>
      <c r="E21" s="928"/>
      <c r="F21" s="928"/>
      <c r="G21" s="64">
        <f>G20</f>
        <v>1632</v>
      </c>
      <c r="H21" s="179"/>
      <c r="I21" s="179"/>
      <c r="J21" s="179"/>
      <c r="K21" s="859"/>
      <c r="L21" s="860"/>
      <c r="M21" s="179"/>
      <c r="N21" s="66"/>
    </row>
    <row r="22" spans="1:14" s="48" customFormat="1" ht="26.25" customHeight="1" x14ac:dyDescent="0.25">
      <c r="A22" s="929" t="s">
        <v>32</v>
      </c>
      <c r="B22" s="930"/>
      <c r="C22" s="930"/>
      <c r="D22" s="930"/>
      <c r="E22" s="930"/>
      <c r="F22" s="930"/>
      <c r="G22" s="900"/>
      <c r="H22" s="67"/>
      <c r="I22" s="67"/>
      <c r="J22" s="68" t="s">
        <v>44</v>
      </c>
      <c r="K22" s="67"/>
      <c r="L22" s="68"/>
      <c r="M22" s="69"/>
      <c r="N22" s="70"/>
    </row>
    <row r="23" spans="1:14" s="48" customFormat="1" ht="22.5" customHeight="1" thickBot="1" x14ac:dyDescent="0.3">
      <c r="A23" s="72" t="s">
        <v>5</v>
      </c>
      <c r="B23" s="71" t="s">
        <v>33</v>
      </c>
      <c r="C23" s="857" t="s">
        <v>21</v>
      </c>
      <c r="D23" s="858"/>
      <c r="E23" s="857" t="s">
        <v>34</v>
      </c>
      <c r="F23" s="858"/>
      <c r="G23" s="71" t="s">
        <v>0</v>
      </c>
      <c r="H23" s="71" t="s">
        <v>96</v>
      </c>
      <c r="I23" s="71" t="s">
        <v>26</v>
      </c>
      <c r="J23" s="71" t="s">
        <v>27</v>
      </c>
      <c r="K23" s="863" t="s">
        <v>28</v>
      </c>
      <c r="L23" s="857"/>
      <c r="M23" s="901" t="s">
        <v>43</v>
      </c>
      <c r="N23" s="902"/>
    </row>
    <row r="24" spans="1:14" s="3" customFormat="1" ht="26.25" customHeight="1" x14ac:dyDescent="0.25">
      <c r="A24" s="922" t="s">
        <v>35</v>
      </c>
      <c r="B24" s="923"/>
      <c r="C24" s="923"/>
      <c r="D24" s="923"/>
      <c r="E24" s="923"/>
      <c r="F24" s="923"/>
      <c r="G24" s="162">
        <f>G21</f>
        <v>1632</v>
      </c>
      <c r="H24" s="163"/>
      <c r="I24" s="163"/>
      <c r="J24" s="163"/>
      <c r="K24" s="163"/>
      <c r="L24" s="163"/>
      <c r="M24" s="163"/>
      <c r="N24" s="164"/>
    </row>
    <row r="25" spans="1:14" s="3" customFormat="1" ht="26.25" customHeight="1" x14ac:dyDescent="0.25">
      <c r="A25" s="366" t="s">
        <v>263</v>
      </c>
      <c r="B25" s="367">
        <v>41549</v>
      </c>
      <c r="C25" s="53"/>
      <c r="D25" s="53" t="s">
        <v>248</v>
      </c>
      <c r="E25" s="918">
        <v>100</v>
      </c>
      <c r="F25" s="918"/>
      <c r="G25" s="167">
        <f>G24-E25</f>
        <v>1532</v>
      </c>
      <c r="H25" s="180"/>
      <c r="I25" s="180"/>
      <c r="J25" s="180"/>
      <c r="K25" s="180"/>
      <c r="L25" s="180"/>
      <c r="M25" s="180"/>
      <c r="N25" s="168"/>
    </row>
    <row r="26" spans="1:14" s="3" customFormat="1" ht="26.25" customHeight="1" x14ac:dyDescent="0.25">
      <c r="A26" s="366" t="s">
        <v>300</v>
      </c>
      <c r="B26" s="367">
        <v>41578</v>
      </c>
      <c r="C26" s="53"/>
      <c r="D26" s="53" t="s">
        <v>248</v>
      </c>
      <c r="E26" s="918">
        <v>310</v>
      </c>
      <c r="F26" s="918"/>
      <c r="G26" s="167">
        <f>G25-E26</f>
        <v>1222</v>
      </c>
      <c r="H26" s="180"/>
      <c r="I26" s="180"/>
      <c r="J26" s="180"/>
      <c r="K26" s="180"/>
      <c r="L26" s="180"/>
      <c r="M26" s="180"/>
      <c r="N26" s="168"/>
    </row>
    <row r="27" spans="1:14" s="3" customFormat="1" ht="26.25" customHeight="1" x14ac:dyDescent="0.25">
      <c r="A27" s="366" t="s">
        <v>321</v>
      </c>
      <c r="B27" s="367">
        <v>41612</v>
      </c>
      <c r="C27" s="53"/>
      <c r="D27" s="53" t="s">
        <v>248</v>
      </c>
      <c r="E27" s="918">
        <v>150</v>
      </c>
      <c r="F27" s="918"/>
      <c r="G27" s="167">
        <f>G26-E27</f>
        <v>1072</v>
      </c>
      <c r="H27" s="667"/>
      <c r="I27" s="667"/>
      <c r="J27" s="667"/>
      <c r="K27" s="667"/>
      <c r="L27" s="667"/>
      <c r="M27" s="667"/>
      <c r="N27" s="168"/>
    </row>
    <row r="28" spans="1:14" s="3" customFormat="1" ht="26.25" customHeight="1" x14ac:dyDescent="0.25">
      <c r="A28" s="313" t="s">
        <v>370</v>
      </c>
      <c r="B28" s="312">
        <v>41645</v>
      </c>
      <c r="C28" s="53"/>
      <c r="D28" s="53" t="s">
        <v>248</v>
      </c>
      <c r="E28" s="918">
        <v>100</v>
      </c>
      <c r="F28" s="918"/>
      <c r="G28" s="167">
        <f>G27-E28</f>
        <v>972</v>
      </c>
      <c r="H28" s="667"/>
      <c r="I28" s="667"/>
      <c r="J28" s="667"/>
      <c r="K28" s="667"/>
      <c r="L28" s="667"/>
      <c r="M28" s="667"/>
      <c r="N28" s="168"/>
    </row>
    <row r="29" spans="1:14" s="3" customFormat="1" ht="26.25" customHeight="1" x14ac:dyDescent="0.25">
      <c r="A29" s="366" t="s">
        <v>465</v>
      </c>
      <c r="B29" s="367">
        <v>41703</v>
      </c>
      <c r="C29" s="53"/>
      <c r="D29" s="53" t="s">
        <v>248</v>
      </c>
      <c r="E29" s="845">
        <v>200</v>
      </c>
      <c r="F29" s="920"/>
      <c r="G29" s="167">
        <f>G28-E29</f>
        <v>772</v>
      </c>
      <c r="H29" s="667"/>
      <c r="I29" s="667"/>
      <c r="J29" s="667"/>
      <c r="K29" s="667"/>
      <c r="L29" s="667"/>
      <c r="M29" s="667"/>
      <c r="N29" s="168"/>
    </row>
    <row r="30" spans="1:14" s="3" customFormat="1" ht="26.25" customHeight="1" x14ac:dyDescent="0.25">
      <c r="A30" s="366" t="s">
        <v>537</v>
      </c>
      <c r="B30" s="367">
        <v>41739</v>
      </c>
      <c r="C30" s="53"/>
      <c r="D30" s="53" t="s">
        <v>248</v>
      </c>
      <c r="E30" s="845">
        <v>200</v>
      </c>
      <c r="F30" s="920"/>
      <c r="G30" s="167">
        <f t="shared" ref="G30" si="2">G29-E30</f>
        <v>572</v>
      </c>
      <c r="H30" s="667"/>
      <c r="I30" s="667"/>
      <c r="J30" s="667"/>
      <c r="K30" s="667"/>
      <c r="L30" s="667"/>
      <c r="M30" s="667"/>
      <c r="N30" s="168"/>
    </row>
    <row r="31" spans="1:14" s="3" customFormat="1" ht="26.25" customHeight="1" x14ac:dyDescent="0.25">
      <c r="A31" s="14" t="s">
        <v>563</v>
      </c>
      <c r="B31" s="15">
        <v>41768</v>
      </c>
      <c r="C31" s="53"/>
      <c r="D31" s="53" t="s">
        <v>248</v>
      </c>
      <c r="E31" s="845">
        <v>380</v>
      </c>
      <c r="F31" s="920"/>
      <c r="G31" s="167">
        <f>G30-E31</f>
        <v>192</v>
      </c>
      <c r="H31" s="667"/>
      <c r="I31" s="667"/>
      <c r="J31" s="667"/>
      <c r="K31" s="667"/>
      <c r="L31" s="667"/>
      <c r="M31" s="667"/>
      <c r="N31" s="168"/>
    </row>
    <row r="32" spans="1:14" s="3" customFormat="1" ht="26.25" customHeight="1" x14ac:dyDescent="0.25">
      <c r="A32" s="14" t="s">
        <v>592</v>
      </c>
      <c r="B32" s="15">
        <v>41793</v>
      </c>
      <c r="C32" s="53"/>
      <c r="D32" s="53" t="s">
        <v>248</v>
      </c>
      <c r="E32" s="918">
        <v>90</v>
      </c>
      <c r="F32" s="918"/>
      <c r="G32" s="167">
        <f>G31-E32</f>
        <v>102</v>
      </c>
      <c r="H32" s="180"/>
      <c r="I32" s="180"/>
      <c r="J32" s="180"/>
      <c r="K32" s="180"/>
      <c r="L32" s="180"/>
      <c r="M32" s="180"/>
      <c r="N32" s="168"/>
    </row>
    <row r="33" spans="1:14" s="3" customFormat="1" ht="26.25" customHeight="1" x14ac:dyDescent="0.25">
      <c r="A33" s="313"/>
      <c r="B33" s="312"/>
      <c r="C33" s="53"/>
      <c r="D33" s="53"/>
      <c r="E33" s="918"/>
      <c r="F33" s="918"/>
      <c r="G33" s="167">
        <f>G32-E33</f>
        <v>102</v>
      </c>
      <c r="H33" s="180"/>
      <c r="I33" s="180"/>
      <c r="J33" s="180"/>
      <c r="K33" s="180"/>
      <c r="L33" s="180"/>
      <c r="M33" s="180"/>
      <c r="N33" s="168"/>
    </row>
    <row r="34" spans="1:14" s="3" customFormat="1" ht="26.25" customHeight="1" x14ac:dyDescent="0.25">
      <c r="A34" s="169"/>
      <c r="B34" s="166"/>
      <c r="C34" s="945"/>
      <c r="D34" s="945"/>
      <c r="E34" s="919"/>
      <c r="F34" s="919"/>
      <c r="G34" s="167">
        <f>G33-E34</f>
        <v>102</v>
      </c>
      <c r="H34" s="180"/>
      <c r="I34" s="180"/>
      <c r="J34" s="180"/>
      <c r="K34" s="180"/>
      <c r="L34" s="180"/>
      <c r="M34" s="180"/>
      <c r="N34" s="168"/>
    </row>
    <row r="35" spans="1:14" s="23" customFormat="1" ht="26.25" customHeight="1" thickBot="1" x14ac:dyDescent="0.3">
      <c r="A35" s="914" t="s">
        <v>36</v>
      </c>
      <c r="B35" s="915"/>
      <c r="C35" s="915"/>
      <c r="D35" s="915"/>
      <c r="E35" s="916">
        <f>SUM(E25:F34)</f>
        <v>1530</v>
      </c>
      <c r="F35" s="917"/>
      <c r="G35" s="171"/>
      <c r="H35" s="172"/>
      <c r="I35" s="172"/>
      <c r="J35" s="172"/>
      <c r="K35" s="172"/>
      <c r="L35" s="172"/>
      <c r="M35" s="172"/>
      <c r="N35" s="173"/>
    </row>
    <row r="36" spans="1:14" s="3" customFormat="1" ht="26.25" customHeight="1" thickTop="1" x14ac:dyDescent="0.25">
      <c r="A36" s="24"/>
      <c r="E36" s="844"/>
      <c r="F36" s="844"/>
    </row>
    <row r="37" spans="1:14" s="3" customFormat="1" ht="26.25" customHeight="1" x14ac:dyDescent="0.3">
      <c r="A37" s="25" t="s">
        <v>41</v>
      </c>
      <c r="B37" s="25"/>
      <c r="C37" s="25"/>
      <c r="D37" s="25" t="s">
        <v>81</v>
      </c>
      <c r="E37" s="25"/>
      <c r="F37" s="26"/>
      <c r="G37" s="25" t="s">
        <v>38</v>
      </c>
      <c r="H37" s="25"/>
      <c r="I37" s="25"/>
      <c r="J37" s="25"/>
      <c r="K37" s="25"/>
      <c r="L37" s="25" t="s">
        <v>39</v>
      </c>
      <c r="M37" s="28"/>
      <c r="N37" s="26"/>
    </row>
    <row r="38" spans="1:14" s="3" customFormat="1" ht="26.25" customHeight="1" x14ac:dyDescent="0.3">
      <c r="A38" s="25"/>
      <c r="B38" s="25"/>
      <c r="C38" s="25"/>
      <c r="D38" s="25"/>
      <c r="E38" s="25"/>
      <c r="F38" s="26"/>
      <c r="G38" s="25"/>
      <c r="H38" s="25"/>
      <c r="I38" s="25"/>
      <c r="J38" s="25"/>
      <c r="K38" s="25"/>
      <c r="L38" s="25"/>
      <c r="M38" s="28"/>
      <c r="N38" s="26"/>
    </row>
    <row r="39" spans="1:14" s="3" customFormat="1" ht="26.25" customHeight="1" x14ac:dyDescent="0.3">
      <c r="A39" s="25"/>
      <c r="B39" s="25"/>
      <c r="C39" s="25"/>
      <c r="D39" s="25"/>
      <c r="E39" s="25"/>
      <c r="F39" s="26"/>
      <c r="G39" s="25"/>
      <c r="H39" s="25"/>
      <c r="I39" s="25"/>
      <c r="J39" s="25"/>
      <c r="K39" s="25"/>
      <c r="L39" s="25"/>
      <c r="M39" s="28"/>
      <c r="N39" s="26"/>
    </row>
    <row r="40" spans="1:14" s="3" customFormat="1" ht="26.25" customHeight="1" x14ac:dyDescent="0.3">
      <c r="A40" s="25"/>
      <c r="B40" s="25"/>
      <c r="C40" s="25"/>
      <c r="D40" s="25"/>
      <c r="E40" s="25"/>
      <c r="F40" s="26"/>
      <c r="G40" s="25"/>
      <c r="H40" s="25"/>
      <c r="I40" s="25"/>
      <c r="J40" s="25"/>
      <c r="K40" s="25"/>
      <c r="L40" s="25"/>
      <c r="M40" s="28"/>
      <c r="N40" s="26"/>
    </row>
    <row r="41" spans="1:14" s="3" customFormat="1" ht="26.25" customHeight="1" x14ac:dyDescent="0.3">
      <c r="A41" s="29"/>
      <c r="B41" s="25"/>
      <c r="C41" s="25"/>
      <c r="D41" s="29"/>
      <c r="E41" s="29"/>
      <c r="F41" s="26"/>
      <c r="G41" s="29"/>
      <c r="H41" s="25"/>
      <c r="I41" s="25"/>
      <c r="J41" s="25"/>
      <c r="K41" s="25"/>
      <c r="L41" s="27"/>
      <c r="M41" s="28"/>
      <c r="N41" s="26"/>
    </row>
    <row r="42" spans="1:14" s="30" customFormat="1" ht="17.25" x14ac:dyDescent="0.3">
      <c r="A42" s="25" t="s">
        <v>48</v>
      </c>
      <c r="B42" s="25"/>
      <c r="C42" s="25" t="s">
        <v>80</v>
      </c>
      <c r="D42" s="25"/>
      <c r="G42" s="25" t="str">
        <f>B10</f>
        <v>Chea Cheurn</v>
      </c>
      <c r="H42" s="25"/>
      <c r="I42" s="25"/>
      <c r="J42" s="25"/>
      <c r="K42" s="829" t="s">
        <v>90</v>
      </c>
      <c r="L42" s="829"/>
      <c r="M42" s="829"/>
      <c r="N42" s="829"/>
    </row>
    <row r="43" spans="1:14" s="30" customFormat="1" ht="16.5" x14ac:dyDescent="0.3">
      <c r="A43" s="32"/>
    </row>
    <row r="44" spans="1:14" s="30" customFormat="1" ht="16.5" x14ac:dyDescent="0.3">
      <c r="A44" s="32"/>
    </row>
    <row r="45" spans="1:14" s="30" customFormat="1" ht="16.5" x14ac:dyDescent="0.3">
      <c r="A45" s="32"/>
    </row>
    <row r="46" spans="1:14" s="30" customFormat="1" ht="16.5" x14ac:dyDescent="0.3">
      <c r="A46" s="32"/>
    </row>
    <row r="47" spans="1:14" s="30" customFormat="1" ht="16.5" x14ac:dyDescent="0.3">
      <c r="A47" s="32"/>
    </row>
    <row r="48" spans="1:14" s="30" customFormat="1" ht="16.5" x14ac:dyDescent="0.3">
      <c r="A48" s="32"/>
    </row>
    <row r="49" spans="1:1" s="30" customFormat="1" ht="16.5" x14ac:dyDescent="0.3">
      <c r="A49" s="32"/>
    </row>
    <row r="50" spans="1:1" s="30" customFormat="1" ht="16.5" x14ac:dyDescent="0.3">
      <c r="A50" s="32"/>
    </row>
    <row r="51" spans="1:1" s="30" customFormat="1" ht="16.5" x14ac:dyDescent="0.3">
      <c r="A51" s="32"/>
    </row>
  </sheetData>
  <mergeCells count="40">
    <mergeCell ref="O10:AA16"/>
    <mergeCell ref="K15:L15"/>
    <mergeCell ref="K16:L16"/>
    <mergeCell ref="K18:L18"/>
    <mergeCell ref="K17:L17"/>
    <mergeCell ref="K13:L13"/>
    <mergeCell ref="K42:N42"/>
    <mergeCell ref="A1:XFD7"/>
    <mergeCell ref="A8:N8"/>
    <mergeCell ref="K9:L9"/>
    <mergeCell ref="B10:B19"/>
    <mergeCell ref="C10:C19"/>
    <mergeCell ref="K10:L10"/>
    <mergeCell ref="K19:L19"/>
    <mergeCell ref="K11:L11"/>
    <mergeCell ref="K12:L12"/>
    <mergeCell ref="A20:D20"/>
    <mergeCell ref="K20:L20"/>
    <mergeCell ref="A21:F21"/>
    <mergeCell ref="K21:L21"/>
    <mergeCell ref="A22:G22"/>
    <mergeCell ref="M23:N23"/>
    <mergeCell ref="C23:D23"/>
    <mergeCell ref="E23:F23"/>
    <mergeCell ref="K23:L23"/>
    <mergeCell ref="A35:D35"/>
    <mergeCell ref="E35:F35"/>
    <mergeCell ref="A24:F24"/>
    <mergeCell ref="E25:F25"/>
    <mergeCell ref="E26:F26"/>
    <mergeCell ref="E27:F27"/>
    <mergeCell ref="E28:F28"/>
    <mergeCell ref="E29:F29"/>
    <mergeCell ref="E30:F30"/>
    <mergeCell ref="E31:F31"/>
    <mergeCell ref="E36:F36"/>
    <mergeCell ref="E32:F32"/>
    <mergeCell ref="E33:F33"/>
    <mergeCell ref="C34:D34"/>
    <mergeCell ref="E34:F34"/>
  </mergeCells>
  <hyperlinks>
    <hyperlink ref="M23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4"/>
  <sheetViews>
    <sheetView zoomScale="80"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O10" sqref="O10:V14"/>
    </sheetView>
  </sheetViews>
  <sheetFormatPr defaultRowHeight="13.5" x14ac:dyDescent="0.25"/>
  <cols>
    <col min="1" max="1" width="15" style="33" customWidth="1"/>
    <col min="2" max="2" width="19.140625" style="1" customWidth="1"/>
    <col min="3" max="3" width="7.5703125" style="1" customWidth="1"/>
    <col min="4" max="4" width="23.85546875" style="1" customWidth="1"/>
    <col min="5" max="5" width="8.42578125" style="1" customWidth="1"/>
    <col min="6" max="6" width="8.28515625" style="1" customWidth="1"/>
    <col min="7" max="7" width="15.28515625" style="1" bestFit="1" customWidth="1"/>
    <col min="8" max="8" width="6" style="1" customWidth="1"/>
    <col min="9" max="9" width="3.85546875" style="1" customWidth="1"/>
    <col min="10" max="10" width="5" style="1" customWidth="1"/>
    <col min="11" max="12" width="7.140625" style="1" customWidth="1"/>
    <col min="13" max="13" width="13.7109375" style="1" customWidth="1"/>
    <col min="14" max="14" width="7.28515625" style="1" bestFit="1" customWidth="1"/>
    <col min="15" max="256" width="8.8554687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8.8554687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8.8554687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8.8554687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8.8554687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8.8554687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8.8554687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8.8554687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8.8554687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8.8554687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8.8554687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8.8554687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8.8554687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8.8554687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8.8554687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8.8554687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8.8554687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8.8554687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8.8554687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8.8554687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8.8554687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8.8554687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8.8554687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8.8554687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8.8554687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8.8554687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8.8554687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8.8554687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8.8554687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8.8554687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8.8554687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8.8554687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8.8554687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8.8554687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8.8554687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8.8554687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8.8554687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8.8554687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8.8554687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8.8554687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8.8554687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8.8554687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8.8554687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8.8554687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8.8554687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8.8554687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8.8554687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8.8554687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8.8554687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8.8554687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8.8554687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8.8554687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8.8554687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8.8554687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8.8554687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8.8554687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8.8554687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8.8554687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8.8554687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8.8554687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8.8554687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8.8554687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8.8554687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8.85546875" style="1"/>
  </cols>
  <sheetData>
    <row r="1" spans="1:22" s="866" customFormat="1" ht="15" x14ac:dyDescent="0.25"/>
    <row r="2" spans="1:22" s="866" customFormat="1" ht="15" x14ac:dyDescent="0.25"/>
    <row r="3" spans="1:22" s="866" customFormat="1" ht="15" x14ac:dyDescent="0.25"/>
    <row r="4" spans="1:22" s="866" customFormat="1" ht="15" x14ac:dyDescent="0.25"/>
    <row r="5" spans="1:22" s="866" customFormat="1" ht="15" x14ac:dyDescent="0.25"/>
    <row r="6" spans="1:22" s="866" customFormat="1" ht="15" x14ac:dyDescent="0.25"/>
    <row r="7" spans="1:22" s="866" customFormat="1" ht="15.75" thickBot="1" x14ac:dyDescent="0.3"/>
    <row r="8" spans="1:22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22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22" s="59" customFormat="1" ht="26.25" customHeight="1" x14ac:dyDescent="0.25">
      <c r="A10" s="102">
        <v>1</v>
      </c>
      <c r="B10" s="890" t="s">
        <v>250</v>
      </c>
      <c r="C10" s="890" t="s">
        <v>31</v>
      </c>
      <c r="D10" s="53" t="s">
        <v>249</v>
      </c>
      <c r="E10" s="54">
        <f>15+9+9+12</f>
        <v>45</v>
      </c>
      <c r="F10" s="55">
        <v>7</v>
      </c>
      <c r="G10" s="56">
        <f>E10*F10</f>
        <v>315</v>
      </c>
      <c r="H10" s="54" t="s">
        <v>107</v>
      </c>
      <c r="I10" s="54">
        <v>3</v>
      </c>
      <c r="J10" s="54">
        <v>10</v>
      </c>
      <c r="K10" s="878" t="s">
        <v>74</v>
      </c>
      <c r="L10" s="879"/>
      <c r="M10" s="99">
        <v>41513</v>
      </c>
      <c r="N10" s="58"/>
      <c r="O10" s="931" t="s">
        <v>366</v>
      </c>
      <c r="P10" s="932"/>
      <c r="Q10" s="932"/>
      <c r="R10" s="932"/>
      <c r="S10" s="932"/>
      <c r="T10" s="932"/>
      <c r="U10" s="932"/>
      <c r="V10" s="932"/>
    </row>
    <row r="11" spans="1:22" s="59" customFormat="1" ht="26.25" customHeight="1" x14ac:dyDescent="0.25">
      <c r="A11" s="119">
        <v>2</v>
      </c>
      <c r="B11" s="891"/>
      <c r="C11" s="891"/>
      <c r="D11" s="53" t="s">
        <v>249</v>
      </c>
      <c r="E11" s="60">
        <f>15+9+12+9</f>
        <v>45</v>
      </c>
      <c r="F11" s="113">
        <v>7</v>
      </c>
      <c r="G11" s="56">
        <f t="shared" ref="G11:G14" si="0">E11*F11</f>
        <v>315</v>
      </c>
      <c r="H11" s="80" t="s">
        <v>64</v>
      </c>
      <c r="I11" s="151">
        <v>3</v>
      </c>
      <c r="J11" s="151">
        <v>10</v>
      </c>
      <c r="K11" s="876" t="s">
        <v>74</v>
      </c>
      <c r="L11" s="877"/>
      <c r="M11" s="78">
        <v>41512</v>
      </c>
      <c r="N11" s="84"/>
      <c r="O11" s="931"/>
      <c r="P11" s="932"/>
      <c r="Q11" s="932"/>
      <c r="R11" s="932"/>
      <c r="S11" s="932"/>
      <c r="T11" s="932"/>
      <c r="U11" s="932"/>
      <c r="V11" s="932"/>
    </row>
    <row r="12" spans="1:22" s="59" customFormat="1" ht="26.25" customHeight="1" x14ac:dyDescent="0.25">
      <c r="A12" s="102">
        <v>3</v>
      </c>
      <c r="B12" s="891"/>
      <c r="C12" s="891"/>
      <c r="D12" s="53" t="s">
        <v>249</v>
      </c>
      <c r="E12" s="60">
        <f>15+12+9+9</f>
        <v>45</v>
      </c>
      <c r="F12" s="113">
        <v>7</v>
      </c>
      <c r="G12" s="56">
        <f t="shared" si="0"/>
        <v>315</v>
      </c>
      <c r="H12" s="80" t="s">
        <v>107</v>
      </c>
      <c r="I12" s="151">
        <v>2</v>
      </c>
      <c r="J12" s="151">
        <v>11</v>
      </c>
      <c r="K12" s="876" t="s">
        <v>247</v>
      </c>
      <c r="L12" s="877"/>
      <c r="M12" s="78">
        <v>41513</v>
      </c>
      <c r="N12" s="84"/>
      <c r="O12" s="931"/>
      <c r="P12" s="932"/>
      <c r="Q12" s="932"/>
      <c r="R12" s="932"/>
      <c r="S12" s="932"/>
      <c r="T12" s="932"/>
      <c r="U12" s="932"/>
      <c r="V12" s="932"/>
    </row>
    <row r="13" spans="1:22" s="59" customFormat="1" ht="26.25" customHeight="1" x14ac:dyDescent="0.25">
      <c r="A13" s="142">
        <v>4</v>
      </c>
      <c r="B13" s="891"/>
      <c r="C13" s="891"/>
      <c r="D13" s="53" t="s">
        <v>249</v>
      </c>
      <c r="E13" s="60">
        <f>15+12+9+9</f>
        <v>45</v>
      </c>
      <c r="F13" s="113">
        <v>7</v>
      </c>
      <c r="G13" s="56">
        <f t="shared" si="0"/>
        <v>315</v>
      </c>
      <c r="H13" s="80" t="s">
        <v>64</v>
      </c>
      <c r="I13" s="151">
        <v>2</v>
      </c>
      <c r="J13" s="151">
        <v>11</v>
      </c>
      <c r="K13" s="876" t="s">
        <v>75</v>
      </c>
      <c r="L13" s="877"/>
      <c r="M13" s="78">
        <v>41513</v>
      </c>
      <c r="N13" s="84"/>
      <c r="O13" s="931"/>
      <c r="P13" s="932"/>
      <c r="Q13" s="932"/>
      <c r="R13" s="932"/>
      <c r="S13" s="932"/>
      <c r="T13" s="932"/>
      <c r="U13" s="932"/>
      <c r="V13" s="932"/>
    </row>
    <row r="14" spans="1:22" s="59" customFormat="1" ht="26.25" customHeight="1" x14ac:dyDescent="0.25">
      <c r="A14" s="102">
        <v>5</v>
      </c>
      <c r="B14" s="891"/>
      <c r="C14" s="891"/>
      <c r="D14" s="53" t="s">
        <v>249</v>
      </c>
      <c r="E14" s="60">
        <f>18+27</f>
        <v>45</v>
      </c>
      <c r="F14" s="113">
        <v>7</v>
      </c>
      <c r="G14" s="56">
        <f t="shared" si="0"/>
        <v>315</v>
      </c>
      <c r="H14" s="80" t="s">
        <v>290</v>
      </c>
      <c r="I14" s="151">
        <v>3</v>
      </c>
      <c r="J14" s="151">
        <v>10</v>
      </c>
      <c r="K14" s="876" t="s">
        <v>242</v>
      </c>
      <c r="L14" s="877"/>
      <c r="M14" s="78">
        <v>41574</v>
      </c>
      <c r="N14" s="84"/>
      <c r="O14" s="931"/>
      <c r="P14" s="932"/>
      <c r="Q14" s="932"/>
      <c r="R14" s="932"/>
      <c r="S14" s="932"/>
      <c r="T14" s="932"/>
      <c r="U14" s="932"/>
      <c r="V14" s="932"/>
    </row>
    <row r="15" spans="1:22" s="59" customFormat="1" ht="26.25" customHeight="1" x14ac:dyDescent="0.25">
      <c r="A15" s="874" t="s">
        <v>11</v>
      </c>
      <c r="B15" s="875"/>
      <c r="C15" s="875"/>
      <c r="D15" s="875"/>
      <c r="E15" s="118">
        <f>SUM(E10:E14)</f>
        <v>225</v>
      </c>
      <c r="F15" s="76">
        <v>7</v>
      </c>
      <c r="G15" s="56">
        <f>E15*F15</f>
        <v>1575</v>
      </c>
      <c r="H15" s="60"/>
      <c r="I15" s="60"/>
      <c r="J15" s="60"/>
      <c r="K15" s="876"/>
      <c r="L15" s="877"/>
      <c r="M15" s="60"/>
      <c r="N15" s="63"/>
    </row>
    <row r="16" spans="1:22" s="59" customFormat="1" ht="26.25" customHeight="1" x14ac:dyDescent="0.25">
      <c r="A16" s="897" t="s">
        <v>24</v>
      </c>
      <c r="B16" s="898"/>
      <c r="C16" s="898"/>
      <c r="D16" s="898"/>
      <c r="E16" s="898"/>
      <c r="F16" s="898"/>
      <c r="G16" s="64">
        <f>G15</f>
        <v>1575</v>
      </c>
      <c r="H16" s="65"/>
      <c r="I16" s="65"/>
      <c r="J16" s="65"/>
      <c r="K16" s="859"/>
      <c r="L16" s="860"/>
      <c r="M16" s="65"/>
      <c r="N16" s="66"/>
    </row>
    <row r="17" spans="1:19" s="48" customFormat="1" ht="26.25" customHeight="1" x14ac:dyDescent="0.25">
      <c r="A17" s="899" t="s">
        <v>32</v>
      </c>
      <c r="B17" s="900"/>
      <c r="C17" s="900"/>
      <c r="D17" s="900"/>
      <c r="E17" s="900"/>
      <c r="F17" s="900"/>
      <c r="G17" s="900"/>
      <c r="H17" s="67"/>
      <c r="I17" s="67"/>
      <c r="J17" s="68" t="s">
        <v>44</v>
      </c>
      <c r="K17" s="67"/>
      <c r="L17" s="68"/>
      <c r="M17" s="69"/>
      <c r="N17" s="70"/>
    </row>
    <row r="18" spans="1:19" s="48" customFormat="1" ht="22.5" customHeight="1" thickBot="1" x14ac:dyDescent="0.3">
      <c r="A18" s="72" t="s">
        <v>5</v>
      </c>
      <c r="B18" s="71" t="s">
        <v>33</v>
      </c>
      <c r="C18" s="857" t="s">
        <v>21</v>
      </c>
      <c r="D18" s="858"/>
      <c r="E18" s="857" t="s">
        <v>34</v>
      </c>
      <c r="F18" s="858"/>
      <c r="G18" s="71" t="s">
        <v>0</v>
      </c>
      <c r="H18" s="71" t="s">
        <v>25</v>
      </c>
      <c r="I18" s="71" t="s">
        <v>26</v>
      </c>
      <c r="J18" s="71" t="s">
        <v>27</v>
      </c>
      <c r="K18" s="863" t="s">
        <v>28</v>
      </c>
      <c r="L18" s="857"/>
      <c r="M18" s="901"/>
      <c r="N18" s="902"/>
    </row>
    <row r="19" spans="1:19" s="59" customFormat="1" ht="26.25" customHeight="1" x14ac:dyDescent="0.25">
      <c r="A19" s="1042" t="s">
        <v>35</v>
      </c>
      <c r="B19" s="1043"/>
      <c r="C19" s="1043"/>
      <c r="D19" s="1043"/>
      <c r="E19" s="1043"/>
      <c r="F19" s="1043"/>
      <c r="G19" s="85">
        <f>G16</f>
        <v>1575</v>
      </c>
      <c r="H19" s="86"/>
      <c r="I19" s="86"/>
      <c r="J19" s="86"/>
      <c r="K19" s="86"/>
      <c r="L19" s="86"/>
      <c r="M19" s="86"/>
      <c r="N19" s="87"/>
      <c r="S19" s="48"/>
    </row>
    <row r="20" spans="1:19" s="3" customFormat="1" ht="26.25" customHeight="1" x14ac:dyDescent="0.25">
      <c r="A20" s="366" t="s">
        <v>263</v>
      </c>
      <c r="B20" s="367">
        <v>41549</v>
      </c>
      <c r="C20" s="888" t="s">
        <v>249</v>
      </c>
      <c r="D20" s="889"/>
      <c r="E20" s="855">
        <v>150</v>
      </c>
      <c r="F20" s="855"/>
      <c r="G20" s="34">
        <f>G19-E20</f>
        <v>1425</v>
      </c>
      <c r="H20" s="116"/>
      <c r="I20" s="116"/>
      <c r="J20" s="116"/>
      <c r="K20" s="116"/>
      <c r="L20" s="116"/>
      <c r="M20" s="116"/>
      <c r="N20" s="13"/>
    </row>
    <row r="21" spans="1:19" s="3" customFormat="1" ht="26.25" customHeight="1" x14ac:dyDescent="0.25">
      <c r="A21" s="366" t="s">
        <v>300</v>
      </c>
      <c r="B21" s="367">
        <v>41578</v>
      </c>
      <c r="C21" s="888" t="s">
        <v>249</v>
      </c>
      <c r="D21" s="889"/>
      <c r="E21" s="856">
        <v>280</v>
      </c>
      <c r="F21" s="856"/>
      <c r="G21" s="34">
        <f t="shared" ref="G21:G26" si="1">G20-E21</f>
        <v>1145</v>
      </c>
      <c r="H21" s="117"/>
      <c r="I21" s="117"/>
      <c r="J21" s="117"/>
      <c r="K21" s="117"/>
      <c r="L21" s="117"/>
      <c r="M21" s="117"/>
      <c r="N21" s="6"/>
    </row>
    <row r="22" spans="1:19" s="3" customFormat="1" ht="26.25" customHeight="1" x14ac:dyDescent="0.25">
      <c r="A22" s="366" t="s">
        <v>321</v>
      </c>
      <c r="B22" s="367">
        <v>41612</v>
      </c>
      <c r="C22" s="905" t="s">
        <v>249</v>
      </c>
      <c r="D22" s="906"/>
      <c r="E22" s="856">
        <v>200</v>
      </c>
      <c r="F22" s="856"/>
      <c r="G22" s="34">
        <f t="shared" si="1"/>
        <v>945</v>
      </c>
      <c r="H22" s="117"/>
      <c r="I22" s="117"/>
      <c r="J22" s="117"/>
      <c r="K22" s="117"/>
      <c r="L22" s="117"/>
      <c r="M22" s="117"/>
      <c r="N22" s="6"/>
    </row>
    <row r="23" spans="1:19" s="3" customFormat="1" ht="26.25" customHeight="1" x14ac:dyDescent="0.25">
      <c r="A23" s="313" t="s">
        <v>370</v>
      </c>
      <c r="B23" s="312">
        <v>41645</v>
      </c>
      <c r="C23" s="905" t="s">
        <v>249</v>
      </c>
      <c r="D23" s="906"/>
      <c r="E23" s="856">
        <v>200</v>
      </c>
      <c r="F23" s="856"/>
      <c r="G23" s="34">
        <f t="shared" si="1"/>
        <v>745</v>
      </c>
      <c r="H23" s="117"/>
      <c r="I23" s="117"/>
      <c r="J23" s="117"/>
      <c r="K23" s="117"/>
      <c r="L23" s="117"/>
      <c r="M23" s="117"/>
      <c r="N23" s="6"/>
    </row>
    <row r="24" spans="1:19" s="3" customFormat="1" ht="26.25" customHeight="1" x14ac:dyDescent="0.25">
      <c r="A24" s="14" t="s">
        <v>465</v>
      </c>
      <c r="B24" s="15">
        <v>41701</v>
      </c>
      <c r="C24" s="905" t="s">
        <v>249</v>
      </c>
      <c r="D24" s="906"/>
      <c r="E24" s="845">
        <v>200</v>
      </c>
      <c r="F24" s="846"/>
      <c r="G24" s="34">
        <f t="shared" si="1"/>
        <v>545</v>
      </c>
      <c r="H24" s="117"/>
      <c r="I24" s="117"/>
      <c r="J24" s="117"/>
      <c r="K24" s="117"/>
      <c r="L24" s="117"/>
      <c r="M24" s="117"/>
      <c r="N24" s="6"/>
    </row>
    <row r="25" spans="1:19" s="3" customFormat="1" ht="26.25" customHeight="1" x14ac:dyDescent="0.25">
      <c r="A25" s="14" t="s">
        <v>537</v>
      </c>
      <c r="B25" s="15">
        <v>41739</v>
      </c>
      <c r="C25" s="905" t="s">
        <v>249</v>
      </c>
      <c r="D25" s="906"/>
      <c r="E25" s="845">
        <v>200</v>
      </c>
      <c r="F25" s="846"/>
      <c r="G25" s="34">
        <f t="shared" si="1"/>
        <v>345</v>
      </c>
      <c r="H25" s="117"/>
      <c r="I25" s="117"/>
      <c r="J25" s="117"/>
      <c r="K25" s="117"/>
      <c r="L25" s="117"/>
      <c r="M25" s="117"/>
      <c r="N25" s="6"/>
    </row>
    <row r="26" spans="1:19" s="3" customFormat="1" ht="26.25" customHeight="1" x14ac:dyDescent="0.25">
      <c r="A26" s="14" t="s">
        <v>563</v>
      </c>
      <c r="B26" s="15">
        <v>41768</v>
      </c>
      <c r="C26" s="905" t="s">
        <v>249</v>
      </c>
      <c r="D26" s="906"/>
      <c r="E26" s="845">
        <v>300</v>
      </c>
      <c r="F26" s="846"/>
      <c r="G26" s="34">
        <f t="shared" si="1"/>
        <v>45</v>
      </c>
      <c r="H26" s="117"/>
      <c r="I26" s="117"/>
      <c r="J26" s="117"/>
      <c r="K26" s="117"/>
      <c r="L26" s="117"/>
      <c r="M26" s="117"/>
      <c r="N26" s="6"/>
    </row>
    <row r="27" spans="1:19" s="3" customFormat="1" ht="26.25" customHeight="1" x14ac:dyDescent="0.25">
      <c r="A27" s="14"/>
      <c r="B27" s="15"/>
      <c r="C27" s="934"/>
      <c r="D27" s="934"/>
      <c r="E27" s="845"/>
      <c r="F27" s="846"/>
      <c r="G27" s="34">
        <f>G26-E27</f>
        <v>45</v>
      </c>
      <c r="H27" s="117"/>
      <c r="I27" s="117"/>
      <c r="J27" s="117"/>
      <c r="K27" s="117"/>
      <c r="L27" s="117"/>
      <c r="M27" s="117"/>
      <c r="N27" s="6"/>
    </row>
    <row r="28" spans="1:19" s="23" customFormat="1" ht="26.25" customHeight="1" thickBot="1" x14ac:dyDescent="0.3">
      <c r="A28" s="851" t="s">
        <v>36</v>
      </c>
      <c r="B28" s="852"/>
      <c r="C28" s="852"/>
      <c r="D28" s="852"/>
      <c r="E28" s="853">
        <f>SUM(E20:F27)</f>
        <v>1530</v>
      </c>
      <c r="F28" s="854"/>
      <c r="G28" s="20"/>
      <c r="H28" s="21"/>
      <c r="I28" s="21"/>
      <c r="J28" s="21"/>
      <c r="K28" s="21"/>
      <c r="L28" s="21"/>
      <c r="M28" s="21"/>
      <c r="N28" s="22"/>
    </row>
    <row r="29" spans="1:19" s="3" customFormat="1" ht="26.25" customHeight="1" thickTop="1" x14ac:dyDescent="0.25">
      <c r="A29" s="24"/>
      <c r="E29" s="844"/>
      <c r="F29" s="844"/>
    </row>
    <row r="30" spans="1:19" s="3" customFormat="1" ht="26.25" customHeight="1" x14ac:dyDescent="0.3">
      <c r="A30" s="25" t="s">
        <v>41</v>
      </c>
      <c r="B30" s="25"/>
      <c r="C30" s="25"/>
      <c r="D30" s="25" t="s">
        <v>81</v>
      </c>
      <c r="E30" s="25"/>
      <c r="F30" s="26"/>
      <c r="G30" s="25" t="s">
        <v>38</v>
      </c>
      <c r="H30" s="25"/>
      <c r="I30" s="25"/>
      <c r="J30" s="25"/>
      <c r="K30" s="25"/>
      <c r="L30" s="25" t="s">
        <v>39</v>
      </c>
      <c r="M30" s="28"/>
      <c r="N30" s="26"/>
    </row>
    <row r="31" spans="1:19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9" s="3" customFormat="1" ht="26.25" customHeight="1" x14ac:dyDescent="0.3">
      <c r="A32" s="25"/>
      <c r="B32" s="25"/>
      <c r="C32" s="25"/>
      <c r="D32" s="25"/>
      <c r="E32" s="25"/>
      <c r="F32" s="26"/>
      <c r="G32" s="25"/>
      <c r="H32" s="25"/>
      <c r="I32" s="25"/>
      <c r="J32" s="25"/>
      <c r="K32" s="25"/>
      <c r="L32" s="25"/>
      <c r="M32" s="28"/>
      <c r="N32" s="26"/>
    </row>
    <row r="33" spans="1:14" s="3" customFormat="1" ht="26.25" customHeight="1" x14ac:dyDescent="0.3">
      <c r="A33" s="25"/>
      <c r="B33" s="25"/>
      <c r="C33" s="25"/>
      <c r="D33" s="25"/>
      <c r="E33" s="25"/>
      <c r="F33" s="26"/>
      <c r="G33" s="25"/>
      <c r="H33" s="25"/>
      <c r="I33" s="25"/>
      <c r="J33" s="25"/>
      <c r="K33" s="25"/>
      <c r="L33" s="25"/>
      <c r="M33" s="28"/>
      <c r="N33" s="26"/>
    </row>
    <row r="34" spans="1:14" s="3" customFormat="1" ht="26.25" customHeight="1" x14ac:dyDescent="0.3">
      <c r="A34" s="29"/>
      <c r="B34" s="25"/>
      <c r="C34" s="25"/>
      <c r="D34" s="29"/>
      <c r="E34" s="29"/>
      <c r="F34" s="26"/>
      <c r="G34" s="29"/>
      <c r="H34" s="25"/>
      <c r="I34" s="25"/>
      <c r="J34" s="25"/>
      <c r="K34" s="25"/>
      <c r="L34" s="27"/>
      <c r="M34" s="28"/>
      <c r="N34" s="26"/>
    </row>
    <row r="35" spans="1:14" s="30" customFormat="1" ht="17.25" x14ac:dyDescent="0.3">
      <c r="A35" s="25" t="s">
        <v>48</v>
      </c>
      <c r="B35" s="25"/>
      <c r="C35" s="25" t="s">
        <v>83</v>
      </c>
      <c r="D35" s="25"/>
      <c r="G35" s="25" t="str">
        <f>B10</f>
        <v>Sam Chamreoun</v>
      </c>
      <c r="H35" s="25"/>
      <c r="I35" s="25"/>
      <c r="J35" s="25"/>
      <c r="K35" s="829" t="s">
        <v>90</v>
      </c>
      <c r="L35" s="829"/>
      <c r="M35" s="829"/>
      <c r="N35" s="829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  <row r="43" spans="1:14" s="30" customFormat="1" ht="16.5" x14ac:dyDescent="0.3">
      <c r="A43" s="32"/>
    </row>
    <row r="44" spans="1:14" s="30" customFormat="1" ht="16.5" x14ac:dyDescent="0.3">
      <c r="A44" s="32"/>
    </row>
  </sheetData>
  <mergeCells count="41">
    <mergeCell ref="O10:V14"/>
    <mergeCell ref="K35:N35"/>
    <mergeCell ref="A1:XFD7"/>
    <mergeCell ref="A8:N8"/>
    <mergeCell ref="K9:L9"/>
    <mergeCell ref="B10:B14"/>
    <mergeCell ref="C10:C14"/>
    <mergeCell ref="K10:L10"/>
    <mergeCell ref="K11:L11"/>
    <mergeCell ref="K13:L13"/>
    <mergeCell ref="K14:L14"/>
    <mergeCell ref="K12:L12"/>
    <mergeCell ref="A15:D15"/>
    <mergeCell ref="K15:L15"/>
    <mergeCell ref="A16:F16"/>
    <mergeCell ref="K16:L16"/>
    <mergeCell ref="A17:G17"/>
    <mergeCell ref="M18:N18"/>
    <mergeCell ref="A19:F19"/>
    <mergeCell ref="C20:D20"/>
    <mergeCell ref="E20:F20"/>
    <mergeCell ref="C21:D21"/>
    <mergeCell ref="E21:F21"/>
    <mergeCell ref="C18:D18"/>
    <mergeCell ref="E18:F18"/>
    <mergeCell ref="K18:L18"/>
    <mergeCell ref="C22:D22"/>
    <mergeCell ref="E22:F22"/>
    <mergeCell ref="C23:D23"/>
    <mergeCell ref="E23:F23"/>
    <mergeCell ref="C24:D24"/>
    <mergeCell ref="E24:F24"/>
    <mergeCell ref="A28:D28"/>
    <mergeCell ref="E28:F28"/>
    <mergeCell ref="E29:F29"/>
    <mergeCell ref="C25:D25"/>
    <mergeCell ref="E25:F25"/>
    <mergeCell ref="C26:D26"/>
    <mergeCell ref="E26:F26"/>
    <mergeCell ref="C27:D27"/>
    <mergeCell ref="E27:F27"/>
  </mergeCells>
  <pageMargins left="0.25" right="0.25" top="0.46" bottom="0.25" header="0.5" footer="0.5"/>
  <pageSetup paperSize="9" scale="70" orientation="portrait" verticalDpi="300" r:id="rId1"/>
  <headerFooter alignWithMargins="0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0"/>
  <sheetViews>
    <sheetView zoomScale="80" workbookViewId="0">
      <pane ySplit="9" topLeftCell="A10" activePane="bottomLeft" state="frozen"/>
      <selection pane="bottomLeft" activeCell="E15" sqref="E15"/>
    </sheetView>
  </sheetViews>
  <sheetFormatPr defaultRowHeight="13.5" x14ac:dyDescent="0.25"/>
  <cols>
    <col min="1" max="1" width="16" style="33" customWidth="1"/>
    <col min="2" max="2" width="19.140625" style="1" customWidth="1"/>
    <col min="3" max="3" width="5.5703125" style="1" customWidth="1"/>
    <col min="4" max="4" width="23.85546875" style="1" customWidth="1"/>
    <col min="5" max="5" width="8.42578125" style="1" customWidth="1"/>
    <col min="6" max="6" width="8.28515625" style="1" customWidth="1"/>
    <col min="7" max="7" width="16.42578125" style="1" customWidth="1"/>
    <col min="8" max="8" width="3.710937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2" style="1" bestFit="1" customWidth="1"/>
    <col min="14" max="14" width="10.28515625" style="1" bestFit="1" customWidth="1"/>
    <col min="15" max="256" width="8.8554687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8.8554687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8.8554687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8.8554687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8.8554687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8.8554687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8.8554687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8.8554687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8.8554687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8.8554687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8.8554687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8.8554687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8.8554687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8.8554687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8.8554687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8.8554687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8.8554687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8.8554687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8.8554687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8.8554687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8.8554687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8.8554687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8.8554687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8.8554687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8.8554687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8.8554687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8.8554687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8.8554687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8.8554687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8.8554687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8.8554687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8.8554687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8.8554687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8.8554687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8.8554687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8.8554687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8.8554687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8.8554687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8.8554687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8.8554687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8.8554687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8.8554687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8.8554687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8.8554687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8.8554687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8.8554687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8.8554687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8.8554687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8.8554687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8.8554687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8.8554687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8.8554687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8.8554687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8.8554687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8.8554687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8.8554687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8.8554687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8.8554687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8.8554687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8.8554687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8.8554687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8.8554687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8.8554687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8.85546875" style="1"/>
  </cols>
  <sheetData>
    <row r="1" spans="1:14" s="866" customFormat="1" ht="15" x14ac:dyDescent="0.25"/>
    <row r="2" spans="1:14" s="866" customFormat="1" ht="15" x14ac:dyDescent="0.25"/>
    <row r="3" spans="1:14" s="866" customFormat="1" ht="15" x14ac:dyDescent="0.25"/>
    <row r="4" spans="1:14" s="866" customFormat="1" ht="15" x14ac:dyDescent="0.25"/>
    <row r="5" spans="1:14" s="866" customFormat="1" ht="15" x14ac:dyDescent="0.25"/>
    <row r="6" spans="1:14" s="866" customFormat="1" ht="15" x14ac:dyDescent="0.25"/>
    <row r="7" spans="1:14" s="866" customFormat="1" ht="15.75" thickBot="1" x14ac:dyDescent="0.3"/>
    <row r="8" spans="1:14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4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4" s="59" customFormat="1" ht="26.25" customHeight="1" x14ac:dyDescent="0.25">
      <c r="A10" s="89">
        <v>1</v>
      </c>
      <c r="B10" s="1052" t="s">
        <v>56</v>
      </c>
      <c r="C10" s="1052" t="s">
        <v>31</v>
      </c>
      <c r="D10" s="53" t="s">
        <v>226</v>
      </c>
      <c r="E10" s="54">
        <f>15+9+14.5+6.5</f>
        <v>45</v>
      </c>
      <c r="F10" s="55">
        <v>7</v>
      </c>
      <c r="G10" s="56">
        <f>E10*F10</f>
        <v>315</v>
      </c>
      <c r="H10" s="54" t="s">
        <v>64</v>
      </c>
      <c r="I10" s="54">
        <v>2</v>
      </c>
      <c r="J10" s="54">
        <v>11</v>
      </c>
      <c r="K10" s="878" t="s">
        <v>75</v>
      </c>
      <c r="L10" s="879"/>
      <c r="M10" s="57">
        <v>41513</v>
      </c>
      <c r="N10" s="58"/>
    </row>
    <row r="11" spans="1:14" s="59" customFormat="1" ht="26.25" customHeight="1" x14ac:dyDescent="0.25">
      <c r="A11" s="100">
        <v>2</v>
      </c>
      <c r="B11" s="1053"/>
      <c r="C11" s="1053"/>
      <c r="D11" s="53" t="s">
        <v>310</v>
      </c>
      <c r="E11" s="175">
        <f>5+5+10+12+9</f>
        <v>41</v>
      </c>
      <c r="F11" s="61"/>
      <c r="G11" s="56">
        <f t="shared" ref="G11:G18" si="0">E11*F11</f>
        <v>0</v>
      </c>
      <c r="H11" s="80" t="s">
        <v>102</v>
      </c>
      <c r="I11" s="80">
        <v>3</v>
      </c>
      <c r="J11" s="80">
        <v>10</v>
      </c>
      <c r="K11" s="876" t="s">
        <v>42</v>
      </c>
      <c r="L11" s="877"/>
      <c r="M11" s="83">
        <v>41580</v>
      </c>
      <c r="N11" s="84"/>
    </row>
    <row r="12" spans="1:14" s="59" customFormat="1" ht="26.25" customHeight="1" x14ac:dyDescent="0.25">
      <c r="A12" s="100" t="s">
        <v>438</v>
      </c>
      <c r="B12" s="1053"/>
      <c r="C12" s="1053"/>
      <c r="D12" s="53"/>
      <c r="E12" s="176"/>
      <c r="F12" s="101"/>
      <c r="G12" s="56">
        <f t="shared" si="0"/>
        <v>0</v>
      </c>
      <c r="H12" s="80"/>
      <c r="I12" s="80"/>
      <c r="J12" s="80"/>
      <c r="K12" s="876"/>
      <c r="L12" s="877"/>
      <c r="M12" s="83"/>
      <c r="N12" s="84"/>
    </row>
    <row r="13" spans="1:14" s="59" customFormat="1" ht="26.25" customHeight="1" x14ac:dyDescent="0.25">
      <c r="A13" s="100">
        <v>1</v>
      </c>
      <c r="B13" s="1053"/>
      <c r="C13" s="1053"/>
      <c r="D13" s="53" t="s">
        <v>554</v>
      </c>
      <c r="E13" s="60">
        <f>16+9.5+12.5+6+1</f>
        <v>45</v>
      </c>
      <c r="F13" s="61">
        <v>7</v>
      </c>
      <c r="G13" s="56">
        <f t="shared" si="0"/>
        <v>315</v>
      </c>
      <c r="H13" s="80" t="s">
        <v>63</v>
      </c>
      <c r="I13" s="80">
        <v>2</v>
      </c>
      <c r="J13" s="80">
        <v>11</v>
      </c>
      <c r="K13" s="876" t="s">
        <v>231</v>
      </c>
      <c r="L13" s="877"/>
      <c r="M13" s="83">
        <v>41666</v>
      </c>
      <c r="N13" s="84" t="s">
        <v>608</v>
      </c>
    </row>
    <row r="14" spans="1:14" s="751" customFormat="1" ht="26.25" customHeight="1" x14ac:dyDescent="0.25">
      <c r="A14" s="100">
        <v>2</v>
      </c>
      <c r="B14" s="1053"/>
      <c r="C14" s="1053"/>
      <c r="D14" s="53" t="s">
        <v>555</v>
      </c>
      <c r="E14" s="748">
        <f>11+17.5</f>
        <v>28.5</v>
      </c>
      <c r="F14" s="101">
        <v>7</v>
      </c>
      <c r="G14" s="56">
        <f t="shared" si="0"/>
        <v>199.5</v>
      </c>
      <c r="H14" s="80" t="s">
        <v>63</v>
      </c>
      <c r="I14" s="80">
        <v>3</v>
      </c>
      <c r="J14" s="80">
        <v>10</v>
      </c>
      <c r="K14" s="745" t="s">
        <v>42</v>
      </c>
      <c r="L14" s="746"/>
      <c r="M14" s="83">
        <v>41748</v>
      </c>
      <c r="N14" s="84"/>
    </row>
    <row r="15" spans="1:14" s="751" customFormat="1" ht="26.25" customHeight="1" x14ac:dyDescent="0.25">
      <c r="A15" s="100">
        <v>3</v>
      </c>
      <c r="B15" s="1053"/>
      <c r="C15" s="1053"/>
      <c r="D15" s="53" t="s">
        <v>556</v>
      </c>
      <c r="E15" s="748">
        <v>6</v>
      </c>
      <c r="F15" s="101">
        <v>7</v>
      </c>
      <c r="G15" s="56">
        <f t="shared" si="0"/>
        <v>42</v>
      </c>
      <c r="H15" s="80" t="s">
        <v>53</v>
      </c>
      <c r="I15" s="80">
        <v>2</v>
      </c>
      <c r="J15" s="80">
        <v>11</v>
      </c>
      <c r="K15" s="745" t="s">
        <v>74</v>
      </c>
      <c r="L15" s="746"/>
      <c r="M15" s="83">
        <v>41688</v>
      </c>
      <c r="N15" s="84"/>
    </row>
    <row r="16" spans="1:14" s="751" customFormat="1" ht="26.25" customHeight="1" x14ac:dyDescent="0.25">
      <c r="A16" s="100"/>
      <c r="B16" s="1053"/>
      <c r="C16" s="1053"/>
      <c r="D16" s="53"/>
      <c r="E16" s="748"/>
      <c r="F16" s="101"/>
      <c r="G16" s="56">
        <f t="shared" si="0"/>
        <v>0</v>
      </c>
      <c r="H16" s="80"/>
      <c r="I16" s="80"/>
      <c r="J16" s="80"/>
      <c r="K16" s="745"/>
      <c r="L16" s="746"/>
      <c r="M16" s="83"/>
      <c r="N16" s="84"/>
    </row>
    <row r="17" spans="1:14" s="751" customFormat="1" ht="26.25" customHeight="1" x14ac:dyDescent="0.25">
      <c r="A17" s="100"/>
      <c r="B17" s="1053"/>
      <c r="C17" s="1053"/>
      <c r="D17" s="53"/>
      <c r="E17" s="748"/>
      <c r="F17" s="101"/>
      <c r="G17" s="56">
        <f t="shared" si="0"/>
        <v>0</v>
      </c>
      <c r="H17" s="80"/>
      <c r="I17" s="80"/>
      <c r="J17" s="80"/>
      <c r="K17" s="745"/>
      <c r="L17" s="746"/>
      <c r="M17" s="83"/>
      <c r="N17" s="84"/>
    </row>
    <row r="18" spans="1:14" s="59" customFormat="1" ht="26.25" customHeight="1" x14ac:dyDescent="0.25">
      <c r="A18" s="100"/>
      <c r="B18" s="1054"/>
      <c r="C18" s="1054"/>
      <c r="D18" s="53"/>
      <c r="E18" s="111"/>
      <c r="F18" s="101"/>
      <c r="G18" s="56">
        <f t="shared" si="0"/>
        <v>0</v>
      </c>
      <c r="H18" s="80"/>
      <c r="I18" s="80"/>
      <c r="J18" s="80"/>
      <c r="K18" s="876"/>
      <c r="L18" s="877"/>
      <c r="M18" s="83"/>
      <c r="N18" s="84"/>
    </row>
    <row r="19" spans="1:14" s="59" customFormat="1" ht="26.25" customHeight="1" x14ac:dyDescent="0.25">
      <c r="A19" s="874" t="s">
        <v>11</v>
      </c>
      <c r="B19" s="875"/>
      <c r="C19" s="875"/>
      <c r="D19" s="875"/>
      <c r="E19" s="75">
        <f>SUM(E10:E18)</f>
        <v>165.5</v>
      </c>
      <c r="F19" s="76">
        <v>7</v>
      </c>
      <c r="G19" s="56">
        <f>E19*F19</f>
        <v>1158.5</v>
      </c>
      <c r="H19" s="60"/>
      <c r="I19" s="60"/>
      <c r="J19" s="60"/>
      <c r="K19" s="876"/>
      <c r="L19" s="877"/>
      <c r="M19" s="60"/>
      <c r="N19" s="63"/>
    </row>
    <row r="20" spans="1:14" s="59" customFormat="1" ht="26.25" customHeight="1" x14ac:dyDescent="0.25">
      <c r="A20" s="897" t="s">
        <v>24</v>
      </c>
      <c r="B20" s="898"/>
      <c r="C20" s="898"/>
      <c r="D20" s="898"/>
      <c r="E20" s="898"/>
      <c r="F20" s="898"/>
      <c r="G20" s="64">
        <f>G19</f>
        <v>1158.5</v>
      </c>
      <c r="H20" s="65"/>
      <c r="I20" s="65"/>
      <c r="J20" s="65"/>
      <c r="K20" s="859"/>
      <c r="L20" s="860"/>
      <c r="M20" s="65"/>
      <c r="N20" s="66"/>
    </row>
    <row r="21" spans="1:14" s="48" customFormat="1" ht="26.25" customHeight="1" x14ac:dyDescent="0.25">
      <c r="A21" s="899" t="s">
        <v>32</v>
      </c>
      <c r="B21" s="900"/>
      <c r="C21" s="900"/>
      <c r="D21" s="900"/>
      <c r="E21" s="900"/>
      <c r="F21" s="900"/>
      <c r="G21" s="900"/>
      <c r="H21" s="67"/>
      <c r="I21" s="67"/>
      <c r="J21" s="68" t="s">
        <v>44</v>
      </c>
      <c r="K21" s="67"/>
      <c r="L21" s="68"/>
      <c r="M21" s="69"/>
      <c r="N21" s="70"/>
    </row>
    <row r="22" spans="1:14" s="48" customFormat="1" ht="22.5" customHeight="1" thickBot="1" x14ac:dyDescent="0.3">
      <c r="A22" s="72" t="s">
        <v>5</v>
      </c>
      <c r="B22" s="71" t="s">
        <v>33</v>
      </c>
      <c r="C22" s="857" t="s">
        <v>21</v>
      </c>
      <c r="D22" s="858"/>
      <c r="E22" s="857" t="s">
        <v>34</v>
      </c>
      <c r="F22" s="858"/>
      <c r="G22" s="71" t="s">
        <v>0</v>
      </c>
      <c r="H22" s="71" t="s">
        <v>25</v>
      </c>
      <c r="I22" s="71" t="s">
        <v>26</v>
      </c>
      <c r="J22" s="71" t="s">
        <v>27</v>
      </c>
      <c r="K22" s="863" t="s">
        <v>28</v>
      </c>
      <c r="L22" s="857"/>
      <c r="M22" s="901" t="s">
        <v>43</v>
      </c>
      <c r="N22" s="902"/>
    </row>
    <row r="23" spans="1:14" s="3" customFormat="1" ht="26.25" customHeight="1" x14ac:dyDescent="0.25">
      <c r="A23" s="861" t="s">
        <v>35</v>
      </c>
      <c r="B23" s="862"/>
      <c r="C23" s="862"/>
      <c r="D23" s="862"/>
      <c r="E23" s="862"/>
      <c r="F23" s="862"/>
      <c r="G23" s="7">
        <f>G20</f>
        <v>1158.5</v>
      </c>
      <c r="H23" s="8"/>
      <c r="I23" s="8"/>
      <c r="J23" s="8"/>
      <c r="K23" s="8"/>
      <c r="L23" s="8"/>
      <c r="M23" s="8"/>
      <c r="N23" s="9"/>
    </row>
    <row r="24" spans="1:14" s="3" customFormat="1" ht="26.25" customHeight="1" x14ac:dyDescent="0.25">
      <c r="A24" s="366" t="s">
        <v>263</v>
      </c>
      <c r="B24" s="367">
        <v>41549</v>
      </c>
      <c r="C24" s="888" t="s">
        <v>226</v>
      </c>
      <c r="D24" s="889"/>
      <c r="E24" s="855">
        <v>50</v>
      </c>
      <c r="F24" s="855"/>
      <c r="G24" s="12">
        <f>G23-E24</f>
        <v>1108.5</v>
      </c>
      <c r="H24" s="108"/>
      <c r="I24" s="108"/>
      <c r="J24" s="108"/>
      <c r="K24" s="108"/>
      <c r="L24" s="108"/>
      <c r="M24" s="108"/>
      <c r="N24" s="13"/>
    </row>
    <row r="25" spans="1:14" s="3" customFormat="1" ht="26.25" customHeight="1" x14ac:dyDescent="0.25">
      <c r="A25" s="366" t="s">
        <v>300</v>
      </c>
      <c r="B25" s="367">
        <v>41578</v>
      </c>
      <c r="C25" s="888" t="s">
        <v>226</v>
      </c>
      <c r="D25" s="889"/>
      <c r="E25" s="856">
        <v>59</v>
      </c>
      <c r="F25" s="856"/>
      <c r="G25" s="12">
        <f t="shared" ref="G25:G32" si="1">G24-E25</f>
        <v>1049.5</v>
      </c>
      <c r="H25" s="109"/>
      <c r="I25" s="109"/>
      <c r="J25" s="109"/>
      <c r="K25" s="109"/>
      <c r="L25" s="109"/>
      <c r="M25" s="109"/>
      <c r="N25" s="6"/>
    </row>
    <row r="26" spans="1:14" s="3" customFormat="1" ht="26.25" customHeight="1" x14ac:dyDescent="0.25">
      <c r="A26" s="366" t="s">
        <v>321</v>
      </c>
      <c r="B26" s="367">
        <v>41612</v>
      </c>
      <c r="C26" s="905" t="s">
        <v>226</v>
      </c>
      <c r="D26" s="906"/>
      <c r="E26" s="856">
        <v>90</v>
      </c>
      <c r="F26" s="856"/>
      <c r="G26" s="12">
        <f t="shared" si="1"/>
        <v>959.5</v>
      </c>
      <c r="H26" s="109"/>
      <c r="I26" s="109"/>
      <c r="J26" s="109"/>
      <c r="K26" s="109"/>
      <c r="L26" s="109"/>
      <c r="M26" s="109"/>
      <c r="N26" s="6"/>
    </row>
    <row r="27" spans="1:14" s="3" customFormat="1" ht="26.25" customHeight="1" x14ac:dyDescent="0.25">
      <c r="A27" s="313" t="s">
        <v>370</v>
      </c>
      <c r="B27" s="312">
        <v>41645</v>
      </c>
      <c r="C27" s="888" t="s">
        <v>226</v>
      </c>
      <c r="D27" s="889"/>
      <c r="E27" s="845">
        <v>90</v>
      </c>
      <c r="F27" s="846"/>
      <c r="G27" s="12">
        <f t="shared" si="1"/>
        <v>869.5</v>
      </c>
      <c r="H27" s="109"/>
      <c r="I27" s="109"/>
      <c r="J27" s="109"/>
      <c r="K27" s="109"/>
      <c r="L27" s="109"/>
      <c r="M27" s="109"/>
      <c r="N27" s="6"/>
    </row>
    <row r="28" spans="1:14" s="3" customFormat="1" ht="26.25" customHeight="1" x14ac:dyDescent="0.25">
      <c r="A28" s="14" t="s">
        <v>465</v>
      </c>
      <c r="B28" s="15">
        <v>41703</v>
      </c>
      <c r="C28" s="905" t="s">
        <v>226</v>
      </c>
      <c r="D28" s="906"/>
      <c r="E28" s="842">
        <v>80</v>
      </c>
      <c r="F28" s="843"/>
      <c r="G28" s="12">
        <f>G27-E28</f>
        <v>789.5</v>
      </c>
      <c r="H28" s="109"/>
      <c r="I28" s="109"/>
      <c r="J28" s="109"/>
      <c r="K28" s="109"/>
      <c r="L28" s="109"/>
      <c r="M28" s="109"/>
      <c r="N28" s="6"/>
    </row>
    <row r="29" spans="1:14" s="3" customFormat="1" ht="26.25" customHeight="1" x14ac:dyDescent="0.25">
      <c r="A29" s="14" t="s">
        <v>537</v>
      </c>
      <c r="B29" s="15">
        <v>41739</v>
      </c>
      <c r="C29" s="905" t="s">
        <v>226</v>
      </c>
      <c r="D29" s="906"/>
      <c r="E29" s="845">
        <v>200</v>
      </c>
      <c r="F29" s="846"/>
      <c r="G29" s="12">
        <f t="shared" si="1"/>
        <v>589.5</v>
      </c>
      <c r="H29" s="109"/>
      <c r="I29" s="109"/>
      <c r="J29" s="109"/>
      <c r="K29" s="109"/>
      <c r="L29" s="109"/>
      <c r="M29" s="109"/>
      <c r="N29" s="6"/>
    </row>
    <row r="30" spans="1:14" s="3" customFormat="1" ht="26.25" customHeight="1" x14ac:dyDescent="0.25">
      <c r="A30" s="14" t="s">
        <v>563</v>
      </c>
      <c r="B30" s="15">
        <v>41768</v>
      </c>
      <c r="C30" s="905" t="s">
        <v>226</v>
      </c>
      <c r="D30" s="906"/>
      <c r="E30" s="845">
        <v>200</v>
      </c>
      <c r="F30" s="846"/>
      <c r="G30" s="12">
        <f t="shared" si="1"/>
        <v>389.5</v>
      </c>
      <c r="H30" s="18"/>
      <c r="I30" s="18"/>
      <c r="J30" s="18"/>
      <c r="K30" s="18"/>
      <c r="L30" s="18"/>
      <c r="M30" s="18"/>
      <c r="N30" s="19"/>
    </row>
    <row r="31" spans="1:14" s="3" customFormat="1" ht="26.25" customHeight="1" x14ac:dyDescent="0.25">
      <c r="A31" s="14" t="s">
        <v>592</v>
      </c>
      <c r="B31" s="15">
        <v>41793</v>
      </c>
      <c r="C31" s="905" t="s">
        <v>226</v>
      </c>
      <c r="D31" s="906"/>
      <c r="E31" s="845">
        <v>130</v>
      </c>
      <c r="F31" s="846"/>
      <c r="G31" s="12">
        <f t="shared" si="1"/>
        <v>259.5</v>
      </c>
      <c r="H31" s="18"/>
      <c r="I31" s="18"/>
      <c r="J31" s="18"/>
      <c r="K31" s="18"/>
      <c r="L31" s="18"/>
      <c r="M31" s="18"/>
      <c r="N31" s="19"/>
    </row>
    <row r="32" spans="1:14" s="3" customFormat="1" ht="26.25" customHeight="1" x14ac:dyDescent="0.25">
      <c r="A32" s="14"/>
      <c r="B32" s="17"/>
      <c r="C32" s="893"/>
      <c r="D32" s="894"/>
      <c r="E32" s="845"/>
      <c r="F32" s="846"/>
      <c r="G32" s="12">
        <f t="shared" si="1"/>
        <v>259.5</v>
      </c>
      <c r="H32" s="18"/>
      <c r="I32" s="18"/>
      <c r="J32" s="18"/>
      <c r="K32" s="18"/>
      <c r="L32" s="18"/>
      <c r="M32" s="18"/>
      <c r="N32" s="19"/>
    </row>
    <row r="33" spans="1:14" s="3" customFormat="1" ht="26.25" customHeight="1" x14ac:dyDescent="0.25">
      <c r="A33" s="16"/>
      <c r="B33" s="17"/>
      <c r="C33" s="847"/>
      <c r="D33" s="848"/>
      <c r="E33" s="907"/>
      <c r="F33" s="908"/>
      <c r="G33" s="12">
        <f>G32-E33</f>
        <v>259.5</v>
      </c>
      <c r="H33" s="18"/>
      <c r="I33" s="18"/>
      <c r="J33" s="18"/>
      <c r="K33" s="18"/>
      <c r="L33" s="18"/>
      <c r="M33" s="18"/>
      <c r="N33" s="19"/>
    </row>
    <row r="34" spans="1:14" s="23" customFormat="1" ht="26.25" customHeight="1" thickBot="1" x14ac:dyDescent="0.3">
      <c r="A34" s="851" t="s">
        <v>36</v>
      </c>
      <c r="B34" s="852"/>
      <c r="C34" s="852"/>
      <c r="D34" s="852"/>
      <c r="E34" s="853">
        <f>SUM(E24:F33)</f>
        <v>899</v>
      </c>
      <c r="F34" s="854"/>
      <c r="G34" s="20"/>
      <c r="H34" s="21"/>
      <c r="I34" s="21"/>
      <c r="J34" s="21"/>
      <c r="K34" s="21"/>
      <c r="L34" s="21"/>
      <c r="M34" s="21"/>
      <c r="N34" s="22"/>
    </row>
    <row r="35" spans="1:14" s="3" customFormat="1" ht="26.25" customHeight="1" thickTop="1" x14ac:dyDescent="0.25">
      <c r="A35" s="24"/>
      <c r="E35" s="844"/>
      <c r="F35" s="844"/>
    </row>
    <row r="36" spans="1:14" s="3" customFormat="1" ht="26.25" customHeight="1" x14ac:dyDescent="0.3">
      <c r="A36" s="25" t="s">
        <v>41</v>
      </c>
      <c r="B36" s="25"/>
      <c r="C36" s="25"/>
      <c r="D36" s="25" t="s">
        <v>81</v>
      </c>
      <c r="E36" s="25"/>
      <c r="F36" s="26"/>
      <c r="G36" s="25" t="s">
        <v>38</v>
      </c>
      <c r="H36" s="25"/>
      <c r="I36" s="25"/>
      <c r="J36" s="25"/>
      <c r="K36" s="25"/>
      <c r="L36" s="25" t="s">
        <v>39</v>
      </c>
      <c r="M36" s="28"/>
      <c r="N36" s="26"/>
    </row>
    <row r="37" spans="1:14" s="3" customFormat="1" ht="26.25" customHeight="1" x14ac:dyDescent="0.3">
      <c r="A37" s="25"/>
      <c r="B37" s="25"/>
      <c r="C37" s="25"/>
      <c r="D37" s="25"/>
      <c r="E37" s="25"/>
      <c r="F37" s="26"/>
      <c r="G37" s="25"/>
      <c r="H37" s="25"/>
      <c r="I37" s="25"/>
      <c r="J37" s="25"/>
      <c r="K37" s="25"/>
      <c r="L37" s="25"/>
      <c r="M37" s="28"/>
      <c r="N37" s="26"/>
    </row>
    <row r="38" spans="1:14" s="3" customFormat="1" ht="26.25" customHeight="1" x14ac:dyDescent="0.3">
      <c r="A38" s="25"/>
      <c r="B38" s="25"/>
      <c r="C38" s="25"/>
      <c r="D38" s="25"/>
      <c r="E38" s="25"/>
      <c r="F38" s="26"/>
      <c r="G38" s="25"/>
      <c r="H38" s="25"/>
      <c r="I38" s="25"/>
      <c r="J38" s="25"/>
      <c r="K38" s="25"/>
      <c r="L38" s="25"/>
      <c r="M38" s="28"/>
      <c r="N38" s="26"/>
    </row>
    <row r="39" spans="1:14" s="3" customFormat="1" ht="26.25" customHeight="1" x14ac:dyDescent="0.3">
      <c r="A39" s="25"/>
      <c r="B39" s="25"/>
      <c r="C39" s="25"/>
      <c r="D39" s="25"/>
      <c r="E39" s="25"/>
      <c r="F39" s="26"/>
      <c r="G39" s="25"/>
      <c r="H39" s="25"/>
      <c r="I39" s="25"/>
      <c r="J39" s="25"/>
      <c r="K39" s="25"/>
      <c r="L39" s="25"/>
      <c r="M39" s="28"/>
      <c r="N39" s="26"/>
    </row>
    <row r="40" spans="1:14" s="3" customFormat="1" ht="26.25" customHeight="1" x14ac:dyDescent="0.3">
      <c r="A40" s="29"/>
      <c r="B40" s="25"/>
      <c r="C40" s="25"/>
      <c r="D40" s="29"/>
      <c r="E40" s="29"/>
      <c r="F40" s="26"/>
      <c r="G40" s="29"/>
      <c r="H40" s="25"/>
      <c r="I40" s="25"/>
      <c r="J40" s="25"/>
      <c r="K40" s="25"/>
      <c r="L40" s="27"/>
      <c r="M40" s="28"/>
      <c r="N40" s="26"/>
    </row>
    <row r="41" spans="1:14" s="30" customFormat="1" ht="17.25" x14ac:dyDescent="0.3">
      <c r="A41" s="25" t="s">
        <v>48</v>
      </c>
      <c r="B41" s="25"/>
      <c r="C41" s="25" t="s">
        <v>80</v>
      </c>
      <c r="D41" s="25"/>
      <c r="G41" s="25" t="str">
        <f>B10</f>
        <v>Neang Sovat</v>
      </c>
      <c r="H41" s="25"/>
      <c r="I41" s="25"/>
      <c r="J41" s="25"/>
      <c r="K41" s="829" t="s">
        <v>90</v>
      </c>
      <c r="L41" s="829"/>
      <c r="M41" s="829"/>
      <c r="N41" s="829"/>
    </row>
    <row r="42" spans="1:14" s="30" customFormat="1" ht="16.5" x14ac:dyDescent="0.3">
      <c r="A42" s="32"/>
    </row>
    <row r="43" spans="1:14" s="30" customFormat="1" ht="16.5" x14ac:dyDescent="0.3">
      <c r="A43" s="32"/>
    </row>
    <row r="44" spans="1:14" s="30" customFormat="1" ht="16.5" x14ac:dyDescent="0.3">
      <c r="A44" s="32"/>
    </row>
    <row r="45" spans="1:14" s="30" customFormat="1" ht="16.5" x14ac:dyDescent="0.3">
      <c r="A45" s="32"/>
    </row>
    <row r="46" spans="1:14" s="30" customFormat="1" ht="16.5" x14ac:dyDescent="0.3">
      <c r="A46" s="32"/>
    </row>
    <row r="47" spans="1:14" s="30" customFormat="1" ht="16.5" x14ac:dyDescent="0.3">
      <c r="A47" s="32"/>
    </row>
    <row r="48" spans="1:14" s="30" customFormat="1" ht="16.5" x14ac:dyDescent="0.3">
      <c r="A48" s="32"/>
    </row>
    <row r="49" spans="1:1" s="30" customFormat="1" ht="16.5" x14ac:dyDescent="0.3">
      <c r="A49" s="32"/>
    </row>
    <row r="50" spans="1:1" s="30" customFormat="1" ht="16.5" x14ac:dyDescent="0.3">
      <c r="A50" s="32"/>
    </row>
  </sheetData>
  <mergeCells count="44">
    <mergeCell ref="K41:N41"/>
    <mergeCell ref="A1:XFD7"/>
    <mergeCell ref="A8:N8"/>
    <mergeCell ref="K9:L9"/>
    <mergeCell ref="B10:B18"/>
    <mergeCell ref="C10:C18"/>
    <mergeCell ref="K10:L10"/>
    <mergeCell ref="K11:L11"/>
    <mergeCell ref="K12:L12"/>
    <mergeCell ref="A19:D19"/>
    <mergeCell ref="K19:L19"/>
    <mergeCell ref="A20:F20"/>
    <mergeCell ref="K20:L20"/>
    <mergeCell ref="A21:G21"/>
    <mergeCell ref="M22:N22"/>
    <mergeCell ref="A23:F23"/>
    <mergeCell ref="K22:L22"/>
    <mergeCell ref="E26:F26"/>
    <mergeCell ref="C27:D27"/>
    <mergeCell ref="E27:F27"/>
    <mergeCell ref="C28:D28"/>
    <mergeCell ref="E28:F28"/>
    <mergeCell ref="C24:D24"/>
    <mergeCell ref="E24:F24"/>
    <mergeCell ref="C25:D25"/>
    <mergeCell ref="E25:F25"/>
    <mergeCell ref="C22:D22"/>
    <mergeCell ref="E22:F22"/>
    <mergeCell ref="E35:F35"/>
    <mergeCell ref="K18:L18"/>
    <mergeCell ref="K13:L13"/>
    <mergeCell ref="C32:D32"/>
    <mergeCell ref="E32:F32"/>
    <mergeCell ref="C33:D33"/>
    <mergeCell ref="E33:F33"/>
    <mergeCell ref="A34:D34"/>
    <mergeCell ref="E34:F34"/>
    <mergeCell ref="C29:D29"/>
    <mergeCell ref="E29:F29"/>
    <mergeCell ref="C30:D30"/>
    <mergeCell ref="E30:F30"/>
    <mergeCell ref="C31:D31"/>
    <mergeCell ref="E31:F31"/>
    <mergeCell ref="C26:D26"/>
  </mergeCells>
  <hyperlinks>
    <hyperlink ref="M22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4"/>
  <sheetViews>
    <sheetView zoomScale="80" workbookViewId="0">
      <pane xSplit="3" ySplit="9" topLeftCell="D10" activePane="bottomRight" state="frozen"/>
      <selection activeCell="M19" sqref="M19:N19"/>
      <selection pane="topRight" activeCell="M19" sqref="M19:N19"/>
      <selection pane="bottomLeft" activeCell="M19" sqref="M19:N19"/>
      <selection pane="bottomRight" activeCell="Q19" sqref="Q19"/>
    </sheetView>
  </sheetViews>
  <sheetFormatPr defaultRowHeight="13.5" x14ac:dyDescent="0.25"/>
  <cols>
    <col min="1" max="1" width="16.5703125" style="33" customWidth="1"/>
    <col min="2" max="2" width="17.5703125" style="1" customWidth="1"/>
    <col min="3" max="3" width="5.5703125" style="1" customWidth="1"/>
    <col min="4" max="4" width="25" style="1" customWidth="1"/>
    <col min="5" max="5" width="8.42578125" style="1" customWidth="1"/>
    <col min="6" max="6" width="8.28515625" style="1" customWidth="1"/>
    <col min="7" max="7" width="15.28515625" style="1" bestFit="1" customWidth="1"/>
    <col min="8" max="8" width="5.140625" style="1" customWidth="1"/>
    <col min="9" max="9" width="3.85546875" style="1" customWidth="1"/>
    <col min="10" max="10" width="3.5703125" style="1" customWidth="1"/>
    <col min="11" max="11" width="10.85546875" style="1" customWidth="1"/>
    <col min="12" max="12" width="7.140625" style="1" customWidth="1"/>
    <col min="13" max="13" width="15.85546875" style="1" customWidth="1"/>
    <col min="14" max="14" width="7.28515625" style="1" bestFit="1" customWidth="1"/>
    <col min="15" max="15" width="8.85546875" style="1"/>
    <col min="16" max="16" width="23.85546875" style="1" customWidth="1"/>
    <col min="17" max="256" width="8.8554687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8.8554687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8.8554687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8.8554687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8.8554687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8.8554687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8.8554687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8.8554687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8.8554687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8.8554687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8.8554687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8.8554687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8.8554687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8.8554687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8.8554687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8.8554687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8.8554687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8.8554687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8.8554687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8.8554687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8.8554687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8.8554687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8.8554687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8.8554687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8.8554687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8.8554687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8.8554687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8.8554687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8.8554687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8.8554687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8.8554687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8.8554687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8.8554687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8.8554687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8.8554687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8.8554687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8.8554687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8.8554687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8.8554687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8.8554687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8.8554687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8.8554687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8.8554687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8.8554687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8.8554687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8.8554687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8.8554687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8.8554687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8.8554687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8.8554687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8.8554687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8.8554687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8.8554687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8.8554687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8.8554687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8.8554687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8.8554687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8.8554687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8.8554687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8.8554687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8.8554687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8.8554687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8.8554687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8.85546875" style="1"/>
  </cols>
  <sheetData>
    <row r="1" spans="1:16" s="866" customFormat="1" ht="15" x14ac:dyDescent="0.25"/>
    <row r="2" spans="1:16" s="866" customFormat="1" ht="15" x14ac:dyDescent="0.25"/>
    <row r="3" spans="1:16" s="866" customFormat="1" ht="15" x14ac:dyDescent="0.25"/>
    <row r="4" spans="1:16" s="866" customFormat="1" ht="15" x14ac:dyDescent="0.25"/>
    <row r="5" spans="1:16" s="866" customFormat="1" ht="15" x14ac:dyDescent="0.25"/>
    <row r="6" spans="1:16" s="866" customFormat="1" ht="15" x14ac:dyDescent="0.25"/>
    <row r="7" spans="1:16" s="866" customFormat="1" ht="15.75" thickBot="1" x14ac:dyDescent="0.3"/>
    <row r="8" spans="1:16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6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6" s="59" customFormat="1" ht="26.25" customHeight="1" x14ac:dyDescent="0.25">
      <c r="A10" s="102">
        <v>1</v>
      </c>
      <c r="B10" s="964" t="str">
        <f>G45</f>
        <v>Chuon Kosal</v>
      </c>
      <c r="C10" s="964" t="s">
        <v>31</v>
      </c>
      <c r="D10" s="53" t="s">
        <v>226</v>
      </c>
      <c r="E10" s="430">
        <f>30+15+3</f>
        <v>48</v>
      </c>
      <c r="F10" s="55">
        <v>7</v>
      </c>
      <c r="G10" s="56">
        <f>E10*F10</f>
        <v>336</v>
      </c>
      <c r="H10" s="135" t="s">
        <v>53</v>
      </c>
      <c r="I10" s="54">
        <v>4</v>
      </c>
      <c r="J10" s="135">
        <v>9</v>
      </c>
      <c r="K10" s="878" t="s">
        <v>227</v>
      </c>
      <c r="L10" s="879"/>
      <c r="M10" s="99">
        <v>41503</v>
      </c>
      <c r="N10" s="58"/>
      <c r="P10" s="59" t="s">
        <v>397</v>
      </c>
    </row>
    <row r="11" spans="1:16" s="59" customFormat="1" ht="26.25" customHeight="1" x14ac:dyDescent="0.25">
      <c r="A11" s="90">
        <v>2</v>
      </c>
      <c r="B11" s="965"/>
      <c r="C11" s="965"/>
      <c r="D11" s="53"/>
      <c r="E11" s="431"/>
      <c r="F11" s="81"/>
      <c r="G11" s="82"/>
      <c r="H11" s="80"/>
      <c r="I11" s="80"/>
      <c r="J11" s="80"/>
      <c r="K11" s="878"/>
      <c r="L11" s="879"/>
      <c r="M11" s="120"/>
      <c r="N11" s="84"/>
    </row>
    <row r="12" spans="1:16" s="59" customFormat="1" ht="26.25" customHeight="1" x14ac:dyDescent="0.25">
      <c r="A12" s="90">
        <v>3</v>
      </c>
      <c r="B12" s="965"/>
      <c r="C12" s="965"/>
      <c r="D12" s="107"/>
      <c r="E12" s="431"/>
      <c r="F12" s="81"/>
      <c r="G12" s="82"/>
      <c r="H12" s="80"/>
      <c r="I12" s="80"/>
      <c r="J12" s="80"/>
      <c r="K12" s="878"/>
      <c r="L12" s="879"/>
      <c r="M12" s="120"/>
      <c r="N12" s="84"/>
    </row>
    <row r="13" spans="1:16" s="59" customFormat="1" ht="26.25" customHeight="1" x14ac:dyDescent="0.25">
      <c r="A13" s="90">
        <v>4</v>
      </c>
      <c r="B13" s="965"/>
      <c r="C13" s="965"/>
      <c r="D13" s="53"/>
      <c r="E13" s="431"/>
      <c r="F13" s="81"/>
      <c r="G13" s="82"/>
      <c r="H13" s="80"/>
      <c r="I13" s="80"/>
      <c r="J13" s="80"/>
      <c r="K13" s="878"/>
      <c r="L13" s="879"/>
      <c r="M13" s="120"/>
      <c r="N13" s="84"/>
    </row>
    <row r="14" spans="1:16" s="59" customFormat="1" ht="26.25" customHeight="1" x14ac:dyDescent="0.25">
      <c r="A14" s="90">
        <v>5</v>
      </c>
      <c r="B14" s="965"/>
      <c r="C14" s="965"/>
      <c r="D14" s="53"/>
      <c r="E14" s="431"/>
      <c r="F14" s="81"/>
      <c r="G14" s="82"/>
      <c r="H14" s="80"/>
      <c r="I14" s="80"/>
      <c r="J14" s="80"/>
      <c r="K14" s="878"/>
      <c r="L14" s="879"/>
      <c r="M14" s="120"/>
      <c r="N14" s="84"/>
    </row>
    <row r="15" spans="1:16" s="59" customFormat="1" ht="26.25" customHeight="1" x14ac:dyDescent="0.25">
      <c r="A15" s="127"/>
      <c r="B15" s="966"/>
      <c r="C15" s="966"/>
      <c r="D15" s="115"/>
      <c r="E15" s="431"/>
      <c r="F15" s="81"/>
      <c r="G15" s="82"/>
      <c r="H15" s="145"/>
      <c r="I15" s="145"/>
      <c r="J15" s="145"/>
      <c r="K15" s="876"/>
      <c r="L15" s="877"/>
      <c r="M15" s="120"/>
      <c r="N15" s="84"/>
    </row>
    <row r="16" spans="1:16" s="59" customFormat="1" ht="26.25" customHeight="1" x14ac:dyDescent="0.25">
      <c r="A16" s="103">
        <v>7</v>
      </c>
      <c r="B16" s="967"/>
      <c r="C16" s="967"/>
      <c r="D16" s="115"/>
      <c r="E16" s="431"/>
      <c r="F16" s="81"/>
      <c r="G16" s="82"/>
      <c r="H16" s="60"/>
      <c r="I16" s="60"/>
      <c r="J16" s="60"/>
      <c r="K16" s="876"/>
      <c r="L16" s="877"/>
      <c r="M16" s="78"/>
      <c r="N16" s="84"/>
    </row>
    <row r="17" spans="1:22" s="59" customFormat="1" ht="26.25" customHeight="1" x14ac:dyDescent="0.25">
      <c r="A17" s="874" t="s">
        <v>11</v>
      </c>
      <c r="B17" s="875"/>
      <c r="C17" s="875"/>
      <c r="D17" s="875"/>
      <c r="E17" s="75"/>
      <c r="F17" s="76"/>
      <c r="G17" s="62"/>
      <c r="H17" s="60"/>
      <c r="I17" s="60"/>
      <c r="J17" s="60"/>
      <c r="K17" s="876"/>
      <c r="L17" s="877"/>
      <c r="M17" s="60"/>
      <c r="N17" s="63"/>
    </row>
    <row r="18" spans="1:22" s="59" customFormat="1" ht="26.25" customHeight="1" x14ac:dyDescent="0.25">
      <c r="A18" s="897" t="s">
        <v>24</v>
      </c>
      <c r="B18" s="898"/>
      <c r="C18" s="898"/>
      <c r="D18" s="898"/>
      <c r="E18" s="898"/>
      <c r="F18" s="898"/>
      <c r="G18" s="64">
        <f>SUM(G10:G17)</f>
        <v>336</v>
      </c>
      <c r="H18" s="65"/>
      <c r="I18" s="65"/>
      <c r="J18" s="65"/>
      <c r="K18" s="859"/>
      <c r="L18" s="860"/>
      <c r="M18" s="65"/>
      <c r="N18" s="66"/>
    </row>
    <row r="19" spans="1:22" s="48" customFormat="1" ht="26.25" customHeight="1" x14ac:dyDescent="0.25">
      <c r="A19" s="899" t="s">
        <v>32</v>
      </c>
      <c r="B19" s="900"/>
      <c r="C19" s="900"/>
      <c r="D19" s="900"/>
      <c r="E19" s="900"/>
      <c r="F19" s="900"/>
      <c r="G19" s="900"/>
      <c r="H19" s="67"/>
      <c r="I19" s="67"/>
      <c r="J19" s="68" t="s">
        <v>44</v>
      </c>
      <c r="K19" s="67"/>
      <c r="L19" s="68"/>
      <c r="M19" s="69"/>
      <c r="N19" s="70"/>
    </row>
    <row r="20" spans="1:22" s="48" customFormat="1" ht="22.5" customHeight="1" thickBot="1" x14ac:dyDescent="0.3">
      <c r="A20" s="72" t="s">
        <v>5</v>
      </c>
      <c r="B20" s="71" t="s">
        <v>33</v>
      </c>
      <c r="C20" s="857" t="s">
        <v>21</v>
      </c>
      <c r="D20" s="858"/>
      <c r="E20" s="857" t="s">
        <v>34</v>
      </c>
      <c r="F20" s="858"/>
      <c r="G20" s="71" t="s">
        <v>0</v>
      </c>
      <c r="H20" s="71" t="s">
        <v>96</v>
      </c>
      <c r="I20" s="71" t="s">
        <v>26</v>
      </c>
      <c r="J20" s="71" t="s">
        <v>27</v>
      </c>
      <c r="K20" s="863" t="s">
        <v>28</v>
      </c>
      <c r="L20" s="857"/>
      <c r="M20" s="901"/>
      <c r="N20" s="902"/>
    </row>
    <row r="21" spans="1:22" s="59" customFormat="1" ht="26.25" customHeight="1" x14ac:dyDescent="0.25">
      <c r="A21" s="1042" t="s">
        <v>35</v>
      </c>
      <c r="B21" s="1043"/>
      <c r="C21" s="1043"/>
      <c r="D21" s="1043"/>
      <c r="E21" s="1043"/>
      <c r="F21" s="1043"/>
      <c r="G21" s="85">
        <f>G18</f>
        <v>336</v>
      </c>
      <c r="H21" s="86"/>
      <c r="I21" s="86"/>
      <c r="J21" s="86"/>
      <c r="K21" s="86"/>
      <c r="L21" s="86"/>
      <c r="M21" s="86"/>
      <c r="N21" s="87"/>
      <c r="S21" s="48"/>
    </row>
    <row r="22" spans="1:22" s="3" customFormat="1" ht="26.25" customHeight="1" x14ac:dyDescent="0.25">
      <c r="A22" s="10" t="s">
        <v>228</v>
      </c>
      <c r="B22" s="11">
        <v>41519</v>
      </c>
      <c r="C22" s="841" t="s">
        <v>226</v>
      </c>
      <c r="D22" s="841"/>
      <c r="E22" s="855">
        <v>100</v>
      </c>
      <c r="F22" s="855"/>
      <c r="G22" s="34">
        <f>G21-E22</f>
        <v>236</v>
      </c>
      <c r="H22" s="122"/>
      <c r="I22" s="122"/>
      <c r="J22" s="122"/>
      <c r="K22" s="122"/>
      <c r="L22" s="122"/>
      <c r="M22" s="122"/>
      <c r="N22" s="13"/>
    </row>
    <row r="23" spans="1:22" s="3" customFormat="1" ht="26.25" customHeight="1" x14ac:dyDescent="0.25">
      <c r="A23" s="366" t="s">
        <v>263</v>
      </c>
      <c r="B23" s="367">
        <v>41549</v>
      </c>
      <c r="C23" s="53"/>
      <c r="D23" s="53" t="s">
        <v>226</v>
      </c>
      <c r="E23" s="856">
        <v>100</v>
      </c>
      <c r="F23" s="856"/>
      <c r="G23" s="34">
        <f t="shared" ref="G23:G37" si="0">G22-E23</f>
        <v>136</v>
      </c>
      <c r="H23" s="121"/>
      <c r="I23" s="121"/>
      <c r="J23" s="121"/>
      <c r="K23" s="121"/>
      <c r="L23" s="121"/>
      <c r="M23" s="121"/>
      <c r="N23" s="6"/>
    </row>
    <row r="24" spans="1:22" s="3" customFormat="1" ht="26.25" customHeight="1" x14ac:dyDescent="0.25">
      <c r="A24" s="366" t="s">
        <v>300</v>
      </c>
      <c r="B24" s="367">
        <v>41578</v>
      </c>
      <c r="C24" s="53"/>
      <c r="D24" s="53" t="s">
        <v>226</v>
      </c>
      <c r="E24" s="856">
        <v>57</v>
      </c>
      <c r="F24" s="856"/>
      <c r="G24" s="34">
        <f t="shared" si="0"/>
        <v>79</v>
      </c>
      <c r="H24" s="121"/>
      <c r="I24" s="121"/>
      <c r="J24" s="121"/>
      <c r="K24" s="121"/>
      <c r="L24" s="121"/>
      <c r="M24" s="121"/>
      <c r="N24" s="6"/>
    </row>
    <row r="25" spans="1:22" s="3" customFormat="1" ht="26.25" customHeight="1" x14ac:dyDescent="0.25">
      <c r="A25" s="766" t="s">
        <v>565</v>
      </c>
      <c r="B25" s="767">
        <v>41406</v>
      </c>
      <c r="C25" s="1057" t="s">
        <v>226</v>
      </c>
      <c r="D25" s="1057"/>
      <c r="E25" s="1058">
        <v>79</v>
      </c>
      <c r="F25" s="1058"/>
      <c r="G25" s="768">
        <f t="shared" si="0"/>
        <v>0</v>
      </c>
      <c r="H25" s="769"/>
      <c r="I25" s="769"/>
      <c r="J25" s="769"/>
      <c r="K25" s="769"/>
      <c r="L25" s="769"/>
      <c r="M25" s="769"/>
      <c r="N25" s="770"/>
      <c r="O25" s="1055" t="s">
        <v>566</v>
      </c>
      <c r="P25" s="1056"/>
      <c r="Q25" s="1056"/>
      <c r="R25" s="1056"/>
      <c r="S25" s="1056"/>
      <c r="T25" s="1056"/>
      <c r="U25" s="1056"/>
      <c r="V25" s="1056"/>
    </row>
    <row r="26" spans="1:22" s="3" customFormat="1" ht="26.25" customHeight="1" x14ac:dyDescent="0.25">
      <c r="A26" s="14"/>
      <c r="B26" s="15"/>
      <c r="C26" s="934"/>
      <c r="D26" s="934"/>
      <c r="E26" s="845"/>
      <c r="F26" s="846"/>
      <c r="G26" s="34">
        <f t="shared" si="0"/>
        <v>0</v>
      </c>
      <c r="H26" s="121"/>
      <c r="I26" s="121"/>
      <c r="J26" s="121"/>
      <c r="K26" s="121"/>
      <c r="L26" s="121"/>
      <c r="M26" s="121"/>
      <c r="N26" s="6"/>
    </row>
    <row r="27" spans="1:22" s="3" customFormat="1" ht="26.25" customHeight="1" x14ac:dyDescent="0.25">
      <c r="A27" s="14"/>
      <c r="B27" s="15"/>
      <c r="C27" s="934"/>
      <c r="D27" s="934"/>
      <c r="E27" s="845"/>
      <c r="F27" s="846"/>
      <c r="G27" s="34">
        <f t="shared" si="0"/>
        <v>0</v>
      </c>
      <c r="H27" s="121"/>
      <c r="I27" s="121"/>
      <c r="J27" s="121"/>
      <c r="K27" s="121"/>
      <c r="L27" s="121"/>
      <c r="M27" s="121"/>
      <c r="N27" s="6"/>
    </row>
    <row r="28" spans="1:22" s="3" customFormat="1" ht="26.25" customHeight="1" x14ac:dyDescent="0.25">
      <c r="A28" s="14"/>
      <c r="B28" s="15"/>
      <c r="C28" s="934"/>
      <c r="D28" s="934"/>
      <c r="E28" s="845"/>
      <c r="F28" s="846"/>
      <c r="G28" s="34">
        <f t="shared" si="0"/>
        <v>0</v>
      </c>
      <c r="H28" s="121"/>
      <c r="I28" s="121"/>
      <c r="J28" s="121"/>
      <c r="K28" s="121"/>
      <c r="L28" s="121"/>
      <c r="M28" s="121"/>
      <c r="N28" s="6"/>
    </row>
    <row r="29" spans="1:22" s="3" customFormat="1" ht="26.25" customHeight="1" x14ac:dyDescent="0.25">
      <c r="A29" s="14"/>
      <c r="B29" s="15"/>
      <c r="C29" s="934"/>
      <c r="D29" s="934"/>
      <c r="E29" s="845"/>
      <c r="F29" s="846"/>
      <c r="G29" s="34">
        <f t="shared" si="0"/>
        <v>0</v>
      </c>
      <c r="H29" s="121"/>
      <c r="I29" s="121"/>
      <c r="J29" s="121"/>
      <c r="K29" s="121"/>
      <c r="L29" s="121"/>
      <c r="M29" s="121"/>
      <c r="N29" s="6"/>
    </row>
    <row r="30" spans="1:22" s="3" customFormat="1" ht="26.25" customHeight="1" x14ac:dyDescent="0.25">
      <c r="A30" s="14"/>
      <c r="B30" s="15"/>
      <c r="C30" s="934"/>
      <c r="D30" s="934"/>
      <c r="E30" s="845"/>
      <c r="F30" s="846"/>
      <c r="G30" s="34">
        <f t="shared" si="0"/>
        <v>0</v>
      </c>
      <c r="H30" s="121"/>
      <c r="I30" s="121"/>
      <c r="J30" s="121"/>
      <c r="K30" s="121"/>
      <c r="L30" s="121"/>
      <c r="M30" s="121"/>
      <c r="N30" s="6"/>
    </row>
    <row r="31" spans="1:22" s="3" customFormat="1" ht="26.25" customHeight="1" x14ac:dyDescent="0.25">
      <c r="A31" s="14"/>
      <c r="B31" s="17"/>
      <c r="C31" s="934"/>
      <c r="D31" s="934"/>
      <c r="E31" s="845"/>
      <c r="F31" s="846"/>
      <c r="G31" s="34">
        <f t="shared" si="0"/>
        <v>0</v>
      </c>
      <c r="H31" s="18"/>
      <c r="I31" s="18"/>
      <c r="J31" s="18"/>
      <c r="K31" s="18"/>
      <c r="L31" s="18"/>
      <c r="M31" s="18"/>
      <c r="N31" s="19"/>
    </row>
    <row r="32" spans="1:22" s="3" customFormat="1" ht="26.25" customHeight="1" x14ac:dyDescent="0.25">
      <c r="A32" s="16"/>
      <c r="B32" s="17"/>
      <c r="C32" s="934"/>
      <c r="D32" s="934"/>
      <c r="E32" s="907"/>
      <c r="F32" s="908"/>
      <c r="G32" s="34">
        <f t="shared" si="0"/>
        <v>0</v>
      </c>
      <c r="H32" s="18"/>
      <c r="I32" s="18"/>
      <c r="J32" s="18"/>
      <c r="K32" s="18"/>
      <c r="L32" s="18"/>
      <c r="M32" s="18"/>
      <c r="N32" s="19"/>
    </row>
    <row r="33" spans="1:14" s="3" customFormat="1" ht="26.25" customHeight="1" x14ac:dyDescent="0.25">
      <c r="A33" s="16"/>
      <c r="B33" s="17"/>
      <c r="C33" s="934"/>
      <c r="D33" s="934"/>
      <c r="E33" s="907"/>
      <c r="F33" s="908"/>
      <c r="G33" s="34">
        <f t="shared" si="0"/>
        <v>0</v>
      </c>
      <c r="H33" s="18"/>
      <c r="I33" s="18"/>
      <c r="J33" s="18"/>
      <c r="K33" s="18"/>
      <c r="L33" s="18"/>
      <c r="M33" s="18"/>
      <c r="N33" s="19"/>
    </row>
    <row r="34" spans="1:14" s="3" customFormat="1" ht="26.25" customHeight="1" x14ac:dyDescent="0.25">
      <c r="A34" s="16"/>
      <c r="B34" s="17"/>
      <c r="C34" s="934"/>
      <c r="D34" s="934"/>
      <c r="E34" s="845"/>
      <c r="F34" s="846"/>
      <c r="G34" s="34">
        <f t="shared" si="0"/>
        <v>0</v>
      </c>
      <c r="H34" s="18"/>
      <c r="I34" s="18"/>
      <c r="J34" s="18"/>
      <c r="K34" s="18"/>
      <c r="L34" s="18"/>
      <c r="M34" s="18"/>
      <c r="N34" s="19"/>
    </row>
    <row r="35" spans="1:14" s="3" customFormat="1" ht="26.25" customHeight="1" x14ac:dyDescent="0.25">
      <c r="A35" s="16"/>
      <c r="B35" s="17"/>
      <c r="C35" s="934"/>
      <c r="D35" s="934"/>
      <c r="E35" s="845"/>
      <c r="F35" s="846"/>
      <c r="G35" s="34">
        <f t="shared" si="0"/>
        <v>0</v>
      </c>
      <c r="H35" s="18"/>
      <c r="I35" s="18"/>
      <c r="J35" s="18"/>
      <c r="K35" s="18"/>
      <c r="L35" s="18"/>
      <c r="M35" s="18"/>
      <c r="N35" s="19"/>
    </row>
    <row r="36" spans="1:14" s="3" customFormat="1" ht="26.25" customHeight="1" x14ac:dyDescent="0.25">
      <c r="A36" s="16"/>
      <c r="B36" s="17"/>
      <c r="C36" s="934"/>
      <c r="D36" s="934"/>
      <c r="E36" s="849"/>
      <c r="F36" s="850"/>
      <c r="G36" s="34">
        <f t="shared" si="0"/>
        <v>0</v>
      </c>
      <c r="H36" s="18"/>
      <c r="I36" s="18"/>
      <c r="J36" s="18"/>
      <c r="K36" s="18"/>
      <c r="L36" s="18"/>
      <c r="M36" s="18"/>
      <c r="N36" s="19"/>
    </row>
    <row r="37" spans="1:14" s="3" customFormat="1" ht="26.25" customHeight="1" x14ac:dyDescent="0.25">
      <c r="A37" s="16"/>
      <c r="B37" s="17"/>
      <c r="C37" s="934"/>
      <c r="D37" s="934"/>
      <c r="E37" s="849"/>
      <c r="F37" s="850"/>
      <c r="G37" s="34">
        <f t="shared" si="0"/>
        <v>0</v>
      </c>
      <c r="H37" s="18"/>
      <c r="I37" s="18"/>
      <c r="J37" s="18"/>
      <c r="K37" s="18"/>
      <c r="L37" s="18"/>
      <c r="M37" s="18"/>
      <c r="N37" s="19"/>
    </row>
    <row r="38" spans="1:14" s="23" customFormat="1" ht="26.25" customHeight="1" thickBot="1" x14ac:dyDescent="0.3">
      <c r="A38" s="851" t="s">
        <v>36</v>
      </c>
      <c r="B38" s="852"/>
      <c r="C38" s="852"/>
      <c r="D38" s="852"/>
      <c r="E38" s="853">
        <f>SUM(E22:F37)</f>
        <v>336</v>
      </c>
      <c r="F38" s="854"/>
      <c r="G38" s="20"/>
      <c r="H38" s="21"/>
      <c r="I38" s="21"/>
      <c r="J38" s="21"/>
      <c r="K38" s="21"/>
      <c r="L38" s="21"/>
      <c r="M38" s="21"/>
      <c r="N38" s="22"/>
    </row>
    <row r="39" spans="1:14" s="3" customFormat="1" ht="26.25" customHeight="1" thickTop="1" x14ac:dyDescent="0.25">
      <c r="A39" s="24"/>
      <c r="E39" s="844"/>
      <c r="F39" s="844"/>
    </row>
    <row r="40" spans="1:14" s="3" customFormat="1" ht="26.25" customHeight="1" x14ac:dyDescent="0.3">
      <c r="A40" s="25" t="s">
        <v>41</v>
      </c>
      <c r="B40" s="25"/>
      <c r="C40" s="25"/>
      <c r="D40" s="25" t="s">
        <v>81</v>
      </c>
      <c r="E40" s="25"/>
      <c r="F40" s="26"/>
      <c r="G40" s="25" t="s">
        <v>38</v>
      </c>
      <c r="H40" s="25"/>
      <c r="I40" s="25"/>
      <c r="J40" s="25"/>
      <c r="K40" s="25"/>
      <c r="L40" s="25" t="s">
        <v>39</v>
      </c>
      <c r="M40" s="28"/>
      <c r="N40" s="26"/>
    </row>
    <row r="41" spans="1:14" s="3" customFormat="1" ht="26.25" customHeight="1" x14ac:dyDescent="0.3">
      <c r="A41" s="25"/>
      <c r="B41" s="25"/>
      <c r="C41" s="25"/>
      <c r="D41" s="25"/>
      <c r="E41" s="25"/>
      <c r="F41" s="26"/>
      <c r="G41" s="25"/>
      <c r="H41" s="25"/>
      <c r="I41" s="25"/>
      <c r="J41" s="25"/>
      <c r="K41" s="25"/>
      <c r="L41" s="25"/>
      <c r="M41" s="28"/>
      <c r="N41" s="26"/>
    </row>
    <row r="42" spans="1:14" s="3" customFormat="1" ht="26.25" customHeight="1" x14ac:dyDescent="0.3">
      <c r="A42" s="25"/>
      <c r="B42" s="25"/>
      <c r="C42" s="25"/>
      <c r="D42" s="25"/>
      <c r="E42" s="25"/>
      <c r="F42" s="26"/>
      <c r="G42" s="25"/>
      <c r="H42" s="25"/>
      <c r="I42" s="25"/>
      <c r="J42" s="25"/>
      <c r="K42" s="25"/>
      <c r="L42" s="25"/>
      <c r="M42" s="28"/>
      <c r="N42" s="26"/>
    </row>
    <row r="43" spans="1:14" s="3" customFormat="1" ht="26.25" customHeight="1" x14ac:dyDescent="0.3">
      <c r="A43" s="25"/>
      <c r="B43" s="25"/>
      <c r="C43" s="25"/>
      <c r="D43" s="25"/>
      <c r="E43" s="25"/>
      <c r="F43" s="26"/>
      <c r="G43" s="25"/>
      <c r="H43" s="25"/>
      <c r="I43" s="25"/>
      <c r="J43" s="25"/>
      <c r="K43" s="25"/>
      <c r="L43" s="25"/>
      <c r="M43" s="28"/>
      <c r="N43" s="26"/>
    </row>
    <row r="44" spans="1:14" s="3" customFormat="1" ht="26.25" customHeight="1" x14ac:dyDescent="0.3">
      <c r="A44" s="29"/>
      <c r="B44" s="25"/>
      <c r="C44" s="25"/>
      <c r="D44" s="29"/>
      <c r="E44" s="29"/>
      <c r="F44" s="26"/>
      <c r="G44" s="29"/>
      <c r="H44" s="25"/>
      <c r="I44" s="25"/>
      <c r="J44" s="25"/>
      <c r="K44" s="25"/>
      <c r="L44" s="27"/>
      <c r="M44" s="28"/>
      <c r="N44" s="26"/>
    </row>
    <row r="45" spans="1:14" s="30" customFormat="1" ht="17.25" x14ac:dyDescent="0.3">
      <c r="A45" s="25" t="s">
        <v>48</v>
      </c>
      <c r="B45" s="25"/>
      <c r="C45" s="25" t="s">
        <v>80</v>
      </c>
      <c r="D45" s="25"/>
      <c r="G45" s="25" t="s">
        <v>225</v>
      </c>
      <c r="H45" s="25"/>
      <c r="I45" s="25"/>
      <c r="J45" s="25"/>
      <c r="K45" s="829" t="s">
        <v>90</v>
      </c>
      <c r="L45" s="829"/>
      <c r="M45" s="829"/>
      <c r="N45" s="829"/>
    </row>
    <row r="46" spans="1:14" s="30" customFormat="1" ht="16.5" x14ac:dyDescent="0.3">
      <c r="A46" s="32"/>
    </row>
    <row r="47" spans="1:14" s="30" customFormat="1" ht="16.5" x14ac:dyDescent="0.3">
      <c r="A47" s="32"/>
    </row>
    <row r="48" spans="1:14" s="30" customFormat="1" ht="16.5" x14ac:dyDescent="0.3">
      <c r="A48" s="32"/>
    </row>
    <row r="49" spans="1:1" s="30" customFormat="1" ht="16.5" x14ac:dyDescent="0.3">
      <c r="A49" s="32"/>
    </row>
    <row r="50" spans="1:1" s="30" customFormat="1" ht="16.5" x14ac:dyDescent="0.3">
      <c r="A50" s="32"/>
    </row>
    <row r="51" spans="1:1" s="30" customFormat="1" ht="16.5" x14ac:dyDescent="0.3">
      <c r="A51" s="32"/>
    </row>
    <row r="52" spans="1:1" s="30" customFormat="1" ht="16.5" x14ac:dyDescent="0.3">
      <c r="A52" s="32"/>
    </row>
    <row r="53" spans="1:1" s="30" customFormat="1" ht="16.5" x14ac:dyDescent="0.3">
      <c r="A53" s="32"/>
    </row>
    <row r="54" spans="1:1" s="30" customFormat="1" ht="16.5" x14ac:dyDescent="0.3">
      <c r="A54" s="32"/>
    </row>
  </sheetData>
  <mergeCells count="57">
    <mergeCell ref="K45:N45"/>
    <mergeCell ref="A38:D38"/>
    <mergeCell ref="E38:F38"/>
    <mergeCell ref="E39:F39"/>
    <mergeCell ref="C30:D30"/>
    <mergeCell ref="E30:F30"/>
    <mergeCell ref="C31:D31"/>
    <mergeCell ref="E31:F31"/>
    <mergeCell ref="C37:D37"/>
    <mergeCell ref="E37:F37"/>
    <mergeCell ref="C32:D32"/>
    <mergeCell ref="E32:F32"/>
    <mergeCell ref="C33:D33"/>
    <mergeCell ref="E33:F33"/>
    <mergeCell ref="C34:D34"/>
    <mergeCell ref="E34:F34"/>
    <mergeCell ref="C35:D35"/>
    <mergeCell ref="E35:F35"/>
    <mergeCell ref="C36:D36"/>
    <mergeCell ref="E36:F36"/>
    <mergeCell ref="C27:D27"/>
    <mergeCell ref="E27:F27"/>
    <mergeCell ref="C28:D28"/>
    <mergeCell ref="E28:F28"/>
    <mergeCell ref="C29:D29"/>
    <mergeCell ref="E29:F29"/>
    <mergeCell ref="E24:F24"/>
    <mergeCell ref="C25:D25"/>
    <mergeCell ref="E25:F25"/>
    <mergeCell ref="C26:D26"/>
    <mergeCell ref="E26:F26"/>
    <mergeCell ref="C22:D22"/>
    <mergeCell ref="E22:F22"/>
    <mergeCell ref="E23:F23"/>
    <mergeCell ref="C20:D20"/>
    <mergeCell ref="E20:F20"/>
    <mergeCell ref="K18:L18"/>
    <mergeCell ref="A19:G19"/>
    <mergeCell ref="M20:N20"/>
    <mergeCell ref="A21:F21"/>
    <mergeCell ref="K20:L20"/>
    <mergeCell ref="O25:V25"/>
    <mergeCell ref="A17:D17"/>
    <mergeCell ref="K17:L17"/>
    <mergeCell ref="A1:XFD7"/>
    <mergeCell ref="A8:N8"/>
    <mergeCell ref="K9:L9"/>
    <mergeCell ref="B10:B16"/>
    <mergeCell ref="C10:C16"/>
    <mergeCell ref="K10:L10"/>
    <mergeCell ref="K16:L16"/>
    <mergeCell ref="K11:L11"/>
    <mergeCell ref="K12:L12"/>
    <mergeCell ref="K13:L13"/>
    <mergeCell ref="K14:L14"/>
    <mergeCell ref="K15:L15"/>
    <mergeCell ref="A18:F18"/>
  </mergeCells>
  <pageMargins left="0.25" right="0.25" top="0.46" bottom="0.25" header="0.5" footer="0.5"/>
  <pageSetup paperSize="9" scale="70" orientation="portrait" verticalDpi="300" r:id="rId1"/>
  <headerFooter alignWithMargins="0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2"/>
  <sheetViews>
    <sheetView zoomScale="80" workbookViewId="0">
      <pane ySplit="9" topLeftCell="A10" activePane="bottomLeft" state="frozen"/>
      <selection pane="bottomLeft" activeCell="E21" sqref="E21:F21"/>
    </sheetView>
  </sheetViews>
  <sheetFormatPr defaultRowHeight="13.5" x14ac:dyDescent="0.25"/>
  <cols>
    <col min="1" max="1" width="15" style="33" customWidth="1"/>
    <col min="2" max="2" width="16" style="1" customWidth="1"/>
    <col min="3" max="3" width="5.5703125" style="1" customWidth="1"/>
    <col min="4" max="4" width="21.85546875" style="1" customWidth="1"/>
    <col min="5" max="5" width="8.42578125" style="1" customWidth="1"/>
    <col min="6" max="6" width="10.85546875" style="1" customWidth="1"/>
    <col min="7" max="7" width="16.42578125" style="1" customWidth="1"/>
    <col min="8" max="8" width="3.710937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1.7109375" style="1" bestFit="1" customWidth="1"/>
    <col min="14" max="14" width="10.28515625" style="1" bestFit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4" s="866" customFormat="1" ht="15" x14ac:dyDescent="0.25"/>
    <row r="2" spans="1:14" s="866" customFormat="1" ht="15" x14ac:dyDescent="0.25"/>
    <row r="3" spans="1:14" s="866" customFormat="1" ht="15" x14ac:dyDescent="0.25"/>
    <row r="4" spans="1:14" s="866" customFormat="1" ht="15" x14ac:dyDescent="0.25"/>
    <row r="5" spans="1:14" s="866" customFormat="1" ht="15" x14ac:dyDescent="0.25"/>
    <row r="6" spans="1:14" s="866" customFormat="1" ht="15" x14ac:dyDescent="0.25"/>
    <row r="7" spans="1:14" s="866" customFormat="1" ht="15.75" thickBot="1" x14ac:dyDescent="0.3"/>
    <row r="8" spans="1:14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4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25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4" s="59" customFormat="1" ht="26.25" customHeight="1" x14ac:dyDescent="0.25">
      <c r="A10" s="346">
        <v>1</v>
      </c>
      <c r="B10" s="1003" t="s">
        <v>79</v>
      </c>
      <c r="C10" s="1003" t="s">
        <v>31</v>
      </c>
      <c r="D10" s="443" t="s">
        <v>255</v>
      </c>
      <c r="E10" s="345">
        <f>33+12</f>
        <v>45</v>
      </c>
      <c r="F10" s="338">
        <v>8</v>
      </c>
      <c r="G10" s="332">
        <f>E10*F10</f>
        <v>360</v>
      </c>
      <c r="H10" s="345">
        <v>30</v>
      </c>
      <c r="I10" s="345">
        <v>2</v>
      </c>
      <c r="J10" s="345">
        <v>10</v>
      </c>
      <c r="K10" s="1005" t="s">
        <v>256</v>
      </c>
      <c r="L10" s="1006"/>
      <c r="M10" s="344">
        <v>41356</v>
      </c>
      <c r="N10" s="58"/>
    </row>
    <row r="11" spans="1:14" s="59" customFormat="1" ht="26.25" customHeight="1" x14ac:dyDescent="0.25">
      <c r="A11" s="340"/>
      <c r="B11" s="1004"/>
      <c r="C11" s="1004"/>
      <c r="D11" s="443"/>
      <c r="E11" s="337"/>
      <c r="F11" s="338"/>
      <c r="G11" s="332">
        <f t="shared" ref="G11:G15" si="0">E11*F11</f>
        <v>0</v>
      </c>
      <c r="H11" s="337"/>
      <c r="I11" s="337"/>
      <c r="J11" s="337"/>
      <c r="K11" s="1007"/>
      <c r="L11" s="1008"/>
      <c r="M11" s="336"/>
      <c r="N11" s="84"/>
    </row>
    <row r="12" spans="1:14" s="59" customFormat="1" ht="26.25" customHeight="1" x14ac:dyDescent="0.25">
      <c r="A12" s="340"/>
      <c r="B12" s="1004"/>
      <c r="C12" s="1004"/>
      <c r="D12" s="443"/>
      <c r="E12" s="337"/>
      <c r="F12" s="338"/>
      <c r="G12" s="332">
        <f t="shared" si="0"/>
        <v>0</v>
      </c>
      <c r="H12" s="337"/>
      <c r="I12" s="337"/>
      <c r="J12" s="337"/>
      <c r="K12" s="342"/>
      <c r="L12" s="341"/>
      <c r="M12" s="336"/>
      <c r="N12" s="84"/>
    </row>
    <row r="13" spans="1:14" s="59" customFormat="1" ht="26.25" customHeight="1" x14ac:dyDescent="0.25">
      <c r="A13" s="340"/>
      <c r="B13" s="1004"/>
      <c r="C13" s="1004"/>
      <c r="D13" s="339"/>
      <c r="E13" s="337"/>
      <c r="F13" s="338"/>
      <c r="G13" s="332">
        <f t="shared" si="0"/>
        <v>0</v>
      </c>
      <c r="H13" s="337"/>
      <c r="I13" s="337"/>
      <c r="J13" s="337"/>
      <c r="K13" s="342"/>
      <c r="L13" s="341"/>
      <c r="M13" s="336"/>
      <c r="N13" s="84"/>
    </row>
    <row r="14" spans="1:14" s="59" customFormat="1" ht="26.25" customHeight="1" x14ac:dyDescent="0.25">
      <c r="A14" s="340"/>
      <c r="B14" s="1004"/>
      <c r="C14" s="1004"/>
      <c r="D14" s="339"/>
      <c r="E14" s="337"/>
      <c r="F14" s="338"/>
      <c r="G14" s="332">
        <f t="shared" si="0"/>
        <v>0</v>
      </c>
      <c r="H14" s="337"/>
      <c r="I14" s="337"/>
      <c r="J14" s="337"/>
      <c r="K14" s="342"/>
      <c r="L14" s="341"/>
      <c r="M14" s="336"/>
      <c r="N14" s="84"/>
    </row>
    <row r="15" spans="1:14" s="59" customFormat="1" ht="26.25" customHeight="1" x14ac:dyDescent="0.25">
      <c r="A15" s="340">
        <v>2</v>
      </c>
      <c r="B15" s="1004"/>
      <c r="C15" s="1004"/>
      <c r="D15" s="339"/>
      <c r="E15" s="337"/>
      <c r="F15" s="338"/>
      <c r="G15" s="332">
        <f t="shared" si="0"/>
        <v>0</v>
      </c>
      <c r="H15" s="337"/>
      <c r="I15" s="337"/>
      <c r="J15" s="337"/>
      <c r="K15" s="1007"/>
      <c r="L15" s="1008"/>
      <c r="M15" s="336"/>
      <c r="N15" s="84"/>
    </row>
    <row r="16" spans="1:14" s="59" customFormat="1" ht="26.25" customHeight="1" x14ac:dyDescent="0.25">
      <c r="A16" s="925" t="s">
        <v>11</v>
      </c>
      <c r="B16" s="926"/>
      <c r="C16" s="926"/>
      <c r="D16" s="926"/>
      <c r="E16" s="196"/>
      <c r="F16" s="76"/>
      <c r="G16" s="56">
        <f t="shared" ref="G16" si="1">E16*F16</f>
        <v>0</v>
      </c>
      <c r="H16" s="194"/>
      <c r="I16" s="194"/>
      <c r="J16" s="194"/>
      <c r="K16" s="876"/>
      <c r="L16" s="877"/>
      <c r="M16" s="194"/>
      <c r="N16" s="63"/>
    </row>
    <row r="17" spans="1:14" s="59" customFormat="1" ht="26.25" customHeight="1" x14ac:dyDescent="0.25">
      <c r="A17" s="927" t="s">
        <v>24</v>
      </c>
      <c r="B17" s="928"/>
      <c r="C17" s="928"/>
      <c r="D17" s="928"/>
      <c r="E17" s="928"/>
      <c r="F17" s="928"/>
      <c r="G17" s="64">
        <f>SUM(G10:G16)</f>
        <v>360</v>
      </c>
      <c r="H17" s="197"/>
      <c r="I17" s="197"/>
      <c r="J17" s="197"/>
      <c r="K17" s="859"/>
      <c r="L17" s="860"/>
      <c r="M17" s="197"/>
      <c r="N17" s="66"/>
    </row>
    <row r="18" spans="1:14" s="48" customFormat="1" ht="26.25" customHeight="1" x14ac:dyDescent="0.25">
      <c r="A18" s="929" t="s">
        <v>32</v>
      </c>
      <c r="B18" s="930"/>
      <c r="C18" s="930"/>
      <c r="D18" s="930"/>
      <c r="E18" s="930"/>
      <c r="F18" s="930"/>
      <c r="G18" s="900"/>
      <c r="H18" s="67"/>
      <c r="I18" s="67"/>
      <c r="J18" s="68" t="s">
        <v>44</v>
      </c>
      <c r="K18" s="67"/>
      <c r="L18" s="68"/>
      <c r="M18" s="69"/>
      <c r="N18" s="70"/>
    </row>
    <row r="19" spans="1:14" s="48" customFormat="1" ht="22.5" customHeight="1" thickBot="1" x14ac:dyDescent="0.3">
      <c r="A19" s="72" t="s">
        <v>5</v>
      </c>
      <c r="B19" s="71" t="s">
        <v>33</v>
      </c>
      <c r="C19" s="857" t="s">
        <v>21</v>
      </c>
      <c r="D19" s="858"/>
      <c r="E19" s="857" t="s">
        <v>34</v>
      </c>
      <c r="F19" s="858"/>
      <c r="G19" s="71" t="s">
        <v>0</v>
      </c>
      <c r="H19" s="71" t="s">
        <v>25</v>
      </c>
      <c r="I19" s="71" t="s">
        <v>26</v>
      </c>
      <c r="J19" s="71" t="s">
        <v>27</v>
      </c>
      <c r="K19" s="863" t="s">
        <v>28</v>
      </c>
      <c r="L19" s="857"/>
      <c r="M19" s="901" t="s">
        <v>43</v>
      </c>
      <c r="N19" s="902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360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315" t="s">
        <v>193</v>
      </c>
      <c r="B21" s="312">
        <v>41425</v>
      </c>
      <c r="C21" s="993" t="s">
        <v>255</v>
      </c>
      <c r="D21" s="993"/>
      <c r="E21" s="985">
        <v>130</v>
      </c>
      <c r="F21" s="985"/>
      <c r="G21" s="167">
        <f>G20-E21</f>
        <v>230</v>
      </c>
      <c r="H21" s="198"/>
      <c r="I21" s="198"/>
      <c r="J21" s="198"/>
      <c r="K21" s="198"/>
      <c r="L21" s="198"/>
      <c r="M21" s="198"/>
      <c r="N21" s="168"/>
    </row>
    <row r="22" spans="1:14" s="3" customFormat="1" ht="26.25" customHeight="1" x14ac:dyDescent="0.25">
      <c r="A22" s="315" t="s">
        <v>94</v>
      </c>
      <c r="B22" s="312">
        <v>41492</v>
      </c>
      <c r="C22" s="1059" t="s">
        <v>255</v>
      </c>
      <c r="D22" s="984"/>
      <c r="E22" s="985">
        <v>134</v>
      </c>
      <c r="F22" s="985"/>
      <c r="G22" s="167">
        <f t="shared" ref="G22:G24" si="2">G21-E22</f>
        <v>96</v>
      </c>
      <c r="H22" s="198"/>
      <c r="I22" s="198"/>
      <c r="J22" s="198"/>
      <c r="K22" s="198"/>
      <c r="L22" s="198"/>
      <c r="M22" s="198"/>
      <c r="N22" s="168"/>
    </row>
    <row r="23" spans="1:14" s="3" customFormat="1" ht="26.25" customHeight="1" x14ac:dyDescent="0.25">
      <c r="A23" s="366" t="s">
        <v>263</v>
      </c>
      <c r="B23" s="367">
        <v>41549</v>
      </c>
      <c r="C23" s="983" t="s">
        <v>255</v>
      </c>
      <c r="D23" s="984"/>
      <c r="E23" s="918">
        <v>96</v>
      </c>
      <c r="F23" s="918"/>
      <c r="G23" s="167">
        <f t="shared" si="2"/>
        <v>0</v>
      </c>
      <c r="H23" s="198"/>
      <c r="I23" s="198"/>
      <c r="J23" s="198"/>
      <c r="K23" s="198"/>
      <c r="L23" s="198"/>
      <c r="M23" s="198"/>
      <c r="N23" s="168"/>
    </row>
    <row r="24" spans="1:14" s="3" customFormat="1" ht="26.25" customHeight="1" x14ac:dyDescent="0.25">
      <c r="A24" s="169"/>
      <c r="B24" s="166"/>
      <c r="C24" s="924"/>
      <c r="D24" s="924"/>
      <c r="E24" s="918"/>
      <c r="F24" s="918"/>
      <c r="G24" s="167">
        <f t="shared" si="2"/>
        <v>0</v>
      </c>
      <c r="H24" s="198"/>
      <c r="I24" s="198"/>
      <c r="J24" s="198"/>
      <c r="K24" s="198"/>
      <c r="L24" s="198"/>
      <c r="M24" s="198"/>
      <c r="N24" s="168"/>
    </row>
    <row r="25" spans="1:14" s="3" customFormat="1" ht="26.25" customHeight="1" x14ac:dyDescent="0.25">
      <c r="A25" s="169"/>
      <c r="B25" s="166"/>
      <c r="C25" s="945"/>
      <c r="D25" s="945"/>
      <c r="E25" s="919"/>
      <c r="F25" s="919"/>
      <c r="G25" s="167">
        <f>G24-E25</f>
        <v>0</v>
      </c>
      <c r="H25" s="198"/>
      <c r="I25" s="198"/>
      <c r="J25" s="198"/>
      <c r="K25" s="198"/>
      <c r="L25" s="198"/>
      <c r="M25" s="198"/>
      <c r="N25" s="168"/>
    </row>
    <row r="26" spans="1:14" s="23" customFormat="1" ht="26.25" customHeight="1" thickBot="1" x14ac:dyDescent="0.3">
      <c r="A26" s="914" t="s">
        <v>36</v>
      </c>
      <c r="B26" s="915"/>
      <c r="C26" s="915"/>
      <c r="D26" s="915"/>
      <c r="E26" s="916">
        <f>SUM(E21:F25)</f>
        <v>360</v>
      </c>
      <c r="F26" s="917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44"/>
      <c r="F27" s="844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Moeun Tola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2">
    <mergeCell ref="A1:XFD7"/>
    <mergeCell ref="A8:N8"/>
    <mergeCell ref="K9:L9"/>
    <mergeCell ref="B10:B15"/>
    <mergeCell ref="C10:C15"/>
    <mergeCell ref="K10:L10"/>
    <mergeCell ref="K11:L11"/>
    <mergeCell ref="K15:L15"/>
    <mergeCell ref="A16:D16"/>
    <mergeCell ref="K16:L16"/>
    <mergeCell ref="A17:F17"/>
    <mergeCell ref="K17:L17"/>
    <mergeCell ref="A18:G18"/>
    <mergeCell ref="M19:N19"/>
    <mergeCell ref="A20:F20"/>
    <mergeCell ref="C21:D21"/>
    <mergeCell ref="E21:F21"/>
    <mergeCell ref="C22:D22"/>
    <mergeCell ref="E22:F22"/>
    <mergeCell ref="C19:D19"/>
    <mergeCell ref="E19:F19"/>
    <mergeCell ref="K19:L19"/>
    <mergeCell ref="A26:D26"/>
    <mergeCell ref="E26:F26"/>
    <mergeCell ref="E27:F27"/>
    <mergeCell ref="K33:N33"/>
    <mergeCell ref="C23:D23"/>
    <mergeCell ref="E23:F23"/>
    <mergeCell ref="C24:D24"/>
    <mergeCell ref="E24:F24"/>
    <mergeCell ref="C25:D25"/>
    <mergeCell ref="E25:F25"/>
  </mergeCells>
  <hyperlinks>
    <hyperlink ref="M19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"/>
  <sheetViews>
    <sheetView zoomScale="80" workbookViewId="0">
      <pane ySplit="9" topLeftCell="A10" activePane="bottomLeft" state="frozen"/>
      <selection pane="bottomLeft" activeCell="Q21" sqref="Q21"/>
    </sheetView>
  </sheetViews>
  <sheetFormatPr defaultRowHeight="13.5" x14ac:dyDescent="0.25"/>
  <cols>
    <col min="1" max="1" width="15.5703125" style="33" customWidth="1"/>
    <col min="2" max="2" width="18.5703125" style="1" customWidth="1"/>
    <col min="3" max="3" width="5.5703125" style="1" customWidth="1"/>
    <col min="4" max="4" width="27.85546875" style="1" customWidth="1"/>
    <col min="5" max="5" width="8.42578125" style="1" customWidth="1"/>
    <col min="6" max="6" width="13.5703125" style="1" customWidth="1"/>
    <col min="7" max="7" width="16.42578125" style="1" customWidth="1"/>
    <col min="8" max="8" width="6.5703125" style="1" customWidth="1"/>
    <col min="9" max="9" width="8.7109375" style="1" customWidth="1"/>
    <col min="10" max="10" width="7.5703125" style="1" customWidth="1"/>
    <col min="11" max="11" width="8" style="1" customWidth="1"/>
    <col min="12" max="12" width="7.5703125" style="1" customWidth="1"/>
    <col min="13" max="13" width="17.7109375" style="1" customWidth="1"/>
    <col min="14" max="14" width="16.140625" style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4" s="866" customFormat="1" ht="15" x14ac:dyDescent="0.25"/>
    <row r="2" spans="1:14" s="866" customFormat="1" ht="15" x14ac:dyDescent="0.25"/>
    <row r="3" spans="1:14" s="866" customFormat="1" ht="15" x14ac:dyDescent="0.25"/>
    <row r="4" spans="1:14" s="866" customFormat="1" ht="15" x14ac:dyDescent="0.25"/>
    <row r="5" spans="1:14" s="866" customFormat="1" ht="15" x14ac:dyDescent="0.25"/>
    <row r="6" spans="1:14" s="866" customFormat="1" ht="15" x14ac:dyDescent="0.25"/>
    <row r="7" spans="1:14" s="866" customFormat="1" ht="15.75" thickBot="1" x14ac:dyDescent="0.3"/>
    <row r="8" spans="1:14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4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4" s="59" customFormat="1" ht="26.25" customHeight="1" x14ac:dyDescent="0.25">
      <c r="A10" s="91">
        <v>1</v>
      </c>
      <c r="B10" s="890" t="str">
        <f>G29</f>
        <v>Raymond Leo</v>
      </c>
      <c r="C10" s="890" t="s">
        <v>31</v>
      </c>
      <c r="D10" s="53" t="s">
        <v>270</v>
      </c>
      <c r="E10" s="155"/>
      <c r="F10" s="55">
        <v>1200</v>
      </c>
      <c r="G10" s="56">
        <f>E10*F10</f>
        <v>0</v>
      </c>
      <c r="H10" s="155" t="s">
        <v>272</v>
      </c>
      <c r="I10" s="155">
        <v>1</v>
      </c>
      <c r="J10" s="155">
        <v>1</v>
      </c>
      <c r="K10" s="878" t="s">
        <v>271</v>
      </c>
      <c r="L10" s="879"/>
      <c r="M10" s="344">
        <v>41560</v>
      </c>
      <c r="N10" s="58">
        <v>41616</v>
      </c>
    </row>
    <row r="11" spans="1:14" s="59" customFormat="1" ht="26.25" customHeight="1" x14ac:dyDescent="0.25">
      <c r="A11" s="93"/>
      <c r="B11" s="891"/>
      <c r="C11" s="891"/>
      <c r="D11" s="77"/>
      <c r="E11" s="80"/>
      <c r="F11" s="81"/>
      <c r="G11" s="56">
        <f t="shared" ref="G11" si="0">E11*F11</f>
        <v>0</v>
      </c>
      <c r="H11" s="80"/>
      <c r="I11" s="80"/>
      <c r="J11" s="80"/>
      <c r="K11" s="876"/>
      <c r="L11" s="877"/>
      <c r="M11" s="94"/>
      <c r="N11" s="84"/>
    </row>
    <row r="12" spans="1:14" s="59" customFormat="1" ht="26.25" customHeight="1" x14ac:dyDescent="0.25">
      <c r="A12" s="925" t="s">
        <v>11</v>
      </c>
      <c r="B12" s="926"/>
      <c r="C12" s="926"/>
      <c r="D12" s="926"/>
      <c r="E12" s="159">
        <v>45</v>
      </c>
      <c r="F12" s="76"/>
      <c r="G12" s="56">
        <f>E12*F12</f>
        <v>0</v>
      </c>
      <c r="H12" s="156"/>
      <c r="I12" s="156"/>
      <c r="J12" s="156"/>
      <c r="K12" s="876"/>
      <c r="L12" s="877"/>
      <c r="M12" s="156"/>
      <c r="N12" s="63"/>
    </row>
    <row r="13" spans="1:14" s="59" customFormat="1" ht="26.25" customHeight="1" x14ac:dyDescent="0.25">
      <c r="A13" s="927" t="s">
        <v>24</v>
      </c>
      <c r="B13" s="928"/>
      <c r="C13" s="928"/>
      <c r="D13" s="928"/>
      <c r="E13" s="928"/>
      <c r="F13" s="928"/>
      <c r="G13" s="64">
        <v>1200</v>
      </c>
      <c r="H13" s="160"/>
      <c r="I13" s="160"/>
      <c r="J13" s="160"/>
      <c r="K13" s="859"/>
      <c r="L13" s="860"/>
      <c r="M13" s="160"/>
      <c r="N13" s="66"/>
    </row>
    <row r="14" spans="1:14" s="48" customFormat="1" ht="26.25" customHeight="1" x14ac:dyDescent="0.25">
      <c r="A14" s="929" t="s">
        <v>32</v>
      </c>
      <c r="B14" s="930"/>
      <c r="C14" s="930"/>
      <c r="D14" s="930"/>
      <c r="E14" s="930"/>
      <c r="F14" s="930"/>
      <c r="G14" s="900"/>
      <c r="H14" s="67"/>
      <c r="I14" s="67"/>
      <c r="J14" s="68" t="s">
        <v>44</v>
      </c>
      <c r="K14" s="67"/>
      <c r="L14" s="68"/>
      <c r="M14" s="69"/>
      <c r="N14" s="70"/>
    </row>
    <row r="15" spans="1:14" s="48" customFormat="1" ht="22.5" customHeight="1" thickBot="1" x14ac:dyDescent="0.3">
      <c r="A15" s="72" t="s">
        <v>5</v>
      </c>
      <c r="B15" s="71" t="s">
        <v>33</v>
      </c>
      <c r="C15" s="857" t="s">
        <v>21</v>
      </c>
      <c r="D15" s="858"/>
      <c r="E15" s="857" t="s">
        <v>34</v>
      </c>
      <c r="F15" s="858"/>
      <c r="G15" s="71" t="s">
        <v>0</v>
      </c>
      <c r="H15" s="71" t="s">
        <v>96</v>
      </c>
      <c r="I15" s="71" t="s">
        <v>26</v>
      </c>
      <c r="J15" s="71" t="s">
        <v>27</v>
      </c>
      <c r="K15" s="863" t="s">
        <v>28</v>
      </c>
      <c r="L15" s="857"/>
      <c r="M15" s="901" t="s">
        <v>43</v>
      </c>
      <c r="N15" s="902"/>
    </row>
    <row r="16" spans="1:14" s="3" customFormat="1" ht="26.25" customHeight="1" x14ac:dyDescent="0.25">
      <c r="A16" s="861" t="s">
        <v>35</v>
      </c>
      <c r="B16" s="862"/>
      <c r="C16" s="862"/>
      <c r="D16" s="862"/>
      <c r="E16" s="862"/>
      <c r="F16" s="862"/>
      <c r="G16" s="7">
        <f>G13</f>
        <v>1200</v>
      </c>
      <c r="H16" s="8"/>
      <c r="I16" s="8"/>
      <c r="J16" s="8"/>
      <c r="K16" s="8"/>
      <c r="L16" s="8"/>
      <c r="M16" s="8"/>
      <c r="N16" s="9"/>
    </row>
    <row r="17" spans="1:14" s="3" customFormat="1" ht="26.25" customHeight="1" x14ac:dyDescent="0.25">
      <c r="A17" s="11" t="s">
        <v>367</v>
      </c>
      <c r="B17" s="11">
        <v>41636</v>
      </c>
      <c r="C17" s="584" t="s">
        <v>270</v>
      </c>
      <c r="D17" s="585"/>
      <c r="E17" s="855">
        <v>600</v>
      </c>
      <c r="F17" s="855"/>
      <c r="G17" s="12">
        <f>G16-E17</f>
        <v>600</v>
      </c>
      <c r="H17" s="157"/>
      <c r="I17" s="157"/>
      <c r="J17" s="157"/>
      <c r="K17" s="157"/>
      <c r="L17" s="157"/>
      <c r="M17" s="157"/>
      <c r="N17" s="13"/>
    </row>
    <row r="18" spans="1:14" s="3" customFormat="1" ht="26.25" customHeight="1" x14ac:dyDescent="0.25">
      <c r="A18" s="14" t="s">
        <v>427</v>
      </c>
      <c r="B18" s="15">
        <v>41691</v>
      </c>
      <c r="C18" s="584" t="s">
        <v>270</v>
      </c>
      <c r="D18" s="585"/>
      <c r="E18" s="856">
        <v>600</v>
      </c>
      <c r="F18" s="856"/>
      <c r="G18" s="12">
        <f t="shared" ref="G18:G21" si="1">G17-E18</f>
        <v>0</v>
      </c>
      <c r="H18" s="158"/>
      <c r="I18" s="158"/>
      <c r="J18" s="158"/>
      <c r="K18" s="158"/>
      <c r="L18" s="158"/>
      <c r="M18" s="158"/>
      <c r="N18" s="6"/>
    </row>
    <row r="19" spans="1:14" s="3" customFormat="1" ht="26.25" customHeight="1" x14ac:dyDescent="0.25">
      <c r="A19" s="14"/>
      <c r="B19" s="15"/>
      <c r="C19" s="841"/>
      <c r="D19" s="841"/>
      <c r="E19" s="856"/>
      <c r="F19" s="856"/>
      <c r="G19" s="12">
        <f t="shared" si="1"/>
        <v>0</v>
      </c>
      <c r="H19" s="158"/>
      <c r="I19" s="158"/>
      <c r="J19" s="158"/>
      <c r="K19" s="158"/>
      <c r="L19" s="158"/>
      <c r="M19" s="158"/>
      <c r="N19" s="6"/>
    </row>
    <row r="20" spans="1:14" s="3" customFormat="1" ht="26.25" customHeight="1" x14ac:dyDescent="0.25">
      <c r="A20" s="14"/>
      <c r="B20" s="15"/>
      <c r="C20" s="841"/>
      <c r="D20" s="841"/>
      <c r="E20" s="845"/>
      <c r="F20" s="846"/>
      <c r="G20" s="12">
        <f t="shared" si="1"/>
        <v>0</v>
      </c>
      <c r="H20" s="158"/>
      <c r="I20" s="158"/>
      <c r="J20" s="158"/>
      <c r="K20" s="158"/>
      <c r="L20" s="158"/>
      <c r="M20" s="158"/>
      <c r="N20" s="6"/>
    </row>
    <row r="21" spans="1:14" s="3" customFormat="1" ht="26.25" customHeight="1" x14ac:dyDescent="0.25">
      <c r="A21" s="14"/>
      <c r="B21" s="15"/>
      <c r="C21" s="841"/>
      <c r="D21" s="841"/>
      <c r="E21" s="842"/>
      <c r="F21" s="843"/>
      <c r="G21" s="12">
        <f t="shared" si="1"/>
        <v>0</v>
      </c>
      <c r="H21" s="158"/>
      <c r="I21" s="158"/>
      <c r="J21" s="158"/>
      <c r="K21" s="158"/>
      <c r="L21" s="158"/>
      <c r="M21" s="158"/>
      <c r="N21" s="6"/>
    </row>
    <row r="22" spans="1:14" s="23" customFormat="1" ht="26.25" customHeight="1" thickBot="1" x14ac:dyDescent="0.3">
      <c r="A22" s="851" t="s">
        <v>36</v>
      </c>
      <c r="B22" s="852"/>
      <c r="C22" s="852"/>
      <c r="D22" s="852"/>
      <c r="E22" s="853">
        <f>SUM(E17:F21)</f>
        <v>1200</v>
      </c>
      <c r="F22" s="854"/>
      <c r="G22" s="20"/>
      <c r="H22" s="21"/>
      <c r="I22" s="21"/>
      <c r="J22" s="21"/>
      <c r="K22" s="21"/>
      <c r="L22" s="21"/>
      <c r="M22" s="21"/>
      <c r="N22" s="22"/>
    </row>
    <row r="23" spans="1:14" s="3" customFormat="1" ht="26.25" customHeight="1" thickTop="1" x14ac:dyDescent="0.25">
      <c r="A23" s="24"/>
      <c r="E23" s="844"/>
      <c r="F23" s="844"/>
    </row>
    <row r="24" spans="1:14" s="3" customFormat="1" ht="26.25" customHeight="1" x14ac:dyDescent="0.3">
      <c r="A24" s="25" t="s">
        <v>41</v>
      </c>
      <c r="B24" s="25"/>
      <c r="C24" s="25"/>
      <c r="D24" s="25" t="s">
        <v>81</v>
      </c>
      <c r="E24" s="25"/>
      <c r="F24" s="26"/>
      <c r="G24" s="25" t="s">
        <v>38</v>
      </c>
      <c r="H24" s="25"/>
      <c r="I24" s="25"/>
      <c r="J24" s="25"/>
      <c r="K24" s="25"/>
      <c r="L24" s="25" t="s">
        <v>39</v>
      </c>
      <c r="M24" s="28"/>
      <c r="N24" s="26"/>
    </row>
    <row r="25" spans="1:14" s="3" customFormat="1" ht="26.25" customHeight="1" x14ac:dyDescent="0.3">
      <c r="A25" s="25"/>
      <c r="B25" s="25"/>
      <c r="C25" s="25"/>
      <c r="D25" s="25"/>
      <c r="E25" s="25"/>
      <c r="F25" s="26"/>
      <c r="G25" s="25"/>
      <c r="H25" s="25"/>
      <c r="I25" s="25"/>
      <c r="J25" s="25"/>
      <c r="K25" s="25"/>
      <c r="L25" s="25"/>
      <c r="M25" s="28"/>
      <c r="N25" s="26"/>
    </row>
    <row r="26" spans="1:14" s="3" customFormat="1" ht="26.25" customHeight="1" x14ac:dyDescent="0.3">
      <c r="A26" s="25"/>
      <c r="B26" s="25"/>
      <c r="C26" s="25"/>
      <c r="D26" s="25"/>
      <c r="E26" s="25"/>
      <c r="F26" s="26"/>
      <c r="G26" s="25"/>
      <c r="H26" s="25"/>
      <c r="I26" s="25"/>
      <c r="J26" s="25"/>
      <c r="K26" s="25"/>
      <c r="L26" s="25"/>
      <c r="M26" s="28"/>
      <c r="N26" s="26"/>
    </row>
    <row r="27" spans="1:14" s="3" customFormat="1" ht="26.25" customHeight="1" x14ac:dyDescent="0.3">
      <c r="A27" s="25"/>
      <c r="B27" s="25"/>
      <c r="C27" s="25"/>
      <c r="D27" s="25"/>
      <c r="E27" s="25"/>
      <c r="F27" s="26"/>
      <c r="G27" s="25"/>
      <c r="H27" s="25"/>
      <c r="I27" s="25"/>
      <c r="J27" s="25"/>
      <c r="K27" s="25"/>
      <c r="L27" s="25"/>
      <c r="M27" s="28"/>
      <c r="N27" s="26"/>
    </row>
    <row r="28" spans="1:14" s="3" customFormat="1" ht="26.25" customHeight="1" x14ac:dyDescent="0.3">
      <c r="A28" s="29"/>
      <c r="B28" s="25"/>
      <c r="C28" s="25"/>
      <c r="D28" s="29"/>
      <c r="E28" s="29"/>
      <c r="F28" s="26"/>
      <c r="G28" s="29"/>
      <c r="H28" s="25"/>
      <c r="I28" s="25"/>
      <c r="J28" s="25"/>
      <c r="K28" s="25"/>
      <c r="L28" s="27"/>
      <c r="M28" s="28"/>
      <c r="N28" s="26"/>
    </row>
    <row r="29" spans="1:14" s="30" customFormat="1" ht="17.25" x14ac:dyDescent="0.3">
      <c r="A29" s="25" t="s">
        <v>48</v>
      </c>
      <c r="B29" s="25"/>
      <c r="C29" s="25" t="s">
        <v>80</v>
      </c>
      <c r="D29" s="25"/>
      <c r="G29" s="25" t="s">
        <v>269</v>
      </c>
      <c r="H29" s="25"/>
      <c r="I29" s="25"/>
      <c r="J29" s="25"/>
      <c r="K29" s="829" t="s">
        <v>90</v>
      </c>
      <c r="L29" s="829"/>
      <c r="M29" s="829"/>
      <c r="N29" s="829"/>
    </row>
    <row r="30" spans="1:14" s="30" customFormat="1" ht="16.5" x14ac:dyDescent="0.3">
      <c r="A30" s="32"/>
    </row>
    <row r="31" spans="1:14" s="30" customFormat="1" ht="16.5" x14ac:dyDescent="0.3">
      <c r="A31" s="32"/>
    </row>
    <row r="32" spans="1:14" s="30" customFormat="1" ht="16.5" x14ac:dyDescent="0.3">
      <c r="A32" s="32"/>
    </row>
    <row r="33" spans="1:1" s="30" customFormat="1" ht="16.5" x14ac:dyDescent="0.3">
      <c r="A33" s="32"/>
    </row>
    <row r="34" spans="1:1" s="30" customFormat="1" ht="16.5" x14ac:dyDescent="0.3">
      <c r="A34" s="32"/>
    </row>
    <row r="35" spans="1:1" s="30" customFormat="1" ht="16.5" x14ac:dyDescent="0.3">
      <c r="A35" s="32"/>
    </row>
    <row r="36" spans="1:1" s="30" customFormat="1" ht="16.5" x14ac:dyDescent="0.3">
      <c r="A36" s="32"/>
    </row>
    <row r="37" spans="1:1" s="30" customFormat="1" ht="16.5" x14ac:dyDescent="0.3">
      <c r="A37" s="32"/>
    </row>
    <row r="38" spans="1:1" s="30" customFormat="1" ht="16.5" x14ac:dyDescent="0.3">
      <c r="A38" s="32"/>
    </row>
  </sheetData>
  <mergeCells count="29">
    <mergeCell ref="K29:N29"/>
    <mergeCell ref="A1:XFD7"/>
    <mergeCell ref="A8:N8"/>
    <mergeCell ref="K9:L9"/>
    <mergeCell ref="B10:B11"/>
    <mergeCell ref="C10:C11"/>
    <mergeCell ref="K10:L10"/>
    <mergeCell ref="K11:L11"/>
    <mergeCell ref="A12:D12"/>
    <mergeCell ref="K12:L12"/>
    <mergeCell ref="A13:F13"/>
    <mergeCell ref="K13:L13"/>
    <mergeCell ref="A14:G14"/>
    <mergeCell ref="M15:N15"/>
    <mergeCell ref="A16:F16"/>
    <mergeCell ref="K15:L15"/>
    <mergeCell ref="E23:F23"/>
    <mergeCell ref="E19:F19"/>
    <mergeCell ref="C21:D21"/>
    <mergeCell ref="E20:F20"/>
    <mergeCell ref="E21:F21"/>
    <mergeCell ref="A22:D22"/>
    <mergeCell ref="E22:F22"/>
    <mergeCell ref="C20:D20"/>
    <mergeCell ref="E17:F17"/>
    <mergeCell ref="E18:F18"/>
    <mergeCell ref="C15:D15"/>
    <mergeCell ref="E15:F15"/>
    <mergeCell ref="C19:D19"/>
  </mergeCells>
  <hyperlinks>
    <hyperlink ref="M15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"/>
  <sheetViews>
    <sheetView zoomScale="80" workbookViewId="0">
      <pane ySplit="9" topLeftCell="A10" activePane="bottomLeft" state="frozen"/>
      <selection pane="bottomLeft" activeCell="P25" sqref="P25"/>
    </sheetView>
  </sheetViews>
  <sheetFormatPr defaultRowHeight="13.5" x14ac:dyDescent="0.25"/>
  <cols>
    <col min="1" max="1" width="14.85546875" style="33" customWidth="1"/>
    <col min="2" max="2" width="14.42578125" style="1" customWidth="1"/>
    <col min="3" max="3" width="5.5703125" style="1" customWidth="1"/>
    <col min="4" max="4" width="25.7109375" style="1" customWidth="1"/>
    <col min="5" max="5" width="8.42578125" style="1" customWidth="1"/>
    <col min="6" max="6" width="10.42578125" style="1" customWidth="1"/>
    <col min="7" max="7" width="13.140625" style="1" customWidth="1"/>
    <col min="8" max="8" width="7" style="1" customWidth="1"/>
    <col min="9" max="9" width="3.85546875" style="1" customWidth="1"/>
    <col min="10" max="10" width="5" style="1" customWidth="1"/>
    <col min="11" max="11" width="7.140625" style="1" customWidth="1"/>
    <col min="12" max="12" width="1.140625" style="1" hidden="1" customWidth="1"/>
    <col min="13" max="13" width="11.5703125" style="1" customWidth="1"/>
    <col min="14" max="14" width="14.42578125" style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4" s="866" customFormat="1" ht="15" x14ac:dyDescent="0.25"/>
    <row r="2" spans="1:14" s="866" customFormat="1" ht="15" x14ac:dyDescent="0.25"/>
    <row r="3" spans="1:14" s="866" customFormat="1" ht="15" x14ac:dyDescent="0.25"/>
    <row r="4" spans="1:14" s="866" customFormat="1" ht="15" x14ac:dyDescent="0.25"/>
    <row r="5" spans="1:14" s="866" customFormat="1" ht="15" x14ac:dyDescent="0.25"/>
    <row r="6" spans="1:14" s="866" customFormat="1" ht="15" x14ac:dyDescent="0.25"/>
    <row r="7" spans="1:14" s="866" customFormat="1" ht="15.75" thickBot="1" x14ac:dyDescent="0.3"/>
    <row r="8" spans="1:14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4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/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4" s="59" customFormat="1" ht="26.25" customHeight="1" x14ac:dyDescent="0.25">
      <c r="A10" s="91">
        <v>1</v>
      </c>
      <c r="B10" s="890" t="str">
        <f>G32</f>
        <v>Kong Nimol</v>
      </c>
      <c r="C10" s="890" t="s">
        <v>53</v>
      </c>
      <c r="D10" s="53" t="s">
        <v>273</v>
      </c>
      <c r="E10" s="174">
        <f>35+10</f>
        <v>45</v>
      </c>
      <c r="F10" s="55">
        <v>13.333</v>
      </c>
      <c r="G10" s="56">
        <v>600</v>
      </c>
      <c r="H10" s="174"/>
      <c r="I10" s="174"/>
      <c r="J10" s="183"/>
      <c r="K10" s="878" t="s">
        <v>227</v>
      </c>
      <c r="L10" s="879"/>
      <c r="M10" s="92">
        <v>41559</v>
      </c>
      <c r="N10" s="92">
        <v>41616</v>
      </c>
    </row>
    <row r="11" spans="1:14" s="59" customFormat="1" ht="26.25" customHeight="1" x14ac:dyDescent="0.25">
      <c r="A11" s="93"/>
      <c r="B11" s="891"/>
      <c r="C11" s="891"/>
      <c r="D11" s="77"/>
      <c r="E11" s="80"/>
      <c r="F11" s="55"/>
      <c r="G11" s="56"/>
      <c r="H11" s="183"/>
      <c r="I11" s="183"/>
      <c r="J11" s="183"/>
      <c r="K11" s="876"/>
      <c r="L11" s="877"/>
      <c r="M11" s="94"/>
      <c r="N11" s="84"/>
    </row>
    <row r="12" spans="1:14" s="59" customFormat="1" ht="26.25" customHeight="1" x14ac:dyDescent="0.25">
      <c r="A12" s="91"/>
      <c r="B12" s="891"/>
      <c r="C12" s="891"/>
      <c r="D12" s="77"/>
      <c r="E12" s="80"/>
      <c r="F12" s="55"/>
      <c r="G12" s="56"/>
      <c r="H12" s="183"/>
      <c r="I12" s="183"/>
      <c r="J12" s="183"/>
      <c r="K12" s="876"/>
      <c r="L12" s="877"/>
      <c r="M12" s="94"/>
      <c r="N12" s="84"/>
    </row>
    <row r="13" spans="1:14" s="59" customFormat="1" ht="26.25" customHeight="1" x14ac:dyDescent="0.25">
      <c r="A13" s="93"/>
      <c r="B13" s="891"/>
      <c r="C13" s="891"/>
      <c r="D13" s="77"/>
      <c r="E13" s="80"/>
      <c r="F13" s="55"/>
      <c r="G13" s="56"/>
      <c r="H13" s="183"/>
      <c r="I13" s="183"/>
      <c r="J13" s="183"/>
      <c r="K13" s="876"/>
      <c r="L13" s="877"/>
      <c r="M13" s="94"/>
      <c r="N13" s="84"/>
    </row>
    <row r="14" spans="1:14" s="59" customFormat="1" ht="26.25" customHeight="1" x14ac:dyDescent="0.25">
      <c r="A14" s="91"/>
      <c r="B14" s="891"/>
      <c r="C14" s="891"/>
      <c r="D14" s="77"/>
      <c r="E14" s="80"/>
      <c r="F14" s="55"/>
      <c r="G14" s="56"/>
      <c r="H14" s="183"/>
      <c r="I14" s="183"/>
      <c r="J14" s="183"/>
      <c r="K14" s="876"/>
      <c r="L14" s="877"/>
      <c r="M14" s="94"/>
      <c r="N14" s="84"/>
    </row>
    <row r="15" spans="1:14" s="59" customFormat="1" ht="26.25" customHeight="1" x14ac:dyDescent="0.25">
      <c r="A15" s="925" t="s">
        <v>11</v>
      </c>
      <c r="B15" s="926"/>
      <c r="C15" s="926"/>
      <c r="D15" s="926"/>
      <c r="E15" s="178">
        <f>SUM(E10:E14)</f>
        <v>45</v>
      </c>
      <c r="F15" s="76">
        <v>13.333299999999999</v>
      </c>
      <c r="G15" s="56">
        <f>E15*F15</f>
        <v>599.99849999999992</v>
      </c>
      <c r="H15" s="175"/>
      <c r="I15" s="175"/>
      <c r="J15" s="175"/>
      <c r="K15" s="876"/>
      <c r="L15" s="877"/>
      <c r="M15" s="175"/>
      <c r="N15" s="63"/>
    </row>
    <row r="16" spans="1:14" s="59" customFormat="1" ht="26.25" customHeight="1" x14ac:dyDescent="0.25">
      <c r="A16" s="927" t="s">
        <v>24</v>
      </c>
      <c r="B16" s="928"/>
      <c r="C16" s="928"/>
      <c r="D16" s="928"/>
      <c r="E16" s="928"/>
      <c r="F16" s="928"/>
      <c r="G16" s="64">
        <f>G15</f>
        <v>599.99849999999992</v>
      </c>
      <c r="H16" s="179"/>
      <c r="I16" s="179"/>
      <c r="J16" s="179"/>
      <c r="K16" s="859"/>
      <c r="L16" s="860"/>
      <c r="M16" s="179"/>
      <c r="N16" s="66"/>
    </row>
    <row r="17" spans="1:14" s="48" customFormat="1" ht="26.25" customHeight="1" x14ac:dyDescent="0.25">
      <c r="A17" s="929" t="s">
        <v>32</v>
      </c>
      <c r="B17" s="930"/>
      <c r="C17" s="930"/>
      <c r="D17" s="930"/>
      <c r="E17" s="930"/>
      <c r="F17" s="930"/>
      <c r="G17" s="900"/>
      <c r="H17" s="67"/>
      <c r="I17" s="67"/>
      <c r="J17" s="68" t="s">
        <v>44</v>
      </c>
      <c r="K17" s="67"/>
      <c r="L17" s="68"/>
      <c r="M17" s="69"/>
      <c r="N17" s="70"/>
    </row>
    <row r="18" spans="1:14" s="48" customFormat="1" ht="22.5" customHeight="1" thickBot="1" x14ac:dyDescent="0.3">
      <c r="A18" s="72" t="s">
        <v>5</v>
      </c>
      <c r="B18" s="71" t="s">
        <v>33</v>
      </c>
      <c r="C18" s="857" t="s">
        <v>21</v>
      </c>
      <c r="D18" s="858"/>
      <c r="E18" s="857" t="s">
        <v>34</v>
      </c>
      <c r="F18" s="858"/>
      <c r="G18" s="71" t="s">
        <v>0</v>
      </c>
      <c r="H18" s="71" t="s">
        <v>25</v>
      </c>
      <c r="I18" s="71" t="s">
        <v>26</v>
      </c>
      <c r="J18" s="71" t="s">
        <v>27</v>
      </c>
      <c r="K18" s="863" t="s">
        <v>28</v>
      </c>
      <c r="L18" s="857"/>
      <c r="M18" s="901" t="s">
        <v>43</v>
      </c>
      <c r="N18" s="902"/>
    </row>
    <row r="19" spans="1:14" s="3" customFormat="1" ht="26.25" customHeight="1" x14ac:dyDescent="0.25">
      <c r="A19" s="922" t="s">
        <v>35</v>
      </c>
      <c r="B19" s="923"/>
      <c r="C19" s="923"/>
      <c r="D19" s="923"/>
      <c r="E19" s="923"/>
      <c r="F19" s="923"/>
      <c r="G19" s="162">
        <f>G16</f>
        <v>599.99849999999992</v>
      </c>
      <c r="H19" s="163"/>
      <c r="I19" s="163"/>
      <c r="J19" s="163"/>
      <c r="K19" s="163"/>
      <c r="L19" s="163"/>
      <c r="M19" s="163"/>
      <c r="N19" s="164"/>
    </row>
    <row r="20" spans="1:14" s="3" customFormat="1" ht="27" customHeight="1" x14ac:dyDescent="0.25">
      <c r="A20" s="366" t="s">
        <v>300</v>
      </c>
      <c r="B20" s="367">
        <v>41578</v>
      </c>
      <c r="C20" s="976" t="s">
        <v>273</v>
      </c>
      <c r="D20" s="977"/>
      <c r="E20" s="918">
        <v>233</v>
      </c>
      <c r="F20" s="918"/>
      <c r="G20" s="167">
        <f>G19-E20</f>
        <v>366.99849999999992</v>
      </c>
      <c r="H20" s="180"/>
      <c r="I20" s="180"/>
      <c r="J20" s="180"/>
      <c r="K20" s="180"/>
      <c r="L20" s="180"/>
      <c r="M20" s="180"/>
      <c r="N20" s="168"/>
    </row>
    <row r="21" spans="1:14" s="3" customFormat="1" ht="26.25" customHeight="1" x14ac:dyDescent="0.25">
      <c r="A21" s="366" t="s">
        <v>321</v>
      </c>
      <c r="B21" s="367">
        <v>41612</v>
      </c>
      <c r="C21" s="1040" t="s">
        <v>273</v>
      </c>
      <c r="D21" s="1041"/>
      <c r="E21" s="918">
        <v>116</v>
      </c>
      <c r="F21" s="918"/>
      <c r="G21" s="167">
        <f t="shared" ref="G21:G24" si="0">G20-E21</f>
        <v>250.99849999999992</v>
      </c>
      <c r="H21" s="180"/>
      <c r="I21" s="180"/>
      <c r="J21" s="180"/>
      <c r="K21" s="180"/>
      <c r="L21" s="180"/>
      <c r="M21" s="180"/>
      <c r="N21" s="168"/>
    </row>
    <row r="22" spans="1:14" s="3" customFormat="1" ht="26.25" customHeight="1" x14ac:dyDescent="0.25">
      <c r="A22" s="366" t="s">
        <v>337</v>
      </c>
      <c r="B22" s="367">
        <v>41620</v>
      </c>
      <c r="C22" s="1040" t="s">
        <v>273</v>
      </c>
      <c r="D22" s="1041"/>
      <c r="E22" s="918">
        <v>251</v>
      </c>
      <c r="F22" s="918"/>
      <c r="G22" s="167">
        <f>G21-E22</f>
        <v>-1.5000000000782165E-3</v>
      </c>
      <c r="H22" s="180"/>
      <c r="I22" s="180"/>
      <c r="J22" s="180"/>
      <c r="K22" s="180"/>
      <c r="L22" s="180"/>
      <c r="M22" s="180"/>
      <c r="N22" s="168"/>
    </row>
    <row r="23" spans="1:14" s="3" customFormat="1" ht="26.25" customHeight="1" x14ac:dyDescent="0.25">
      <c r="A23" s="169"/>
      <c r="B23" s="166"/>
      <c r="C23" s="924"/>
      <c r="D23" s="924"/>
      <c r="E23" s="918"/>
      <c r="F23" s="918"/>
      <c r="G23" s="167">
        <f t="shared" si="0"/>
        <v>-1.5000000000782165E-3</v>
      </c>
      <c r="H23" s="180"/>
      <c r="I23" s="180"/>
      <c r="J23" s="180"/>
      <c r="K23" s="180"/>
      <c r="L23" s="180"/>
      <c r="M23" s="180"/>
      <c r="N23" s="168"/>
    </row>
    <row r="24" spans="1:14" s="3" customFormat="1" ht="26.25" customHeight="1" x14ac:dyDescent="0.25">
      <c r="A24" s="169"/>
      <c r="B24" s="166"/>
      <c r="C24" s="924"/>
      <c r="D24" s="924"/>
      <c r="E24" s="919"/>
      <c r="F24" s="919"/>
      <c r="G24" s="167">
        <f t="shared" si="0"/>
        <v>-1.5000000000782165E-3</v>
      </c>
      <c r="H24" s="180"/>
      <c r="I24" s="180"/>
      <c r="J24" s="180"/>
      <c r="K24" s="180"/>
      <c r="L24" s="180"/>
      <c r="M24" s="180"/>
      <c r="N24" s="168"/>
    </row>
    <row r="25" spans="1:14" s="23" customFormat="1" ht="26.25" customHeight="1" thickBot="1" x14ac:dyDescent="0.3">
      <c r="A25" s="914" t="s">
        <v>36</v>
      </c>
      <c r="B25" s="915"/>
      <c r="C25" s="915"/>
      <c r="D25" s="915"/>
      <c r="E25" s="916">
        <f>SUM(E20:F24)</f>
        <v>600</v>
      </c>
      <c r="F25" s="917"/>
      <c r="G25" s="171"/>
      <c r="H25" s="172"/>
      <c r="I25" s="172"/>
      <c r="J25" s="172"/>
      <c r="K25" s="172"/>
      <c r="L25" s="172"/>
      <c r="M25" s="172"/>
      <c r="N25" s="173"/>
    </row>
    <row r="26" spans="1:14" s="3" customFormat="1" ht="26.25" customHeight="1" thickTop="1" x14ac:dyDescent="0.25">
      <c r="A26" s="24"/>
      <c r="E26" s="844"/>
      <c r="F26" s="844"/>
    </row>
    <row r="27" spans="1:14" s="3" customFormat="1" ht="26.25" customHeight="1" x14ac:dyDescent="0.3">
      <c r="A27" s="25" t="s">
        <v>41</v>
      </c>
      <c r="B27" s="25"/>
      <c r="C27" s="25"/>
      <c r="D27" s="25" t="s">
        <v>81</v>
      </c>
      <c r="E27" s="25"/>
      <c r="F27" s="26"/>
      <c r="G27" s="25" t="s">
        <v>38</v>
      </c>
      <c r="H27" s="25"/>
      <c r="I27" s="25"/>
      <c r="J27" s="25"/>
      <c r="K27" s="25"/>
      <c r="L27" s="25" t="s">
        <v>39</v>
      </c>
      <c r="M27" s="28"/>
      <c r="N27" s="26"/>
    </row>
    <row r="28" spans="1:14" s="3" customFormat="1" ht="26.25" customHeight="1" x14ac:dyDescent="0.3">
      <c r="A28" s="25"/>
      <c r="B28" s="25"/>
      <c r="C28" s="25"/>
      <c r="D28" s="25"/>
      <c r="E28" s="25"/>
      <c r="F28" s="26"/>
      <c r="G28" s="25"/>
      <c r="H28" s="25"/>
      <c r="I28" s="25"/>
      <c r="J28" s="25"/>
      <c r="K28" s="25"/>
      <c r="L28" s="25"/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9"/>
      <c r="B31" s="25"/>
      <c r="C31" s="25"/>
      <c r="D31" s="29"/>
      <c r="E31" s="29"/>
      <c r="F31" s="26"/>
      <c r="G31" s="29"/>
      <c r="H31" s="25"/>
      <c r="I31" s="25"/>
      <c r="J31" s="25"/>
      <c r="K31" s="25"/>
      <c r="L31" s="27"/>
      <c r="M31" s="28"/>
      <c r="N31" s="26"/>
    </row>
    <row r="32" spans="1:14" s="30" customFormat="1" ht="17.25" x14ac:dyDescent="0.3">
      <c r="A32" s="25" t="s">
        <v>48</v>
      </c>
      <c r="B32" s="25"/>
      <c r="C32" s="25" t="s">
        <v>80</v>
      </c>
      <c r="D32" s="25"/>
      <c r="G32" s="25" t="s">
        <v>1</v>
      </c>
      <c r="H32" s="25"/>
      <c r="I32" s="25"/>
      <c r="J32" s="25"/>
      <c r="K32" s="829" t="s">
        <v>90</v>
      </c>
      <c r="L32" s="829"/>
      <c r="M32" s="829"/>
      <c r="N32" s="829"/>
    </row>
    <row r="33" spans="1:1" s="30" customFormat="1" ht="16.5" x14ac:dyDescent="0.3">
      <c r="A33" s="32"/>
    </row>
    <row r="34" spans="1:1" s="30" customFormat="1" ht="16.5" x14ac:dyDescent="0.3">
      <c r="A34" s="32"/>
    </row>
    <row r="35" spans="1:1" s="30" customFormat="1" ht="16.5" x14ac:dyDescent="0.3">
      <c r="A35" s="32"/>
    </row>
    <row r="36" spans="1:1" s="30" customFormat="1" ht="16.5" x14ac:dyDescent="0.3">
      <c r="A36" s="32"/>
    </row>
    <row r="37" spans="1:1" s="30" customFormat="1" ht="16.5" x14ac:dyDescent="0.3">
      <c r="A37" s="32"/>
    </row>
    <row r="38" spans="1:1" s="30" customFormat="1" ht="16.5" x14ac:dyDescent="0.3">
      <c r="A38" s="32"/>
    </row>
    <row r="39" spans="1:1" s="30" customFormat="1" ht="16.5" x14ac:dyDescent="0.3">
      <c r="A39" s="32"/>
    </row>
    <row r="40" spans="1:1" s="30" customFormat="1" ht="16.5" x14ac:dyDescent="0.3">
      <c r="A40" s="32"/>
    </row>
    <row r="41" spans="1:1" s="30" customFormat="1" ht="16.5" x14ac:dyDescent="0.3">
      <c r="A41" s="32"/>
    </row>
  </sheetData>
  <mergeCells count="34">
    <mergeCell ref="K32:N32"/>
    <mergeCell ref="A1:XFD7"/>
    <mergeCell ref="A8:N8"/>
    <mergeCell ref="K9:L9"/>
    <mergeCell ref="B10:B14"/>
    <mergeCell ref="C10:C14"/>
    <mergeCell ref="K10:L10"/>
    <mergeCell ref="K14:L14"/>
    <mergeCell ref="K11:L11"/>
    <mergeCell ref="K12:L12"/>
    <mergeCell ref="K13:L13"/>
    <mergeCell ref="A15:D15"/>
    <mergeCell ref="K15:L15"/>
    <mergeCell ref="A16:F16"/>
    <mergeCell ref="K16:L16"/>
    <mergeCell ref="A17:G17"/>
    <mergeCell ref="M18:N18"/>
    <mergeCell ref="A19:F19"/>
    <mergeCell ref="C20:D20"/>
    <mergeCell ref="E20:F20"/>
    <mergeCell ref="C21:D21"/>
    <mergeCell ref="E21:F21"/>
    <mergeCell ref="C18:D18"/>
    <mergeCell ref="E18:F18"/>
    <mergeCell ref="K18:L18"/>
    <mergeCell ref="A25:D25"/>
    <mergeCell ref="E25:F25"/>
    <mergeCell ref="E26:F26"/>
    <mergeCell ref="C22:D22"/>
    <mergeCell ref="E22:F22"/>
    <mergeCell ref="C23:D23"/>
    <mergeCell ref="E23:F23"/>
    <mergeCell ref="C24:D24"/>
    <mergeCell ref="E24:F24"/>
  </mergeCells>
  <hyperlinks>
    <hyperlink ref="M18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zoomScale="80" workbookViewId="0">
      <pane ySplit="9" topLeftCell="A22" activePane="bottomLeft" state="frozen"/>
      <selection pane="bottomLeft" activeCell="P28" sqref="P28"/>
    </sheetView>
  </sheetViews>
  <sheetFormatPr defaultRowHeight="13.5" x14ac:dyDescent="0.25"/>
  <cols>
    <col min="1" max="1" width="15" style="33" customWidth="1"/>
    <col min="2" max="2" width="15.5703125" style="1" customWidth="1"/>
    <col min="3" max="3" width="5.5703125" style="1" customWidth="1"/>
    <col min="4" max="4" width="25" style="1" customWidth="1"/>
    <col min="5" max="5" width="8.42578125" style="1" customWidth="1"/>
    <col min="6" max="6" width="10.85546875" style="1" customWidth="1"/>
    <col min="7" max="7" width="16.42578125" style="1" customWidth="1"/>
    <col min="8" max="8" width="3.710937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1.7109375" style="1" bestFit="1" customWidth="1"/>
    <col min="14" max="14" width="10.28515625" style="1" bestFit="1" customWidth="1"/>
    <col min="15" max="15" width="9.140625" style="1"/>
    <col min="16" max="16" width="21" style="1" customWidth="1"/>
    <col min="17" max="17" width="10.5703125" style="1" customWidth="1"/>
    <col min="18" max="18" width="17.5703125" style="1" customWidth="1"/>
    <col min="19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66" customFormat="1" ht="15" x14ac:dyDescent="0.25"/>
    <row r="2" spans="1:18" s="866" customFormat="1" ht="15" x14ac:dyDescent="0.25"/>
    <row r="3" spans="1:18" s="866" customFormat="1" ht="15" x14ac:dyDescent="0.25"/>
    <row r="4" spans="1:18" s="866" customFormat="1" ht="15" x14ac:dyDescent="0.25"/>
    <row r="5" spans="1:18" s="866" customFormat="1" ht="15" x14ac:dyDescent="0.25"/>
    <row r="6" spans="1:18" s="866" customFormat="1" ht="15" x14ac:dyDescent="0.25"/>
    <row r="7" spans="1:18" s="866" customFormat="1" ht="15.75" thickBot="1" x14ac:dyDescent="0.3"/>
    <row r="8" spans="1:18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8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25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8" s="59" customFormat="1" ht="26.25" customHeight="1" x14ac:dyDescent="0.25">
      <c r="A10" s="91">
        <v>1</v>
      </c>
      <c r="B10" s="890" t="s">
        <v>3</v>
      </c>
      <c r="C10" s="890" t="s">
        <v>31</v>
      </c>
      <c r="D10" s="53" t="s">
        <v>279</v>
      </c>
      <c r="E10" s="174">
        <f>6+12+7.5+0.5</f>
        <v>26</v>
      </c>
      <c r="F10" s="55">
        <v>7</v>
      </c>
      <c r="G10" s="56"/>
      <c r="H10" s="174" t="s">
        <v>64</v>
      </c>
      <c r="I10" s="174">
        <v>1</v>
      </c>
      <c r="J10" s="174">
        <v>12</v>
      </c>
      <c r="K10" s="457" t="s">
        <v>74</v>
      </c>
      <c r="L10" s="458"/>
      <c r="M10" s="92">
        <v>41563</v>
      </c>
      <c r="N10" s="58"/>
      <c r="P10" s="59" t="s">
        <v>422</v>
      </c>
      <c r="Q10" s="59" t="s">
        <v>413</v>
      </c>
      <c r="R10" s="59" t="s">
        <v>423</v>
      </c>
    </row>
    <row r="11" spans="1:18" s="59" customFormat="1" ht="26.25" customHeight="1" x14ac:dyDescent="0.25">
      <c r="A11" s="93">
        <v>2</v>
      </c>
      <c r="B11" s="891"/>
      <c r="C11" s="891"/>
      <c r="D11" s="53" t="s">
        <v>279</v>
      </c>
      <c r="E11" s="538">
        <f>12+10.5+3.5</f>
        <v>26</v>
      </c>
      <c r="F11" s="591">
        <v>7</v>
      </c>
      <c r="G11" s="56"/>
      <c r="H11" s="80" t="s">
        <v>107</v>
      </c>
      <c r="I11" s="80">
        <v>1</v>
      </c>
      <c r="J11" s="80">
        <v>12</v>
      </c>
      <c r="K11" s="457" t="s">
        <v>74</v>
      </c>
      <c r="L11" s="458"/>
      <c r="M11" s="92">
        <v>41556</v>
      </c>
      <c r="N11" s="84"/>
    </row>
    <row r="12" spans="1:18" s="59" customFormat="1" ht="26.25" customHeight="1" x14ac:dyDescent="0.25">
      <c r="A12" s="93">
        <v>3</v>
      </c>
      <c r="B12" s="891"/>
      <c r="C12" s="891"/>
      <c r="D12" s="53" t="s">
        <v>279</v>
      </c>
      <c r="E12" s="80">
        <f>4.5+7.5+9+5</f>
        <v>26</v>
      </c>
      <c r="F12" s="55">
        <v>7</v>
      </c>
      <c r="G12" s="56"/>
      <c r="H12" s="80" t="s">
        <v>98</v>
      </c>
      <c r="I12" s="80">
        <v>1</v>
      </c>
      <c r="J12" s="80">
        <v>12</v>
      </c>
      <c r="K12" s="876" t="s">
        <v>231</v>
      </c>
      <c r="L12" s="877"/>
      <c r="M12" s="92">
        <v>41569</v>
      </c>
      <c r="N12" s="84"/>
    </row>
    <row r="13" spans="1:18" s="59" customFormat="1" ht="26.25" customHeight="1" x14ac:dyDescent="0.25">
      <c r="A13" s="93">
        <v>4</v>
      </c>
      <c r="B13" s="891"/>
      <c r="C13" s="891"/>
      <c r="D13" s="53" t="s">
        <v>279</v>
      </c>
      <c r="E13" s="80">
        <f>1.5+9+3+1.5+9+2</f>
        <v>26</v>
      </c>
      <c r="F13" s="55">
        <v>7</v>
      </c>
      <c r="G13" s="56"/>
      <c r="H13" s="80" t="s">
        <v>63</v>
      </c>
      <c r="I13" s="80">
        <v>1</v>
      </c>
      <c r="J13" s="80">
        <v>12</v>
      </c>
      <c r="K13" s="876" t="s">
        <v>75</v>
      </c>
      <c r="L13" s="877"/>
      <c r="M13" s="94">
        <v>41600</v>
      </c>
      <c r="N13" s="84"/>
    </row>
    <row r="14" spans="1:18" s="59" customFormat="1" ht="26.25" customHeight="1" x14ac:dyDescent="0.25">
      <c r="A14" s="93"/>
      <c r="B14" s="891"/>
      <c r="C14" s="891"/>
      <c r="D14" s="53" t="s">
        <v>279</v>
      </c>
      <c r="E14" s="80">
        <f>12+6+8</f>
        <v>26</v>
      </c>
      <c r="F14" s="55">
        <v>7</v>
      </c>
      <c r="G14" s="56"/>
      <c r="H14" s="80" t="s">
        <v>64</v>
      </c>
      <c r="I14" s="80">
        <v>1</v>
      </c>
      <c r="J14" s="80">
        <v>12</v>
      </c>
      <c r="K14" s="876" t="s">
        <v>227</v>
      </c>
      <c r="L14" s="877"/>
      <c r="M14" s="94">
        <v>41671</v>
      </c>
      <c r="N14" s="84"/>
    </row>
    <row r="15" spans="1:18" s="59" customFormat="1" ht="26.25" customHeight="1" x14ac:dyDescent="0.25">
      <c r="A15" s="93"/>
      <c r="B15" s="891"/>
      <c r="C15" s="891"/>
      <c r="D15" s="77"/>
      <c r="E15" s="80"/>
      <c r="F15" s="55"/>
      <c r="G15" s="56"/>
      <c r="H15" s="80"/>
      <c r="I15" s="80"/>
      <c r="J15" s="80"/>
      <c r="K15" s="876"/>
      <c r="L15" s="877"/>
      <c r="M15" s="94"/>
      <c r="N15" s="84"/>
    </row>
    <row r="16" spans="1:18" s="59" customFormat="1" ht="26.25" customHeight="1" x14ac:dyDescent="0.25">
      <c r="A16" s="925" t="s">
        <v>11</v>
      </c>
      <c r="B16" s="926"/>
      <c r="C16" s="926"/>
      <c r="D16" s="926"/>
      <c r="E16" s="178">
        <f>SUM(E10:E15)</f>
        <v>130</v>
      </c>
      <c r="F16" s="76">
        <v>7</v>
      </c>
      <c r="G16" s="56">
        <f>E16*F16</f>
        <v>910</v>
      </c>
      <c r="H16" s="175"/>
      <c r="I16" s="175"/>
      <c r="J16" s="175"/>
      <c r="K16" s="876"/>
      <c r="L16" s="877"/>
      <c r="M16" s="175"/>
      <c r="N16" s="63"/>
    </row>
    <row r="17" spans="1:20" s="59" customFormat="1" ht="26.25" customHeight="1" x14ac:dyDescent="0.25">
      <c r="A17" s="927" t="s">
        <v>24</v>
      </c>
      <c r="B17" s="928"/>
      <c r="C17" s="928"/>
      <c r="D17" s="928"/>
      <c r="E17" s="928"/>
      <c r="F17" s="928"/>
      <c r="G17" s="64">
        <f>SUM(G10:G16)</f>
        <v>910</v>
      </c>
      <c r="H17" s="179"/>
      <c r="I17" s="179"/>
      <c r="J17" s="179"/>
      <c r="K17" s="859"/>
      <c r="L17" s="860"/>
      <c r="M17" s="179"/>
      <c r="N17" s="66"/>
    </row>
    <row r="18" spans="1:20" s="48" customFormat="1" ht="26.25" customHeight="1" x14ac:dyDescent="0.25">
      <c r="A18" s="929" t="s">
        <v>32</v>
      </c>
      <c r="B18" s="930"/>
      <c r="C18" s="930"/>
      <c r="D18" s="930"/>
      <c r="E18" s="930"/>
      <c r="F18" s="930"/>
      <c r="G18" s="900"/>
      <c r="H18" s="67"/>
      <c r="I18" s="67"/>
      <c r="J18" s="68" t="s">
        <v>44</v>
      </c>
      <c r="K18" s="67"/>
      <c r="L18" s="68"/>
      <c r="M18" s="69"/>
      <c r="N18" s="70"/>
    </row>
    <row r="19" spans="1:20" s="48" customFormat="1" ht="22.5" customHeight="1" thickBot="1" x14ac:dyDescent="0.3">
      <c r="A19" s="72" t="s">
        <v>5</v>
      </c>
      <c r="B19" s="71" t="s">
        <v>33</v>
      </c>
      <c r="C19" s="857" t="s">
        <v>21</v>
      </c>
      <c r="D19" s="858"/>
      <c r="E19" s="857" t="s">
        <v>34</v>
      </c>
      <c r="F19" s="858"/>
      <c r="G19" s="71" t="s">
        <v>0</v>
      </c>
      <c r="H19" s="71" t="s">
        <v>25</v>
      </c>
      <c r="I19" s="71" t="s">
        <v>26</v>
      </c>
      <c r="J19" s="71" t="s">
        <v>27</v>
      </c>
      <c r="K19" s="863" t="s">
        <v>28</v>
      </c>
      <c r="L19" s="857"/>
      <c r="M19" s="901" t="s">
        <v>43</v>
      </c>
      <c r="N19" s="902"/>
    </row>
    <row r="20" spans="1:20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910</v>
      </c>
      <c r="H20" s="163"/>
      <c r="I20" s="163"/>
      <c r="J20" s="163"/>
      <c r="K20" s="163"/>
      <c r="L20" s="163"/>
      <c r="M20" s="163"/>
      <c r="N20" s="164"/>
    </row>
    <row r="21" spans="1:20" s="3" customFormat="1" ht="26.25" customHeight="1" x14ac:dyDescent="0.25">
      <c r="A21" s="366" t="s">
        <v>300</v>
      </c>
      <c r="B21" s="367">
        <v>41578</v>
      </c>
      <c r="C21" s="488" t="s">
        <v>279</v>
      </c>
      <c r="D21" s="488"/>
      <c r="E21" s="918">
        <v>78</v>
      </c>
      <c r="F21" s="918"/>
      <c r="G21" s="167">
        <f>G20-E21</f>
        <v>832</v>
      </c>
      <c r="H21" s="180"/>
      <c r="I21" s="180"/>
      <c r="J21" s="180"/>
      <c r="K21" s="180"/>
      <c r="L21" s="180"/>
      <c r="M21" s="180"/>
      <c r="N21" s="168"/>
    </row>
    <row r="22" spans="1:20" s="3" customFormat="1" ht="26.25" customHeight="1" x14ac:dyDescent="0.25">
      <c r="A22" s="366" t="s">
        <v>321</v>
      </c>
      <c r="B22" s="367">
        <v>41612</v>
      </c>
      <c r="C22" s="488" t="s">
        <v>279</v>
      </c>
      <c r="D22" s="488"/>
      <c r="E22" s="918">
        <v>110</v>
      </c>
      <c r="F22" s="918"/>
      <c r="G22" s="167">
        <f t="shared" ref="G22:G30" si="0">G21-E22</f>
        <v>722</v>
      </c>
      <c r="H22" s="180"/>
      <c r="I22" s="180"/>
      <c r="J22" s="180"/>
      <c r="K22" s="180"/>
      <c r="L22" s="180"/>
      <c r="M22" s="180"/>
      <c r="N22" s="168"/>
    </row>
    <row r="23" spans="1:20" s="3" customFormat="1" ht="26.25" customHeight="1" x14ac:dyDescent="0.25">
      <c r="A23" s="313" t="s">
        <v>370</v>
      </c>
      <c r="B23" s="312">
        <v>41645</v>
      </c>
      <c r="C23" s="551" t="s">
        <v>279</v>
      </c>
      <c r="D23" s="551"/>
      <c r="E23" s="918">
        <v>160</v>
      </c>
      <c r="F23" s="918"/>
      <c r="G23" s="167">
        <f t="shared" si="0"/>
        <v>562</v>
      </c>
      <c r="H23" s="180"/>
      <c r="I23" s="180"/>
      <c r="J23" s="180"/>
      <c r="K23" s="180"/>
      <c r="L23" s="180"/>
      <c r="M23" s="180"/>
      <c r="N23" s="168"/>
    </row>
    <row r="24" spans="1:20" s="765" customFormat="1" ht="26.25" customHeight="1" x14ac:dyDescent="0.25">
      <c r="A24" s="169" t="s">
        <v>465</v>
      </c>
      <c r="B24" s="166">
        <v>41703</v>
      </c>
      <c r="C24" s="764" t="s">
        <v>279</v>
      </c>
      <c r="D24" s="764"/>
      <c r="E24" s="918">
        <v>100</v>
      </c>
      <c r="F24" s="918"/>
      <c r="G24" s="167">
        <f t="shared" si="0"/>
        <v>462</v>
      </c>
      <c r="H24" s="764"/>
      <c r="I24" s="764"/>
      <c r="J24" s="764"/>
      <c r="K24" s="764"/>
      <c r="L24" s="764"/>
      <c r="M24" s="764"/>
      <c r="N24" s="168"/>
    </row>
    <row r="25" spans="1:20" s="810" customFormat="1" ht="26.25" customHeight="1" x14ac:dyDescent="0.25">
      <c r="A25" s="169" t="s">
        <v>537</v>
      </c>
      <c r="B25" s="166">
        <v>41739</v>
      </c>
      <c r="C25" s="808" t="s">
        <v>279</v>
      </c>
      <c r="D25" s="808"/>
      <c r="E25" s="1060">
        <v>200</v>
      </c>
      <c r="F25" s="1061"/>
      <c r="G25" s="167">
        <f t="shared" si="0"/>
        <v>262</v>
      </c>
      <c r="H25" s="808"/>
      <c r="I25" s="808"/>
      <c r="J25" s="808"/>
      <c r="K25" s="808"/>
      <c r="L25" s="808"/>
      <c r="M25" s="808"/>
      <c r="N25" s="168"/>
    </row>
    <row r="26" spans="1:20" s="810" customFormat="1" ht="26.25" customHeight="1" x14ac:dyDescent="0.25">
      <c r="A26" s="14" t="s">
        <v>563</v>
      </c>
      <c r="B26" s="15">
        <v>41768</v>
      </c>
      <c r="C26" s="808" t="s">
        <v>279</v>
      </c>
      <c r="D26" s="808"/>
      <c r="E26" s="918">
        <v>130</v>
      </c>
      <c r="F26" s="918"/>
      <c r="G26" s="167">
        <f t="shared" si="0"/>
        <v>132</v>
      </c>
      <c r="H26" s="808"/>
      <c r="I26" s="808"/>
      <c r="J26" s="808"/>
      <c r="K26" s="808"/>
      <c r="L26" s="808"/>
      <c r="M26" s="808"/>
      <c r="N26" s="168"/>
    </row>
    <row r="27" spans="1:20" s="810" customFormat="1" ht="26.25" customHeight="1" x14ac:dyDescent="0.25">
      <c r="A27" s="169" t="s">
        <v>592</v>
      </c>
      <c r="B27" s="166">
        <v>41793</v>
      </c>
      <c r="C27" s="808" t="s">
        <v>279</v>
      </c>
      <c r="D27" s="808"/>
      <c r="E27" s="1060">
        <v>70</v>
      </c>
      <c r="F27" s="1061"/>
      <c r="G27" s="167">
        <f t="shared" si="0"/>
        <v>62</v>
      </c>
      <c r="H27" s="808"/>
      <c r="I27" s="808"/>
      <c r="J27" s="808"/>
      <c r="K27" s="808"/>
      <c r="L27" s="808"/>
      <c r="M27" s="808"/>
      <c r="N27" s="168"/>
    </row>
    <row r="28" spans="1:20" s="765" customFormat="1" ht="26.25" customHeight="1" x14ac:dyDescent="0.25">
      <c r="A28" s="169"/>
      <c r="B28" s="166"/>
      <c r="C28" s="764"/>
      <c r="D28" s="764"/>
      <c r="E28" s="1060"/>
      <c r="F28" s="1061"/>
      <c r="G28" s="167">
        <f t="shared" si="0"/>
        <v>62</v>
      </c>
      <c r="H28" s="764"/>
      <c r="I28" s="764"/>
      <c r="J28" s="764"/>
      <c r="K28" s="764"/>
      <c r="L28" s="764"/>
      <c r="M28" s="764"/>
      <c r="N28" s="168"/>
    </row>
    <row r="29" spans="1:20" s="3" customFormat="1" ht="26.25" customHeight="1" x14ac:dyDescent="0.25">
      <c r="A29" s="14"/>
      <c r="B29" s="15"/>
      <c r="C29" s="764"/>
      <c r="D29" s="764"/>
      <c r="E29" s="918"/>
      <c r="F29" s="918"/>
      <c r="G29" s="167">
        <f t="shared" si="0"/>
        <v>62</v>
      </c>
      <c r="H29" s="180"/>
      <c r="I29" s="180"/>
      <c r="J29" s="180"/>
      <c r="K29" s="180"/>
      <c r="L29" s="180"/>
      <c r="M29" s="180"/>
      <c r="N29" s="168"/>
      <c r="S29" s="803"/>
      <c r="T29" s="803"/>
    </row>
    <row r="30" spans="1:20" s="765" customFormat="1" ht="26.25" customHeight="1" x14ac:dyDescent="0.25">
      <c r="A30" s="169"/>
      <c r="B30" s="166"/>
      <c r="C30" s="808"/>
      <c r="D30" s="808"/>
      <c r="E30" s="1060"/>
      <c r="F30" s="1061"/>
      <c r="G30" s="167">
        <f t="shared" si="0"/>
        <v>62</v>
      </c>
      <c r="H30" s="764"/>
      <c r="I30" s="764"/>
      <c r="J30" s="764"/>
      <c r="K30" s="764"/>
      <c r="L30" s="764"/>
      <c r="M30" s="764"/>
      <c r="N30" s="168"/>
      <c r="S30" s="803"/>
      <c r="T30" s="803"/>
    </row>
    <row r="31" spans="1:20" s="23" customFormat="1" ht="26.25" customHeight="1" thickBot="1" x14ac:dyDescent="0.3">
      <c r="A31" s="914" t="s">
        <v>36</v>
      </c>
      <c r="B31" s="915"/>
      <c r="C31" s="915"/>
      <c r="D31" s="915"/>
      <c r="E31" s="916">
        <f>SUM(E21:F30)</f>
        <v>848</v>
      </c>
      <c r="F31" s="917"/>
      <c r="G31" s="171"/>
      <c r="H31" s="172"/>
      <c r="I31" s="172"/>
      <c r="J31" s="172"/>
      <c r="K31" s="172"/>
      <c r="L31" s="172"/>
      <c r="M31" s="172"/>
      <c r="N31" s="173"/>
    </row>
    <row r="32" spans="1:20" s="3" customFormat="1" ht="26.25" customHeight="1" thickTop="1" x14ac:dyDescent="0.25">
      <c r="A32" s="24"/>
      <c r="E32" s="844"/>
      <c r="F32" s="844"/>
    </row>
    <row r="33" spans="1:14" s="3" customFormat="1" ht="26.25" customHeight="1" x14ac:dyDescent="0.3">
      <c r="A33" s="25" t="s">
        <v>41</v>
      </c>
      <c r="B33" s="25"/>
      <c r="C33" s="25"/>
      <c r="D33" s="25" t="s">
        <v>81</v>
      </c>
      <c r="E33" s="25"/>
      <c r="F33" s="26"/>
      <c r="G33" s="25" t="s">
        <v>38</v>
      </c>
      <c r="H33" s="25"/>
      <c r="I33" s="25"/>
      <c r="J33" s="25"/>
      <c r="K33" s="25"/>
      <c r="L33" s="25" t="s">
        <v>39</v>
      </c>
      <c r="M33" s="28"/>
      <c r="N33" s="26"/>
    </row>
    <row r="34" spans="1:14" s="3" customFormat="1" ht="26.25" customHeight="1" x14ac:dyDescent="0.3">
      <c r="A34" s="25"/>
      <c r="B34" s="25"/>
      <c r="C34" s="25"/>
      <c r="D34" s="25"/>
      <c r="E34" s="25"/>
      <c r="F34" s="26"/>
      <c r="G34" s="25"/>
      <c r="H34" s="25"/>
      <c r="I34" s="25"/>
      <c r="J34" s="25"/>
      <c r="K34" s="25"/>
      <c r="L34" s="25"/>
      <c r="M34" s="28"/>
      <c r="N34" s="26"/>
    </row>
    <row r="35" spans="1:14" s="3" customFormat="1" ht="26.25" customHeight="1" x14ac:dyDescent="0.3">
      <c r="A35" s="25"/>
      <c r="B35" s="25"/>
      <c r="C35" s="25"/>
      <c r="D35" s="25"/>
      <c r="E35" s="25"/>
      <c r="F35" s="26"/>
      <c r="G35" s="25"/>
      <c r="H35" s="25"/>
      <c r="I35" s="25"/>
      <c r="J35" s="25"/>
      <c r="K35" s="25"/>
      <c r="L35" s="25"/>
      <c r="M35" s="28"/>
      <c r="N35" s="26"/>
    </row>
    <row r="36" spans="1:14" s="3" customFormat="1" ht="26.25" customHeight="1" x14ac:dyDescent="0.3">
      <c r="A36" s="25"/>
      <c r="B36" s="25"/>
      <c r="C36" s="25"/>
      <c r="D36" s="25"/>
      <c r="E36" s="25"/>
      <c r="F36" s="26"/>
      <c r="G36" s="25"/>
      <c r="H36" s="25"/>
      <c r="I36" s="25"/>
      <c r="J36" s="25"/>
      <c r="K36" s="25"/>
      <c r="L36" s="25"/>
      <c r="M36" s="28"/>
      <c r="N36" s="26"/>
    </row>
    <row r="37" spans="1:14" s="3" customFormat="1" ht="26.25" customHeight="1" x14ac:dyDescent="0.3">
      <c r="A37" s="29"/>
      <c r="B37" s="25"/>
      <c r="C37" s="25"/>
      <c r="D37" s="29"/>
      <c r="E37" s="29"/>
      <c r="F37" s="26"/>
      <c r="G37" s="29"/>
      <c r="H37" s="25"/>
      <c r="I37" s="25"/>
      <c r="J37" s="25"/>
      <c r="K37" s="25"/>
      <c r="L37" s="27"/>
      <c r="M37" s="28"/>
      <c r="N37" s="26"/>
    </row>
    <row r="38" spans="1:14" s="30" customFormat="1" ht="17.25" x14ac:dyDescent="0.3">
      <c r="A38" s="25" t="s">
        <v>48</v>
      </c>
      <c r="B38" s="25"/>
      <c r="C38" s="25" t="s">
        <v>80</v>
      </c>
      <c r="D38" s="25"/>
      <c r="G38" s="25" t="str">
        <f>B10</f>
        <v>Hak Hon</v>
      </c>
      <c r="H38" s="25"/>
      <c r="I38" s="25"/>
      <c r="J38" s="25"/>
      <c r="K38" s="829" t="s">
        <v>90</v>
      </c>
      <c r="L38" s="829"/>
      <c r="M38" s="829"/>
      <c r="N38" s="829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  <row r="43" spans="1:14" s="30" customFormat="1" ht="16.5" x14ac:dyDescent="0.3">
      <c r="A43" s="32"/>
    </row>
    <row r="44" spans="1:14" s="30" customFormat="1" ht="16.5" x14ac:dyDescent="0.3">
      <c r="A44" s="32"/>
    </row>
    <row r="45" spans="1:14" s="30" customFormat="1" ht="16.5" x14ac:dyDescent="0.3">
      <c r="A45" s="32"/>
    </row>
    <row r="46" spans="1:14" s="30" customFormat="1" ht="16.5" x14ac:dyDescent="0.3">
      <c r="A46" s="32"/>
    </row>
    <row r="47" spans="1:14" s="30" customFormat="1" ht="16.5" x14ac:dyDescent="0.3">
      <c r="A47" s="32"/>
    </row>
  </sheetData>
  <mergeCells count="33">
    <mergeCell ref="K38:N38"/>
    <mergeCell ref="A1:XFD7"/>
    <mergeCell ref="A8:N8"/>
    <mergeCell ref="K9:L9"/>
    <mergeCell ref="B10:B15"/>
    <mergeCell ref="C10:C15"/>
    <mergeCell ref="K15:L15"/>
    <mergeCell ref="K12:L12"/>
    <mergeCell ref="K13:L13"/>
    <mergeCell ref="K14:L14"/>
    <mergeCell ref="A16:D16"/>
    <mergeCell ref="K16:L16"/>
    <mergeCell ref="A17:F17"/>
    <mergeCell ref="K17:L17"/>
    <mergeCell ref="A18:G18"/>
    <mergeCell ref="M19:N19"/>
    <mergeCell ref="K19:L19"/>
    <mergeCell ref="A31:D31"/>
    <mergeCell ref="E31:F31"/>
    <mergeCell ref="A20:F20"/>
    <mergeCell ref="E21:F21"/>
    <mergeCell ref="E22:F22"/>
    <mergeCell ref="E25:F25"/>
    <mergeCell ref="E26:F26"/>
    <mergeCell ref="E27:F27"/>
    <mergeCell ref="E32:F32"/>
    <mergeCell ref="E23:F23"/>
    <mergeCell ref="E29:F29"/>
    <mergeCell ref="E30:F30"/>
    <mergeCell ref="C19:D19"/>
    <mergeCell ref="E19:F19"/>
    <mergeCell ref="E24:F24"/>
    <mergeCell ref="E28:F28"/>
  </mergeCells>
  <hyperlinks>
    <hyperlink ref="M19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5"/>
  <sheetViews>
    <sheetView zoomScale="80" workbookViewId="0">
      <pane ySplit="9" topLeftCell="A16" activePane="bottomLeft" state="frozen"/>
      <selection pane="bottomLeft" activeCell="E28" sqref="E28:F28"/>
    </sheetView>
  </sheetViews>
  <sheetFormatPr defaultRowHeight="13.5" x14ac:dyDescent="0.25"/>
  <cols>
    <col min="1" max="1" width="15" style="33" customWidth="1"/>
    <col min="2" max="2" width="19.140625" style="1" customWidth="1"/>
    <col min="3" max="3" width="5.5703125" style="1" customWidth="1"/>
    <col min="4" max="4" width="26.7109375" style="1" customWidth="1"/>
    <col min="5" max="5" width="8.42578125" style="1" customWidth="1"/>
    <col min="6" max="6" width="10.85546875" style="1" customWidth="1"/>
    <col min="7" max="7" width="16.42578125" style="1" customWidth="1"/>
    <col min="8" max="8" width="3.7109375" style="1" customWidth="1"/>
    <col min="9" max="9" width="3.85546875" style="1" customWidth="1"/>
    <col min="10" max="10" width="5" style="1" customWidth="1"/>
    <col min="11" max="11" width="8" style="1" customWidth="1"/>
    <col min="12" max="12" width="3.5703125" style="1" customWidth="1"/>
    <col min="13" max="13" width="16.5703125" style="1" customWidth="1"/>
    <col min="14" max="14" width="10.28515625" style="1" bestFit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20" s="866" customFormat="1" ht="15" x14ac:dyDescent="0.25"/>
    <row r="2" spans="1:20" s="866" customFormat="1" ht="15" x14ac:dyDescent="0.25"/>
    <row r="3" spans="1:20" s="866" customFormat="1" ht="15" x14ac:dyDescent="0.25"/>
    <row r="4" spans="1:20" s="866" customFormat="1" ht="15" x14ac:dyDescent="0.25"/>
    <row r="5" spans="1:20" s="866" customFormat="1" ht="15" x14ac:dyDescent="0.25"/>
    <row r="6" spans="1:20" s="866" customFormat="1" ht="15" x14ac:dyDescent="0.25"/>
    <row r="7" spans="1:20" s="866" customFormat="1" ht="15.75" thickBot="1" x14ac:dyDescent="0.3"/>
    <row r="8" spans="1:20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20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20" s="59" customFormat="1" ht="26.25" customHeight="1" x14ac:dyDescent="0.25">
      <c r="A10" s="91">
        <v>1</v>
      </c>
      <c r="B10" s="890" t="s">
        <v>61</v>
      </c>
      <c r="C10" s="890" t="s">
        <v>31</v>
      </c>
      <c r="D10" s="53" t="s">
        <v>280</v>
      </c>
      <c r="E10" s="174">
        <f>6+9+6+6+15.5</f>
        <v>42.5</v>
      </c>
      <c r="F10" s="55">
        <v>8</v>
      </c>
      <c r="G10" s="56"/>
      <c r="H10" s="174" t="s">
        <v>64</v>
      </c>
      <c r="I10" s="174">
        <v>1</v>
      </c>
      <c r="J10" s="174">
        <v>12</v>
      </c>
      <c r="K10" s="878" t="s">
        <v>74</v>
      </c>
      <c r="L10" s="879"/>
      <c r="M10" s="92">
        <v>41561</v>
      </c>
      <c r="N10" s="58"/>
      <c r="O10" s="931" t="s">
        <v>368</v>
      </c>
      <c r="P10" s="912"/>
      <c r="Q10" s="912"/>
      <c r="R10" s="912"/>
      <c r="S10" s="912"/>
      <c r="T10" s="912"/>
    </row>
    <row r="11" spans="1:20" s="59" customFormat="1" ht="26.25" customHeight="1" x14ac:dyDescent="0.25">
      <c r="A11" s="93">
        <v>2</v>
      </c>
      <c r="B11" s="891"/>
      <c r="C11" s="891"/>
      <c r="D11" s="53" t="s">
        <v>280</v>
      </c>
      <c r="E11" s="80">
        <f>6+10.5+6+6+14.5</f>
        <v>43</v>
      </c>
      <c r="F11" s="55">
        <v>8</v>
      </c>
      <c r="G11" s="56"/>
      <c r="H11" s="80" t="s">
        <v>107</v>
      </c>
      <c r="I11" s="80">
        <v>1</v>
      </c>
      <c r="J11" s="80">
        <v>12</v>
      </c>
      <c r="K11" s="878" t="s">
        <v>74</v>
      </c>
      <c r="L11" s="879"/>
      <c r="M11" s="92">
        <v>41561</v>
      </c>
      <c r="N11" s="84"/>
      <c r="O11" s="931"/>
      <c r="P11" s="912"/>
      <c r="Q11" s="912"/>
      <c r="R11" s="912"/>
      <c r="S11" s="912"/>
      <c r="T11" s="912"/>
    </row>
    <row r="12" spans="1:20" s="59" customFormat="1" ht="26.25" customHeight="1" x14ac:dyDescent="0.25">
      <c r="A12" s="93">
        <v>3</v>
      </c>
      <c r="B12" s="891"/>
      <c r="C12" s="891"/>
      <c r="D12" s="53" t="s">
        <v>280</v>
      </c>
      <c r="E12" s="80">
        <f>4+13.5+4.5+9+14</f>
        <v>45</v>
      </c>
      <c r="F12" s="55">
        <v>8</v>
      </c>
      <c r="G12" s="56"/>
      <c r="H12" s="80" t="s">
        <v>98</v>
      </c>
      <c r="I12" s="80">
        <v>1</v>
      </c>
      <c r="J12" s="80">
        <v>12</v>
      </c>
      <c r="K12" s="181" t="s">
        <v>231</v>
      </c>
      <c r="L12" s="182"/>
      <c r="M12" s="92">
        <v>41568</v>
      </c>
      <c r="N12" s="84"/>
      <c r="O12" s="931"/>
      <c r="P12" s="912"/>
      <c r="Q12" s="912"/>
      <c r="R12" s="912"/>
      <c r="S12" s="912"/>
      <c r="T12" s="912"/>
    </row>
    <row r="13" spans="1:20" s="59" customFormat="1" ht="26.25" customHeight="1" x14ac:dyDescent="0.25">
      <c r="A13" s="93"/>
      <c r="B13" s="891"/>
      <c r="C13" s="891"/>
      <c r="D13" s="53" t="s">
        <v>280</v>
      </c>
      <c r="E13" s="80">
        <f>9+9+21</f>
        <v>39</v>
      </c>
      <c r="F13" s="55">
        <v>8</v>
      </c>
      <c r="G13" s="56"/>
      <c r="H13" s="80" t="s">
        <v>63</v>
      </c>
      <c r="I13" s="80">
        <v>1</v>
      </c>
      <c r="J13" s="80">
        <v>12</v>
      </c>
      <c r="K13" s="181" t="s">
        <v>344</v>
      </c>
      <c r="L13" s="182"/>
      <c r="M13" s="94">
        <v>41603</v>
      </c>
      <c r="N13" s="84"/>
      <c r="O13" s="931" t="s">
        <v>341</v>
      </c>
      <c r="P13" s="932"/>
      <c r="Q13" s="932"/>
      <c r="R13" s="932"/>
      <c r="S13" s="932"/>
    </row>
    <row r="14" spans="1:20" s="59" customFormat="1" ht="26.25" customHeight="1" x14ac:dyDescent="0.25">
      <c r="A14" s="93"/>
      <c r="B14" s="891"/>
      <c r="C14" s="891"/>
      <c r="D14" s="77"/>
      <c r="E14" s="80"/>
      <c r="F14" s="55"/>
      <c r="G14" s="56">
        <f t="shared" ref="G14:G16" si="0">E14*F14</f>
        <v>0</v>
      </c>
      <c r="H14" s="80"/>
      <c r="I14" s="80"/>
      <c r="J14" s="80"/>
      <c r="K14" s="181"/>
      <c r="L14" s="182"/>
      <c r="M14" s="94"/>
      <c r="N14" s="84"/>
    </row>
    <row r="15" spans="1:20" s="59" customFormat="1" ht="26.25" customHeight="1" x14ac:dyDescent="0.25">
      <c r="A15" s="93"/>
      <c r="B15" s="891"/>
      <c r="C15" s="891"/>
      <c r="D15" s="77"/>
      <c r="E15" s="80"/>
      <c r="F15" s="55"/>
      <c r="G15" s="56">
        <f t="shared" si="0"/>
        <v>0</v>
      </c>
      <c r="H15" s="80"/>
      <c r="I15" s="80"/>
      <c r="J15" s="80"/>
      <c r="K15" s="876"/>
      <c r="L15" s="877"/>
      <c r="M15" s="94"/>
      <c r="N15" s="84"/>
    </row>
    <row r="16" spans="1:20" s="59" customFormat="1" ht="26.25" customHeight="1" x14ac:dyDescent="0.25">
      <c r="A16" s="925" t="s">
        <v>11</v>
      </c>
      <c r="B16" s="926"/>
      <c r="C16" s="926"/>
      <c r="D16" s="926"/>
      <c r="E16" s="178">
        <f>SUM(E10:E15)</f>
        <v>169.5</v>
      </c>
      <c r="F16" s="76">
        <v>8</v>
      </c>
      <c r="G16" s="56">
        <f t="shared" si="0"/>
        <v>1356</v>
      </c>
      <c r="H16" s="175"/>
      <c r="I16" s="175"/>
      <c r="J16" s="175"/>
      <c r="K16" s="876"/>
      <c r="L16" s="877"/>
      <c r="M16" s="175"/>
      <c r="N16" s="63"/>
    </row>
    <row r="17" spans="1:20" s="59" customFormat="1" ht="26.25" customHeight="1" x14ac:dyDescent="0.25">
      <c r="A17" s="927" t="s">
        <v>24</v>
      </c>
      <c r="B17" s="928"/>
      <c r="C17" s="928"/>
      <c r="D17" s="928"/>
      <c r="E17" s="928"/>
      <c r="F17" s="928"/>
      <c r="G17" s="64">
        <f>SUM(G10:G16)</f>
        <v>1356</v>
      </c>
      <c r="H17" s="179"/>
      <c r="I17" s="179"/>
      <c r="J17" s="179"/>
      <c r="K17" s="859"/>
      <c r="L17" s="860"/>
      <c r="M17" s="179"/>
      <c r="N17" s="66"/>
    </row>
    <row r="18" spans="1:20" s="48" customFormat="1" ht="26.25" customHeight="1" x14ac:dyDescent="0.25">
      <c r="A18" s="929" t="s">
        <v>32</v>
      </c>
      <c r="B18" s="930"/>
      <c r="C18" s="930"/>
      <c r="D18" s="930"/>
      <c r="E18" s="930"/>
      <c r="F18" s="930"/>
      <c r="G18" s="900"/>
      <c r="H18" s="67"/>
      <c r="I18" s="67"/>
      <c r="J18" s="68" t="s">
        <v>44</v>
      </c>
      <c r="K18" s="67"/>
      <c r="L18" s="68"/>
      <c r="M18" s="69"/>
      <c r="N18" s="70"/>
    </row>
    <row r="19" spans="1:20" s="48" customFormat="1" ht="22.5" customHeight="1" thickBot="1" x14ac:dyDescent="0.3">
      <c r="A19" s="72" t="s">
        <v>5</v>
      </c>
      <c r="B19" s="71" t="s">
        <v>33</v>
      </c>
      <c r="C19" s="857" t="s">
        <v>21</v>
      </c>
      <c r="D19" s="858"/>
      <c r="E19" s="857" t="s">
        <v>34</v>
      </c>
      <c r="F19" s="858"/>
      <c r="G19" s="71" t="s">
        <v>0</v>
      </c>
      <c r="H19" s="71" t="s">
        <v>96</v>
      </c>
      <c r="I19" s="71" t="s">
        <v>26</v>
      </c>
      <c r="J19" s="71" t="s">
        <v>27</v>
      </c>
      <c r="K19" s="863" t="s">
        <v>28</v>
      </c>
      <c r="L19" s="857"/>
      <c r="M19" s="901" t="s">
        <v>43</v>
      </c>
      <c r="N19" s="902"/>
    </row>
    <row r="20" spans="1:20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1356</v>
      </c>
      <c r="H20" s="163"/>
      <c r="I20" s="163"/>
      <c r="J20" s="163"/>
      <c r="K20" s="163"/>
      <c r="L20" s="163"/>
      <c r="M20" s="163"/>
      <c r="N20" s="164"/>
    </row>
    <row r="21" spans="1:20" s="3" customFormat="1" ht="26.25" customHeight="1" x14ac:dyDescent="0.25">
      <c r="A21" s="366" t="s">
        <v>300</v>
      </c>
      <c r="B21" s="367">
        <v>41578</v>
      </c>
      <c r="C21" s="976" t="s">
        <v>280</v>
      </c>
      <c r="D21" s="977"/>
      <c r="E21" s="918">
        <v>64</v>
      </c>
      <c r="F21" s="918"/>
      <c r="G21" s="167">
        <f>G20-E21</f>
        <v>1292</v>
      </c>
      <c r="H21" s="180"/>
      <c r="I21" s="180"/>
      <c r="J21" s="180"/>
      <c r="K21" s="180"/>
      <c r="L21" s="180"/>
      <c r="M21" s="180"/>
      <c r="N21" s="168"/>
    </row>
    <row r="22" spans="1:20" s="3" customFormat="1" ht="26.25" customHeight="1" x14ac:dyDescent="0.25">
      <c r="A22" s="366" t="s">
        <v>321</v>
      </c>
      <c r="B22" s="367">
        <v>41612</v>
      </c>
      <c r="C22" s="1040" t="s">
        <v>280</v>
      </c>
      <c r="D22" s="1041"/>
      <c r="E22" s="918">
        <v>160</v>
      </c>
      <c r="F22" s="918"/>
      <c r="G22" s="167">
        <f t="shared" ref="G22:G28" si="1">G21-E22</f>
        <v>1132</v>
      </c>
      <c r="H22" s="180"/>
      <c r="I22" s="180"/>
      <c r="J22" s="180"/>
      <c r="K22" s="180"/>
      <c r="L22" s="180"/>
      <c r="M22" s="180"/>
      <c r="N22" s="168"/>
    </row>
    <row r="23" spans="1:20" s="765" customFormat="1" ht="26.25" customHeight="1" x14ac:dyDescent="0.25">
      <c r="A23" s="313" t="s">
        <v>370</v>
      </c>
      <c r="B23" s="312">
        <v>41645</v>
      </c>
      <c r="C23" s="1040" t="s">
        <v>280</v>
      </c>
      <c r="D23" s="1041"/>
      <c r="E23" s="918">
        <v>150</v>
      </c>
      <c r="F23" s="918"/>
      <c r="G23" s="167">
        <f t="shared" si="1"/>
        <v>982</v>
      </c>
      <c r="H23" s="764"/>
      <c r="I23" s="764"/>
      <c r="J23" s="764"/>
      <c r="K23" s="764"/>
      <c r="L23" s="764"/>
      <c r="M23" s="764"/>
      <c r="N23" s="168"/>
    </row>
    <row r="24" spans="1:20" s="765" customFormat="1" ht="26.25" customHeight="1" x14ac:dyDescent="0.25">
      <c r="A24" s="169" t="s">
        <v>401</v>
      </c>
      <c r="B24" s="166">
        <v>41682</v>
      </c>
      <c r="C24" s="1040" t="s">
        <v>280</v>
      </c>
      <c r="D24" s="1041"/>
      <c r="E24" s="918">
        <v>200</v>
      </c>
      <c r="F24" s="918"/>
      <c r="G24" s="167">
        <f t="shared" si="1"/>
        <v>782</v>
      </c>
      <c r="H24" s="764"/>
      <c r="I24" s="764"/>
      <c r="J24" s="764"/>
      <c r="K24" s="764"/>
      <c r="L24" s="764"/>
      <c r="M24" s="764"/>
      <c r="N24" s="168"/>
    </row>
    <row r="25" spans="1:20" s="765" customFormat="1" ht="26.25" customHeight="1" x14ac:dyDescent="0.25">
      <c r="A25" s="169" t="s">
        <v>523</v>
      </c>
      <c r="B25" s="166">
        <v>41727</v>
      </c>
      <c r="C25" s="1040" t="s">
        <v>280</v>
      </c>
      <c r="D25" s="1041"/>
      <c r="E25" s="919">
        <v>390</v>
      </c>
      <c r="F25" s="919"/>
      <c r="G25" s="167">
        <f t="shared" si="1"/>
        <v>392</v>
      </c>
      <c r="H25" s="764"/>
      <c r="I25" s="764"/>
      <c r="J25" s="764"/>
      <c r="K25" s="764"/>
      <c r="L25" s="764"/>
      <c r="M25" s="764"/>
      <c r="N25" s="168"/>
    </row>
    <row r="26" spans="1:20" s="3" customFormat="1" ht="26.25" customHeight="1" x14ac:dyDescent="0.25">
      <c r="A26" s="14" t="s">
        <v>563</v>
      </c>
      <c r="B26" s="15">
        <v>41768</v>
      </c>
      <c r="C26" s="1040" t="s">
        <v>280</v>
      </c>
      <c r="D26" s="1041"/>
      <c r="E26" s="918">
        <v>200</v>
      </c>
      <c r="F26" s="918"/>
      <c r="G26" s="167">
        <f t="shared" si="1"/>
        <v>192</v>
      </c>
      <c r="H26" s="180"/>
      <c r="I26" s="180"/>
      <c r="J26" s="180"/>
      <c r="K26" s="180"/>
      <c r="L26" s="180"/>
      <c r="M26" s="180"/>
      <c r="N26" s="168"/>
    </row>
    <row r="27" spans="1:20" s="3" customFormat="1" ht="26.25" customHeight="1" x14ac:dyDescent="0.25">
      <c r="A27" s="169" t="s">
        <v>592</v>
      </c>
      <c r="B27" s="166">
        <v>41793</v>
      </c>
      <c r="C27" s="1040" t="s">
        <v>280</v>
      </c>
      <c r="D27" s="1041"/>
      <c r="E27" s="918">
        <v>100</v>
      </c>
      <c r="F27" s="918"/>
      <c r="G27" s="167">
        <f t="shared" si="1"/>
        <v>92</v>
      </c>
      <c r="H27" s="180"/>
      <c r="I27" s="180"/>
      <c r="J27" s="180"/>
      <c r="K27" s="180"/>
      <c r="L27" s="180"/>
      <c r="M27" s="180"/>
      <c r="N27" s="168"/>
    </row>
    <row r="28" spans="1:20" s="3" customFormat="1" ht="26.25" customHeight="1" x14ac:dyDescent="0.25">
      <c r="A28" s="169"/>
      <c r="B28" s="166"/>
      <c r="C28" s="1040"/>
      <c r="D28" s="1041"/>
      <c r="E28" s="919"/>
      <c r="F28" s="919"/>
      <c r="G28" s="167">
        <f t="shared" si="1"/>
        <v>92</v>
      </c>
      <c r="H28" s="180"/>
      <c r="I28" s="180"/>
      <c r="J28" s="180"/>
      <c r="K28" s="180"/>
      <c r="L28" s="180"/>
      <c r="M28" s="180"/>
      <c r="N28" s="168"/>
      <c r="S28" s="14"/>
      <c r="T28" s="15"/>
    </row>
    <row r="29" spans="1:20" s="23" customFormat="1" ht="26.25" customHeight="1" thickBot="1" x14ac:dyDescent="0.3">
      <c r="A29" s="914" t="s">
        <v>36</v>
      </c>
      <c r="B29" s="915"/>
      <c r="C29" s="915"/>
      <c r="D29" s="915"/>
      <c r="E29" s="916">
        <f>SUM(E21:F28)</f>
        <v>1264</v>
      </c>
      <c r="F29" s="917"/>
      <c r="G29" s="171"/>
      <c r="H29" s="172"/>
      <c r="I29" s="172"/>
      <c r="J29" s="172"/>
      <c r="K29" s="172"/>
      <c r="L29" s="172"/>
      <c r="M29" s="172"/>
      <c r="N29" s="173"/>
    </row>
    <row r="30" spans="1:20" s="3" customFormat="1" ht="26.25" customHeight="1" thickTop="1" x14ac:dyDescent="0.25">
      <c r="A30" s="24"/>
      <c r="E30" s="844"/>
      <c r="F30" s="844"/>
    </row>
    <row r="31" spans="1:20" s="3" customFormat="1" ht="26.25" customHeight="1" x14ac:dyDescent="0.3">
      <c r="A31" s="25" t="s">
        <v>41</v>
      </c>
      <c r="B31" s="25"/>
      <c r="C31" s="25"/>
      <c r="D31" s="25" t="s">
        <v>81</v>
      </c>
      <c r="E31" s="25"/>
      <c r="F31" s="26"/>
      <c r="G31" s="25" t="s">
        <v>38</v>
      </c>
      <c r="H31" s="25"/>
      <c r="I31" s="25"/>
      <c r="J31" s="25"/>
      <c r="K31" s="25"/>
      <c r="L31" s="25" t="s">
        <v>39</v>
      </c>
      <c r="M31" s="28"/>
      <c r="N31" s="26"/>
    </row>
    <row r="32" spans="1:20" s="3" customFormat="1" ht="26.25" customHeight="1" x14ac:dyDescent="0.3">
      <c r="A32" s="25"/>
      <c r="B32" s="25"/>
      <c r="C32" s="25"/>
      <c r="D32" s="25"/>
      <c r="E32" s="25"/>
      <c r="F32" s="26"/>
      <c r="G32" s="25"/>
      <c r="H32" s="25"/>
      <c r="I32" s="25"/>
      <c r="J32" s="25"/>
      <c r="K32" s="25"/>
      <c r="L32" s="25"/>
      <c r="M32" s="28"/>
      <c r="N32" s="26"/>
    </row>
    <row r="33" spans="1:14" s="3" customFormat="1" ht="26.25" customHeight="1" x14ac:dyDescent="0.3">
      <c r="A33" s="25"/>
      <c r="B33" s="25"/>
      <c r="C33" s="25"/>
      <c r="D33" s="25"/>
      <c r="E33" s="25"/>
      <c r="F33" s="26"/>
      <c r="G33" s="25"/>
      <c r="H33" s="25"/>
      <c r="I33" s="25"/>
      <c r="J33" s="25"/>
      <c r="K33" s="25"/>
      <c r="L33" s="25"/>
      <c r="M33" s="28"/>
      <c r="N33" s="26"/>
    </row>
    <row r="34" spans="1:14" s="3" customFormat="1" ht="26.25" customHeight="1" x14ac:dyDescent="0.3">
      <c r="A34" s="25"/>
      <c r="B34" s="25"/>
      <c r="C34" s="25"/>
      <c r="D34" s="25"/>
      <c r="E34" s="25"/>
      <c r="F34" s="26"/>
      <c r="G34" s="25"/>
      <c r="H34" s="25"/>
      <c r="I34" s="25"/>
      <c r="J34" s="25"/>
      <c r="K34" s="25"/>
      <c r="L34" s="25"/>
      <c r="M34" s="28"/>
      <c r="N34" s="26"/>
    </row>
    <row r="35" spans="1:14" s="3" customFormat="1" ht="26.25" customHeight="1" x14ac:dyDescent="0.3">
      <c r="A35" s="29"/>
      <c r="B35" s="25"/>
      <c r="C35" s="25"/>
      <c r="D35" s="29"/>
      <c r="E35" s="29"/>
      <c r="F35" s="26"/>
      <c r="G35" s="29"/>
      <c r="H35" s="25"/>
      <c r="I35" s="25"/>
      <c r="J35" s="25"/>
      <c r="K35" s="25"/>
      <c r="L35" s="27"/>
      <c r="M35" s="28"/>
      <c r="N35" s="26"/>
    </row>
    <row r="36" spans="1:14" s="30" customFormat="1" ht="17.25" x14ac:dyDescent="0.3">
      <c r="A36" s="25" t="s">
        <v>48</v>
      </c>
      <c r="B36" s="25"/>
      <c r="C36" s="25" t="s">
        <v>80</v>
      </c>
      <c r="D36" s="25"/>
      <c r="G36" s="25" t="str">
        <f>B10</f>
        <v>Chhay Theng</v>
      </c>
      <c r="H36" s="25"/>
      <c r="I36" s="25"/>
      <c r="J36" s="25"/>
      <c r="K36" s="829" t="s">
        <v>90</v>
      </c>
      <c r="L36" s="829"/>
      <c r="M36" s="829"/>
      <c r="N36" s="829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  <row r="43" spans="1:14" s="30" customFormat="1" ht="16.5" x14ac:dyDescent="0.3">
      <c r="A43" s="32"/>
    </row>
    <row r="44" spans="1:14" s="30" customFormat="1" ht="16.5" x14ac:dyDescent="0.3">
      <c r="A44" s="32"/>
    </row>
    <row r="45" spans="1:14" s="30" customFormat="1" ht="16.5" x14ac:dyDescent="0.3">
      <c r="A45" s="32"/>
    </row>
  </sheetData>
  <mergeCells count="40">
    <mergeCell ref="O10:T12"/>
    <mergeCell ref="K36:N36"/>
    <mergeCell ref="A1:XFD7"/>
    <mergeCell ref="A8:N8"/>
    <mergeCell ref="K9:L9"/>
    <mergeCell ref="B10:B15"/>
    <mergeCell ref="C10:C15"/>
    <mergeCell ref="K10:L10"/>
    <mergeCell ref="K15:L15"/>
    <mergeCell ref="K11:L11"/>
    <mergeCell ref="A16:D16"/>
    <mergeCell ref="K16:L16"/>
    <mergeCell ref="A17:F17"/>
    <mergeCell ref="K17:L17"/>
    <mergeCell ref="A18:G18"/>
    <mergeCell ref="M19:N19"/>
    <mergeCell ref="E30:F30"/>
    <mergeCell ref="C26:D26"/>
    <mergeCell ref="E26:F26"/>
    <mergeCell ref="C27:D27"/>
    <mergeCell ref="E27:F27"/>
    <mergeCell ref="C28:D28"/>
    <mergeCell ref="E28:F28"/>
    <mergeCell ref="A29:D29"/>
    <mergeCell ref="E29:F29"/>
    <mergeCell ref="C24:D24"/>
    <mergeCell ref="E24:F24"/>
    <mergeCell ref="C25:D25"/>
    <mergeCell ref="E25:F25"/>
    <mergeCell ref="O13:S13"/>
    <mergeCell ref="E19:F19"/>
    <mergeCell ref="A20:F20"/>
    <mergeCell ref="K19:L19"/>
    <mergeCell ref="C19:D19"/>
    <mergeCell ref="C21:D21"/>
    <mergeCell ref="E21:F21"/>
    <mergeCell ref="C22:D22"/>
    <mergeCell ref="E22:F22"/>
    <mergeCell ref="C23:D23"/>
    <mergeCell ref="E23:F23"/>
  </mergeCells>
  <hyperlinks>
    <hyperlink ref="M19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5"/>
  <sheetViews>
    <sheetView zoomScale="80" zoomScaleNormal="80" workbookViewId="0">
      <pane ySplit="9" topLeftCell="A10" activePane="bottomLeft" state="frozen"/>
      <selection pane="bottomLeft" activeCell="O10" sqref="O10:T12"/>
    </sheetView>
  </sheetViews>
  <sheetFormatPr defaultRowHeight="13.5" x14ac:dyDescent="0.25"/>
  <cols>
    <col min="1" max="1" width="15" style="33" customWidth="1"/>
    <col min="2" max="2" width="24" style="1" customWidth="1"/>
    <col min="3" max="3" width="5.5703125" style="1" customWidth="1"/>
    <col min="4" max="4" width="26.28515625" style="1" customWidth="1"/>
    <col min="5" max="5" width="8.42578125" style="1" customWidth="1"/>
    <col min="6" max="6" width="10.85546875" style="1" customWidth="1"/>
    <col min="7" max="7" width="16.42578125" style="1" customWidth="1"/>
    <col min="8" max="8" width="6.710937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7.5703125" style="1" customWidth="1"/>
    <col min="14" max="14" width="10.28515625" style="1" bestFit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20" s="866" customFormat="1" ht="15" x14ac:dyDescent="0.25"/>
    <row r="2" spans="1:20" s="866" customFormat="1" ht="15" x14ac:dyDescent="0.25"/>
    <row r="3" spans="1:20" s="866" customFormat="1" ht="15" x14ac:dyDescent="0.25"/>
    <row r="4" spans="1:20" s="866" customFormat="1" ht="15" x14ac:dyDescent="0.25"/>
    <row r="5" spans="1:20" s="866" customFormat="1" ht="15" x14ac:dyDescent="0.25"/>
    <row r="6" spans="1:20" s="866" customFormat="1" ht="15" x14ac:dyDescent="0.25"/>
    <row r="7" spans="1:20" s="866" customFormat="1" ht="15.75" thickBot="1" x14ac:dyDescent="0.3"/>
    <row r="8" spans="1:20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20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20" s="59" customFormat="1" ht="26.25" customHeight="1" x14ac:dyDescent="0.25">
      <c r="A10" s="91">
        <v>1</v>
      </c>
      <c r="B10" s="890" t="s">
        <v>281</v>
      </c>
      <c r="C10" s="890" t="s">
        <v>31</v>
      </c>
      <c r="D10" s="53" t="s">
        <v>282</v>
      </c>
      <c r="E10" s="174">
        <f>24+24</f>
        <v>48</v>
      </c>
      <c r="F10" s="55">
        <v>8</v>
      </c>
      <c r="G10" s="56"/>
      <c r="H10" s="174" t="s">
        <v>64</v>
      </c>
      <c r="I10" s="174">
        <v>1</v>
      </c>
      <c r="J10" s="174">
        <v>12</v>
      </c>
      <c r="K10" s="478" t="s">
        <v>227</v>
      </c>
      <c r="L10" s="479"/>
      <c r="M10" s="92">
        <v>41559</v>
      </c>
      <c r="N10" s="58"/>
      <c r="O10" s="931" t="s">
        <v>363</v>
      </c>
      <c r="P10" s="932"/>
      <c r="Q10" s="932"/>
      <c r="R10" s="932"/>
      <c r="S10" s="932"/>
      <c r="T10" s="932"/>
    </row>
    <row r="11" spans="1:20" s="59" customFormat="1" ht="26.25" customHeight="1" x14ac:dyDescent="0.25">
      <c r="A11" s="93"/>
      <c r="B11" s="891"/>
      <c r="C11" s="891"/>
      <c r="D11" s="53" t="s">
        <v>315</v>
      </c>
      <c r="E11" s="80">
        <f>12+33</f>
        <v>45</v>
      </c>
      <c r="F11" s="55"/>
      <c r="G11" s="56">
        <f t="shared" ref="G11:G15" si="0">E11*F11</f>
        <v>0</v>
      </c>
      <c r="H11" s="80" t="s">
        <v>53</v>
      </c>
      <c r="I11" s="80">
        <v>4</v>
      </c>
      <c r="J11" s="80">
        <v>9</v>
      </c>
      <c r="K11" s="478" t="s">
        <v>227</v>
      </c>
      <c r="L11" s="479"/>
      <c r="M11" s="94">
        <v>41601</v>
      </c>
      <c r="N11" s="84"/>
      <c r="O11" s="931"/>
      <c r="P11" s="932"/>
      <c r="Q11" s="932"/>
      <c r="R11" s="932"/>
      <c r="S11" s="932"/>
      <c r="T11" s="932"/>
    </row>
    <row r="12" spans="1:20" s="59" customFormat="1" ht="26.25" customHeight="1" x14ac:dyDescent="0.25">
      <c r="A12" s="93"/>
      <c r="B12" s="891"/>
      <c r="C12" s="891"/>
      <c r="D12" s="53" t="s">
        <v>351</v>
      </c>
      <c r="E12" s="80">
        <f>9+36</f>
        <v>45</v>
      </c>
      <c r="F12" s="55"/>
      <c r="G12" s="56">
        <f t="shared" si="0"/>
        <v>0</v>
      </c>
      <c r="H12" s="80" t="s">
        <v>290</v>
      </c>
      <c r="I12" s="80">
        <v>3</v>
      </c>
      <c r="J12" s="80">
        <v>9</v>
      </c>
      <c r="K12" s="876" t="s">
        <v>118</v>
      </c>
      <c r="L12" s="877"/>
      <c r="M12" s="94">
        <v>41629</v>
      </c>
      <c r="N12" s="84"/>
      <c r="O12" s="931"/>
      <c r="P12" s="932"/>
      <c r="Q12" s="932"/>
      <c r="R12" s="932"/>
      <c r="S12" s="932"/>
      <c r="T12" s="932"/>
    </row>
    <row r="13" spans="1:20" s="59" customFormat="1" ht="26.25" customHeight="1" x14ac:dyDescent="0.25">
      <c r="A13" s="93"/>
      <c r="B13" s="891"/>
      <c r="C13" s="891"/>
      <c r="D13" s="77"/>
      <c r="E13" s="80"/>
      <c r="F13" s="55"/>
      <c r="G13" s="56">
        <f t="shared" si="0"/>
        <v>0</v>
      </c>
      <c r="H13" s="80"/>
      <c r="I13" s="80"/>
      <c r="J13" s="80"/>
      <c r="K13" s="181"/>
      <c r="L13" s="182"/>
      <c r="M13" s="94"/>
      <c r="N13" s="84"/>
    </row>
    <row r="14" spans="1:20" s="59" customFormat="1" ht="26.25" customHeight="1" x14ac:dyDescent="0.25">
      <c r="A14" s="93"/>
      <c r="B14" s="891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20" s="59" customFormat="1" ht="26.25" customHeight="1" x14ac:dyDescent="0.25">
      <c r="A15" s="93">
        <v>2</v>
      </c>
      <c r="B15" s="891"/>
      <c r="C15" s="891"/>
      <c r="D15" s="77"/>
      <c r="E15" s="80"/>
      <c r="F15" s="55"/>
      <c r="G15" s="56">
        <f t="shared" si="0"/>
        <v>0</v>
      </c>
      <c r="H15" s="80"/>
      <c r="I15" s="80"/>
      <c r="J15" s="80"/>
      <c r="K15" s="876"/>
      <c r="L15" s="877"/>
      <c r="M15" s="94"/>
      <c r="N15" s="84"/>
    </row>
    <row r="16" spans="1:20" s="59" customFormat="1" ht="26.25" customHeight="1" x14ac:dyDescent="0.25">
      <c r="A16" s="925" t="s">
        <v>11</v>
      </c>
      <c r="B16" s="926"/>
      <c r="C16" s="926"/>
      <c r="D16" s="926"/>
      <c r="E16" s="178">
        <f>SUM(E10:E15)</f>
        <v>138</v>
      </c>
      <c r="F16" s="76">
        <v>8</v>
      </c>
      <c r="G16" s="56">
        <f>E16*F16</f>
        <v>1104</v>
      </c>
      <c r="H16" s="175"/>
      <c r="I16" s="175"/>
      <c r="J16" s="175"/>
      <c r="K16" s="876"/>
      <c r="L16" s="877"/>
      <c r="M16" s="175"/>
      <c r="N16" s="63"/>
    </row>
    <row r="17" spans="1:19" s="59" customFormat="1" ht="26.25" customHeight="1" x14ac:dyDescent="0.25">
      <c r="A17" s="927" t="s">
        <v>24</v>
      </c>
      <c r="B17" s="928"/>
      <c r="C17" s="928"/>
      <c r="D17" s="928"/>
      <c r="E17" s="928"/>
      <c r="F17" s="928"/>
      <c r="G17" s="64">
        <f>SUM(G10:G16)</f>
        <v>1104</v>
      </c>
      <c r="H17" s="179"/>
      <c r="I17" s="179"/>
      <c r="J17" s="179"/>
      <c r="K17" s="859"/>
      <c r="L17" s="860"/>
      <c r="M17" s="179"/>
      <c r="N17" s="66"/>
    </row>
    <row r="18" spans="1:19" s="48" customFormat="1" ht="26.25" customHeight="1" x14ac:dyDescent="0.25">
      <c r="A18" s="929" t="s">
        <v>32</v>
      </c>
      <c r="B18" s="930"/>
      <c r="C18" s="930"/>
      <c r="D18" s="930"/>
      <c r="E18" s="930"/>
      <c r="F18" s="930"/>
      <c r="G18" s="900"/>
      <c r="H18" s="67"/>
      <c r="I18" s="67"/>
      <c r="J18" s="68" t="s">
        <v>44</v>
      </c>
      <c r="K18" s="67"/>
      <c r="L18" s="68"/>
      <c r="M18" s="69"/>
      <c r="N18" s="70"/>
    </row>
    <row r="19" spans="1:19" s="48" customFormat="1" ht="22.5" customHeight="1" thickBot="1" x14ac:dyDescent="0.3">
      <c r="A19" s="72" t="s">
        <v>5</v>
      </c>
      <c r="B19" s="71" t="s">
        <v>33</v>
      </c>
      <c r="C19" s="857" t="s">
        <v>21</v>
      </c>
      <c r="D19" s="858"/>
      <c r="E19" s="857" t="s">
        <v>34</v>
      </c>
      <c r="F19" s="858"/>
      <c r="G19" s="71" t="s">
        <v>0</v>
      </c>
      <c r="H19" s="71" t="s">
        <v>96</v>
      </c>
      <c r="I19" s="71" t="s">
        <v>26</v>
      </c>
      <c r="J19" s="71" t="s">
        <v>27</v>
      </c>
      <c r="K19" s="863" t="s">
        <v>28</v>
      </c>
      <c r="L19" s="857"/>
      <c r="M19" s="901" t="s">
        <v>43</v>
      </c>
      <c r="N19" s="902"/>
    </row>
    <row r="20" spans="1:19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1104</v>
      </c>
      <c r="H20" s="163"/>
      <c r="I20" s="163"/>
      <c r="J20" s="163"/>
      <c r="K20" s="163"/>
      <c r="L20" s="163"/>
      <c r="M20" s="163"/>
      <c r="N20" s="164"/>
    </row>
    <row r="21" spans="1:19" s="3" customFormat="1" ht="26.25" customHeight="1" x14ac:dyDescent="0.25">
      <c r="A21" s="366" t="s">
        <v>300</v>
      </c>
      <c r="B21" s="367">
        <v>41578</v>
      </c>
      <c r="C21" s="976" t="s">
        <v>282</v>
      </c>
      <c r="D21" s="977"/>
      <c r="E21" s="918">
        <v>96</v>
      </c>
      <c r="F21" s="918"/>
      <c r="G21" s="167">
        <f>G20-E21</f>
        <v>1008</v>
      </c>
      <c r="H21" s="180"/>
      <c r="I21" s="180"/>
      <c r="J21" s="180"/>
      <c r="K21" s="180"/>
      <c r="L21" s="180"/>
      <c r="M21" s="180"/>
      <c r="N21" s="168"/>
    </row>
    <row r="22" spans="1:19" s="3" customFormat="1" ht="26.25" customHeight="1" x14ac:dyDescent="0.25">
      <c r="A22" s="366" t="s">
        <v>321</v>
      </c>
      <c r="B22" s="367">
        <v>41612</v>
      </c>
      <c r="C22" s="1040" t="s">
        <v>282</v>
      </c>
      <c r="D22" s="1041"/>
      <c r="E22" s="918">
        <v>190</v>
      </c>
      <c r="F22" s="918"/>
      <c r="G22" s="167">
        <f t="shared" ref="G22:G28" si="1">G21-E22</f>
        <v>818</v>
      </c>
      <c r="H22" s="180"/>
      <c r="I22" s="180"/>
      <c r="J22" s="180"/>
      <c r="K22" s="180"/>
      <c r="L22" s="180"/>
      <c r="M22" s="180"/>
      <c r="N22" s="168"/>
    </row>
    <row r="23" spans="1:19" s="765" customFormat="1" ht="26.25" customHeight="1" x14ac:dyDescent="0.25">
      <c r="A23" s="313" t="s">
        <v>370</v>
      </c>
      <c r="B23" s="312">
        <v>41645</v>
      </c>
      <c r="C23" s="976" t="s">
        <v>282</v>
      </c>
      <c r="D23" s="977"/>
      <c r="E23" s="918">
        <v>200</v>
      </c>
      <c r="F23" s="918"/>
      <c r="G23" s="167">
        <f t="shared" si="1"/>
        <v>618</v>
      </c>
      <c r="H23" s="764"/>
      <c r="I23" s="764"/>
      <c r="J23" s="764"/>
      <c r="K23" s="764"/>
      <c r="L23" s="764"/>
      <c r="M23" s="764"/>
      <c r="N23" s="168"/>
    </row>
    <row r="24" spans="1:19" s="765" customFormat="1" ht="26.25" customHeight="1" x14ac:dyDescent="0.25">
      <c r="A24" s="169" t="s">
        <v>465</v>
      </c>
      <c r="B24" s="166">
        <v>41703</v>
      </c>
      <c r="C24" s="976" t="s">
        <v>282</v>
      </c>
      <c r="D24" s="977"/>
      <c r="E24" s="918">
        <v>200</v>
      </c>
      <c r="F24" s="918"/>
      <c r="G24" s="167">
        <f t="shared" si="1"/>
        <v>418</v>
      </c>
      <c r="H24" s="764"/>
      <c r="I24" s="764"/>
      <c r="J24" s="764"/>
      <c r="K24" s="764"/>
      <c r="L24" s="764"/>
      <c r="M24" s="764"/>
      <c r="N24" s="168"/>
    </row>
    <row r="25" spans="1:19" s="765" customFormat="1" ht="26.25" customHeight="1" x14ac:dyDescent="0.25">
      <c r="A25" s="169" t="s">
        <v>537</v>
      </c>
      <c r="B25" s="166">
        <v>41739</v>
      </c>
      <c r="C25" s="976" t="s">
        <v>282</v>
      </c>
      <c r="D25" s="977"/>
      <c r="E25" s="919">
        <v>200</v>
      </c>
      <c r="F25" s="919"/>
      <c r="G25" s="167">
        <f t="shared" si="1"/>
        <v>218</v>
      </c>
      <c r="H25" s="764"/>
      <c r="I25" s="764"/>
      <c r="J25" s="764"/>
      <c r="K25" s="764"/>
      <c r="L25" s="764"/>
      <c r="M25" s="764"/>
      <c r="N25" s="168"/>
    </row>
    <row r="26" spans="1:19" s="3" customFormat="1" ht="26.25" customHeight="1" x14ac:dyDescent="0.25">
      <c r="A26" s="14" t="s">
        <v>563</v>
      </c>
      <c r="B26" s="15">
        <v>41768</v>
      </c>
      <c r="C26" s="976" t="s">
        <v>282</v>
      </c>
      <c r="D26" s="977"/>
      <c r="E26" s="918">
        <v>218</v>
      </c>
      <c r="F26" s="918"/>
      <c r="G26" s="167">
        <f t="shared" si="1"/>
        <v>0</v>
      </c>
      <c r="H26" s="180"/>
      <c r="I26" s="180"/>
      <c r="J26" s="180"/>
      <c r="K26" s="180"/>
      <c r="L26" s="180"/>
      <c r="M26" s="180"/>
      <c r="N26" s="168"/>
    </row>
    <row r="27" spans="1:19" s="3" customFormat="1" ht="26.25" customHeight="1" x14ac:dyDescent="0.25">
      <c r="A27" s="169"/>
      <c r="B27" s="166"/>
      <c r="C27" s="976"/>
      <c r="D27" s="977"/>
      <c r="E27" s="918"/>
      <c r="F27" s="918"/>
      <c r="G27" s="167">
        <f t="shared" si="1"/>
        <v>0</v>
      </c>
      <c r="H27" s="180"/>
      <c r="I27" s="180"/>
      <c r="J27" s="180"/>
      <c r="K27" s="180"/>
      <c r="L27" s="180"/>
      <c r="M27" s="180"/>
      <c r="N27" s="168"/>
    </row>
    <row r="28" spans="1:19" s="3" customFormat="1" ht="26.25" customHeight="1" x14ac:dyDescent="0.25">
      <c r="A28" s="169"/>
      <c r="B28" s="166"/>
      <c r="C28" s="976"/>
      <c r="D28" s="977"/>
      <c r="E28" s="919"/>
      <c r="F28" s="919"/>
      <c r="G28" s="167">
        <f t="shared" si="1"/>
        <v>0</v>
      </c>
      <c r="H28" s="180"/>
      <c r="I28" s="180"/>
      <c r="J28" s="180"/>
      <c r="K28" s="180"/>
      <c r="L28" s="180"/>
      <c r="M28" s="180"/>
      <c r="N28" s="168"/>
    </row>
    <row r="29" spans="1:19" s="23" customFormat="1" ht="26.25" customHeight="1" thickBot="1" x14ac:dyDescent="0.3">
      <c r="A29" s="914" t="s">
        <v>36</v>
      </c>
      <c r="B29" s="915"/>
      <c r="C29" s="915"/>
      <c r="D29" s="915"/>
      <c r="E29" s="916">
        <f>SUM(E21:F28)</f>
        <v>1104</v>
      </c>
      <c r="F29" s="917"/>
      <c r="G29" s="171"/>
      <c r="H29" s="172"/>
      <c r="I29" s="172"/>
      <c r="J29" s="172"/>
      <c r="K29" s="172"/>
      <c r="L29" s="172"/>
      <c r="M29" s="172"/>
      <c r="N29" s="173"/>
      <c r="R29" s="14"/>
      <c r="S29" s="15"/>
    </row>
    <row r="30" spans="1:19" s="3" customFormat="1" ht="26.25" customHeight="1" thickTop="1" x14ac:dyDescent="0.25">
      <c r="A30" s="24"/>
      <c r="E30" s="844"/>
      <c r="F30" s="844"/>
    </row>
    <row r="31" spans="1:19" s="3" customFormat="1" ht="26.25" customHeight="1" x14ac:dyDescent="0.3">
      <c r="A31" s="25" t="s">
        <v>41</v>
      </c>
      <c r="B31" s="25"/>
      <c r="C31" s="25"/>
      <c r="D31" s="25" t="s">
        <v>81</v>
      </c>
      <c r="E31" s="25"/>
      <c r="F31" s="26"/>
      <c r="G31" s="25" t="s">
        <v>38</v>
      </c>
      <c r="H31" s="25"/>
      <c r="I31" s="25"/>
      <c r="J31" s="25"/>
      <c r="K31" s="25"/>
      <c r="L31" s="25" t="s">
        <v>39</v>
      </c>
      <c r="M31" s="28"/>
      <c r="N31" s="26"/>
    </row>
    <row r="32" spans="1:19" s="3" customFormat="1" ht="26.25" customHeight="1" x14ac:dyDescent="0.3">
      <c r="A32" s="25"/>
      <c r="B32" s="25"/>
      <c r="C32" s="25"/>
      <c r="D32" s="25"/>
      <c r="E32" s="25"/>
      <c r="F32" s="26"/>
      <c r="G32" s="25"/>
      <c r="H32" s="25"/>
      <c r="I32" s="25"/>
      <c r="J32" s="25"/>
      <c r="K32" s="25"/>
      <c r="L32" s="25"/>
      <c r="M32" s="28"/>
      <c r="N32" s="26"/>
    </row>
    <row r="33" spans="1:14" s="3" customFormat="1" ht="26.25" customHeight="1" x14ac:dyDescent="0.3">
      <c r="A33" s="25"/>
      <c r="B33" s="25"/>
      <c r="C33" s="25"/>
      <c r="D33" s="25"/>
      <c r="E33" s="25"/>
      <c r="F33" s="26"/>
      <c r="G33" s="25"/>
      <c r="H33" s="25"/>
      <c r="I33" s="25"/>
      <c r="J33" s="25"/>
      <c r="K33" s="25"/>
      <c r="L33" s="25"/>
      <c r="M33" s="28"/>
      <c r="N33" s="26"/>
    </row>
    <row r="34" spans="1:14" s="3" customFormat="1" ht="26.25" customHeight="1" x14ac:dyDescent="0.3">
      <c r="A34" s="25"/>
      <c r="B34" s="25"/>
      <c r="C34" s="25"/>
      <c r="D34" s="25"/>
      <c r="E34" s="25"/>
      <c r="F34" s="26"/>
      <c r="G34" s="25"/>
      <c r="H34" s="25"/>
      <c r="I34" s="25"/>
      <c r="J34" s="25"/>
      <c r="K34" s="25"/>
      <c r="L34" s="25"/>
      <c r="M34" s="28"/>
      <c r="N34" s="26"/>
    </row>
    <row r="35" spans="1:14" s="3" customFormat="1" ht="26.25" customHeight="1" x14ac:dyDescent="0.3">
      <c r="A35" s="29"/>
      <c r="B35" s="25"/>
      <c r="C35" s="25"/>
      <c r="D35" s="29"/>
      <c r="E35" s="29"/>
      <c r="F35" s="26"/>
      <c r="G35" s="29"/>
      <c r="H35" s="25"/>
      <c r="I35" s="25"/>
      <c r="J35" s="25"/>
      <c r="K35" s="25"/>
      <c r="L35" s="27"/>
      <c r="M35" s="28"/>
      <c r="N35" s="26"/>
    </row>
    <row r="36" spans="1:14" s="30" customFormat="1" ht="17.25" x14ac:dyDescent="0.3">
      <c r="A36" s="25" t="s">
        <v>48</v>
      </c>
      <c r="B36" s="25"/>
      <c r="C36" s="25" t="s">
        <v>80</v>
      </c>
      <c r="D36" s="25"/>
      <c r="G36" s="25" t="str">
        <f>B10</f>
        <v>Phoung Paheakdey</v>
      </c>
      <c r="H36" s="25"/>
      <c r="I36" s="25"/>
      <c r="J36" s="25"/>
      <c r="K36" s="829" t="s">
        <v>90</v>
      </c>
      <c r="L36" s="829"/>
      <c r="M36" s="829"/>
      <c r="N36" s="829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  <row r="43" spans="1:14" s="30" customFormat="1" ht="16.5" x14ac:dyDescent="0.3">
      <c r="A43" s="32"/>
    </row>
    <row r="44" spans="1:14" s="30" customFormat="1" ht="16.5" x14ac:dyDescent="0.3">
      <c r="A44" s="32"/>
    </row>
    <row r="45" spans="1:14" s="30" customFormat="1" ht="16.5" x14ac:dyDescent="0.3">
      <c r="A45" s="32"/>
    </row>
  </sheetData>
  <mergeCells count="38">
    <mergeCell ref="K36:N36"/>
    <mergeCell ref="A1:XFD7"/>
    <mergeCell ref="A8:N8"/>
    <mergeCell ref="K9:L9"/>
    <mergeCell ref="B10:B15"/>
    <mergeCell ref="C10:C15"/>
    <mergeCell ref="K15:L15"/>
    <mergeCell ref="A16:D16"/>
    <mergeCell ref="K16:L16"/>
    <mergeCell ref="A17:F17"/>
    <mergeCell ref="K17:L17"/>
    <mergeCell ref="A18:G18"/>
    <mergeCell ref="M19:N19"/>
    <mergeCell ref="A20:F20"/>
    <mergeCell ref="C21:D21"/>
    <mergeCell ref="K19:L19"/>
    <mergeCell ref="A29:D29"/>
    <mergeCell ref="E29:F29"/>
    <mergeCell ref="E30:F30"/>
    <mergeCell ref="C26:D26"/>
    <mergeCell ref="E26:F26"/>
    <mergeCell ref="C27:D27"/>
    <mergeCell ref="E27:F27"/>
    <mergeCell ref="E28:F28"/>
    <mergeCell ref="C28:D28"/>
    <mergeCell ref="O10:T12"/>
    <mergeCell ref="K12:L12"/>
    <mergeCell ref="E21:F21"/>
    <mergeCell ref="C22:D22"/>
    <mergeCell ref="E22:F22"/>
    <mergeCell ref="C19:D19"/>
    <mergeCell ref="E19:F19"/>
    <mergeCell ref="C23:D23"/>
    <mergeCell ref="E23:F23"/>
    <mergeCell ref="C24:D24"/>
    <mergeCell ref="E24:F24"/>
    <mergeCell ref="C25:D25"/>
    <mergeCell ref="E25:F25"/>
  </mergeCells>
  <hyperlinks>
    <hyperlink ref="M19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"/>
  <sheetViews>
    <sheetView zoomScale="93" zoomScaleNormal="93" workbookViewId="0">
      <pane ySplit="9" topLeftCell="A10" activePane="bottomLeft" state="frozen"/>
      <selection pane="bottomLeft" activeCell="E23" sqref="E23:F23"/>
    </sheetView>
  </sheetViews>
  <sheetFormatPr defaultRowHeight="13.5" x14ac:dyDescent="0.25"/>
  <cols>
    <col min="1" max="1" width="15" style="33" customWidth="1"/>
    <col min="2" max="2" width="20.85546875" style="1" customWidth="1"/>
    <col min="3" max="3" width="5.5703125" style="1" customWidth="1"/>
    <col min="4" max="4" width="21.5703125" style="1" customWidth="1"/>
    <col min="5" max="5" width="8.42578125" style="1" customWidth="1"/>
    <col min="6" max="6" width="10.85546875" style="1" customWidth="1"/>
    <col min="7" max="7" width="16.42578125" style="1" customWidth="1"/>
    <col min="8" max="8" width="5.285156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4.5703125" style="1" customWidth="1"/>
    <col min="14" max="14" width="10.28515625" style="1" bestFit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4" s="866" customFormat="1" ht="15" x14ac:dyDescent="0.25"/>
    <row r="2" spans="1:14" s="866" customFormat="1" ht="15" x14ac:dyDescent="0.25"/>
    <row r="3" spans="1:14" s="866" customFormat="1" ht="15" x14ac:dyDescent="0.25"/>
    <row r="4" spans="1:14" s="866" customFormat="1" ht="15" x14ac:dyDescent="0.25"/>
    <row r="5" spans="1:14" s="866" customFormat="1" ht="15" x14ac:dyDescent="0.25"/>
    <row r="6" spans="1:14" s="866" customFormat="1" ht="15" x14ac:dyDescent="0.25"/>
    <row r="7" spans="1:14" s="866" customFormat="1" ht="15.75" thickBot="1" x14ac:dyDescent="0.3"/>
    <row r="8" spans="1:14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4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4" s="59" customFormat="1" ht="26.25" customHeight="1" x14ac:dyDescent="0.25">
      <c r="A10" s="91">
        <v>1</v>
      </c>
      <c r="B10" s="890" t="s">
        <v>52</v>
      </c>
      <c r="C10" s="890" t="s">
        <v>53</v>
      </c>
      <c r="D10" s="53" t="s">
        <v>286</v>
      </c>
      <c r="E10" s="174">
        <f>1+15+13.5+15.5</f>
        <v>45</v>
      </c>
      <c r="F10" s="55">
        <v>5</v>
      </c>
      <c r="G10" s="56"/>
      <c r="H10" s="174" t="s">
        <v>98</v>
      </c>
      <c r="I10" s="174">
        <v>1</v>
      </c>
      <c r="J10" s="174">
        <v>12</v>
      </c>
      <c r="K10" s="457" t="s">
        <v>247</v>
      </c>
      <c r="L10" s="458"/>
      <c r="M10" s="92">
        <v>41572</v>
      </c>
      <c r="N10" s="58"/>
    </row>
    <row r="11" spans="1:14" s="59" customFormat="1" ht="26.25" customHeight="1" x14ac:dyDescent="0.25">
      <c r="A11" s="93">
        <v>2</v>
      </c>
      <c r="B11" s="891"/>
      <c r="C11" s="891"/>
      <c r="D11" s="53" t="s">
        <v>101</v>
      </c>
      <c r="E11" s="80">
        <f>12+6+15+12</f>
        <v>45</v>
      </c>
      <c r="F11" s="55"/>
      <c r="G11" s="56"/>
      <c r="H11" s="80" t="s">
        <v>290</v>
      </c>
      <c r="I11" s="80">
        <v>2</v>
      </c>
      <c r="J11" s="80">
        <v>11</v>
      </c>
      <c r="K11" s="872" t="s">
        <v>242</v>
      </c>
      <c r="L11" s="873"/>
      <c r="M11" s="92">
        <v>41566</v>
      </c>
      <c r="N11" s="84"/>
    </row>
    <row r="12" spans="1:14" s="59" customFormat="1" ht="26.25" customHeight="1" x14ac:dyDescent="0.25">
      <c r="A12" s="93">
        <v>3</v>
      </c>
      <c r="B12" s="891"/>
      <c r="C12" s="891"/>
      <c r="D12" s="77" t="s">
        <v>316</v>
      </c>
      <c r="E12" s="80">
        <f>25.5+19.5</f>
        <v>45</v>
      </c>
      <c r="F12" s="55"/>
      <c r="G12" s="56">
        <f t="shared" ref="G12:G13" si="0">E12*F12</f>
        <v>0</v>
      </c>
      <c r="H12" s="80" t="s">
        <v>106</v>
      </c>
      <c r="I12" s="80">
        <v>3</v>
      </c>
      <c r="J12" s="80">
        <v>10</v>
      </c>
      <c r="K12" s="878" t="s">
        <v>242</v>
      </c>
      <c r="L12" s="879"/>
      <c r="M12" s="94">
        <v>41567</v>
      </c>
      <c r="N12" s="84"/>
    </row>
    <row r="13" spans="1:14" s="59" customFormat="1" ht="26.25" customHeight="1" x14ac:dyDescent="0.25">
      <c r="A13" s="93"/>
      <c r="B13" s="891"/>
      <c r="C13" s="891"/>
      <c r="D13" s="77"/>
      <c r="E13" s="80"/>
      <c r="F13" s="55"/>
      <c r="G13" s="56">
        <f t="shared" si="0"/>
        <v>0</v>
      </c>
      <c r="H13" s="80"/>
      <c r="I13" s="80"/>
      <c r="J13" s="80"/>
      <c r="K13" s="181"/>
      <c r="L13" s="182"/>
      <c r="M13" s="94"/>
      <c r="N13" s="84"/>
    </row>
    <row r="14" spans="1:14" s="59" customFormat="1" ht="26.25" customHeight="1" x14ac:dyDescent="0.25">
      <c r="A14" s="925" t="s">
        <v>11</v>
      </c>
      <c r="B14" s="926"/>
      <c r="C14" s="926"/>
      <c r="D14" s="926"/>
      <c r="E14" s="178">
        <f>SUM(E10:E13)</f>
        <v>135</v>
      </c>
      <c r="F14" s="76">
        <v>5</v>
      </c>
      <c r="G14" s="56">
        <f>E14*F14</f>
        <v>675</v>
      </c>
      <c r="H14" s="175"/>
      <c r="I14" s="175"/>
      <c r="J14" s="175"/>
      <c r="K14" s="876"/>
      <c r="L14" s="877"/>
      <c r="M14" s="175"/>
      <c r="N14" s="63"/>
    </row>
    <row r="15" spans="1:14" s="59" customFormat="1" ht="26.25" customHeight="1" x14ac:dyDescent="0.25">
      <c r="A15" s="927" t="s">
        <v>24</v>
      </c>
      <c r="B15" s="928"/>
      <c r="C15" s="928"/>
      <c r="D15" s="928"/>
      <c r="E15" s="928"/>
      <c r="F15" s="928"/>
      <c r="G15" s="64">
        <f>SUM(G10:G14)</f>
        <v>675</v>
      </c>
      <c r="H15" s="179"/>
      <c r="I15" s="179"/>
      <c r="J15" s="179"/>
      <c r="K15" s="859"/>
      <c r="L15" s="860"/>
      <c r="M15" s="179"/>
      <c r="N15" s="66"/>
    </row>
    <row r="16" spans="1:14" s="48" customFormat="1" ht="26.25" customHeight="1" x14ac:dyDescent="0.25">
      <c r="A16" s="929" t="s">
        <v>32</v>
      </c>
      <c r="B16" s="930"/>
      <c r="C16" s="930"/>
      <c r="D16" s="930"/>
      <c r="E16" s="930"/>
      <c r="F16" s="930"/>
      <c r="G16" s="900"/>
      <c r="H16" s="67"/>
      <c r="I16" s="67"/>
      <c r="J16" s="68" t="s">
        <v>44</v>
      </c>
      <c r="K16" s="67"/>
      <c r="L16" s="68"/>
      <c r="M16" s="69"/>
      <c r="N16" s="70"/>
    </row>
    <row r="17" spans="1:14" s="48" customFormat="1" ht="22.5" customHeight="1" thickBot="1" x14ac:dyDescent="0.3">
      <c r="A17" s="72" t="s">
        <v>5</v>
      </c>
      <c r="B17" s="71" t="s">
        <v>33</v>
      </c>
      <c r="C17" s="857" t="s">
        <v>21</v>
      </c>
      <c r="D17" s="858"/>
      <c r="E17" s="857" t="s">
        <v>34</v>
      </c>
      <c r="F17" s="858"/>
      <c r="G17" s="71" t="s">
        <v>0</v>
      </c>
      <c r="H17" s="71" t="s">
        <v>96</v>
      </c>
      <c r="I17" s="71" t="s">
        <v>26</v>
      </c>
      <c r="J17" s="71" t="s">
        <v>27</v>
      </c>
      <c r="K17" s="863" t="s">
        <v>28</v>
      </c>
      <c r="L17" s="857"/>
      <c r="M17" s="901" t="s">
        <v>43</v>
      </c>
      <c r="N17" s="902"/>
    </row>
    <row r="18" spans="1:14" s="3" customFormat="1" ht="26.25" customHeight="1" x14ac:dyDescent="0.25">
      <c r="A18" s="922" t="s">
        <v>35</v>
      </c>
      <c r="B18" s="923"/>
      <c r="C18" s="923"/>
      <c r="D18" s="923"/>
      <c r="E18" s="923"/>
      <c r="F18" s="923"/>
      <c r="G18" s="162">
        <f>G15</f>
        <v>675</v>
      </c>
      <c r="H18" s="163"/>
      <c r="I18" s="163"/>
      <c r="J18" s="163"/>
      <c r="K18" s="163"/>
      <c r="L18" s="163"/>
      <c r="M18" s="163"/>
      <c r="N18" s="164"/>
    </row>
    <row r="19" spans="1:14" s="3" customFormat="1" ht="26.25" customHeight="1" x14ac:dyDescent="0.25">
      <c r="A19" s="366" t="s">
        <v>321</v>
      </c>
      <c r="B19" s="367">
        <v>41612</v>
      </c>
      <c r="C19" s="1050" t="s">
        <v>316</v>
      </c>
      <c r="D19" s="1051"/>
      <c r="E19" s="918">
        <v>130</v>
      </c>
      <c r="F19" s="918"/>
      <c r="G19" s="167">
        <f>G18-E19</f>
        <v>545</v>
      </c>
      <c r="H19" s="180"/>
      <c r="I19" s="180"/>
      <c r="J19" s="180"/>
      <c r="K19" s="180"/>
      <c r="L19" s="180"/>
      <c r="M19" s="180"/>
      <c r="N19" s="168"/>
    </row>
    <row r="20" spans="1:14" s="3" customFormat="1" ht="26.25" customHeight="1" x14ac:dyDescent="0.25">
      <c r="A20" s="313" t="s">
        <v>370</v>
      </c>
      <c r="B20" s="312">
        <v>41645</v>
      </c>
      <c r="C20" s="1050" t="s">
        <v>316</v>
      </c>
      <c r="D20" s="1051"/>
      <c r="E20" s="918">
        <v>160</v>
      </c>
      <c r="F20" s="918"/>
      <c r="G20" s="167">
        <f t="shared" ref="G20:G23" si="1">G19-E20</f>
        <v>385</v>
      </c>
      <c r="H20" s="180"/>
      <c r="I20" s="180"/>
      <c r="J20" s="180"/>
      <c r="K20" s="180"/>
      <c r="L20" s="180"/>
      <c r="M20" s="180"/>
      <c r="N20" s="168"/>
    </row>
    <row r="21" spans="1:14" s="3" customFormat="1" ht="26.25" customHeight="1" x14ac:dyDescent="0.25">
      <c r="A21" s="170" t="s">
        <v>465</v>
      </c>
      <c r="B21" s="166">
        <v>41703</v>
      </c>
      <c r="C21" s="1050" t="s">
        <v>316</v>
      </c>
      <c r="D21" s="1051"/>
      <c r="E21" s="918">
        <v>150</v>
      </c>
      <c r="F21" s="918"/>
      <c r="G21" s="167">
        <f t="shared" si="1"/>
        <v>235</v>
      </c>
      <c r="H21" s="180"/>
      <c r="I21" s="180"/>
      <c r="J21" s="180"/>
      <c r="K21" s="180"/>
      <c r="L21" s="180"/>
      <c r="M21" s="180"/>
      <c r="N21" s="168"/>
    </row>
    <row r="22" spans="1:14" s="3" customFormat="1" ht="26.25" customHeight="1" x14ac:dyDescent="0.25">
      <c r="A22" s="170" t="s">
        <v>537</v>
      </c>
      <c r="B22" s="166">
        <v>41739</v>
      </c>
      <c r="C22" s="1050" t="s">
        <v>316</v>
      </c>
      <c r="D22" s="1051"/>
      <c r="E22" s="918">
        <v>235</v>
      </c>
      <c r="F22" s="918"/>
      <c r="G22" s="167">
        <f t="shared" si="1"/>
        <v>0</v>
      </c>
      <c r="H22" s="180"/>
      <c r="I22" s="180"/>
      <c r="J22" s="180"/>
      <c r="K22" s="180"/>
      <c r="L22" s="180"/>
      <c r="M22" s="180"/>
      <c r="N22" s="168"/>
    </row>
    <row r="23" spans="1:14" s="3" customFormat="1" ht="26.25" customHeight="1" x14ac:dyDescent="0.25">
      <c r="A23" s="169"/>
      <c r="B23" s="166"/>
      <c r="C23" s="924"/>
      <c r="D23" s="924"/>
      <c r="E23" s="919"/>
      <c r="F23" s="919"/>
      <c r="G23" s="167">
        <f t="shared" si="1"/>
        <v>0</v>
      </c>
      <c r="H23" s="180"/>
      <c r="I23" s="180"/>
      <c r="J23" s="180"/>
      <c r="K23" s="180"/>
      <c r="L23" s="180"/>
      <c r="M23" s="180"/>
      <c r="N23" s="168"/>
    </row>
    <row r="24" spans="1:14" s="23" customFormat="1" ht="26.25" customHeight="1" thickBot="1" x14ac:dyDescent="0.3">
      <c r="A24" s="914" t="s">
        <v>36</v>
      </c>
      <c r="B24" s="915"/>
      <c r="C24" s="915"/>
      <c r="D24" s="915"/>
      <c r="E24" s="916">
        <f>SUM(E19:F23)</f>
        <v>675</v>
      </c>
      <c r="F24" s="917"/>
      <c r="G24" s="171"/>
      <c r="H24" s="172"/>
      <c r="I24" s="172"/>
      <c r="J24" s="172"/>
      <c r="K24" s="172"/>
      <c r="L24" s="172"/>
      <c r="M24" s="172"/>
      <c r="N24" s="173"/>
    </row>
    <row r="25" spans="1:14" s="3" customFormat="1" ht="26.25" customHeight="1" thickTop="1" x14ac:dyDescent="0.25">
      <c r="A25" s="24"/>
      <c r="E25" s="844"/>
      <c r="F25" s="844"/>
    </row>
    <row r="26" spans="1:14" s="3" customFormat="1" ht="26.25" customHeight="1" x14ac:dyDescent="0.3">
      <c r="A26" s="25" t="s">
        <v>41</v>
      </c>
      <c r="B26" s="25"/>
      <c r="C26" s="25"/>
      <c r="D26" s="25" t="s">
        <v>81</v>
      </c>
      <c r="E26" s="25"/>
      <c r="F26" s="26"/>
      <c r="G26" s="25" t="s">
        <v>38</v>
      </c>
      <c r="H26" s="25"/>
      <c r="I26" s="25"/>
      <c r="J26" s="25"/>
      <c r="K26" s="25"/>
      <c r="L26" s="25" t="s">
        <v>39</v>
      </c>
      <c r="M26" s="28"/>
      <c r="N26" s="26"/>
    </row>
    <row r="27" spans="1:14" s="3" customFormat="1" ht="26.25" customHeight="1" x14ac:dyDescent="0.3">
      <c r="A27" s="25"/>
      <c r="B27" s="25"/>
      <c r="C27" s="25"/>
      <c r="D27" s="25"/>
      <c r="E27" s="25"/>
      <c r="F27" s="26"/>
      <c r="G27" s="25"/>
      <c r="H27" s="25"/>
      <c r="I27" s="25"/>
      <c r="J27" s="25"/>
      <c r="K27" s="25"/>
      <c r="L27" s="25"/>
      <c r="M27" s="28"/>
      <c r="N27" s="26"/>
    </row>
    <row r="28" spans="1:14" s="3" customFormat="1" ht="26.25" customHeight="1" x14ac:dyDescent="0.3">
      <c r="A28" s="25"/>
      <c r="B28" s="25"/>
      <c r="C28" s="25"/>
      <c r="D28" s="25"/>
      <c r="E28" s="25"/>
      <c r="F28" s="26"/>
      <c r="G28" s="25"/>
      <c r="H28" s="25"/>
      <c r="I28" s="25"/>
      <c r="J28" s="25"/>
      <c r="K28" s="25"/>
      <c r="L28" s="25"/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9"/>
      <c r="B30" s="25"/>
      <c r="C30" s="25"/>
      <c r="D30" s="29"/>
      <c r="E30" s="29"/>
      <c r="F30" s="26"/>
      <c r="G30" s="29"/>
      <c r="H30" s="25"/>
      <c r="I30" s="25"/>
      <c r="J30" s="25"/>
      <c r="K30" s="25"/>
      <c r="L30" s="27"/>
      <c r="M30" s="28"/>
      <c r="N30" s="26"/>
    </row>
    <row r="31" spans="1:14" s="30" customFormat="1" ht="17.25" x14ac:dyDescent="0.3">
      <c r="A31" s="25" t="s">
        <v>48</v>
      </c>
      <c r="B31" s="25"/>
      <c r="C31" s="25" t="s">
        <v>80</v>
      </c>
      <c r="D31" s="25"/>
      <c r="G31" s="25" t="str">
        <f>B10</f>
        <v>Houen Sopheang</v>
      </c>
      <c r="H31" s="25"/>
      <c r="I31" s="25"/>
      <c r="J31" s="25"/>
      <c r="K31" s="829" t="s">
        <v>90</v>
      </c>
      <c r="L31" s="829"/>
      <c r="M31" s="829"/>
      <c r="N31" s="829"/>
    </row>
    <row r="32" spans="1:14" s="30" customFormat="1" ht="16.5" x14ac:dyDescent="0.3">
      <c r="A32" s="32"/>
    </row>
    <row r="33" spans="1:1" s="30" customFormat="1" ht="16.5" x14ac:dyDescent="0.3">
      <c r="A33" s="32"/>
    </row>
    <row r="34" spans="1:1" s="30" customFormat="1" ht="16.5" x14ac:dyDescent="0.3">
      <c r="A34" s="32"/>
    </row>
    <row r="35" spans="1:1" s="30" customFormat="1" ht="16.5" x14ac:dyDescent="0.3">
      <c r="A35" s="32"/>
    </row>
    <row r="36" spans="1:1" s="30" customFormat="1" ht="16.5" x14ac:dyDescent="0.3">
      <c r="A36" s="32"/>
    </row>
    <row r="37" spans="1:1" s="30" customFormat="1" ht="16.5" x14ac:dyDescent="0.3">
      <c r="A37" s="32"/>
    </row>
    <row r="38" spans="1:1" s="30" customFormat="1" ht="16.5" x14ac:dyDescent="0.3">
      <c r="A38" s="32"/>
    </row>
    <row r="39" spans="1:1" s="30" customFormat="1" ht="16.5" x14ac:dyDescent="0.3">
      <c r="A39" s="32"/>
    </row>
    <row r="40" spans="1:1" s="30" customFormat="1" ht="16.5" x14ac:dyDescent="0.3">
      <c r="A40" s="32"/>
    </row>
  </sheetData>
  <mergeCells count="31">
    <mergeCell ref="K31:N31"/>
    <mergeCell ref="A1:XFD7"/>
    <mergeCell ref="A8:N8"/>
    <mergeCell ref="K9:L9"/>
    <mergeCell ref="B10:B13"/>
    <mergeCell ref="C10:C13"/>
    <mergeCell ref="A14:D14"/>
    <mergeCell ref="K14:L14"/>
    <mergeCell ref="A15:F15"/>
    <mergeCell ref="K15:L15"/>
    <mergeCell ref="A16:G16"/>
    <mergeCell ref="M17:N17"/>
    <mergeCell ref="A18:F18"/>
    <mergeCell ref="K17:L17"/>
    <mergeCell ref="A24:D24"/>
    <mergeCell ref="E24:F24"/>
    <mergeCell ref="E25:F25"/>
    <mergeCell ref="C21:D21"/>
    <mergeCell ref="E21:F21"/>
    <mergeCell ref="C22:D22"/>
    <mergeCell ref="E22:F22"/>
    <mergeCell ref="C23:D23"/>
    <mergeCell ref="E23:F23"/>
    <mergeCell ref="K11:L11"/>
    <mergeCell ref="K12:L12"/>
    <mergeCell ref="C19:D19"/>
    <mergeCell ref="E19:F19"/>
    <mergeCell ref="C20:D20"/>
    <mergeCell ref="E20:F20"/>
    <mergeCell ref="C17:D17"/>
    <mergeCell ref="E17:F17"/>
  </mergeCells>
  <hyperlinks>
    <hyperlink ref="M17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2"/>
  <sheetViews>
    <sheetView zoomScale="80" workbookViewId="0">
      <pane ySplit="9" topLeftCell="A10" activePane="bottomLeft" state="frozen"/>
      <selection pane="bottomLeft" activeCell="I25" sqref="I25:J25"/>
    </sheetView>
  </sheetViews>
  <sheetFormatPr defaultRowHeight="13.5" x14ac:dyDescent="0.25"/>
  <cols>
    <col min="1" max="1" width="15" style="33" customWidth="1"/>
    <col min="2" max="2" width="19.140625" style="1" customWidth="1"/>
    <col min="3" max="3" width="5.5703125" style="1" customWidth="1"/>
    <col min="4" max="4" width="20.42578125" style="1" customWidth="1"/>
    <col min="5" max="5" width="8.42578125" style="1" customWidth="1"/>
    <col min="6" max="6" width="10.85546875" style="1" customWidth="1"/>
    <col min="7" max="7" width="16.42578125" style="1" customWidth="1"/>
    <col min="8" max="8" width="3.7109375" style="1" customWidth="1"/>
    <col min="9" max="9" width="3.85546875" style="1" customWidth="1"/>
    <col min="10" max="10" width="5" style="1" customWidth="1"/>
    <col min="11" max="11" width="8" style="1" customWidth="1"/>
    <col min="12" max="12" width="5.42578125" style="1" customWidth="1"/>
    <col min="13" max="13" width="11.5703125" style="1" bestFit="1" customWidth="1"/>
    <col min="14" max="14" width="10.28515625" style="1" bestFit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4" s="866" customFormat="1" ht="15" x14ac:dyDescent="0.25"/>
    <row r="2" spans="1:14" s="866" customFormat="1" ht="15" x14ac:dyDescent="0.25"/>
    <row r="3" spans="1:14" s="866" customFormat="1" ht="15" x14ac:dyDescent="0.25"/>
    <row r="4" spans="1:14" s="866" customFormat="1" ht="15" x14ac:dyDescent="0.25"/>
    <row r="5" spans="1:14" s="866" customFormat="1" ht="15" x14ac:dyDescent="0.25"/>
    <row r="6" spans="1:14" s="866" customFormat="1" ht="15" x14ac:dyDescent="0.25"/>
    <row r="7" spans="1:14" s="866" customFormat="1" ht="15.75" thickBot="1" x14ac:dyDescent="0.3"/>
    <row r="8" spans="1:14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4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4" s="59" customFormat="1" ht="26.25" customHeight="1" x14ac:dyDescent="0.25">
      <c r="A10" s="91">
        <v>1</v>
      </c>
      <c r="B10" s="890" t="s">
        <v>293</v>
      </c>
      <c r="C10" s="890" t="s">
        <v>31</v>
      </c>
      <c r="D10" s="53" t="s">
        <v>294</v>
      </c>
      <c r="E10" s="184">
        <f>18+8.5+6+12.5</f>
        <v>45</v>
      </c>
      <c r="F10" s="55">
        <v>8</v>
      </c>
      <c r="G10" s="56">
        <f>E10*F10</f>
        <v>360</v>
      </c>
      <c r="H10" s="184" t="s">
        <v>53</v>
      </c>
      <c r="I10" s="184">
        <v>2</v>
      </c>
      <c r="J10" s="184">
        <v>11</v>
      </c>
      <c r="K10" s="878" t="s">
        <v>74</v>
      </c>
      <c r="L10" s="879"/>
      <c r="M10" s="92">
        <v>41513</v>
      </c>
      <c r="N10" s="58"/>
    </row>
    <row r="11" spans="1:14" s="59" customFormat="1" ht="26.25" customHeight="1" x14ac:dyDescent="0.25">
      <c r="A11" s="93"/>
      <c r="B11" s="891"/>
      <c r="C11" s="891"/>
      <c r="D11" s="53"/>
      <c r="E11" s="80"/>
      <c r="F11" s="55"/>
      <c r="G11" s="56"/>
      <c r="H11" s="80"/>
      <c r="I11" s="80"/>
      <c r="J11" s="80"/>
      <c r="K11" s="876"/>
      <c r="L11" s="877"/>
      <c r="M11" s="94"/>
      <c r="N11" s="84"/>
    </row>
    <row r="12" spans="1:14" s="59" customFormat="1" ht="26.25" customHeight="1" x14ac:dyDescent="0.25">
      <c r="A12" s="93"/>
      <c r="B12" s="891"/>
      <c r="C12" s="891"/>
      <c r="D12" s="53"/>
      <c r="E12" s="80"/>
      <c r="F12" s="55"/>
      <c r="G12" s="56">
        <f t="shared" ref="G12:G16" si="0">E12*F12</f>
        <v>0</v>
      </c>
      <c r="H12" s="80"/>
      <c r="I12" s="80"/>
      <c r="J12" s="80"/>
      <c r="K12" s="181"/>
      <c r="L12" s="182"/>
      <c r="M12" s="94"/>
      <c r="N12" s="84"/>
    </row>
    <row r="13" spans="1:14" s="59" customFormat="1" ht="26.25" customHeight="1" x14ac:dyDescent="0.25">
      <c r="A13" s="93"/>
      <c r="B13" s="891"/>
      <c r="C13" s="891"/>
      <c r="D13" s="77"/>
      <c r="E13" s="80"/>
      <c r="F13" s="55"/>
      <c r="G13" s="56">
        <f t="shared" si="0"/>
        <v>0</v>
      </c>
      <c r="H13" s="80"/>
      <c r="I13" s="80"/>
      <c r="J13" s="80"/>
      <c r="K13" s="181"/>
      <c r="L13" s="182"/>
      <c r="M13" s="94"/>
      <c r="N13" s="84"/>
    </row>
    <row r="14" spans="1:14" s="59" customFormat="1" ht="26.25" customHeight="1" x14ac:dyDescent="0.25">
      <c r="A14" s="93"/>
      <c r="B14" s="891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14" s="59" customFormat="1" ht="26.25" customHeight="1" x14ac:dyDescent="0.25">
      <c r="A15" s="93"/>
      <c r="B15" s="891"/>
      <c r="C15" s="891"/>
      <c r="D15" s="77"/>
      <c r="E15" s="80"/>
      <c r="F15" s="55"/>
      <c r="G15" s="56">
        <f t="shared" si="0"/>
        <v>0</v>
      </c>
      <c r="H15" s="80"/>
      <c r="I15" s="80"/>
      <c r="J15" s="80"/>
      <c r="K15" s="876"/>
      <c r="L15" s="877"/>
      <c r="M15" s="94"/>
      <c r="N15" s="84"/>
    </row>
    <row r="16" spans="1:14" s="59" customFormat="1" ht="26.25" customHeight="1" x14ac:dyDescent="0.25">
      <c r="A16" s="925" t="s">
        <v>11</v>
      </c>
      <c r="B16" s="926"/>
      <c r="C16" s="926"/>
      <c r="D16" s="926"/>
      <c r="E16" s="187">
        <f>SUM(E10:E15)</f>
        <v>45</v>
      </c>
      <c r="F16" s="76"/>
      <c r="G16" s="56">
        <f t="shared" si="0"/>
        <v>0</v>
      </c>
      <c r="H16" s="185"/>
      <c r="I16" s="185"/>
      <c r="J16" s="185"/>
      <c r="K16" s="876"/>
      <c r="L16" s="877"/>
      <c r="M16" s="185"/>
      <c r="N16" s="63"/>
    </row>
    <row r="17" spans="1:14" s="59" customFormat="1" ht="26.25" customHeight="1" x14ac:dyDescent="0.25">
      <c r="A17" s="927" t="s">
        <v>24</v>
      </c>
      <c r="B17" s="928"/>
      <c r="C17" s="928"/>
      <c r="D17" s="928"/>
      <c r="E17" s="928"/>
      <c r="F17" s="928"/>
      <c r="G17" s="64">
        <f>SUM(G10:G16)</f>
        <v>360</v>
      </c>
      <c r="H17" s="188"/>
      <c r="I17" s="188"/>
      <c r="J17" s="188"/>
      <c r="K17" s="859"/>
      <c r="L17" s="860"/>
      <c r="M17" s="188"/>
      <c r="N17" s="66"/>
    </row>
    <row r="18" spans="1:14" s="48" customFormat="1" ht="26.25" customHeight="1" x14ac:dyDescent="0.25">
      <c r="A18" s="929" t="s">
        <v>32</v>
      </c>
      <c r="B18" s="930"/>
      <c r="C18" s="930"/>
      <c r="D18" s="930"/>
      <c r="E18" s="930"/>
      <c r="F18" s="930"/>
      <c r="G18" s="900"/>
      <c r="H18" s="67"/>
      <c r="I18" s="67"/>
      <c r="J18" s="68" t="s">
        <v>44</v>
      </c>
      <c r="K18" s="67"/>
      <c r="L18" s="68"/>
      <c r="M18" s="69"/>
      <c r="N18" s="70"/>
    </row>
    <row r="19" spans="1:14" s="48" customFormat="1" ht="22.5" customHeight="1" thickBot="1" x14ac:dyDescent="0.3">
      <c r="A19" s="72" t="s">
        <v>5</v>
      </c>
      <c r="B19" s="71" t="s">
        <v>33</v>
      </c>
      <c r="C19" s="857" t="s">
        <v>21</v>
      </c>
      <c r="D19" s="858"/>
      <c r="E19" s="857" t="s">
        <v>34</v>
      </c>
      <c r="F19" s="858"/>
      <c r="G19" s="71" t="s">
        <v>0</v>
      </c>
      <c r="H19" s="71" t="s">
        <v>25</v>
      </c>
      <c r="I19" s="71" t="s">
        <v>26</v>
      </c>
      <c r="J19" s="71" t="s">
        <v>27</v>
      </c>
      <c r="K19" s="863" t="s">
        <v>28</v>
      </c>
      <c r="L19" s="857"/>
      <c r="M19" s="901" t="s">
        <v>43</v>
      </c>
      <c r="N19" s="902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360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366" t="s">
        <v>321</v>
      </c>
      <c r="B21" s="367">
        <v>41612</v>
      </c>
      <c r="C21" s="924" t="s">
        <v>294</v>
      </c>
      <c r="D21" s="924"/>
      <c r="E21" s="918">
        <v>100</v>
      </c>
      <c r="F21" s="918"/>
      <c r="G21" s="167">
        <f>G20-E21</f>
        <v>260</v>
      </c>
      <c r="H21" s="189"/>
      <c r="I21" s="189"/>
      <c r="J21" s="189"/>
      <c r="K21" s="189"/>
      <c r="L21" s="189"/>
      <c r="M21" s="189"/>
      <c r="N21" s="168"/>
    </row>
    <row r="22" spans="1:14" s="3" customFormat="1" ht="26.25" customHeight="1" x14ac:dyDescent="0.25">
      <c r="A22" s="313" t="s">
        <v>370</v>
      </c>
      <c r="B22" s="312">
        <v>41645</v>
      </c>
      <c r="C22" s="924" t="s">
        <v>294</v>
      </c>
      <c r="D22" s="924"/>
      <c r="E22" s="918">
        <v>80</v>
      </c>
      <c r="F22" s="918"/>
      <c r="G22" s="167">
        <f t="shared" ref="G22:G25" si="1">G21-E22</f>
        <v>180</v>
      </c>
      <c r="H22" s="189"/>
      <c r="I22" s="189"/>
      <c r="J22" s="189"/>
      <c r="K22" s="189"/>
      <c r="L22" s="189"/>
      <c r="M22" s="189"/>
      <c r="N22" s="168"/>
    </row>
    <row r="23" spans="1:14" s="3" customFormat="1" ht="26.25" customHeight="1" x14ac:dyDescent="0.25">
      <c r="A23" s="170" t="s">
        <v>465</v>
      </c>
      <c r="B23" s="312">
        <v>41703</v>
      </c>
      <c r="C23" s="924" t="s">
        <v>294</v>
      </c>
      <c r="D23" s="924"/>
      <c r="E23" s="918">
        <v>90</v>
      </c>
      <c r="F23" s="918"/>
      <c r="G23" s="167">
        <f t="shared" si="1"/>
        <v>90</v>
      </c>
      <c r="H23" s="189"/>
      <c r="I23" s="189"/>
      <c r="J23" s="189"/>
      <c r="K23" s="189"/>
      <c r="L23" s="189"/>
      <c r="M23" s="189"/>
      <c r="N23" s="168"/>
    </row>
    <row r="24" spans="1:14" s="3" customFormat="1" ht="26.25" customHeight="1" x14ac:dyDescent="0.25">
      <c r="A24" s="170" t="s">
        <v>537</v>
      </c>
      <c r="B24" s="312">
        <v>41739</v>
      </c>
      <c r="C24" s="924" t="s">
        <v>294</v>
      </c>
      <c r="D24" s="924"/>
      <c r="E24" s="918">
        <v>90</v>
      </c>
      <c r="F24" s="918"/>
      <c r="G24" s="167">
        <f t="shared" si="1"/>
        <v>0</v>
      </c>
      <c r="H24" s="189"/>
      <c r="I24" s="189"/>
      <c r="J24" s="189"/>
      <c r="K24" s="189"/>
      <c r="L24" s="189"/>
      <c r="M24" s="189"/>
      <c r="N24" s="168"/>
    </row>
    <row r="25" spans="1:14" s="3" customFormat="1" ht="26.25" customHeight="1" x14ac:dyDescent="0.25">
      <c r="A25" s="169"/>
      <c r="B25" s="166"/>
      <c r="C25" s="924"/>
      <c r="D25" s="924"/>
      <c r="E25" s="919"/>
      <c r="F25" s="919"/>
      <c r="G25" s="167">
        <f t="shared" si="1"/>
        <v>0</v>
      </c>
      <c r="H25" s="189"/>
      <c r="I25" s="189"/>
      <c r="J25" s="189"/>
      <c r="K25" s="189"/>
      <c r="L25" s="189"/>
      <c r="M25" s="189"/>
      <c r="N25" s="168"/>
    </row>
    <row r="26" spans="1:14" s="23" customFormat="1" ht="26.25" customHeight="1" thickBot="1" x14ac:dyDescent="0.3">
      <c r="A26" s="914" t="s">
        <v>36</v>
      </c>
      <c r="B26" s="915"/>
      <c r="C26" s="915"/>
      <c r="D26" s="915"/>
      <c r="E26" s="916">
        <f>SUM(E21:F25)</f>
        <v>360</v>
      </c>
      <c r="F26" s="917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44"/>
      <c r="F27" s="844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Tith Bun Chhoeun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2">
    <mergeCell ref="K33:N33"/>
    <mergeCell ref="A1:XFD7"/>
    <mergeCell ref="A8:N8"/>
    <mergeCell ref="K9:L9"/>
    <mergeCell ref="B10:B15"/>
    <mergeCell ref="C10:C15"/>
    <mergeCell ref="K10:L10"/>
    <mergeCell ref="K15:L15"/>
    <mergeCell ref="M19:N19"/>
    <mergeCell ref="A20:F20"/>
    <mergeCell ref="C21:D21"/>
    <mergeCell ref="E21:F21"/>
    <mergeCell ref="C22:D22"/>
    <mergeCell ref="E22:F22"/>
    <mergeCell ref="C19:D19"/>
    <mergeCell ref="E19:F19"/>
    <mergeCell ref="K19:L19"/>
    <mergeCell ref="A26:D26"/>
    <mergeCell ref="E26:F26"/>
    <mergeCell ref="E27:F27"/>
    <mergeCell ref="K11:L11"/>
    <mergeCell ref="C23:D23"/>
    <mergeCell ref="E23:F23"/>
    <mergeCell ref="C24:D24"/>
    <mergeCell ref="E24:F24"/>
    <mergeCell ref="C25:D25"/>
    <mergeCell ref="E25:F25"/>
    <mergeCell ref="A16:D16"/>
    <mergeCell ref="K16:L16"/>
    <mergeCell ref="A17:F17"/>
    <mergeCell ref="K17:L17"/>
    <mergeCell ref="A18:G18"/>
  </mergeCells>
  <hyperlinks>
    <hyperlink ref="M19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2"/>
  <sheetViews>
    <sheetView zoomScale="80" workbookViewId="0">
      <pane ySplit="9" topLeftCell="A10" activePane="bottomLeft" state="frozen"/>
      <selection pane="bottomLeft" activeCell="W29" sqref="W29"/>
    </sheetView>
  </sheetViews>
  <sheetFormatPr defaultRowHeight="13.5" x14ac:dyDescent="0.25"/>
  <cols>
    <col min="1" max="1" width="19.85546875" style="33" customWidth="1"/>
    <col min="2" max="2" width="20.7109375" style="1" customWidth="1"/>
    <col min="3" max="3" width="5.5703125" style="1" customWidth="1"/>
    <col min="4" max="4" width="19.140625" style="1" customWidth="1"/>
    <col min="5" max="5" width="8.42578125" style="1" customWidth="1"/>
    <col min="6" max="6" width="8.28515625" style="1" customWidth="1"/>
    <col min="7" max="7" width="14.5703125" style="1" customWidth="1"/>
    <col min="8" max="8" width="3.710937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1.7109375" style="1" bestFit="1" customWidth="1"/>
    <col min="14" max="14" width="10.28515625" style="1" bestFit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5" s="866" customFormat="1" ht="15" x14ac:dyDescent="0.25"/>
    <row r="2" spans="1:15" s="866" customFormat="1" ht="15" x14ac:dyDescent="0.25"/>
    <row r="3" spans="1:15" s="866" customFormat="1" ht="15" x14ac:dyDescent="0.25"/>
    <row r="4" spans="1:15" s="866" customFormat="1" ht="15" x14ac:dyDescent="0.25"/>
    <row r="5" spans="1:15" s="866" customFormat="1" ht="15" x14ac:dyDescent="0.25"/>
    <row r="6" spans="1:15" s="866" customFormat="1" ht="15" x14ac:dyDescent="0.25"/>
    <row r="7" spans="1:15" s="866" customFormat="1" ht="15.75" thickBot="1" x14ac:dyDescent="0.3"/>
    <row r="8" spans="1:15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5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5" s="59" customFormat="1" ht="26.25" customHeight="1" x14ac:dyDescent="0.25">
      <c r="A10" s="91">
        <v>1</v>
      </c>
      <c r="B10" s="890" t="s">
        <v>1</v>
      </c>
      <c r="C10" s="890" t="s">
        <v>53</v>
      </c>
      <c r="D10" s="53" t="s">
        <v>295</v>
      </c>
      <c r="E10" s="193">
        <f>3+9</f>
        <v>12</v>
      </c>
      <c r="F10" s="55"/>
      <c r="G10" s="56"/>
      <c r="H10" s="193" t="s">
        <v>63</v>
      </c>
      <c r="I10" s="193">
        <v>2</v>
      </c>
      <c r="J10" s="193">
        <v>11</v>
      </c>
      <c r="K10" s="878" t="s">
        <v>247</v>
      </c>
      <c r="L10" s="879"/>
      <c r="M10" s="92">
        <v>41557</v>
      </c>
      <c r="N10" s="58"/>
      <c r="O10" s="58"/>
    </row>
    <row r="11" spans="1:15" s="59" customFormat="1" ht="26.25" customHeight="1" x14ac:dyDescent="0.25">
      <c r="A11" s="93"/>
      <c r="B11" s="891"/>
      <c r="C11" s="891"/>
      <c r="D11" s="53"/>
      <c r="E11" s="80"/>
      <c r="F11" s="55"/>
      <c r="G11" s="56"/>
      <c r="H11" s="210"/>
      <c r="I11" s="210"/>
      <c r="J11" s="210"/>
      <c r="K11" s="878"/>
      <c r="L11" s="879"/>
      <c r="M11" s="92"/>
      <c r="N11" s="84"/>
    </row>
    <row r="12" spans="1:15" s="59" customFormat="1" ht="26.25" customHeight="1" x14ac:dyDescent="0.25">
      <c r="A12" s="91"/>
      <c r="B12" s="891"/>
      <c r="C12" s="891"/>
      <c r="D12" s="53"/>
      <c r="E12" s="80"/>
      <c r="F12" s="55"/>
      <c r="G12" s="56">
        <f t="shared" ref="G12:G16" si="0">E12*F12</f>
        <v>0</v>
      </c>
      <c r="H12" s="80"/>
      <c r="I12" s="80"/>
      <c r="J12" s="80"/>
      <c r="K12" s="181"/>
      <c r="L12" s="182"/>
      <c r="M12" s="94"/>
      <c r="N12" s="84"/>
    </row>
    <row r="13" spans="1:15" s="59" customFormat="1" ht="26.25" customHeight="1" x14ac:dyDescent="0.25">
      <c r="A13" s="93"/>
      <c r="B13" s="891"/>
      <c r="C13" s="891"/>
      <c r="D13" s="77"/>
      <c r="E13" s="80"/>
      <c r="F13" s="55"/>
      <c r="G13" s="56">
        <f t="shared" si="0"/>
        <v>0</v>
      </c>
      <c r="H13" s="80"/>
      <c r="I13" s="80"/>
      <c r="J13" s="80"/>
      <c r="K13" s="181"/>
      <c r="L13" s="182"/>
      <c r="M13" s="94"/>
      <c r="N13" s="84"/>
    </row>
    <row r="14" spans="1:15" s="59" customFormat="1" ht="26.25" customHeight="1" x14ac:dyDescent="0.25">
      <c r="A14" s="91"/>
      <c r="B14" s="891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15" s="59" customFormat="1" ht="26.25" customHeight="1" x14ac:dyDescent="0.25">
      <c r="A15" s="93"/>
      <c r="B15" s="891"/>
      <c r="C15" s="891"/>
      <c r="D15" s="77"/>
      <c r="E15" s="80"/>
      <c r="F15" s="55"/>
      <c r="G15" s="56">
        <f t="shared" si="0"/>
        <v>0</v>
      </c>
      <c r="H15" s="80"/>
      <c r="I15" s="80"/>
      <c r="J15" s="80"/>
      <c r="K15" s="876"/>
      <c r="L15" s="877"/>
      <c r="M15" s="94"/>
      <c r="N15" s="84"/>
    </row>
    <row r="16" spans="1:15" s="59" customFormat="1" ht="26.25" customHeight="1" x14ac:dyDescent="0.25">
      <c r="A16" s="925" t="s">
        <v>11</v>
      </c>
      <c r="B16" s="926"/>
      <c r="C16" s="926"/>
      <c r="D16" s="926"/>
      <c r="E16" s="196">
        <f>SUM(E10:E15)</f>
        <v>12</v>
      </c>
      <c r="F16" s="76">
        <v>8</v>
      </c>
      <c r="G16" s="56">
        <f t="shared" si="0"/>
        <v>96</v>
      </c>
      <c r="H16" s="194"/>
      <c r="I16" s="194"/>
      <c r="J16" s="194"/>
      <c r="K16" s="876"/>
      <c r="L16" s="877"/>
      <c r="M16" s="194"/>
      <c r="N16" s="63"/>
    </row>
    <row r="17" spans="1:16" s="59" customFormat="1" ht="26.25" customHeight="1" x14ac:dyDescent="0.25">
      <c r="A17" s="927" t="s">
        <v>24</v>
      </c>
      <c r="B17" s="928"/>
      <c r="C17" s="928"/>
      <c r="D17" s="928"/>
      <c r="E17" s="928"/>
      <c r="F17" s="928"/>
      <c r="G17" s="64">
        <f>SUM(G10:G16)</f>
        <v>96</v>
      </c>
      <c r="H17" s="197"/>
      <c r="I17" s="197"/>
      <c r="J17" s="197"/>
      <c r="K17" s="859"/>
      <c r="L17" s="860"/>
      <c r="M17" s="197"/>
      <c r="N17" s="66"/>
    </row>
    <row r="18" spans="1:16" s="48" customFormat="1" ht="26.25" customHeight="1" x14ac:dyDescent="0.25">
      <c r="A18" s="929" t="s">
        <v>32</v>
      </c>
      <c r="B18" s="930"/>
      <c r="C18" s="930"/>
      <c r="D18" s="930"/>
      <c r="E18" s="930"/>
      <c r="F18" s="930"/>
      <c r="G18" s="900"/>
      <c r="H18" s="67"/>
      <c r="I18" s="67"/>
      <c r="J18" s="68" t="s">
        <v>44</v>
      </c>
      <c r="K18" s="67"/>
      <c r="L18" s="68"/>
      <c r="M18" s="69"/>
      <c r="N18" s="70"/>
    </row>
    <row r="19" spans="1:16" s="48" customFormat="1" ht="22.5" customHeight="1" thickBot="1" x14ac:dyDescent="0.3">
      <c r="A19" s="72" t="s">
        <v>5</v>
      </c>
      <c r="B19" s="71" t="s">
        <v>33</v>
      </c>
      <c r="C19" s="857" t="s">
        <v>21</v>
      </c>
      <c r="D19" s="858"/>
      <c r="E19" s="857" t="s">
        <v>34</v>
      </c>
      <c r="F19" s="858"/>
      <c r="G19" s="71" t="s">
        <v>0</v>
      </c>
      <c r="H19" s="71" t="s">
        <v>96</v>
      </c>
      <c r="I19" s="71" t="s">
        <v>26</v>
      </c>
      <c r="J19" s="71" t="s">
        <v>27</v>
      </c>
      <c r="K19" s="863" t="s">
        <v>28</v>
      </c>
      <c r="L19" s="857"/>
      <c r="M19" s="901" t="s">
        <v>43</v>
      </c>
      <c r="N19" s="902"/>
    </row>
    <row r="20" spans="1:16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96</v>
      </c>
      <c r="H20" s="163"/>
      <c r="I20" s="163"/>
      <c r="J20" s="163"/>
      <c r="K20" s="163"/>
      <c r="L20" s="163"/>
      <c r="M20" s="163"/>
      <c r="N20" s="164"/>
    </row>
    <row r="21" spans="1:16" s="3" customFormat="1" ht="26.25" customHeight="1" x14ac:dyDescent="0.25">
      <c r="A21" s="165" t="s">
        <v>338</v>
      </c>
      <c r="B21" s="166">
        <v>41620</v>
      </c>
      <c r="C21" s="924" t="s">
        <v>310</v>
      </c>
      <c r="D21" s="924"/>
      <c r="E21" s="918">
        <v>96</v>
      </c>
      <c r="F21" s="918"/>
      <c r="G21" s="167">
        <f>G20-E21</f>
        <v>0</v>
      </c>
      <c r="H21" s="198"/>
      <c r="I21" s="198"/>
      <c r="J21" s="198"/>
      <c r="K21" s="198"/>
      <c r="L21" s="198"/>
      <c r="M21" s="198"/>
      <c r="N21" s="168"/>
    </row>
    <row r="22" spans="1:16" s="3" customFormat="1" ht="26.25" customHeight="1" x14ac:dyDescent="0.25">
      <c r="A22" s="169"/>
      <c r="B22" s="166"/>
      <c r="C22" s="924"/>
      <c r="D22" s="924"/>
      <c r="E22" s="918"/>
      <c r="F22" s="918"/>
      <c r="G22" s="167">
        <f t="shared" ref="G22:G25" si="1">G21-E22</f>
        <v>0</v>
      </c>
      <c r="H22" s="198"/>
      <c r="I22" s="198"/>
      <c r="J22" s="198"/>
      <c r="K22" s="198"/>
      <c r="L22" s="198"/>
      <c r="M22" s="198"/>
      <c r="N22" s="168"/>
      <c r="P22" s="3" t="s">
        <v>89</v>
      </c>
    </row>
    <row r="23" spans="1:16" s="3" customFormat="1" ht="26.25" customHeight="1" x14ac:dyDescent="0.25">
      <c r="A23" s="169"/>
      <c r="B23" s="166"/>
      <c r="C23" s="924"/>
      <c r="D23" s="924"/>
      <c r="E23" s="918"/>
      <c r="F23" s="918"/>
      <c r="G23" s="167">
        <f t="shared" si="1"/>
        <v>0</v>
      </c>
      <c r="H23" s="198"/>
      <c r="I23" s="198"/>
      <c r="J23" s="198"/>
      <c r="K23" s="198"/>
      <c r="L23" s="198"/>
      <c r="M23" s="198"/>
      <c r="N23" s="168"/>
    </row>
    <row r="24" spans="1:16" s="3" customFormat="1" ht="26.25" customHeight="1" x14ac:dyDescent="0.25">
      <c r="A24" s="169"/>
      <c r="B24" s="166"/>
      <c r="C24" s="924"/>
      <c r="D24" s="924"/>
      <c r="E24" s="918"/>
      <c r="F24" s="918"/>
      <c r="G24" s="167">
        <f t="shared" si="1"/>
        <v>0</v>
      </c>
      <c r="H24" s="198"/>
      <c r="I24" s="198"/>
      <c r="J24" s="198"/>
      <c r="K24" s="198"/>
      <c r="L24" s="198"/>
      <c r="M24" s="198"/>
      <c r="N24" s="168"/>
    </row>
    <row r="25" spans="1:16" s="3" customFormat="1" ht="26.25" customHeight="1" x14ac:dyDescent="0.25">
      <c r="A25" s="169"/>
      <c r="B25" s="166"/>
      <c r="C25" s="945"/>
      <c r="D25" s="945"/>
      <c r="E25" s="919"/>
      <c r="F25" s="919"/>
      <c r="G25" s="167">
        <f t="shared" si="1"/>
        <v>0</v>
      </c>
      <c r="H25" s="198"/>
      <c r="I25" s="198"/>
      <c r="J25" s="198"/>
      <c r="K25" s="198"/>
      <c r="L25" s="198"/>
      <c r="M25" s="198"/>
      <c r="N25" s="168"/>
    </row>
    <row r="26" spans="1:16" s="23" customFormat="1" ht="26.25" customHeight="1" thickBot="1" x14ac:dyDescent="0.3">
      <c r="A26" s="914" t="s">
        <v>36</v>
      </c>
      <c r="B26" s="915"/>
      <c r="C26" s="915"/>
      <c r="D26" s="915"/>
      <c r="E26" s="916">
        <f>SUM(E21:F25)</f>
        <v>96</v>
      </c>
      <c r="F26" s="917"/>
      <c r="G26" s="171"/>
      <c r="H26" s="172"/>
      <c r="I26" s="172"/>
      <c r="J26" s="172"/>
      <c r="K26" s="172"/>
      <c r="L26" s="172"/>
      <c r="M26" s="172"/>
      <c r="N26" s="173"/>
    </row>
    <row r="27" spans="1:16" s="3" customFormat="1" ht="26.25" customHeight="1" thickTop="1" x14ac:dyDescent="0.25">
      <c r="A27" s="24"/>
      <c r="E27" s="844"/>
      <c r="F27" s="844"/>
    </row>
    <row r="28" spans="1:16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6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6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6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6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Kong Nimol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2">
    <mergeCell ref="A1:XFD7"/>
    <mergeCell ref="A8:N8"/>
    <mergeCell ref="K9:L9"/>
    <mergeCell ref="B10:B15"/>
    <mergeCell ref="C10:C15"/>
    <mergeCell ref="K10:L10"/>
    <mergeCell ref="K11:L11"/>
    <mergeCell ref="K15:L15"/>
    <mergeCell ref="A16:D16"/>
    <mergeCell ref="K16:L16"/>
    <mergeCell ref="A17:F17"/>
    <mergeCell ref="K17:L17"/>
    <mergeCell ref="A18:G18"/>
    <mergeCell ref="M19:N19"/>
    <mergeCell ref="A20:F20"/>
    <mergeCell ref="C21:D21"/>
    <mergeCell ref="E21:F21"/>
    <mergeCell ref="C22:D22"/>
    <mergeCell ref="E22:F22"/>
    <mergeCell ref="C19:D19"/>
    <mergeCell ref="E19:F19"/>
    <mergeCell ref="K19:L19"/>
    <mergeCell ref="A26:D26"/>
    <mergeCell ref="E26:F26"/>
    <mergeCell ref="E27:F27"/>
    <mergeCell ref="K33:N33"/>
    <mergeCell ref="C23:D23"/>
    <mergeCell ref="E23:F23"/>
    <mergeCell ref="C24:D24"/>
    <mergeCell ref="E24:F24"/>
    <mergeCell ref="C25:D25"/>
    <mergeCell ref="E25:F25"/>
  </mergeCells>
  <hyperlinks>
    <hyperlink ref="M19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0"/>
  <sheetViews>
    <sheetView zoomScale="80" workbookViewId="0">
      <pane ySplit="9" topLeftCell="A10" activePane="bottomLeft" state="frozen"/>
      <selection pane="bottomLeft" activeCell="M17" sqref="M17"/>
    </sheetView>
  </sheetViews>
  <sheetFormatPr defaultRowHeight="13.5" x14ac:dyDescent="0.25"/>
  <cols>
    <col min="1" max="1" width="16.5703125" style="33" customWidth="1"/>
    <col min="2" max="2" width="22.7109375" style="1" customWidth="1"/>
    <col min="3" max="3" width="5.5703125" style="1" customWidth="1"/>
    <col min="4" max="4" width="23.42578125" style="1" customWidth="1"/>
    <col min="5" max="5" width="8.42578125" style="1" customWidth="1"/>
    <col min="6" max="6" width="8.28515625" style="1" customWidth="1"/>
    <col min="7" max="7" width="14.5703125" style="1" customWidth="1"/>
    <col min="8" max="8" width="3.710937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1.7109375" style="1" bestFit="1" customWidth="1"/>
    <col min="14" max="14" width="10.28515625" style="1" bestFit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5" s="866" customFormat="1" ht="15" x14ac:dyDescent="0.25"/>
    <row r="2" spans="1:15" s="866" customFormat="1" ht="15" x14ac:dyDescent="0.25"/>
    <row r="3" spans="1:15" s="866" customFormat="1" ht="15" x14ac:dyDescent="0.25"/>
    <row r="4" spans="1:15" s="866" customFormat="1" ht="15" x14ac:dyDescent="0.25"/>
    <row r="5" spans="1:15" s="866" customFormat="1" ht="15" x14ac:dyDescent="0.25"/>
    <row r="6" spans="1:15" s="866" customFormat="1" ht="15" x14ac:dyDescent="0.25"/>
    <row r="7" spans="1:15" s="866" customFormat="1" ht="15.75" thickBot="1" x14ac:dyDescent="0.3"/>
    <row r="8" spans="1:15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5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  <c r="O9" s="802"/>
    </row>
    <row r="10" spans="1:15" s="481" customFormat="1" ht="26.25" customHeight="1" x14ac:dyDescent="0.25">
      <c r="A10" s="91">
        <v>1</v>
      </c>
      <c r="B10" s="890" t="s">
        <v>311</v>
      </c>
      <c r="C10" s="890" t="s">
        <v>31</v>
      </c>
      <c r="D10" s="53" t="s">
        <v>312</v>
      </c>
      <c r="E10" s="482">
        <f>5+24+16</f>
        <v>45</v>
      </c>
      <c r="F10" s="55"/>
      <c r="G10" s="56"/>
      <c r="H10" s="482" t="s">
        <v>387</v>
      </c>
      <c r="I10" s="482">
        <v>2</v>
      </c>
      <c r="J10" s="482"/>
      <c r="K10" s="912" t="s">
        <v>42</v>
      </c>
      <c r="L10" s="912"/>
      <c r="M10" s="92">
        <v>41601</v>
      </c>
      <c r="N10" s="58"/>
      <c r="O10" s="802"/>
    </row>
    <row r="11" spans="1:15" s="481" customFormat="1" ht="26.25" customHeight="1" x14ac:dyDescent="0.25">
      <c r="A11" s="93">
        <v>2</v>
      </c>
      <c r="B11" s="891"/>
      <c r="C11" s="891"/>
      <c r="D11" s="53" t="s">
        <v>388</v>
      </c>
      <c r="E11" s="80">
        <f>6.5+12+26.5</f>
        <v>45</v>
      </c>
      <c r="F11" s="55"/>
      <c r="G11" s="56"/>
      <c r="H11" s="482"/>
      <c r="I11" s="482">
        <v>3</v>
      </c>
      <c r="J11" s="482"/>
      <c r="K11" s="912" t="s">
        <v>42</v>
      </c>
      <c r="L11" s="912"/>
      <c r="M11" s="92">
        <v>41602</v>
      </c>
      <c r="N11" s="84"/>
      <c r="O11" s="802"/>
    </row>
    <row r="12" spans="1:15" s="481" customFormat="1" ht="26.25" customHeight="1" x14ac:dyDescent="0.25">
      <c r="A12" s="91" t="s">
        <v>438</v>
      </c>
      <c r="B12" s="891"/>
      <c r="C12" s="891"/>
      <c r="D12" s="53"/>
      <c r="E12" s="80"/>
      <c r="F12" s="55"/>
      <c r="G12" s="56">
        <f>E12*F12</f>
        <v>0</v>
      </c>
      <c r="H12" s="80"/>
      <c r="I12" s="80"/>
      <c r="J12" s="80"/>
      <c r="K12" s="912"/>
      <c r="L12" s="912"/>
      <c r="M12" s="94"/>
      <c r="N12" s="84"/>
    </row>
    <row r="13" spans="1:15" s="481" customFormat="1" ht="26.25" customHeight="1" x14ac:dyDescent="0.25">
      <c r="A13" s="93">
        <v>1</v>
      </c>
      <c r="B13" s="891"/>
      <c r="C13" s="891"/>
      <c r="D13" s="77" t="s">
        <v>557</v>
      </c>
      <c r="E13" s="80">
        <f>12+6</f>
        <v>18</v>
      </c>
      <c r="F13" s="55"/>
      <c r="G13" s="56">
        <f t="shared" ref="G13:G16" si="0">E13*F13</f>
        <v>0</v>
      </c>
      <c r="H13" s="80" t="s">
        <v>387</v>
      </c>
      <c r="I13" s="80">
        <v>2</v>
      </c>
      <c r="J13" s="80">
        <v>11</v>
      </c>
      <c r="K13" s="912" t="s">
        <v>42</v>
      </c>
      <c r="L13" s="912"/>
      <c r="M13" s="94">
        <v>41755</v>
      </c>
      <c r="N13" s="84"/>
    </row>
    <row r="14" spans="1:15" s="481" customFormat="1" ht="26.25" customHeight="1" x14ac:dyDescent="0.25">
      <c r="A14" s="91"/>
      <c r="B14" s="891"/>
      <c r="C14" s="891"/>
      <c r="D14" s="77" t="s">
        <v>583</v>
      </c>
      <c r="E14" s="80">
        <v>12</v>
      </c>
      <c r="F14" s="55"/>
      <c r="G14" s="56">
        <f t="shared" si="0"/>
        <v>0</v>
      </c>
      <c r="H14" s="80" t="s">
        <v>550</v>
      </c>
      <c r="I14" s="80">
        <v>3</v>
      </c>
      <c r="J14" s="80">
        <v>10</v>
      </c>
      <c r="K14" s="912" t="s">
        <v>42</v>
      </c>
      <c r="L14" s="912"/>
      <c r="M14" s="94">
        <v>41783</v>
      </c>
      <c r="N14" s="84"/>
    </row>
    <row r="15" spans="1:15" s="816" customFormat="1" ht="26.25" customHeight="1" x14ac:dyDescent="0.25">
      <c r="A15" s="93"/>
      <c r="B15" s="891"/>
      <c r="C15" s="891"/>
      <c r="D15" s="77" t="s">
        <v>613</v>
      </c>
      <c r="E15" s="80">
        <v>12</v>
      </c>
      <c r="F15" s="55"/>
      <c r="G15" s="56">
        <f>E15*F15</f>
        <v>0</v>
      </c>
      <c r="H15" s="80" t="s">
        <v>387</v>
      </c>
      <c r="I15" s="80">
        <v>2</v>
      </c>
      <c r="J15" s="80">
        <v>11</v>
      </c>
      <c r="K15" s="912" t="s">
        <v>231</v>
      </c>
      <c r="L15" s="912"/>
      <c r="M15" s="94">
        <v>41797</v>
      </c>
      <c r="N15" s="84"/>
    </row>
    <row r="16" spans="1:15" s="816" customFormat="1" ht="26.25" customHeight="1" x14ac:dyDescent="0.25">
      <c r="A16" s="93"/>
      <c r="B16" s="891"/>
      <c r="C16" s="891"/>
      <c r="D16" s="77"/>
      <c r="E16" s="80"/>
      <c r="F16" s="55"/>
      <c r="G16" s="56">
        <f t="shared" si="0"/>
        <v>0</v>
      </c>
      <c r="H16" s="80"/>
      <c r="I16" s="80"/>
      <c r="J16" s="820"/>
      <c r="K16" s="912"/>
      <c r="L16" s="912"/>
      <c r="M16" s="824"/>
      <c r="N16" s="84"/>
    </row>
    <row r="17" spans="1:16" s="816" customFormat="1" ht="26.25" customHeight="1" x14ac:dyDescent="0.25">
      <c r="A17" s="93"/>
      <c r="B17" s="891"/>
      <c r="C17" s="891"/>
      <c r="D17" s="77"/>
      <c r="E17" s="80"/>
      <c r="F17" s="55"/>
      <c r="G17" s="56"/>
      <c r="H17" s="80"/>
      <c r="I17" s="80"/>
      <c r="J17" s="80"/>
      <c r="K17" s="910"/>
      <c r="L17" s="1063"/>
      <c r="M17" s="94"/>
      <c r="N17" s="84"/>
    </row>
    <row r="18" spans="1:16" s="481" customFormat="1" ht="26.25" customHeight="1" x14ac:dyDescent="0.25">
      <c r="A18" s="93"/>
      <c r="B18" s="891"/>
      <c r="C18" s="891"/>
      <c r="D18" s="77"/>
      <c r="E18" s="80"/>
      <c r="F18" s="55"/>
      <c r="G18" s="56">
        <f>E18*F18</f>
        <v>0</v>
      </c>
      <c r="H18" s="80"/>
      <c r="I18" s="80"/>
      <c r="J18" s="80"/>
      <c r="K18" s="912"/>
      <c r="L18" s="912"/>
      <c r="M18" s="94"/>
      <c r="N18" s="84"/>
    </row>
    <row r="19" spans="1:16" s="481" customFormat="1" ht="26.25" customHeight="1" x14ac:dyDescent="0.25">
      <c r="A19" s="925" t="s">
        <v>11</v>
      </c>
      <c r="B19" s="926"/>
      <c r="C19" s="926"/>
      <c r="D19" s="926"/>
      <c r="E19" s="484">
        <f>SUM(E10:E18)</f>
        <v>132</v>
      </c>
      <c r="F19" s="76">
        <v>7</v>
      </c>
      <c r="G19" s="56">
        <f>E19*F19</f>
        <v>924</v>
      </c>
      <c r="H19" s="483"/>
      <c r="I19" s="483"/>
      <c r="J19" s="820"/>
      <c r="K19" s="912"/>
      <c r="L19" s="912"/>
      <c r="M19" s="820"/>
      <c r="N19" s="63"/>
    </row>
    <row r="20" spans="1:16" s="481" customFormat="1" ht="26.25" customHeight="1" x14ac:dyDescent="0.25">
      <c r="A20" s="927" t="s">
        <v>24</v>
      </c>
      <c r="B20" s="928"/>
      <c r="C20" s="928"/>
      <c r="D20" s="928"/>
      <c r="E20" s="928"/>
      <c r="F20" s="928"/>
      <c r="G20" s="64">
        <f>SUM(G10:G19)</f>
        <v>924</v>
      </c>
      <c r="H20" s="485"/>
      <c r="I20" s="485"/>
      <c r="J20" s="821"/>
      <c r="K20" s="911"/>
      <c r="L20" s="1062"/>
      <c r="M20" s="821"/>
      <c r="N20" s="66"/>
    </row>
    <row r="21" spans="1:16" s="48" customFormat="1" ht="26.25" customHeight="1" x14ac:dyDescent="0.25">
      <c r="A21" s="929" t="s">
        <v>32</v>
      </c>
      <c r="B21" s="930"/>
      <c r="C21" s="930"/>
      <c r="D21" s="930"/>
      <c r="E21" s="930"/>
      <c r="F21" s="930"/>
      <c r="G21" s="900"/>
      <c r="H21" s="67"/>
      <c r="I21" s="67"/>
      <c r="J21" s="68" t="s">
        <v>44</v>
      </c>
      <c r="K21" s="822"/>
      <c r="L21" s="823"/>
      <c r="M21" s="69"/>
      <c r="N21" s="70"/>
    </row>
    <row r="22" spans="1:16" s="48" customFormat="1" ht="22.5" customHeight="1" thickBot="1" x14ac:dyDescent="0.3">
      <c r="A22" s="72" t="s">
        <v>5</v>
      </c>
      <c r="B22" s="71" t="s">
        <v>33</v>
      </c>
      <c r="C22" s="857" t="s">
        <v>21</v>
      </c>
      <c r="D22" s="858"/>
      <c r="E22" s="857" t="s">
        <v>34</v>
      </c>
      <c r="F22" s="858"/>
      <c r="G22" s="71" t="s">
        <v>0</v>
      </c>
      <c r="H22" s="71" t="s">
        <v>96</v>
      </c>
      <c r="I22" s="71" t="s">
        <v>26</v>
      </c>
      <c r="J22" s="71" t="s">
        <v>27</v>
      </c>
      <c r="K22" s="863" t="s">
        <v>28</v>
      </c>
      <c r="L22" s="857"/>
      <c r="M22" s="901" t="s">
        <v>43</v>
      </c>
      <c r="N22" s="902"/>
    </row>
    <row r="23" spans="1:16" s="3" customFormat="1" ht="26.25" customHeight="1" x14ac:dyDescent="0.25">
      <c r="A23" s="922" t="s">
        <v>35</v>
      </c>
      <c r="B23" s="923"/>
      <c r="C23" s="923"/>
      <c r="D23" s="923"/>
      <c r="E23" s="923"/>
      <c r="F23" s="923"/>
      <c r="G23" s="162">
        <f>G20</f>
        <v>924</v>
      </c>
      <c r="H23" s="163"/>
      <c r="I23" s="163"/>
      <c r="J23" s="163"/>
      <c r="K23" s="163"/>
      <c r="L23" s="163"/>
      <c r="M23" s="163"/>
      <c r="N23" s="164"/>
    </row>
    <row r="24" spans="1:16" s="3" customFormat="1" ht="26.25" customHeight="1" x14ac:dyDescent="0.25">
      <c r="A24" s="313" t="s">
        <v>370</v>
      </c>
      <c r="B24" s="312">
        <v>41645</v>
      </c>
      <c r="C24" s="924" t="s">
        <v>312</v>
      </c>
      <c r="D24" s="924"/>
      <c r="E24" s="918">
        <v>160</v>
      </c>
      <c r="F24" s="918"/>
      <c r="G24" s="167">
        <f>G23-E24</f>
        <v>764</v>
      </c>
      <c r="H24" s="480"/>
      <c r="I24" s="480"/>
      <c r="J24" s="480"/>
      <c r="K24" s="480"/>
      <c r="L24" s="480"/>
      <c r="M24" s="480"/>
      <c r="N24" s="168"/>
    </row>
    <row r="25" spans="1:16" s="3" customFormat="1" ht="26.25" customHeight="1" x14ac:dyDescent="0.25">
      <c r="A25" s="169" t="s">
        <v>465</v>
      </c>
      <c r="B25" s="312">
        <v>41703</v>
      </c>
      <c r="C25" s="924" t="s">
        <v>312</v>
      </c>
      <c r="D25" s="924"/>
      <c r="E25" s="918">
        <v>200</v>
      </c>
      <c r="F25" s="918"/>
      <c r="G25" s="167">
        <f t="shared" ref="G25:G28" si="1">G24-E25</f>
        <v>564</v>
      </c>
      <c r="H25" s="480"/>
      <c r="I25" s="480"/>
      <c r="J25" s="480"/>
      <c r="K25" s="480"/>
      <c r="L25" s="480"/>
      <c r="M25" s="480"/>
      <c r="N25" s="168"/>
      <c r="P25" s="3" t="s">
        <v>89</v>
      </c>
    </row>
    <row r="26" spans="1:16" s="3" customFormat="1" ht="26.25" customHeight="1" x14ac:dyDescent="0.25">
      <c r="A26" s="169" t="s">
        <v>537</v>
      </c>
      <c r="B26" s="312">
        <v>41739</v>
      </c>
      <c r="C26" s="924" t="s">
        <v>312</v>
      </c>
      <c r="D26" s="924"/>
      <c r="E26" s="918">
        <v>200</v>
      </c>
      <c r="F26" s="918"/>
      <c r="G26" s="167">
        <f t="shared" si="1"/>
        <v>364</v>
      </c>
      <c r="H26" s="480"/>
      <c r="I26" s="480"/>
      <c r="J26" s="480"/>
      <c r="K26" s="480"/>
      <c r="L26" s="480"/>
      <c r="M26" s="480"/>
      <c r="N26" s="168"/>
    </row>
    <row r="27" spans="1:16" s="3" customFormat="1" ht="26.25" customHeight="1" x14ac:dyDescent="0.25">
      <c r="A27" s="14" t="s">
        <v>563</v>
      </c>
      <c r="B27" s="15">
        <v>41768</v>
      </c>
      <c r="C27" s="924" t="s">
        <v>312</v>
      </c>
      <c r="D27" s="924"/>
      <c r="E27" s="918">
        <v>154</v>
      </c>
      <c r="F27" s="918"/>
      <c r="G27" s="167">
        <f t="shared" si="1"/>
        <v>210</v>
      </c>
      <c r="H27" s="480"/>
      <c r="I27" s="480"/>
      <c r="J27" s="480"/>
      <c r="K27" s="480"/>
      <c r="L27" s="480"/>
      <c r="M27" s="480"/>
      <c r="N27" s="168"/>
    </row>
    <row r="28" spans="1:16" s="3" customFormat="1" ht="26.25" customHeight="1" x14ac:dyDescent="0.25">
      <c r="A28" s="169" t="s">
        <v>592</v>
      </c>
      <c r="B28" s="166">
        <v>41793</v>
      </c>
      <c r="C28" s="924" t="s">
        <v>312</v>
      </c>
      <c r="D28" s="924"/>
      <c r="E28" s="919">
        <v>60</v>
      </c>
      <c r="F28" s="919"/>
      <c r="G28" s="167">
        <f t="shared" si="1"/>
        <v>150</v>
      </c>
      <c r="H28" s="480"/>
      <c r="I28" s="480"/>
      <c r="J28" s="480"/>
      <c r="K28" s="480"/>
      <c r="L28" s="480"/>
      <c r="M28" s="480"/>
      <c r="N28" s="168"/>
    </row>
    <row r="29" spans="1:16" s="23" customFormat="1" ht="26.25" customHeight="1" thickBot="1" x14ac:dyDescent="0.3">
      <c r="A29" s="914" t="s">
        <v>36</v>
      </c>
      <c r="B29" s="915"/>
      <c r="C29" s="915"/>
      <c r="D29" s="915"/>
      <c r="E29" s="916">
        <f>SUM(E24:F28)</f>
        <v>774</v>
      </c>
      <c r="F29" s="917"/>
      <c r="G29" s="171"/>
      <c r="H29" s="172"/>
      <c r="I29" s="172"/>
      <c r="J29" s="172"/>
      <c r="K29" s="172"/>
      <c r="L29" s="172"/>
      <c r="M29" s="172"/>
      <c r="N29" s="173"/>
    </row>
    <row r="30" spans="1:16" s="3" customFormat="1" ht="26.25" customHeight="1" thickTop="1" x14ac:dyDescent="0.25">
      <c r="A30" s="24"/>
      <c r="E30" s="844"/>
      <c r="F30" s="844"/>
    </row>
    <row r="31" spans="1:16" s="3" customFormat="1" ht="26.25" customHeight="1" x14ac:dyDescent="0.3">
      <c r="A31" s="25" t="s">
        <v>41</v>
      </c>
      <c r="B31" s="25"/>
      <c r="C31" s="25"/>
      <c r="D31" s="25" t="s">
        <v>81</v>
      </c>
      <c r="E31" s="25"/>
      <c r="F31" s="26"/>
      <c r="G31" s="25" t="s">
        <v>38</v>
      </c>
      <c r="H31" s="25"/>
      <c r="I31" s="25"/>
      <c r="J31" s="25"/>
      <c r="K31" s="25"/>
      <c r="L31" s="25" t="s">
        <v>39</v>
      </c>
      <c r="M31" s="28"/>
      <c r="N31" s="26"/>
    </row>
    <row r="32" spans="1:16" s="3" customFormat="1" ht="26.25" customHeight="1" x14ac:dyDescent="0.3">
      <c r="A32" s="25"/>
      <c r="B32" s="25"/>
      <c r="C32" s="25"/>
      <c r="D32" s="25"/>
      <c r="E32" s="25"/>
      <c r="F32" s="26"/>
      <c r="G32" s="25"/>
      <c r="H32" s="25"/>
      <c r="I32" s="25"/>
      <c r="J32" s="25"/>
      <c r="K32" s="25"/>
      <c r="L32" s="25"/>
      <c r="M32" s="28"/>
      <c r="N32" s="26"/>
    </row>
    <row r="33" spans="1:14" s="3" customFormat="1" ht="26.25" customHeight="1" x14ac:dyDescent="0.3">
      <c r="A33" s="25"/>
      <c r="B33" s="25"/>
      <c r="C33" s="25"/>
      <c r="D33" s="25"/>
      <c r="E33" s="25"/>
      <c r="F33" s="26"/>
      <c r="G33" s="25"/>
      <c r="H33" s="25"/>
      <c r="I33" s="25"/>
      <c r="J33" s="25"/>
      <c r="K33" s="25"/>
      <c r="L33" s="25"/>
      <c r="M33" s="28"/>
      <c r="N33" s="26"/>
    </row>
    <row r="34" spans="1:14" s="3" customFormat="1" ht="26.25" customHeight="1" x14ac:dyDescent="0.3">
      <c r="A34" s="25"/>
      <c r="B34" s="25"/>
      <c r="C34" s="25"/>
      <c r="D34" s="25"/>
      <c r="E34" s="25"/>
      <c r="F34" s="26"/>
      <c r="G34" s="25"/>
      <c r="H34" s="25"/>
      <c r="I34" s="25"/>
      <c r="J34" s="25"/>
      <c r="K34" s="25"/>
      <c r="L34" s="25"/>
      <c r="M34" s="28"/>
      <c r="N34" s="26"/>
    </row>
    <row r="35" spans="1:14" s="3" customFormat="1" ht="26.25" customHeight="1" x14ac:dyDescent="0.3">
      <c r="A35" s="29"/>
      <c r="B35" s="25"/>
      <c r="C35" s="25"/>
      <c r="D35" s="29"/>
      <c r="E35" s="29"/>
      <c r="F35" s="26"/>
      <c r="G35" s="29"/>
      <c r="H35" s="25"/>
      <c r="I35" s="25"/>
      <c r="J35" s="25"/>
      <c r="K35" s="25"/>
      <c r="L35" s="27"/>
      <c r="M35" s="28"/>
      <c r="N35" s="26"/>
    </row>
    <row r="36" spans="1:14" s="30" customFormat="1" ht="17.25" x14ac:dyDescent="0.3">
      <c r="A36" s="25" t="s">
        <v>48</v>
      </c>
      <c r="B36" s="25"/>
      <c r="C36" s="25" t="s">
        <v>80</v>
      </c>
      <c r="D36" s="25"/>
      <c r="G36" s="25" t="str">
        <f>B10</f>
        <v>Sim Chandoeun</v>
      </c>
      <c r="H36" s="25"/>
      <c r="I36" s="25"/>
      <c r="J36" s="25"/>
      <c r="K36" s="829" t="s">
        <v>90</v>
      </c>
      <c r="L36" s="829"/>
      <c r="M36" s="829"/>
      <c r="N36" s="829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  <row r="43" spans="1:14" s="30" customFormat="1" ht="16.5" x14ac:dyDescent="0.3">
      <c r="A43" s="32"/>
    </row>
    <row r="44" spans="1:14" s="30" customFormat="1" ht="16.5" x14ac:dyDescent="0.3">
      <c r="A44" s="32"/>
    </row>
    <row r="45" spans="1:14" s="30" customFormat="1" ht="16.5" x14ac:dyDescent="0.3">
      <c r="A45" s="32"/>
    </row>
    <row r="50" ht="11.25" customHeight="1" x14ac:dyDescent="0.25"/>
  </sheetData>
  <mergeCells count="38">
    <mergeCell ref="A1:XFD7"/>
    <mergeCell ref="A8:N8"/>
    <mergeCell ref="K9:L9"/>
    <mergeCell ref="B10:B18"/>
    <mergeCell ref="C10:C18"/>
    <mergeCell ref="K10:L10"/>
    <mergeCell ref="K11:L11"/>
    <mergeCell ref="K18:L18"/>
    <mergeCell ref="K12:L12"/>
    <mergeCell ref="K13:L13"/>
    <mergeCell ref="K14:L14"/>
    <mergeCell ref="K15:L15"/>
    <mergeCell ref="K16:L16"/>
    <mergeCell ref="K17:L17"/>
    <mergeCell ref="A19:D19"/>
    <mergeCell ref="K19:L19"/>
    <mergeCell ref="A20:F20"/>
    <mergeCell ref="K20:L20"/>
    <mergeCell ref="A21:G21"/>
    <mergeCell ref="M22:N22"/>
    <mergeCell ref="A23:F23"/>
    <mergeCell ref="C24:D24"/>
    <mergeCell ref="E24:F24"/>
    <mergeCell ref="C25:D25"/>
    <mergeCell ref="E25:F25"/>
    <mergeCell ref="C22:D22"/>
    <mergeCell ref="E22:F22"/>
    <mergeCell ref="K22:L22"/>
    <mergeCell ref="A29:D29"/>
    <mergeCell ref="E29:F29"/>
    <mergeCell ref="E30:F30"/>
    <mergeCell ref="K36:N36"/>
    <mergeCell ref="C26:D26"/>
    <mergeCell ref="E26:F26"/>
    <mergeCell ref="C27:D27"/>
    <mergeCell ref="E27:F27"/>
    <mergeCell ref="C28:D28"/>
    <mergeCell ref="E28:F28"/>
  </mergeCells>
  <hyperlinks>
    <hyperlink ref="M22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2"/>
  <sheetViews>
    <sheetView zoomScale="80" workbookViewId="0">
      <pane ySplit="9" topLeftCell="A10" activePane="bottomLeft" state="frozen"/>
      <selection pane="bottomLeft" activeCell="S24" sqref="S24"/>
    </sheetView>
  </sheetViews>
  <sheetFormatPr defaultRowHeight="13.5" x14ac:dyDescent="0.25"/>
  <cols>
    <col min="1" max="1" width="16.5703125" style="33" customWidth="1"/>
    <col min="2" max="2" width="22.7109375" style="1" customWidth="1"/>
    <col min="3" max="3" width="5.5703125" style="1" customWidth="1"/>
    <col min="4" max="4" width="23.42578125" style="1" customWidth="1"/>
    <col min="5" max="5" width="8.42578125" style="1" customWidth="1"/>
    <col min="6" max="6" width="8.28515625" style="1" customWidth="1"/>
    <col min="7" max="7" width="14.5703125" style="1" customWidth="1"/>
    <col min="8" max="8" width="3.710937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1.7109375" style="1" bestFit="1" customWidth="1"/>
    <col min="14" max="14" width="10.28515625" style="1" bestFit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9" s="866" customFormat="1" ht="15" x14ac:dyDescent="0.25"/>
    <row r="2" spans="1:19" s="866" customFormat="1" ht="15" x14ac:dyDescent="0.25"/>
    <row r="3" spans="1:19" s="866" customFormat="1" ht="15" x14ac:dyDescent="0.25"/>
    <row r="4" spans="1:19" s="866" customFormat="1" ht="15" x14ac:dyDescent="0.25"/>
    <row r="5" spans="1:19" s="866" customFormat="1" ht="15" x14ac:dyDescent="0.25"/>
    <row r="6" spans="1:19" s="866" customFormat="1" ht="15" x14ac:dyDescent="0.25"/>
    <row r="7" spans="1:19" s="866" customFormat="1" ht="15.75" thickBot="1" x14ac:dyDescent="0.3"/>
    <row r="8" spans="1:19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9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9" s="481" customFormat="1" ht="26.25" customHeight="1" x14ac:dyDescent="0.25">
      <c r="A10" s="91">
        <v>1</v>
      </c>
      <c r="B10" s="890" t="s">
        <v>313</v>
      </c>
      <c r="C10" s="890" t="s">
        <v>53</v>
      </c>
      <c r="D10" s="53" t="s">
        <v>314</v>
      </c>
      <c r="E10" s="482">
        <f>7.5+19.5</f>
        <v>27</v>
      </c>
      <c r="F10" s="55">
        <v>8</v>
      </c>
      <c r="G10" s="56"/>
      <c r="H10" s="482"/>
      <c r="I10" s="482"/>
      <c r="J10" s="482"/>
      <c r="K10" s="478" t="s">
        <v>231</v>
      </c>
      <c r="L10" s="479"/>
      <c r="M10" s="92">
        <v>41593</v>
      </c>
      <c r="N10" s="58"/>
      <c r="O10" s="925" t="s">
        <v>362</v>
      </c>
      <c r="P10" s="926"/>
      <c r="Q10" s="926"/>
      <c r="R10" s="926"/>
      <c r="S10" s="555"/>
    </row>
    <row r="11" spans="1:19" s="481" customFormat="1" ht="26.25" customHeight="1" x14ac:dyDescent="0.25">
      <c r="A11" s="93"/>
      <c r="B11" s="891"/>
      <c r="C11" s="891"/>
      <c r="D11" s="53"/>
      <c r="E11" s="80"/>
      <c r="F11" s="55"/>
      <c r="G11" s="56"/>
      <c r="H11" s="482"/>
      <c r="I11" s="482"/>
      <c r="J11" s="482"/>
      <c r="K11" s="478"/>
      <c r="L11" s="479"/>
      <c r="M11" s="92"/>
      <c r="N11" s="84"/>
    </row>
    <row r="12" spans="1:19" s="481" customFormat="1" ht="26.25" customHeight="1" x14ac:dyDescent="0.25">
      <c r="A12" s="91"/>
      <c r="B12" s="891"/>
      <c r="C12" s="891"/>
      <c r="D12" s="53"/>
      <c r="E12" s="80"/>
      <c r="F12" s="55"/>
      <c r="G12" s="56">
        <f t="shared" ref="G12:G15" si="0">E12*F12</f>
        <v>0</v>
      </c>
      <c r="H12" s="80"/>
      <c r="I12" s="80"/>
      <c r="J12" s="80"/>
      <c r="K12" s="181"/>
      <c r="L12" s="182"/>
      <c r="M12" s="94"/>
      <c r="N12" s="84"/>
    </row>
    <row r="13" spans="1:19" s="481" customFormat="1" ht="26.25" customHeight="1" x14ac:dyDescent="0.25">
      <c r="A13" s="93"/>
      <c r="B13" s="891"/>
      <c r="C13" s="891"/>
      <c r="D13" s="77"/>
      <c r="E13" s="80"/>
      <c r="F13" s="55"/>
      <c r="G13" s="56">
        <f t="shared" si="0"/>
        <v>0</v>
      </c>
      <c r="H13" s="80"/>
      <c r="I13" s="80"/>
      <c r="J13" s="80"/>
      <c r="K13" s="181"/>
      <c r="L13" s="182"/>
      <c r="M13" s="94"/>
      <c r="N13" s="84"/>
    </row>
    <row r="14" spans="1:19" s="481" customFormat="1" ht="26.25" customHeight="1" x14ac:dyDescent="0.25">
      <c r="A14" s="91"/>
      <c r="B14" s="891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19" s="481" customFormat="1" ht="26.25" customHeight="1" x14ac:dyDescent="0.25">
      <c r="A15" s="93"/>
      <c r="B15" s="891"/>
      <c r="C15" s="891"/>
      <c r="D15" s="77"/>
      <c r="E15" s="80"/>
      <c r="F15" s="55"/>
      <c r="G15" s="56">
        <f t="shared" si="0"/>
        <v>0</v>
      </c>
      <c r="H15" s="80"/>
      <c r="I15" s="80"/>
      <c r="J15" s="80"/>
      <c r="K15" s="876"/>
      <c r="L15" s="877"/>
      <c r="M15" s="94"/>
      <c r="N15" s="84"/>
    </row>
    <row r="16" spans="1:19" s="481" customFormat="1" ht="26.25" customHeight="1" x14ac:dyDescent="0.25">
      <c r="A16" s="925" t="s">
        <v>11</v>
      </c>
      <c r="B16" s="926"/>
      <c r="C16" s="926"/>
      <c r="D16" s="926"/>
      <c r="E16" s="484">
        <f>SUM(E10:E15)</f>
        <v>27</v>
      </c>
      <c r="F16" s="76">
        <v>8</v>
      </c>
      <c r="G16" s="56">
        <f>E16*F16</f>
        <v>216</v>
      </c>
      <c r="H16" s="483"/>
      <c r="I16" s="483"/>
      <c r="J16" s="483"/>
      <c r="K16" s="876"/>
      <c r="L16" s="877"/>
      <c r="M16" s="483"/>
      <c r="N16" s="63"/>
    </row>
    <row r="17" spans="1:16" s="481" customFormat="1" ht="26.25" customHeight="1" x14ac:dyDescent="0.25">
      <c r="A17" s="927" t="s">
        <v>24</v>
      </c>
      <c r="B17" s="928"/>
      <c r="C17" s="928"/>
      <c r="D17" s="928"/>
      <c r="E17" s="928"/>
      <c r="F17" s="928"/>
      <c r="G17" s="64">
        <f>SUM(G10:G16)</f>
        <v>216</v>
      </c>
      <c r="H17" s="485"/>
      <c r="I17" s="485"/>
      <c r="J17" s="485"/>
      <c r="K17" s="859"/>
      <c r="L17" s="860"/>
      <c r="M17" s="485"/>
      <c r="N17" s="66"/>
    </row>
    <row r="18" spans="1:16" s="48" customFormat="1" ht="26.25" customHeight="1" x14ac:dyDescent="0.25">
      <c r="A18" s="929" t="s">
        <v>32</v>
      </c>
      <c r="B18" s="930"/>
      <c r="C18" s="930"/>
      <c r="D18" s="930"/>
      <c r="E18" s="930"/>
      <c r="F18" s="930"/>
      <c r="G18" s="900"/>
      <c r="H18" s="67"/>
      <c r="I18" s="67"/>
      <c r="J18" s="68" t="s">
        <v>44</v>
      </c>
      <c r="K18" s="67"/>
      <c r="L18" s="68"/>
      <c r="M18" s="69"/>
      <c r="N18" s="70"/>
    </row>
    <row r="19" spans="1:16" s="48" customFormat="1" ht="22.5" customHeight="1" thickBot="1" x14ac:dyDescent="0.3">
      <c r="A19" s="72" t="s">
        <v>5</v>
      </c>
      <c r="B19" s="71" t="s">
        <v>33</v>
      </c>
      <c r="C19" s="857" t="s">
        <v>21</v>
      </c>
      <c r="D19" s="858"/>
      <c r="E19" s="857" t="s">
        <v>34</v>
      </c>
      <c r="F19" s="858"/>
      <c r="G19" s="71" t="s">
        <v>0</v>
      </c>
      <c r="H19" s="71" t="s">
        <v>96</v>
      </c>
      <c r="I19" s="71" t="s">
        <v>26</v>
      </c>
      <c r="J19" s="71" t="s">
        <v>27</v>
      </c>
      <c r="K19" s="863" t="s">
        <v>28</v>
      </c>
      <c r="L19" s="857"/>
      <c r="M19" s="901" t="s">
        <v>43</v>
      </c>
      <c r="N19" s="902"/>
    </row>
    <row r="20" spans="1:16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216</v>
      </c>
      <c r="H20" s="163"/>
      <c r="I20" s="163"/>
      <c r="J20" s="163"/>
      <c r="K20" s="163"/>
      <c r="L20" s="163"/>
      <c r="M20" s="163"/>
      <c r="N20" s="164"/>
    </row>
    <row r="21" spans="1:16" s="3" customFormat="1" ht="26.25" customHeight="1" x14ac:dyDescent="0.25">
      <c r="A21" s="165" t="s">
        <v>465</v>
      </c>
      <c r="B21" s="166">
        <v>41703</v>
      </c>
      <c r="C21" s="924" t="s">
        <v>314</v>
      </c>
      <c r="D21" s="924"/>
      <c r="E21" s="918">
        <v>100</v>
      </c>
      <c r="F21" s="918"/>
      <c r="G21" s="167">
        <f>G20-E21</f>
        <v>116</v>
      </c>
      <c r="H21" s="480"/>
      <c r="I21" s="480"/>
      <c r="J21" s="480"/>
      <c r="K21" s="480"/>
      <c r="L21" s="480"/>
      <c r="M21" s="480"/>
      <c r="N21" s="168"/>
    </row>
    <row r="22" spans="1:16" s="3" customFormat="1" ht="26.25" customHeight="1" x14ac:dyDescent="0.25">
      <c r="A22" s="169" t="s">
        <v>533</v>
      </c>
      <c r="B22" s="166">
        <v>41738</v>
      </c>
      <c r="C22" s="924" t="s">
        <v>314</v>
      </c>
      <c r="D22" s="924"/>
      <c r="E22" s="918">
        <v>116</v>
      </c>
      <c r="F22" s="918"/>
      <c r="G22" s="167">
        <f t="shared" ref="G22:G25" si="1">G21-E22</f>
        <v>0</v>
      </c>
      <c r="H22" s="480"/>
      <c r="I22" s="480"/>
      <c r="J22" s="480"/>
      <c r="K22" s="480"/>
      <c r="L22" s="480"/>
      <c r="M22" s="480"/>
      <c r="N22" s="168"/>
      <c r="P22" s="3" t="s">
        <v>89</v>
      </c>
    </row>
    <row r="23" spans="1:16" s="3" customFormat="1" ht="26.25" customHeight="1" x14ac:dyDescent="0.25">
      <c r="A23" s="169"/>
      <c r="B23" s="166"/>
      <c r="C23" s="924"/>
      <c r="D23" s="924"/>
      <c r="E23" s="918"/>
      <c r="F23" s="918"/>
      <c r="G23" s="167">
        <f t="shared" si="1"/>
        <v>0</v>
      </c>
      <c r="H23" s="480"/>
      <c r="I23" s="480"/>
      <c r="J23" s="480"/>
      <c r="K23" s="480"/>
      <c r="L23" s="480"/>
      <c r="M23" s="480"/>
      <c r="N23" s="168"/>
    </row>
    <row r="24" spans="1:16" s="3" customFormat="1" ht="26.25" customHeight="1" x14ac:dyDescent="0.25">
      <c r="A24" s="169"/>
      <c r="B24" s="166"/>
      <c r="C24" s="924"/>
      <c r="D24" s="924"/>
      <c r="E24" s="918"/>
      <c r="F24" s="918"/>
      <c r="G24" s="167">
        <f t="shared" si="1"/>
        <v>0</v>
      </c>
      <c r="H24" s="480"/>
      <c r="I24" s="480"/>
      <c r="J24" s="480"/>
      <c r="K24" s="480"/>
      <c r="L24" s="480"/>
      <c r="M24" s="480"/>
      <c r="N24" s="168"/>
    </row>
    <row r="25" spans="1:16" s="3" customFormat="1" ht="26.25" customHeight="1" x14ac:dyDescent="0.25">
      <c r="A25" s="169"/>
      <c r="B25" s="166"/>
      <c r="C25" s="945"/>
      <c r="D25" s="945"/>
      <c r="E25" s="919"/>
      <c r="F25" s="919"/>
      <c r="G25" s="167">
        <f t="shared" si="1"/>
        <v>0</v>
      </c>
      <c r="H25" s="480"/>
      <c r="I25" s="480"/>
      <c r="J25" s="480"/>
      <c r="K25" s="480"/>
      <c r="L25" s="480"/>
      <c r="M25" s="480"/>
      <c r="N25" s="168"/>
    </row>
    <row r="26" spans="1:16" s="23" customFormat="1" ht="26.25" customHeight="1" thickBot="1" x14ac:dyDescent="0.3">
      <c r="A26" s="914" t="s">
        <v>36</v>
      </c>
      <c r="B26" s="915"/>
      <c r="C26" s="915"/>
      <c r="D26" s="915"/>
      <c r="E26" s="916">
        <f>SUM(E21:F25)</f>
        <v>216</v>
      </c>
      <c r="F26" s="917"/>
      <c r="G26" s="171"/>
      <c r="H26" s="172"/>
      <c r="I26" s="172"/>
      <c r="J26" s="172"/>
      <c r="K26" s="172"/>
      <c r="L26" s="172"/>
      <c r="M26" s="172"/>
      <c r="N26" s="173"/>
    </row>
    <row r="27" spans="1:16" s="3" customFormat="1" ht="26.25" customHeight="1" thickTop="1" x14ac:dyDescent="0.25">
      <c r="A27" s="24"/>
      <c r="E27" s="844"/>
      <c r="F27" s="844"/>
    </row>
    <row r="28" spans="1:16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6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6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6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6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Lim Bunheng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1">
    <mergeCell ref="A1:XFD7"/>
    <mergeCell ref="A8:N8"/>
    <mergeCell ref="K9:L9"/>
    <mergeCell ref="B10:B15"/>
    <mergeCell ref="C10:C15"/>
    <mergeCell ref="K15:L15"/>
    <mergeCell ref="O10:R10"/>
    <mergeCell ref="A16:D16"/>
    <mergeCell ref="K16:L16"/>
    <mergeCell ref="A17:F17"/>
    <mergeCell ref="K17:L17"/>
    <mergeCell ref="A18:G18"/>
    <mergeCell ref="M19:N19"/>
    <mergeCell ref="A20:F20"/>
    <mergeCell ref="C21:D21"/>
    <mergeCell ref="E21:F21"/>
    <mergeCell ref="C22:D22"/>
    <mergeCell ref="E22:F22"/>
    <mergeCell ref="C19:D19"/>
    <mergeCell ref="E19:F19"/>
    <mergeCell ref="K19:L19"/>
    <mergeCell ref="A26:D26"/>
    <mergeCell ref="E26:F26"/>
    <mergeCell ref="E27:F27"/>
    <mergeCell ref="K33:N33"/>
    <mergeCell ref="C23:D23"/>
    <mergeCell ref="E23:F23"/>
    <mergeCell ref="C24:D24"/>
    <mergeCell ref="E24:F24"/>
    <mergeCell ref="C25:D25"/>
    <mergeCell ref="E25:F25"/>
  </mergeCells>
  <hyperlinks>
    <hyperlink ref="M19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2"/>
  <sheetViews>
    <sheetView zoomScale="80" workbookViewId="0">
      <pane ySplit="9" topLeftCell="A10" activePane="bottomLeft" state="frozen"/>
      <selection pane="bottomLeft" activeCell="T13" sqref="T13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21.5703125" style="1" customWidth="1"/>
    <col min="5" max="5" width="8.42578125" style="1" customWidth="1"/>
    <col min="6" max="6" width="10.85546875" style="1" customWidth="1"/>
    <col min="7" max="7" width="13.140625" style="1" customWidth="1"/>
    <col min="8" max="8" width="3.7109375" style="1" customWidth="1"/>
    <col min="9" max="9" width="3.85546875" style="1" customWidth="1"/>
    <col min="10" max="10" width="5" style="1" customWidth="1"/>
    <col min="11" max="11" width="8" style="1" customWidth="1"/>
    <col min="12" max="12" width="4.140625" style="1" customWidth="1"/>
    <col min="13" max="13" width="11.5703125" style="1" bestFit="1" customWidth="1"/>
    <col min="14" max="14" width="10.28515625" style="1" bestFit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5" s="866" customFormat="1" ht="15" x14ac:dyDescent="0.25"/>
    <row r="2" spans="1:15" s="866" customFormat="1" ht="15" x14ac:dyDescent="0.25"/>
    <row r="3" spans="1:15" s="866" customFormat="1" ht="15" x14ac:dyDescent="0.25"/>
    <row r="4" spans="1:15" s="866" customFormat="1" ht="15" x14ac:dyDescent="0.25"/>
    <row r="5" spans="1:15" s="866" customFormat="1" ht="15" x14ac:dyDescent="0.25"/>
    <row r="6" spans="1:15" s="866" customFormat="1" ht="15" x14ac:dyDescent="0.25"/>
    <row r="7" spans="1:15" s="866" customFormat="1" ht="15.75" thickBot="1" x14ac:dyDescent="0.3"/>
    <row r="8" spans="1:15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5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25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5" s="59" customFormat="1" ht="26.25" customHeight="1" x14ac:dyDescent="0.25">
      <c r="A10" s="91">
        <v>1</v>
      </c>
      <c r="B10" s="890" t="s">
        <v>296</v>
      </c>
      <c r="C10" s="890" t="s">
        <v>31</v>
      </c>
      <c r="D10" s="53" t="s">
        <v>302</v>
      </c>
      <c r="E10" s="184">
        <f>24+24</f>
        <v>48</v>
      </c>
      <c r="F10" s="55">
        <v>8</v>
      </c>
      <c r="G10" s="56"/>
      <c r="H10" s="184"/>
      <c r="I10" s="184"/>
      <c r="J10" s="184"/>
      <c r="K10" s="878"/>
      <c r="L10" s="879"/>
      <c r="M10" s="92"/>
      <c r="N10" s="58"/>
      <c r="O10" s="59" t="s">
        <v>375</v>
      </c>
    </row>
    <row r="11" spans="1:15" s="59" customFormat="1" ht="26.25" customHeight="1" x14ac:dyDescent="0.25">
      <c r="A11" s="93"/>
      <c r="B11" s="891"/>
      <c r="C11" s="891"/>
      <c r="D11" s="53"/>
      <c r="E11" s="80"/>
      <c r="F11" s="55"/>
      <c r="G11" s="56"/>
      <c r="H11" s="80"/>
      <c r="I11" s="80"/>
      <c r="J11" s="80"/>
      <c r="K11" s="876"/>
      <c r="L11" s="877"/>
      <c r="M11" s="94"/>
      <c r="N11" s="84"/>
    </row>
    <row r="12" spans="1:15" s="59" customFormat="1" ht="26.25" customHeight="1" x14ac:dyDescent="0.25">
      <c r="A12" s="93"/>
      <c r="B12" s="891"/>
      <c r="C12" s="891"/>
      <c r="D12" s="53"/>
      <c r="E12" s="80"/>
      <c r="F12" s="55"/>
      <c r="G12" s="56"/>
      <c r="H12" s="80"/>
      <c r="I12" s="80"/>
      <c r="J12" s="80"/>
      <c r="K12" s="181"/>
      <c r="L12" s="182"/>
      <c r="M12" s="94"/>
      <c r="N12" s="84"/>
    </row>
    <row r="13" spans="1:15" s="59" customFormat="1" ht="26.25" customHeight="1" x14ac:dyDescent="0.25">
      <c r="A13" s="93"/>
      <c r="B13" s="891"/>
      <c r="C13" s="891"/>
      <c r="D13" s="77"/>
      <c r="E13" s="80"/>
      <c r="F13" s="55"/>
      <c r="G13" s="56">
        <f>E13*F13</f>
        <v>0</v>
      </c>
      <c r="H13" s="80"/>
      <c r="I13" s="80"/>
      <c r="J13" s="80"/>
      <c r="K13" s="181"/>
      <c r="L13" s="182"/>
      <c r="M13" s="94"/>
      <c r="N13" s="84"/>
    </row>
    <row r="14" spans="1:15" s="59" customFormat="1" ht="26.25" customHeight="1" x14ac:dyDescent="0.25">
      <c r="A14" s="93"/>
      <c r="B14" s="891"/>
      <c r="C14" s="891"/>
      <c r="D14" s="77"/>
      <c r="E14" s="80"/>
      <c r="F14" s="55"/>
      <c r="G14" s="56">
        <f t="shared" ref="G14:G15" si="0">E14*F14</f>
        <v>0</v>
      </c>
      <c r="H14" s="80"/>
      <c r="I14" s="80"/>
      <c r="J14" s="80"/>
      <c r="K14" s="181"/>
      <c r="L14" s="182"/>
      <c r="M14" s="94"/>
      <c r="N14" s="84"/>
    </row>
    <row r="15" spans="1:15" s="59" customFormat="1" ht="26.25" customHeight="1" x14ac:dyDescent="0.25">
      <c r="A15" s="93"/>
      <c r="B15" s="891"/>
      <c r="C15" s="891"/>
      <c r="D15" s="77"/>
      <c r="E15" s="80"/>
      <c r="F15" s="55"/>
      <c r="G15" s="56">
        <f t="shared" si="0"/>
        <v>0</v>
      </c>
      <c r="H15" s="80"/>
      <c r="I15" s="80"/>
      <c r="J15" s="80"/>
      <c r="K15" s="876"/>
      <c r="L15" s="877"/>
      <c r="M15" s="94"/>
      <c r="N15" s="84"/>
    </row>
    <row r="16" spans="1:15" s="59" customFormat="1" ht="26.25" customHeight="1" x14ac:dyDescent="0.25">
      <c r="A16" s="925" t="s">
        <v>11</v>
      </c>
      <c r="B16" s="926"/>
      <c r="C16" s="926"/>
      <c r="D16" s="926"/>
      <c r="E16" s="187">
        <f>SUM(E10:E15)</f>
        <v>48</v>
      </c>
      <c r="F16" s="76">
        <v>8</v>
      </c>
      <c r="G16" s="56">
        <f>E16*F16</f>
        <v>384</v>
      </c>
      <c r="H16" s="185"/>
      <c r="I16" s="185"/>
      <c r="J16" s="185"/>
      <c r="K16" s="876"/>
      <c r="L16" s="877"/>
      <c r="M16" s="185"/>
      <c r="N16" s="63"/>
    </row>
    <row r="17" spans="1:14" s="59" customFormat="1" ht="26.25" customHeight="1" x14ac:dyDescent="0.25">
      <c r="A17" s="927" t="s">
        <v>24</v>
      </c>
      <c r="B17" s="928"/>
      <c r="C17" s="928"/>
      <c r="D17" s="928"/>
      <c r="E17" s="928"/>
      <c r="F17" s="928"/>
      <c r="G17" s="64">
        <f>SUM(G10:G16)</f>
        <v>384</v>
      </c>
      <c r="H17" s="188"/>
      <c r="I17" s="188"/>
      <c r="J17" s="188"/>
      <c r="K17" s="859"/>
      <c r="L17" s="860"/>
      <c r="M17" s="188"/>
      <c r="N17" s="66"/>
    </row>
    <row r="18" spans="1:14" s="48" customFormat="1" ht="26.25" customHeight="1" x14ac:dyDescent="0.25">
      <c r="A18" s="929" t="s">
        <v>32</v>
      </c>
      <c r="B18" s="930"/>
      <c r="C18" s="930"/>
      <c r="D18" s="930"/>
      <c r="E18" s="930"/>
      <c r="F18" s="930"/>
      <c r="G18" s="900"/>
      <c r="H18" s="67"/>
      <c r="I18" s="67"/>
      <c r="J18" s="68" t="s">
        <v>44</v>
      </c>
      <c r="K18" s="67"/>
      <c r="L18" s="68"/>
      <c r="M18" s="69"/>
      <c r="N18" s="70"/>
    </row>
    <row r="19" spans="1:14" s="48" customFormat="1" ht="22.5" customHeight="1" thickBot="1" x14ac:dyDescent="0.3">
      <c r="A19" s="72" t="s">
        <v>5</v>
      </c>
      <c r="B19" s="71" t="s">
        <v>33</v>
      </c>
      <c r="C19" s="857" t="s">
        <v>21</v>
      </c>
      <c r="D19" s="858"/>
      <c r="E19" s="857" t="s">
        <v>34</v>
      </c>
      <c r="F19" s="858"/>
      <c r="G19" s="71" t="s">
        <v>0</v>
      </c>
      <c r="H19" s="71" t="s">
        <v>25</v>
      </c>
      <c r="I19" s="71" t="s">
        <v>26</v>
      </c>
      <c r="J19" s="71" t="s">
        <v>27</v>
      </c>
      <c r="K19" s="863" t="s">
        <v>28</v>
      </c>
      <c r="L19" s="857"/>
      <c r="M19" s="901" t="s">
        <v>43</v>
      </c>
      <c r="N19" s="902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384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 t="s">
        <v>297</v>
      </c>
      <c r="B21" s="11">
        <v>41560</v>
      </c>
      <c r="C21" s="53" t="s">
        <v>302</v>
      </c>
      <c r="D21" s="53" t="s">
        <v>302</v>
      </c>
      <c r="E21" s="918">
        <v>96</v>
      </c>
      <c r="F21" s="918"/>
      <c r="G21" s="167">
        <f>G20-E21</f>
        <v>288</v>
      </c>
      <c r="H21" s="189"/>
      <c r="I21" s="189"/>
      <c r="J21" s="189"/>
      <c r="K21" s="189"/>
      <c r="L21" s="189"/>
      <c r="M21" s="189"/>
      <c r="N21" s="168"/>
    </row>
    <row r="22" spans="1:14" s="3" customFormat="1" ht="26.25" customHeight="1" x14ac:dyDescent="0.25">
      <c r="A22" s="165" t="s">
        <v>297</v>
      </c>
      <c r="B22" s="11">
        <v>41581</v>
      </c>
      <c r="C22" s="53" t="s">
        <v>302</v>
      </c>
      <c r="D22" s="53" t="s">
        <v>302</v>
      </c>
      <c r="E22" s="918">
        <v>144</v>
      </c>
      <c r="F22" s="918"/>
      <c r="G22" s="167">
        <f t="shared" ref="G22:G25" si="1">G21-E22</f>
        <v>144</v>
      </c>
      <c r="H22" s="189"/>
      <c r="I22" s="189"/>
      <c r="J22" s="189"/>
      <c r="K22" s="189"/>
      <c r="L22" s="189"/>
      <c r="M22" s="189"/>
      <c r="N22" s="168"/>
    </row>
    <row r="23" spans="1:14" s="3" customFormat="1" ht="26.25" customHeight="1" x14ac:dyDescent="0.25">
      <c r="A23" s="170" t="s">
        <v>374</v>
      </c>
      <c r="B23" s="166">
        <v>41659</v>
      </c>
      <c r="C23" s="53" t="s">
        <v>302</v>
      </c>
      <c r="D23" s="53" t="s">
        <v>302</v>
      </c>
      <c r="E23" s="918">
        <v>144</v>
      </c>
      <c r="F23" s="918"/>
      <c r="G23" s="167">
        <f t="shared" si="1"/>
        <v>0</v>
      </c>
      <c r="H23" s="189"/>
      <c r="I23" s="189"/>
      <c r="J23" s="189"/>
      <c r="K23" s="189"/>
      <c r="L23" s="189"/>
      <c r="M23" s="189"/>
      <c r="N23" s="168"/>
    </row>
    <row r="24" spans="1:14" s="3" customFormat="1" ht="26.25" customHeight="1" x14ac:dyDescent="0.25">
      <c r="A24" s="170"/>
      <c r="B24" s="166"/>
      <c r="C24" s="924"/>
      <c r="D24" s="924"/>
      <c r="E24" s="918"/>
      <c r="F24" s="918"/>
      <c r="G24" s="167">
        <f t="shared" si="1"/>
        <v>0</v>
      </c>
      <c r="H24" s="189"/>
      <c r="I24" s="189"/>
      <c r="J24" s="189"/>
      <c r="K24" s="189"/>
      <c r="L24" s="189"/>
      <c r="M24" s="189"/>
      <c r="N24" s="168"/>
    </row>
    <row r="25" spans="1:14" s="3" customFormat="1" ht="26.25" customHeight="1" x14ac:dyDescent="0.25">
      <c r="A25" s="169"/>
      <c r="B25" s="166"/>
      <c r="C25" s="945"/>
      <c r="D25" s="945"/>
      <c r="E25" s="919"/>
      <c r="F25" s="919"/>
      <c r="G25" s="167">
        <f t="shared" si="1"/>
        <v>0</v>
      </c>
      <c r="H25" s="189"/>
      <c r="I25" s="189"/>
      <c r="J25" s="189"/>
      <c r="K25" s="189"/>
      <c r="L25" s="189"/>
      <c r="M25" s="189"/>
      <c r="N25" s="168"/>
    </row>
    <row r="26" spans="1:14" s="23" customFormat="1" ht="26.25" customHeight="1" thickBot="1" x14ac:dyDescent="0.3">
      <c r="A26" s="914" t="s">
        <v>36</v>
      </c>
      <c r="B26" s="915"/>
      <c r="C26" s="915"/>
      <c r="D26" s="915"/>
      <c r="E26" s="916">
        <f>SUM(E21:F25)</f>
        <v>384</v>
      </c>
      <c r="F26" s="917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44"/>
      <c r="F27" s="844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Say Savuth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29">
    <mergeCell ref="K33:N33"/>
    <mergeCell ref="A1:XFD7"/>
    <mergeCell ref="A8:N8"/>
    <mergeCell ref="K9:L9"/>
    <mergeCell ref="B10:B15"/>
    <mergeCell ref="C10:C15"/>
    <mergeCell ref="K10:L10"/>
    <mergeCell ref="K11:L11"/>
    <mergeCell ref="K15:L15"/>
    <mergeCell ref="A16:D16"/>
    <mergeCell ref="K16:L16"/>
    <mergeCell ref="A17:F17"/>
    <mergeCell ref="K17:L17"/>
    <mergeCell ref="A18:G18"/>
    <mergeCell ref="M19:N19"/>
    <mergeCell ref="A20:F20"/>
    <mergeCell ref="K19:L19"/>
    <mergeCell ref="A26:D26"/>
    <mergeCell ref="E26:F26"/>
    <mergeCell ref="E27:F27"/>
    <mergeCell ref="E23:F23"/>
    <mergeCell ref="C24:D24"/>
    <mergeCell ref="E24:F24"/>
    <mergeCell ref="C25:D25"/>
    <mergeCell ref="E25:F25"/>
    <mergeCell ref="E21:F21"/>
    <mergeCell ref="E22:F22"/>
    <mergeCell ref="C19:D19"/>
    <mergeCell ref="E19:F19"/>
  </mergeCells>
  <hyperlinks>
    <hyperlink ref="M19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2"/>
  <sheetViews>
    <sheetView zoomScale="80" workbookViewId="0">
      <pane ySplit="9" topLeftCell="A10" activePane="bottomLeft" state="frozen"/>
      <selection pane="bottomLeft" activeCell="G20" sqref="G20"/>
    </sheetView>
  </sheetViews>
  <sheetFormatPr defaultRowHeight="13.5" x14ac:dyDescent="0.25"/>
  <cols>
    <col min="1" max="1" width="17.85546875" style="33" customWidth="1"/>
    <col min="2" max="2" width="20" style="1" customWidth="1"/>
    <col min="3" max="3" width="5.5703125" style="1" customWidth="1"/>
    <col min="4" max="4" width="25.28515625" style="1" customWidth="1"/>
    <col min="5" max="5" width="8.42578125" style="1" customWidth="1"/>
    <col min="6" max="6" width="10.85546875" style="1" customWidth="1"/>
    <col min="7" max="7" width="16.42578125" style="1" customWidth="1"/>
    <col min="8" max="8" width="3.710937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8.140625" style="1" customWidth="1"/>
    <col min="14" max="14" width="10.28515625" style="1" bestFit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4" s="866" customFormat="1" ht="15" x14ac:dyDescent="0.25"/>
    <row r="2" spans="1:14" s="866" customFormat="1" ht="15" x14ac:dyDescent="0.25"/>
    <row r="3" spans="1:14" s="866" customFormat="1" ht="15" x14ac:dyDescent="0.25"/>
    <row r="4" spans="1:14" s="866" customFormat="1" ht="15" x14ac:dyDescent="0.25"/>
    <row r="5" spans="1:14" s="866" customFormat="1" ht="15" x14ac:dyDescent="0.25"/>
    <row r="6" spans="1:14" s="866" customFormat="1" ht="15" x14ac:dyDescent="0.25"/>
    <row r="7" spans="1:14" s="866" customFormat="1" ht="15.75" thickBot="1" x14ac:dyDescent="0.3"/>
    <row r="8" spans="1:14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4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4" s="493" customFormat="1" ht="26.25" customHeight="1" x14ac:dyDescent="0.25">
      <c r="A10" s="91">
        <v>1</v>
      </c>
      <c r="B10" s="890" t="s">
        <v>335</v>
      </c>
      <c r="C10" s="890" t="s">
        <v>31</v>
      </c>
      <c r="D10" s="53" t="s">
        <v>336</v>
      </c>
      <c r="E10" s="495">
        <f>12+33</f>
        <v>45</v>
      </c>
      <c r="F10" s="55">
        <v>13.333299999999999</v>
      </c>
      <c r="G10" s="56"/>
      <c r="H10" s="495" t="s">
        <v>63</v>
      </c>
      <c r="I10" s="878" t="s">
        <v>126</v>
      </c>
      <c r="J10" s="879"/>
      <c r="K10" s="878" t="s">
        <v>271</v>
      </c>
      <c r="L10" s="879"/>
      <c r="M10" s="92">
        <v>41602</v>
      </c>
      <c r="N10" s="58"/>
    </row>
    <row r="11" spans="1:14" s="493" customFormat="1" ht="26.25" customHeight="1" x14ac:dyDescent="0.25">
      <c r="A11" s="93"/>
      <c r="B11" s="891"/>
      <c r="C11" s="891"/>
      <c r="D11" s="53"/>
      <c r="E11" s="80"/>
      <c r="F11" s="55"/>
      <c r="G11" s="56"/>
      <c r="H11" s="80"/>
      <c r="I11" s="80"/>
      <c r="J11" s="80"/>
      <c r="K11" s="876"/>
      <c r="L11" s="877"/>
      <c r="M11" s="94"/>
      <c r="N11" s="84"/>
    </row>
    <row r="12" spans="1:14" s="493" customFormat="1" ht="26.25" customHeight="1" x14ac:dyDescent="0.25">
      <c r="A12" s="93"/>
      <c r="B12" s="891"/>
      <c r="C12" s="891"/>
      <c r="D12" s="53"/>
      <c r="E12" s="80"/>
      <c r="F12" s="55"/>
      <c r="G12" s="56"/>
      <c r="H12" s="80"/>
      <c r="I12" s="80"/>
      <c r="J12" s="80"/>
      <c r="K12" s="181"/>
      <c r="L12" s="182"/>
      <c r="M12" s="94"/>
      <c r="N12" s="84"/>
    </row>
    <row r="13" spans="1:14" s="493" customFormat="1" ht="26.25" customHeight="1" x14ac:dyDescent="0.25">
      <c r="A13" s="93"/>
      <c r="B13" s="891"/>
      <c r="C13" s="891"/>
      <c r="D13" s="77"/>
      <c r="E13" s="80"/>
      <c r="F13" s="55"/>
      <c r="G13" s="56">
        <f>E13*F13</f>
        <v>0</v>
      </c>
      <c r="H13" s="80"/>
      <c r="I13" s="80"/>
      <c r="J13" s="80"/>
      <c r="K13" s="181"/>
      <c r="L13" s="182"/>
      <c r="M13" s="94"/>
      <c r="N13" s="84"/>
    </row>
    <row r="14" spans="1:14" s="493" customFormat="1" ht="26.25" customHeight="1" x14ac:dyDescent="0.25">
      <c r="A14" s="93"/>
      <c r="B14" s="891"/>
      <c r="C14" s="891"/>
      <c r="D14" s="77"/>
      <c r="E14" s="80"/>
      <c r="F14" s="55"/>
      <c r="G14" s="56">
        <f t="shared" ref="G14:G15" si="0">E14*F14</f>
        <v>0</v>
      </c>
      <c r="H14" s="80"/>
      <c r="I14" s="80"/>
      <c r="J14" s="80"/>
      <c r="K14" s="181"/>
      <c r="L14" s="182"/>
      <c r="M14" s="94"/>
      <c r="N14" s="84"/>
    </row>
    <row r="15" spans="1:14" s="493" customFormat="1" ht="26.25" customHeight="1" x14ac:dyDescent="0.25">
      <c r="A15" s="93"/>
      <c r="B15" s="891"/>
      <c r="C15" s="891"/>
      <c r="D15" s="77"/>
      <c r="E15" s="80"/>
      <c r="F15" s="55"/>
      <c r="G15" s="56">
        <f t="shared" si="0"/>
        <v>0</v>
      </c>
      <c r="H15" s="80"/>
      <c r="I15" s="80"/>
      <c r="J15" s="80"/>
      <c r="K15" s="876"/>
      <c r="L15" s="877"/>
      <c r="M15" s="94"/>
      <c r="N15" s="84"/>
    </row>
    <row r="16" spans="1:14" s="493" customFormat="1" ht="26.25" customHeight="1" x14ac:dyDescent="0.25">
      <c r="A16" s="925" t="s">
        <v>11</v>
      </c>
      <c r="B16" s="926"/>
      <c r="C16" s="926"/>
      <c r="D16" s="926"/>
      <c r="E16" s="497">
        <f>SUM(E10:E15)</f>
        <v>45</v>
      </c>
      <c r="F16" s="76">
        <v>13.333299999999999</v>
      </c>
      <c r="G16" s="56">
        <f>E16*F16</f>
        <v>599.99849999999992</v>
      </c>
      <c r="H16" s="496"/>
      <c r="I16" s="496"/>
      <c r="J16" s="496"/>
      <c r="K16" s="876"/>
      <c r="L16" s="877"/>
      <c r="M16" s="496"/>
      <c r="N16" s="63"/>
    </row>
    <row r="17" spans="1:14" s="493" customFormat="1" ht="26.25" customHeight="1" x14ac:dyDescent="0.25">
      <c r="A17" s="927" t="s">
        <v>24</v>
      </c>
      <c r="B17" s="928"/>
      <c r="C17" s="928"/>
      <c r="D17" s="928"/>
      <c r="E17" s="928"/>
      <c r="F17" s="928"/>
      <c r="G17" s="64">
        <f>SUM(G10:G16)</f>
        <v>599.99849999999992</v>
      </c>
      <c r="H17" s="498"/>
      <c r="I17" s="498"/>
      <c r="J17" s="498"/>
      <c r="K17" s="859"/>
      <c r="L17" s="860"/>
      <c r="M17" s="498"/>
      <c r="N17" s="66"/>
    </row>
    <row r="18" spans="1:14" s="48" customFormat="1" ht="26.25" customHeight="1" x14ac:dyDescent="0.25">
      <c r="A18" s="929" t="s">
        <v>32</v>
      </c>
      <c r="B18" s="930"/>
      <c r="C18" s="930"/>
      <c r="D18" s="930"/>
      <c r="E18" s="930"/>
      <c r="F18" s="930"/>
      <c r="G18" s="900"/>
      <c r="H18" s="67"/>
      <c r="I18" s="67"/>
      <c r="J18" s="68" t="s">
        <v>44</v>
      </c>
      <c r="K18" s="67"/>
      <c r="L18" s="68"/>
      <c r="M18" s="69"/>
      <c r="N18" s="70"/>
    </row>
    <row r="19" spans="1:14" s="48" customFormat="1" ht="22.5" customHeight="1" thickBot="1" x14ac:dyDescent="0.3">
      <c r="A19" s="72" t="s">
        <v>5</v>
      </c>
      <c r="B19" s="71" t="s">
        <v>33</v>
      </c>
      <c r="C19" s="857" t="s">
        <v>21</v>
      </c>
      <c r="D19" s="858"/>
      <c r="E19" s="857" t="s">
        <v>34</v>
      </c>
      <c r="F19" s="858"/>
      <c r="G19" s="71" t="s">
        <v>0</v>
      </c>
      <c r="H19" s="71" t="s">
        <v>96</v>
      </c>
      <c r="I19" s="71" t="s">
        <v>26</v>
      </c>
      <c r="J19" s="71" t="s">
        <v>27</v>
      </c>
      <c r="K19" s="863" t="s">
        <v>28</v>
      </c>
      <c r="L19" s="857"/>
      <c r="M19" s="901" t="s">
        <v>43</v>
      </c>
      <c r="N19" s="902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599.99849999999992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566" t="s">
        <v>372</v>
      </c>
      <c r="B21" s="11">
        <v>41648</v>
      </c>
      <c r="C21" s="924" t="s">
        <v>336</v>
      </c>
      <c r="D21" s="924"/>
      <c r="E21" s="918">
        <v>600</v>
      </c>
      <c r="F21" s="918"/>
      <c r="G21" s="167">
        <f>G20-E21</f>
        <v>-1.5000000000782165E-3</v>
      </c>
      <c r="H21" s="494"/>
      <c r="I21" s="494"/>
      <c r="J21" s="494"/>
      <c r="K21" s="494"/>
      <c r="L21" s="494"/>
      <c r="M21" s="494"/>
      <c r="N21" s="168"/>
    </row>
    <row r="22" spans="1:14" s="3" customFormat="1" ht="26.25" customHeight="1" x14ac:dyDescent="0.25">
      <c r="A22" s="165"/>
      <c r="B22" s="11"/>
      <c r="C22" s="924"/>
      <c r="D22" s="924"/>
      <c r="E22" s="918"/>
      <c r="F22" s="918"/>
      <c r="G22" s="167">
        <f t="shared" ref="G22:G25" si="1">G21-E22</f>
        <v>-1.5000000000782165E-3</v>
      </c>
      <c r="H22" s="494"/>
      <c r="I22" s="494"/>
      <c r="J22" s="494"/>
      <c r="K22" s="494"/>
      <c r="L22" s="494"/>
      <c r="M22" s="494"/>
      <c r="N22" s="168"/>
    </row>
    <row r="23" spans="1:14" s="3" customFormat="1" ht="26.25" customHeight="1" x14ac:dyDescent="0.25">
      <c r="A23" s="170"/>
      <c r="B23" s="166"/>
      <c r="C23" s="924"/>
      <c r="D23" s="924"/>
      <c r="E23" s="918"/>
      <c r="F23" s="918"/>
      <c r="G23" s="167">
        <f t="shared" si="1"/>
        <v>-1.5000000000782165E-3</v>
      </c>
      <c r="H23" s="494"/>
      <c r="I23" s="494"/>
      <c r="J23" s="494"/>
      <c r="K23" s="494"/>
      <c r="L23" s="494"/>
      <c r="M23" s="494"/>
      <c r="N23" s="168"/>
    </row>
    <row r="24" spans="1:14" s="3" customFormat="1" ht="26.25" customHeight="1" x14ac:dyDescent="0.25">
      <c r="A24" s="170"/>
      <c r="B24" s="166"/>
      <c r="C24" s="924"/>
      <c r="D24" s="924"/>
      <c r="E24" s="918"/>
      <c r="F24" s="918"/>
      <c r="G24" s="167">
        <f t="shared" si="1"/>
        <v>-1.5000000000782165E-3</v>
      </c>
      <c r="H24" s="494"/>
      <c r="I24" s="494"/>
      <c r="J24" s="494"/>
      <c r="K24" s="494"/>
      <c r="L24" s="494"/>
      <c r="M24" s="494"/>
      <c r="N24" s="168"/>
    </row>
    <row r="25" spans="1:14" s="3" customFormat="1" ht="26.25" customHeight="1" x14ac:dyDescent="0.25">
      <c r="A25" s="169"/>
      <c r="B25" s="166"/>
      <c r="C25" s="945"/>
      <c r="D25" s="945"/>
      <c r="E25" s="919"/>
      <c r="F25" s="919"/>
      <c r="G25" s="167">
        <f t="shared" si="1"/>
        <v>-1.5000000000782165E-3</v>
      </c>
      <c r="H25" s="494"/>
      <c r="I25" s="494"/>
      <c r="J25" s="494"/>
      <c r="K25" s="494"/>
      <c r="L25" s="494"/>
      <c r="M25" s="494"/>
      <c r="N25" s="168"/>
    </row>
    <row r="26" spans="1:14" s="23" customFormat="1" ht="26.25" customHeight="1" thickBot="1" x14ac:dyDescent="0.3">
      <c r="A26" s="914" t="s">
        <v>36</v>
      </c>
      <c r="B26" s="915"/>
      <c r="C26" s="915"/>
      <c r="D26" s="915"/>
      <c r="E26" s="916">
        <f>SUM(E21:F25)</f>
        <v>600</v>
      </c>
      <c r="F26" s="917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44"/>
      <c r="F27" s="844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San You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3">
    <mergeCell ref="A26:D26"/>
    <mergeCell ref="E26:F26"/>
    <mergeCell ref="E27:F27"/>
    <mergeCell ref="K33:N33"/>
    <mergeCell ref="I10:J10"/>
    <mergeCell ref="C23:D23"/>
    <mergeCell ref="E23:F23"/>
    <mergeCell ref="C24:D24"/>
    <mergeCell ref="E24:F24"/>
    <mergeCell ref="C25:D25"/>
    <mergeCell ref="E25:F25"/>
    <mergeCell ref="M19:N19"/>
    <mergeCell ref="A20:F20"/>
    <mergeCell ref="C21:D21"/>
    <mergeCell ref="E21:F21"/>
    <mergeCell ref="C22:D22"/>
    <mergeCell ref="E22:F22"/>
    <mergeCell ref="A16:D16"/>
    <mergeCell ref="K16:L16"/>
    <mergeCell ref="A17:F17"/>
    <mergeCell ref="K17:L17"/>
    <mergeCell ref="A18:G18"/>
    <mergeCell ref="C19:D19"/>
    <mergeCell ref="E19:F19"/>
    <mergeCell ref="K19:L19"/>
    <mergeCell ref="A1:XFD7"/>
    <mergeCell ref="A8:N8"/>
    <mergeCell ref="K9:L9"/>
    <mergeCell ref="B10:B15"/>
    <mergeCell ref="C10:C15"/>
    <mergeCell ref="K10:L10"/>
    <mergeCell ref="K11:L11"/>
    <mergeCell ref="K15:L15"/>
  </mergeCells>
  <hyperlinks>
    <hyperlink ref="M19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"/>
  <sheetViews>
    <sheetView zoomScale="80" workbookViewId="0">
      <pane ySplit="9" topLeftCell="A10" activePane="bottomLeft" state="frozen"/>
      <selection activeCell="G13" sqref="G13"/>
      <selection pane="bottomLeft" activeCell="W26" sqref="W26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21.5703125" style="1" customWidth="1"/>
    <col min="5" max="5" width="8.42578125" style="1" customWidth="1"/>
    <col min="6" max="6" width="10.85546875" style="1" customWidth="1"/>
    <col min="7" max="7" width="16.42578125" style="1" customWidth="1"/>
    <col min="8" max="8" width="8.57031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3" style="1" customWidth="1"/>
    <col min="14" max="14" width="10.28515625" style="1" bestFit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7" s="866" customFormat="1" ht="15" x14ac:dyDescent="0.25"/>
    <row r="2" spans="1:17" s="866" customFormat="1" ht="15" x14ac:dyDescent="0.25"/>
    <row r="3" spans="1:17" s="866" customFormat="1" ht="15" x14ac:dyDescent="0.25"/>
    <row r="4" spans="1:17" s="866" customFormat="1" ht="15" x14ac:dyDescent="0.25"/>
    <row r="5" spans="1:17" s="866" customFormat="1" ht="15" x14ac:dyDescent="0.25"/>
    <row r="6" spans="1:17" s="866" customFormat="1" ht="15" x14ac:dyDescent="0.25"/>
    <row r="7" spans="1:17" s="866" customFormat="1" ht="15.75" thickBot="1" x14ac:dyDescent="0.3"/>
    <row r="8" spans="1:17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7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25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7" s="506" customFormat="1" ht="26.25" customHeight="1" x14ac:dyDescent="0.25">
      <c r="A10" s="91">
        <v>1</v>
      </c>
      <c r="B10" s="890" t="s">
        <v>342</v>
      </c>
      <c r="C10" s="890" t="s">
        <v>31</v>
      </c>
      <c r="D10" s="53" t="s">
        <v>353</v>
      </c>
      <c r="E10" s="508">
        <f>6+8+16+15</f>
        <v>45</v>
      </c>
      <c r="F10" s="55"/>
      <c r="G10" s="56"/>
      <c r="H10" s="508" t="s">
        <v>290</v>
      </c>
      <c r="I10" s="508">
        <v>3</v>
      </c>
      <c r="J10" s="508">
        <v>10</v>
      </c>
      <c r="K10" s="878" t="s">
        <v>42</v>
      </c>
      <c r="L10" s="879"/>
      <c r="M10" s="92">
        <v>41629</v>
      </c>
      <c r="N10" s="58"/>
      <c r="O10" s="931"/>
      <c r="P10" s="932"/>
      <c r="Q10" s="932"/>
    </row>
    <row r="11" spans="1:17" s="506" customFormat="1" ht="26.25" customHeight="1" x14ac:dyDescent="0.25">
      <c r="A11" s="93"/>
      <c r="B11" s="891"/>
      <c r="C11" s="891"/>
      <c r="D11" s="53"/>
      <c r="E11" s="80"/>
      <c r="F11" s="55"/>
      <c r="G11" s="56"/>
      <c r="H11" s="80"/>
      <c r="I11" s="80"/>
      <c r="J11" s="80"/>
      <c r="K11" s="876"/>
      <c r="L11" s="877"/>
      <c r="M11" s="94"/>
      <c r="N11" s="84"/>
    </row>
    <row r="12" spans="1:17" s="506" customFormat="1" ht="26.25" customHeight="1" x14ac:dyDescent="0.25">
      <c r="A12" s="93"/>
      <c r="B12" s="891"/>
      <c r="C12" s="891"/>
      <c r="D12" s="53"/>
      <c r="E12" s="80"/>
      <c r="F12" s="55"/>
      <c r="G12" s="56"/>
      <c r="H12" s="80"/>
      <c r="I12" s="80"/>
      <c r="J12" s="80"/>
      <c r="K12" s="181"/>
      <c r="L12" s="182"/>
      <c r="M12" s="94"/>
      <c r="N12" s="84"/>
    </row>
    <row r="13" spans="1:17" s="506" customFormat="1" ht="26.25" customHeight="1" x14ac:dyDescent="0.25">
      <c r="A13" s="93"/>
      <c r="B13" s="891"/>
      <c r="C13" s="891"/>
      <c r="D13" s="77"/>
      <c r="E13" s="80"/>
      <c r="F13" s="55"/>
      <c r="G13" s="56">
        <f>E13*F13</f>
        <v>0</v>
      </c>
      <c r="H13" s="80"/>
      <c r="I13" s="80"/>
      <c r="J13" s="80"/>
      <c r="K13" s="181"/>
      <c r="L13" s="182"/>
      <c r="M13" s="94"/>
      <c r="N13" s="84"/>
    </row>
    <row r="14" spans="1:17" s="506" customFormat="1" ht="26.25" customHeight="1" x14ac:dyDescent="0.25">
      <c r="A14" s="93"/>
      <c r="B14" s="891"/>
      <c r="C14" s="891"/>
      <c r="D14" s="77"/>
      <c r="E14" s="80"/>
      <c r="F14" s="55"/>
      <c r="G14" s="56">
        <f t="shared" ref="G14:G15" si="0">E14*F14</f>
        <v>0</v>
      </c>
      <c r="H14" s="80"/>
      <c r="I14" s="80"/>
      <c r="J14" s="80"/>
      <c r="K14" s="181"/>
      <c r="L14" s="182"/>
      <c r="M14" s="94"/>
      <c r="N14" s="84"/>
    </row>
    <row r="15" spans="1:17" s="506" customFormat="1" ht="26.25" customHeight="1" x14ac:dyDescent="0.25">
      <c r="A15" s="93"/>
      <c r="B15" s="891"/>
      <c r="C15" s="891"/>
      <c r="D15" s="77"/>
      <c r="E15" s="80"/>
      <c r="F15" s="55"/>
      <c r="G15" s="56">
        <f t="shared" si="0"/>
        <v>0</v>
      </c>
      <c r="H15" s="80"/>
      <c r="I15" s="80"/>
      <c r="J15" s="80"/>
      <c r="K15" s="876"/>
      <c r="L15" s="877"/>
      <c r="M15" s="94"/>
      <c r="N15" s="84"/>
    </row>
    <row r="16" spans="1:17" s="506" customFormat="1" ht="26.25" customHeight="1" x14ac:dyDescent="0.25">
      <c r="A16" s="925" t="s">
        <v>11</v>
      </c>
      <c r="B16" s="926"/>
      <c r="C16" s="926"/>
      <c r="D16" s="926"/>
      <c r="E16" s="510">
        <f>SUM(E10:E15)</f>
        <v>45</v>
      </c>
      <c r="F16" s="76">
        <v>7</v>
      </c>
      <c r="G16" s="56">
        <f>E16*F16</f>
        <v>315</v>
      </c>
      <c r="H16" s="509"/>
      <c r="I16" s="509"/>
      <c r="J16" s="509"/>
      <c r="K16" s="876"/>
      <c r="L16" s="877"/>
      <c r="M16" s="509"/>
      <c r="N16" s="63"/>
    </row>
    <row r="17" spans="1:14" s="506" customFormat="1" ht="26.25" customHeight="1" x14ac:dyDescent="0.25">
      <c r="A17" s="927" t="s">
        <v>24</v>
      </c>
      <c r="B17" s="928"/>
      <c r="C17" s="928"/>
      <c r="D17" s="928"/>
      <c r="E17" s="928"/>
      <c r="F17" s="928"/>
      <c r="G17" s="64">
        <f>SUM(G10:G16)</f>
        <v>315</v>
      </c>
      <c r="H17" s="511"/>
      <c r="I17" s="511"/>
      <c r="J17" s="511"/>
      <c r="K17" s="859"/>
      <c r="L17" s="860"/>
      <c r="M17" s="511"/>
      <c r="N17" s="66"/>
    </row>
    <row r="18" spans="1:14" s="48" customFormat="1" ht="26.25" customHeight="1" x14ac:dyDescent="0.25">
      <c r="A18" s="929" t="s">
        <v>32</v>
      </c>
      <c r="B18" s="930"/>
      <c r="C18" s="930"/>
      <c r="D18" s="930"/>
      <c r="E18" s="930"/>
      <c r="F18" s="930"/>
      <c r="G18" s="900"/>
      <c r="H18" s="67"/>
      <c r="I18" s="67"/>
      <c r="J18" s="68" t="s">
        <v>44</v>
      </c>
      <c r="K18" s="67"/>
      <c r="L18" s="68"/>
      <c r="M18" s="69"/>
      <c r="N18" s="70"/>
    </row>
    <row r="19" spans="1:14" s="48" customFormat="1" ht="22.5" customHeight="1" thickBot="1" x14ac:dyDescent="0.3">
      <c r="A19" s="72" t="s">
        <v>5</v>
      </c>
      <c r="B19" s="71" t="s">
        <v>33</v>
      </c>
      <c r="C19" s="857" t="s">
        <v>21</v>
      </c>
      <c r="D19" s="858"/>
      <c r="E19" s="857" t="s">
        <v>34</v>
      </c>
      <c r="F19" s="858"/>
      <c r="G19" s="71" t="s">
        <v>0</v>
      </c>
      <c r="H19" s="71" t="s">
        <v>25</v>
      </c>
      <c r="I19" s="71" t="s">
        <v>26</v>
      </c>
      <c r="J19" s="71" t="s">
        <v>27</v>
      </c>
      <c r="K19" s="863" t="s">
        <v>28</v>
      </c>
      <c r="L19" s="857"/>
      <c r="M19" s="901" t="s">
        <v>43</v>
      </c>
      <c r="N19" s="902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315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 t="s">
        <v>465</v>
      </c>
      <c r="B21" s="11">
        <v>41703</v>
      </c>
      <c r="C21" s="924" t="s">
        <v>353</v>
      </c>
      <c r="D21" s="924"/>
      <c r="E21" s="918">
        <v>40</v>
      </c>
      <c r="F21" s="918"/>
      <c r="G21" s="167">
        <f>G20-E21</f>
        <v>275</v>
      </c>
      <c r="H21" s="507"/>
      <c r="I21" s="507"/>
      <c r="J21" s="507"/>
      <c r="K21" s="507"/>
      <c r="L21" s="507"/>
      <c r="M21" s="507"/>
      <c r="N21" s="168"/>
    </row>
    <row r="22" spans="1:14" s="3" customFormat="1" ht="26.25" customHeight="1" x14ac:dyDescent="0.25">
      <c r="A22" s="165" t="s">
        <v>537</v>
      </c>
      <c r="B22" s="11">
        <v>41739</v>
      </c>
      <c r="C22" s="924" t="s">
        <v>353</v>
      </c>
      <c r="D22" s="924"/>
      <c r="E22" s="918">
        <v>275</v>
      </c>
      <c r="F22" s="918"/>
      <c r="G22" s="167">
        <f t="shared" ref="G22:G25" si="1">G21-E22</f>
        <v>0</v>
      </c>
      <c r="H22" s="507"/>
      <c r="I22" s="507"/>
      <c r="J22" s="507"/>
      <c r="K22" s="507"/>
      <c r="L22" s="507"/>
      <c r="M22" s="507"/>
      <c r="N22" s="168"/>
    </row>
    <row r="23" spans="1:14" s="3" customFormat="1" ht="26.25" customHeight="1" x14ac:dyDescent="0.25">
      <c r="A23" s="170"/>
      <c r="B23" s="166"/>
      <c r="C23" s="924"/>
      <c r="D23" s="924"/>
      <c r="E23" s="918"/>
      <c r="F23" s="918"/>
      <c r="G23" s="167">
        <f t="shared" si="1"/>
        <v>0</v>
      </c>
      <c r="H23" s="507"/>
      <c r="I23" s="507"/>
      <c r="J23" s="507"/>
      <c r="K23" s="507"/>
      <c r="L23" s="507"/>
      <c r="M23" s="507"/>
      <c r="N23" s="168"/>
    </row>
    <row r="24" spans="1:14" s="3" customFormat="1" ht="26.25" customHeight="1" x14ac:dyDescent="0.25">
      <c r="A24" s="170"/>
      <c r="B24" s="166"/>
      <c r="C24" s="924"/>
      <c r="D24" s="924"/>
      <c r="E24" s="918"/>
      <c r="F24" s="918"/>
      <c r="G24" s="167">
        <f t="shared" si="1"/>
        <v>0</v>
      </c>
      <c r="H24" s="507"/>
      <c r="I24" s="507"/>
      <c r="J24" s="507"/>
      <c r="K24" s="507"/>
      <c r="L24" s="507"/>
      <c r="M24" s="507"/>
      <c r="N24" s="168"/>
    </row>
    <row r="25" spans="1:14" s="3" customFormat="1" ht="26.25" customHeight="1" x14ac:dyDescent="0.25">
      <c r="A25" s="169"/>
      <c r="B25" s="166"/>
      <c r="C25" s="945"/>
      <c r="D25" s="945"/>
      <c r="E25" s="919"/>
      <c r="F25" s="919"/>
      <c r="G25" s="167">
        <f t="shared" si="1"/>
        <v>0</v>
      </c>
      <c r="H25" s="507"/>
      <c r="I25" s="507"/>
      <c r="J25" s="507"/>
      <c r="K25" s="507"/>
      <c r="L25" s="507"/>
      <c r="M25" s="507"/>
      <c r="N25" s="168"/>
    </row>
    <row r="26" spans="1:14" s="23" customFormat="1" ht="26.25" customHeight="1" thickBot="1" x14ac:dyDescent="0.3">
      <c r="A26" s="914" t="s">
        <v>36</v>
      </c>
      <c r="B26" s="915"/>
      <c r="C26" s="915"/>
      <c r="D26" s="915"/>
      <c r="E26" s="916">
        <f>SUM(E21:F25)</f>
        <v>315</v>
      </c>
      <c r="F26" s="917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44"/>
      <c r="F27" s="844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Nget Chandara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3">
    <mergeCell ref="A26:D26"/>
    <mergeCell ref="E26:F26"/>
    <mergeCell ref="E27:F27"/>
    <mergeCell ref="K33:N33"/>
    <mergeCell ref="O10:Q10"/>
    <mergeCell ref="C23:D23"/>
    <mergeCell ref="E23:F23"/>
    <mergeCell ref="C24:D24"/>
    <mergeCell ref="E24:F24"/>
    <mergeCell ref="C25:D25"/>
    <mergeCell ref="E25:F25"/>
    <mergeCell ref="M19:N19"/>
    <mergeCell ref="A20:F20"/>
    <mergeCell ref="C21:D21"/>
    <mergeCell ref="E21:F21"/>
    <mergeCell ref="C22:D22"/>
    <mergeCell ref="E22:F22"/>
    <mergeCell ref="A16:D16"/>
    <mergeCell ref="K16:L16"/>
    <mergeCell ref="A17:F17"/>
    <mergeCell ref="K17:L17"/>
    <mergeCell ref="A18:G18"/>
    <mergeCell ref="C19:D19"/>
    <mergeCell ref="E19:F19"/>
    <mergeCell ref="K19:L19"/>
    <mergeCell ref="A1:XFD7"/>
    <mergeCell ref="A8:N8"/>
    <mergeCell ref="K9:L9"/>
    <mergeCell ref="B10:B15"/>
    <mergeCell ref="C10:C15"/>
    <mergeCell ref="K10:L10"/>
    <mergeCell ref="K11:L11"/>
    <mergeCell ref="K15:L15"/>
  </mergeCells>
  <hyperlinks>
    <hyperlink ref="M19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"/>
  <sheetViews>
    <sheetView zoomScale="80" workbookViewId="0">
      <pane ySplit="9" topLeftCell="A19" activePane="bottomLeft" state="frozen"/>
      <selection activeCell="G13" sqref="G13"/>
      <selection pane="bottomLeft" activeCell="R15" sqref="R15:S15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27.28515625" style="1" customWidth="1"/>
    <col min="5" max="5" width="8.42578125" style="1" customWidth="1"/>
    <col min="6" max="6" width="10.85546875" style="1" customWidth="1"/>
    <col min="7" max="7" width="16.42578125" style="1" customWidth="1"/>
    <col min="8" max="8" width="3.710937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7" s="866" customFormat="1" ht="15" x14ac:dyDescent="0.25"/>
    <row r="2" spans="1:17" s="866" customFormat="1" ht="15" x14ac:dyDescent="0.25"/>
    <row r="3" spans="1:17" s="866" customFormat="1" ht="15" x14ac:dyDescent="0.25"/>
    <row r="4" spans="1:17" s="866" customFormat="1" ht="15" x14ac:dyDescent="0.25"/>
    <row r="5" spans="1:17" s="866" customFormat="1" ht="15" x14ac:dyDescent="0.25"/>
    <row r="6" spans="1:17" s="866" customFormat="1" ht="15" x14ac:dyDescent="0.25"/>
    <row r="7" spans="1:17" s="866" customFormat="1" ht="15.75" thickBot="1" x14ac:dyDescent="0.3"/>
    <row r="8" spans="1:17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7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25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7" s="521" customFormat="1" ht="26.25" customHeight="1" x14ac:dyDescent="0.25">
      <c r="A10" s="91">
        <v>1</v>
      </c>
      <c r="B10" s="890" t="s">
        <v>345</v>
      </c>
      <c r="C10" s="890" t="s">
        <v>31</v>
      </c>
      <c r="D10" s="53" t="s">
        <v>346</v>
      </c>
      <c r="E10" s="525">
        <f>30+18</f>
        <v>48</v>
      </c>
      <c r="F10" s="55"/>
      <c r="G10" s="56"/>
      <c r="H10" s="525" t="s">
        <v>64</v>
      </c>
      <c r="I10" s="525">
        <v>1</v>
      </c>
      <c r="J10" s="525">
        <v>12</v>
      </c>
      <c r="K10" s="948" t="s">
        <v>271</v>
      </c>
      <c r="L10" s="949"/>
      <c r="M10" s="523">
        <v>41602</v>
      </c>
      <c r="N10" s="524"/>
      <c r="O10" s="802"/>
      <c r="P10" s="802"/>
      <c r="Q10" s="802"/>
    </row>
    <row r="11" spans="1:17" s="521" customFormat="1" ht="26.25" customHeight="1" x14ac:dyDescent="0.25">
      <c r="A11" s="93"/>
      <c r="B11" s="891"/>
      <c r="C11" s="891"/>
      <c r="D11" s="53"/>
      <c r="E11" s="80"/>
      <c r="F11" s="55"/>
      <c r="G11" s="56"/>
      <c r="H11" s="80"/>
      <c r="I11" s="80"/>
      <c r="J11" s="80"/>
      <c r="K11" s="876"/>
      <c r="L11" s="877"/>
      <c r="M11" s="94"/>
      <c r="N11" s="84"/>
    </row>
    <row r="12" spans="1:17" s="521" customFormat="1" ht="26.25" customHeight="1" x14ac:dyDescent="0.25">
      <c r="A12" s="93"/>
      <c r="B12" s="891"/>
      <c r="C12" s="891"/>
      <c r="D12" s="53"/>
      <c r="E12" s="80"/>
      <c r="F12" s="55"/>
      <c r="G12" s="56"/>
      <c r="H12" s="80"/>
      <c r="I12" s="80"/>
      <c r="J12" s="80"/>
      <c r="K12" s="181"/>
      <c r="L12" s="182"/>
      <c r="M12" s="94"/>
      <c r="N12" s="84"/>
    </row>
    <row r="13" spans="1:17" s="521" customFormat="1" ht="26.25" customHeight="1" x14ac:dyDescent="0.25">
      <c r="A13" s="93"/>
      <c r="B13" s="891"/>
      <c r="C13" s="891"/>
      <c r="D13" s="77"/>
      <c r="E13" s="80"/>
      <c r="F13" s="55"/>
      <c r="G13" s="56">
        <f>E13*F13</f>
        <v>0</v>
      </c>
      <c r="H13" s="80"/>
      <c r="I13" s="80"/>
      <c r="J13" s="80"/>
      <c r="K13" s="181"/>
      <c r="L13" s="182"/>
      <c r="M13" s="94"/>
      <c r="N13" s="84"/>
    </row>
    <row r="14" spans="1:17" s="521" customFormat="1" ht="26.25" customHeight="1" x14ac:dyDescent="0.25">
      <c r="A14" s="93"/>
      <c r="B14" s="891"/>
      <c r="C14" s="891"/>
      <c r="D14" s="77"/>
      <c r="E14" s="80"/>
      <c r="F14" s="55"/>
      <c r="G14" s="56">
        <f t="shared" ref="G14:G15" si="0">E14*F14</f>
        <v>0</v>
      </c>
      <c r="H14" s="80"/>
      <c r="I14" s="80"/>
      <c r="J14" s="80"/>
      <c r="K14" s="181"/>
      <c r="L14" s="182"/>
      <c r="M14" s="94"/>
      <c r="N14" s="84"/>
    </row>
    <row r="15" spans="1:17" s="521" customFormat="1" ht="26.25" customHeight="1" x14ac:dyDescent="0.25">
      <c r="A15" s="93"/>
      <c r="B15" s="891"/>
      <c r="C15" s="891"/>
      <c r="D15" s="77"/>
      <c r="E15" s="80"/>
      <c r="F15" s="55"/>
      <c r="G15" s="56">
        <f t="shared" si="0"/>
        <v>0</v>
      </c>
      <c r="H15" s="80"/>
      <c r="I15" s="80"/>
      <c r="J15" s="80"/>
      <c r="K15" s="876"/>
      <c r="L15" s="877"/>
      <c r="M15" s="94"/>
      <c r="N15" s="84"/>
    </row>
    <row r="16" spans="1:17" s="521" customFormat="1" ht="26.25" customHeight="1" x14ac:dyDescent="0.25">
      <c r="A16" s="925" t="s">
        <v>11</v>
      </c>
      <c r="B16" s="926"/>
      <c r="C16" s="926"/>
      <c r="D16" s="926"/>
      <c r="E16" s="527">
        <f>SUM(E10:E15)</f>
        <v>48</v>
      </c>
      <c r="F16" s="76">
        <v>8</v>
      </c>
      <c r="G16" s="56">
        <f>E16*F16</f>
        <v>384</v>
      </c>
      <c r="H16" s="526"/>
      <c r="I16" s="526"/>
      <c r="J16" s="526"/>
      <c r="K16" s="876"/>
      <c r="L16" s="877"/>
      <c r="M16" s="526"/>
      <c r="N16" s="63"/>
    </row>
    <row r="17" spans="1:14" s="521" customFormat="1" ht="26.25" customHeight="1" x14ac:dyDescent="0.25">
      <c r="A17" s="927" t="s">
        <v>24</v>
      </c>
      <c r="B17" s="928"/>
      <c r="C17" s="928"/>
      <c r="D17" s="928"/>
      <c r="E17" s="928"/>
      <c r="F17" s="928"/>
      <c r="G17" s="64">
        <f>SUM(G10:G16)</f>
        <v>384</v>
      </c>
      <c r="H17" s="528"/>
      <c r="I17" s="528"/>
      <c r="J17" s="528"/>
      <c r="K17" s="859"/>
      <c r="L17" s="860"/>
      <c r="M17" s="528"/>
      <c r="N17" s="66"/>
    </row>
    <row r="18" spans="1:14" s="48" customFormat="1" ht="26.25" customHeight="1" x14ac:dyDescent="0.25">
      <c r="A18" s="929" t="s">
        <v>32</v>
      </c>
      <c r="B18" s="930"/>
      <c r="C18" s="930"/>
      <c r="D18" s="930"/>
      <c r="E18" s="930"/>
      <c r="F18" s="930"/>
      <c r="G18" s="900"/>
      <c r="H18" s="67"/>
      <c r="I18" s="67"/>
      <c r="J18" s="68" t="s">
        <v>44</v>
      </c>
      <c r="K18" s="67"/>
      <c r="L18" s="68"/>
      <c r="M18" s="69"/>
      <c r="N18" s="70"/>
    </row>
    <row r="19" spans="1:14" s="48" customFormat="1" ht="22.5" customHeight="1" thickBot="1" x14ac:dyDescent="0.3">
      <c r="A19" s="72" t="s">
        <v>5</v>
      </c>
      <c r="B19" s="71" t="s">
        <v>33</v>
      </c>
      <c r="C19" s="857" t="s">
        <v>21</v>
      </c>
      <c r="D19" s="858"/>
      <c r="E19" s="857" t="s">
        <v>34</v>
      </c>
      <c r="F19" s="858"/>
      <c r="G19" s="71" t="s">
        <v>0</v>
      </c>
      <c r="H19" s="71" t="s">
        <v>25</v>
      </c>
      <c r="I19" s="71" t="s">
        <v>26</v>
      </c>
      <c r="J19" s="71" t="s">
        <v>27</v>
      </c>
      <c r="K19" s="863" t="s">
        <v>28</v>
      </c>
      <c r="L19" s="857"/>
      <c r="M19" s="901" t="s">
        <v>392</v>
      </c>
      <c r="N19" s="902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384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 t="s">
        <v>563</v>
      </c>
      <c r="B21" s="11">
        <v>41768</v>
      </c>
      <c r="C21" s="924" t="s">
        <v>346</v>
      </c>
      <c r="D21" s="924"/>
      <c r="E21" s="918">
        <v>384</v>
      </c>
      <c r="F21" s="918"/>
      <c r="G21" s="167">
        <f>G20-E21</f>
        <v>0</v>
      </c>
      <c r="H21" s="522"/>
      <c r="I21" s="522"/>
      <c r="J21" s="522"/>
      <c r="K21" s="522"/>
      <c r="L21" s="522"/>
      <c r="M21" s="522"/>
      <c r="N21" s="168"/>
    </row>
    <row r="22" spans="1:14" s="3" customFormat="1" ht="26.25" customHeight="1" x14ac:dyDescent="0.25">
      <c r="A22" s="165"/>
      <c r="B22" s="11"/>
      <c r="C22" s="924"/>
      <c r="D22" s="924"/>
      <c r="E22" s="918"/>
      <c r="F22" s="918"/>
      <c r="G22" s="167">
        <f t="shared" ref="G22:G25" si="1">G21-E22</f>
        <v>0</v>
      </c>
      <c r="H22" s="522"/>
      <c r="I22" s="522"/>
      <c r="J22" s="522"/>
      <c r="K22" s="522"/>
      <c r="L22" s="522"/>
      <c r="M22" s="522"/>
      <c r="N22" s="168"/>
    </row>
    <row r="23" spans="1:14" s="3" customFormat="1" ht="26.25" customHeight="1" x14ac:dyDescent="0.25">
      <c r="A23" s="170"/>
      <c r="B23" s="166"/>
      <c r="C23" s="924"/>
      <c r="D23" s="924"/>
      <c r="E23" s="918"/>
      <c r="F23" s="918"/>
      <c r="G23" s="167">
        <f t="shared" si="1"/>
        <v>0</v>
      </c>
      <c r="H23" s="522"/>
      <c r="I23" s="522"/>
      <c r="J23" s="522"/>
      <c r="K23" s="522"/>
      <c r="L23" s="522"/>
      <c r="M23" s="522"/>
      <c r="N23" s="168"/>
    </row>
    <row r="24" spans="1:14" s="3" customFormat="1" ht="26.25" customHeight="1" x14ac:dyDescent="0.25">
      <c r="A24" s="170"/>
      <c r="B24" s="166"/>
      <c r="C24" s="924"/>
      <c r="D24" s="924"/>
      <c r="E24" s="918"/>
      <c r="F24" s="918"/>
      <c r="G24" s="167">
        <f t="shared" si="1"/>
        <v>0</v>
      </c>
      <c r="H24" s="522"/>
      <c r="I24" s="522"/>
      <c r="J24" s="522"/>
      <c r="K24" s="522"/>
      <c r="L24" s="522"/>
      <c r="M24" s="522"/>
      <c r="N24" s="168"/>
    </row>
    <row r="25" spans="1:14" s="3" customFormat="1" ht="26.25" customHeight="1" x14ac:dyDescent="0.25">
      <c r="A25" s="169"/>
      <c r="B25" s="166"/>
      <c r="C25" s="945"/>
      <c r="D25" s="945"/>
      <c r="E25" s="919"/>
      <c r="F25" s="919"/>
      <c r="G25" s="167">
        <f t="shared" si="1"/>
        <v>0</v>
      </c>
      <c r="H25" s="522"/>
      <c r="I25" s="522"/>
      <c r="J25" s="522"/>
      <c r="K25" s="522"/>
      <c r="L25" s="522"/>
      <c r="M25" s="522"/>
      <c r="N25" s="168"/>
    </row>
    <row r="26" spans="1:14" s="23" customFormat="1" ht="26.25" customHeight="1" thickBot="1" x14ac:dyDescent="0.3">
      <c r="A26" s="914" t="s">
        <v>36</v>
      </c>
      <c r="B26" s="915"/>
      <c r="C26" s="915"/>
      <c r="D26" s="915"/>
      <c r="E26" s="916">
        <f>SUM(E21:F25)</f>
        <v>384</v>
      </c>
      <c r="F26" s="917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44"/>
      <c r="F27" s="844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">
        <v>345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2">
    <mergeCell ref="A26:D26"/>
    <mergeCell ref="E26:F26"/>
    <mergeCell ref="E27:F27"/>
    <mergeCell ref="K33:N33"/>
    <mergeCell ref="C23:D23"/>
    <mergeCell ref="E23:F23"/>
    <mergeCell ref="C24:D24"/>
    <mergeCell ref="E24:F24"/>
    <mergeCell ref="C25:D25"/>
    <mergeCell ref="E25:F25"/>
    <mergeCell ref="M19:N19"/>
    <mergeCell ref="A20:F20"/>
    <mergeCell ref="C21:D21"/>
    <mergeCell ref="E21:F21"/>
    <mergeCell ref="C22:D22"/>
    <mergeCell ref="E22:F22"/>
    <mergeCell ref="C19:D19"/>
    <mergeCell ref="E19:F19"/>
    <mergeCell ref="K19:L19"/>
    <mergeCell ref="A16:D16"/>
    <mergeCell ref="K16:L16"/>
    <mergeCell ref="A17:F17"/>
    <mergeCell ref="K17:L17"/>
    <mergeCell ref="A18:G18"/>
    <mergeCell ref="A1:XFD7"/>
    <mergeCell ref="A8:N8"/>
    <mergeCell ref="K9:L9"/>
    <mergeCell ref="B10:B15"/>
    <mergeCell ref="C10:C15"/>
    <mergeCell ref="K10:L10"/>
    <mergeCell ref="K11:L11"/>
    <mergeCell ref="K15:L15"/>
  </mergeCells>
  <hyperlinks>
    <hyperlink ref="M19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2"/>
  <sheetViews>
    <sheetView zoomScale="80" workbookViewId="0">
      <pane ySplit="9" topLeftCell="A13" activePane="bottomLeft" state="frozen"/>
      <selection activeCell="G13" sqref="G13"/>
      <selection pane="bottomLeft" activeCell="G25" sqref="G25"/>
    </sheetView>
  </sheetViews>
  <sheetFormatPr defaultRowHeight="13.5" x14ac:dyDescent="0.25"/>
  <cols>
    <col min="1" max="1" width="20.42578125" style="33" customWidth="1"/>
    <col min="2" max="2" width="20" style="1" customWidth="1"/>
    <col min="3" max="3" width="5.5703125" style="1" customWidth="1"/>
    <col min="4" max="4" width="27.28515625" style="1" customWidth="1"/>
    <col min="5" max="5" width="8.42578125" style="1" customWidth="1"/>
    <col min="6" max="6" width="10.85546875" style="1" customWidth="1"/>
    <col min="7" max="7" width="17.5703125" style="1" customWidth="1"/>
    <col min="8" max="8" width="6.1406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16" width="9.140625" style="1"/>
    <col min="17" max="17" width="11.7109375" style="1" customWidth="1"/>
    <col min="18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9" s="866" customFormat="1" ht="15" x14ac:dyDescent="0.25"/>
    <row r="2" spans="1:19" s="866" customFormat="1" ht="15" x14ac:dyDescent="0.25"/>
    <row r="3" spans="1:19" s="866" customFormat="1" ht="15" x14ac:dyDescent="0.25"/>
    <row r="4" spans="1:19" s="866" customFormat="1" ht="15" x14ac:dyDescent="0.25"/>
    <row r="5" spans="1:19" s="866" customFormat="1" ht="15" x14ac:dyDescent="0.25"/>
    <row r="6" spans="1:19" s="866" customFormat="1" ht="15" x14ac:dyDescent="0.25"/>
    <row r="7" spans="1:19" s="866" customFormat="1" ht="15.75" thickBot="1" x14ac:dyDescent="0.3"/>
    <row r="8" spans="1:19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9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25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9" s="521" customFormat="1" ht="26.25" customHeight="1" x14ac:dyDescent="0.25">
      <c r="A10" s="91">
        <v>1</v>
      </c>
      <c r="B10" s="890" t="s">
        <v>347</v>
      </c>
      <c r="C10" s="890" t="s">
        <v>31</v>
      </c>
      <c r="D10" s="53" t="s">
        <v>429</v>
      </c>
      <c r="E10" s="525">
        <f>24+21</f>
        <v>45</v>
      </c>
      <c r="F10" s="55"/>
      <c r="G10" s="56"/>
      <c r="H10" s="525" t="s">
        <v>64</v>
      </c>
      <c r="I10" s="525">
        <v>1</v>
      </c>
      <c r="J10" s="525">
        <v>12</v>
      </c>
      <c r="K10" s="948" t="s">
        <v>271</v>
      </c>
      <c r="L10" s="949"/>
      <c r="M10" s="523">
        <v>41608</v>
      </c>
      <c r="N10" s="524"/>
      <c r="O10" s="931" t="s">
        <v>373</v>
      </c>
      <c r="P10" s="932"/>
      <c r="Q10" s="932"/>
      <c r="S10" s="521" t="s">
        <v>395</v>
      </c>
    </row>
    <row r="11" spans="1:19" s="521" customFormat="1" ht="26.25" customHeight="1" x14ac:dyDescent="0.25">
      <c r="A11" s="93"/>
      <c r="B11" s="891"/>
      <c r="C11" s="891"/>
      <c r="D11" s="53" t="s">
        <v>352</v>
      </c>
      <c r="E11" s="80">
        <f>24+18+3</f>
        <v>45</v>
      </c>
      <c r="F11" s="55"/>
      <c r="G11" s="56"/>
      <c r="H11" s="80" t="s">
        <v>290</v>
      </c>
      <c r="I11" s="80">
        <v>2</v>
      </c>
      <c r="J11" s="80">
        <v>11</v>
      </c>
      <c r="K11" s="876" t="s">
        <v>42</v>
      </c>
      <c r="L11" s="877"/>
      <c r="M11" s="94">
        <v>41618</v>
      </c>
      <c r="N11" s="84"/>
      <c r="O11" s="931" t="s">
        <v>373</v>
      </c>
      <c r="P11" s="932"/>
      <c r="Q11" s="932"/>
    </row>
    <row r="12" spans="1:19" s="521" customFormat="1" ht="26.25" customHeight="1" x14ac:dyDescent="0.25">
      <c r="A12" s="93"/>
      <c r="B12" s="891"/>
      <c r="C12" s="891"/>
      <c r="D12" s="53"/>
      <c r="E12" s="80"/>
      <c r="F12" s="55"/>
      <c r="G12" s="56"/>
      <c r="H12" s="80"/>
      <c r="I12" s="80"/>
      <c r="J12" s="80"/>
      <c r="K12" s="876"/>
      <c r="L12" s="877"/>
      <c r="M12" s="94"/>
      <c r="N12" s="84"/>
    </row>
    <row r="13" spans="1:19" s="521" customFormat="1" ht="26.25" customHeight="1" x14ac:dyDescent="0.25">
      <c r="A13" s="93"/>
      <c r="B13" s="891"/>
      <c r="C13" s="891"/>
      <c r="D13" s="77" t="s">
        <v>581</v>
      </c>
      <c r="E13" s="80">
        <v>24</v>
      </c>
      <c r="F13" s="55"/>
      <c r="G13" s="56">
        <f>E13*F13</f>
        <v>0</v>
      </c>
      <c r="H13" s="80" t="s">
        <v>547</v>
      </c>
      <c r="I13" s="80">
        <v>2</v>
      </c>
      <c r="J13" s="80">
        <v>11</v>
      </c>
      <c r="K13" s="876" t="s">
        <v>42</v>
      </c>
      <c r="L13" s="877"/>
      <c r="M13" s="94">
        <v>41769</v>
      </c>
      <c r="N13" s="84"/>
    </row>
    <row r="14" spans="1:19" s="521" customFormat="1" ht="26.25" customHeight="1" x14ac:dyDescent="0.25">
      <c r="A14" s="93"/>
      <c r="B14" s="891"/>
      <c r="C14" s="891"/>
      <c r="D14" s="77"/>
      <c r="E14" s="80"/>
      <c r="F14" s="55"/>
      <c r="G14" s="56">
        <f t="shared" ref="G14:G15" si="0">E14*F14</f>
        <v>0</v>
      </c>
      <c r="H14" s="80"/>
      <c r="I14" s="80"/>
      <c r="J14" s="80"/>
      <c r="K14" s="876"/>
      <c r="L14" s="877"/>
      <c r="M14" s="94"/>
      <c r="N14" s="84"/>
    </row>
    <row r="15" spans="1:19" s="521" customFormat="1" ht="26.25" customHeight="1" x14ac:dyDescent="0.25">
      <c r="A15" s="93"/>
      <c r="B15" s="891"/>
      <c r="C15" s="891"/>
      <c r="D15" s="77"/>
      <c r="E15" s="80"/>
      <c r="F15" s="55"/>
      <c r="G15" s="56">
        <f t="shared" si="0"/>
        <v>0</v>
      </c>
      <c r="H15" s="80"/>
      <c r="I15" s="80"/>
      <c r="J15" s="80"/>
      <c r="K15" s="876"/>
      <c r="L15" s="877"/>
      <c r="M15" s="94"/>
      <c r="N15" s="84"/>
    </row>
    <row r="16" spans="1:19" s="521" customFormat="1" ht="26.25" customHeight="1" x14ac:dyDescent="0.25">
      <c r="A16" s="925" t="s">
        <v>11</v>
      </c>
      <c r="B16" s="926"/>
      <c r="C16" s="926"/>
      <c r="D16" s="926"/>
      <c r="E16" s="527">
        <f>SUM(E10:E15)</f>
        <v>114</v>
      </c>
      <c r="F16" s="76">
        <v>7</v>
      </c>
      <c r="G16" s="56">
        <f>E16*F16</f>
        <v>798</v>
      </c>
      <c r="H16" s="526"/>
      <c r="I16" s="526"/>
      <c r="J16" s="526"/>
      <c r="K16" s="876"/>
      <c r="L16" s="877"/>
      <c r="M16" s="526"/>
      <c r="N16" s="63"/>
    </row>
    <row r="17" spans="1:14" s="521" customFormat="1" ht="26.25" customHeight="1" x14ac:dyDescent="0.25">
      <c r="A17" s="927" t="s">
        <v>24</v>
      </c>
      <c r="B17" s="928"/>
      <c r="C17" s="928"/>
      <c r="D17" s="928"/>
      <c r="E17" s="928"/>
      <c r="F17" s="928"/>
      <c r="G17" s="64">
        <f>SUM(G10:G16)</f>
        <v>798</v>
      </c>
      <c r="H17" s="528"/>
      <c r="I17" s="528"/>
      <c r="J17" s="528"/>
      <c r="K17" s="859"/>
      <c r="L17" s="860"/>
      <c r="M17" s="528"/>
      <c r="N17" s="66"/>
    </row>
    <row r="18" spans="1:14" s="48" customFormat="1" ht="26.25" customHeight="1" x14ac:dyDescent="0.25">
      <c r="A18" s="929" t="s">
        <v>32</v>
      </c>
      <c r="B18" s="930"/>
      <c r="C18" s="930"/>
      <c r="D18" s="930"/>
      <c r="E18" s="930"/>
      <c r="F18" s="930"/>
      <c r="G18" s="900"/>
      <c r="H18" s="67"/>
      <c r="I18" s="67"/>
      <c r="J18" s="68" t="s">
        <v>44</v>
      </c>
      <c r="K18" s="67"/>
      <c r="L18" s="68"/>
      <c r="M18" s="69"/>
      <c r="N18" s="70"/>
    </row>
    <row r="19" spans="1:14" s="48" customFormat="1" ht="22.5" customHeight="1" thickBot="1" x14ac:dyDescent="0.3">
      <c r="A19" s="72" t="s">
        <v>5</v>
      </c>
      <c r="B19" s="71" t="s">
        <v>33</v>
      </c>
      <c r="C19" s="857" t="s">
        <v>21</v>
      </c>
      <c r="D19" s="858"/>
      <c r="E19" s="857" t="s">
        <v>34</v>
      </c>
      <c r="F19" s="858"/>
      <c r="G19" s="71" t="s">
        <v>0</v>
      </c>
      <c r="H19" s="71" t="s">
        <v>25</v>
      </c>
      <c r="I19" s="71" t="s">
        <v>26</v>
      </c>
      <c r="J19" s="71" t="s">
        <v>27</v>
      </c>
      <c r="K19" s="863" t="s">
        <v>28</v>
      </c>
      <c r="L19" s="857"/>
      <c r="M19" s="901" t="s">
        <v>43</v>
      </c>
      <c r="N19" s="902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798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 t="s">
        <v>456</v>
      </c>
      <c r="B21" s="11">
        <v>41648</v>
      </c>
      <c r="C21" s="976" t="s">
        <v>352</v>
      </c>
      <c r="D21" s="977"/>
      <c r="E21" s="918">
        <v>160</v>
      </c>
      <c r="F21" s="918"/>
      <c r="G21" s="167">
        <f>G20-E21</f>
        <v>638</v>
      </c>
      <c r="H21" s="522"/>
      <c r="I21" s="522"/>
      <c r="J21" s="522"/>
      <c r="K21" s="522"/>
      <c r="L21" s="522"/>
      <c r="M21" s="522"/>
      <c r="N21" s="168"/>
    </row>
    <row r="22" spans="1:14" s="3" customFormat="1" ht="26.25" customHeight="1" x14ac:dyDescent="0.25">
      <c r="A22" s="165" t="s">
        <v>457</v>
      </c>
      <c r="B22" s="11">
        <v>41697</v>
      </c>
      <c r="C22" s="1040" t="s">
        <v>352</v>
      </c>
      <c r="D22" s="1041"/>
      <c r="E22" s="918">
        <v>200</v>
      </c>
      <c r="F22" s="918"/>
      <c r="G22" s="167">
        <f t="shared" ref="G22:G25" si="1">G21-E22</f>
        <v>438</v>
      </c>
      <c r="H22" s="522"/>
      <c r="I22" s="522"/>
      <c r="J22" s="522"/>
      <c r="K22" s="522"/>
      <c r="L22" s="522"/>
      <c r="M22" s="522"/>
      <c r="N22" s="168"/>
    </row>
    <row r="23" spans="1:14" s="3" customFormat="1" ht="26.25" customHeight="1" x14ac:dyDescent="0.25">
      <c r="A23" s="165" t="s">
        <v>537</v>
      </c>
      <c r="B23" s="11">
        <v>41739</v>
      </c>
      <c r="C23" s="1040" t="s">
        <v>352</v>
      </c>
      <c r="D23" s="1041"/>
      <c r="E23" s="918">
        <v>150</v>
      </c>
      <c r="F23" s="918"/>
      <c r="G23" s="167">
        <f t="shared" si="1"/>
        <v>288</v>
      </c>
      <c r="H23" s="522"/>
      <c r="I23" s="522"/>
      <c r="J23" s="522"/>
      <c r="K23" s="522"/>
      <c r="L23" s="522"/>
      <c r="M23" s="522"/>
      <c r="N23" s="168"/>
    </row>
    <row r="24" spans="1:14" s="3" customFormat="1" ht="26.25" customHeight="1" x14ac:dyDescent="0.25">
      <c r="A24" s="165" t="s">
        <v>563</v>
      </c>
      <c r="B24" s="11">
        <v>41768</v>
      </c>
      <c r="C24" s="1040" t="s">
        <v>352</v>
      </c>
      <c r="D24" s="1041"/>
      <c r="E24" s="918">
        <v>120</v>
      </c>
      <c r="F24" s="918"/>
      <c r="G24" s="167">
        <f t="shared" si="1"/>
        <v>168</v>
      </c>
      <c r="H24" s="522"/>
      <c r="I24" s="522"/>
      <c r="J24" s="522"/>
      <c r="K24" s="522"/>
      <c r="L24" s="522"/>
      <c r="M24" s="522"/>
      <c r="N24" s="168"/>
    </row>
    <row r="25" spans="1:14" s="3" customFormat="1" ht="26.25" customHeight="1" x14ac:dyDescent="0.25">
      <c r="A25" s="169" t="s">
        <v>592</v>
      </c>
      <c r="B25" s="166">
        <v>41793</v>
      </c>
      <c r="C25" s="1040" t="s">
        <v>352</v>
      </c>
      <c r="D25" s="1041"/>
      <c r="E25" s="919">
        <v>80</v>
      </c>
      <c r="F25" s="919"/>
      <c r="G25" s="167">
        <f t="shared" si="1"/>
        <v>88</v>
      </c>
      <c r="H25" s="522"/>
      <c r="I25" s="522"/>
      <c r="J25" s="522"/>
      <c r="K25" s="522"/>
      <c r="L25" s="522"/>
      <c r="M25" s="522"/>
      <c r="N25" s="168"/>
    </row>
    <row r="26" spans="1:14" s="23" customFormat="1" ht="26.25" customHeight="1" thickBot="1" x14ac:dyDescent="0.3">
      <c r="A26" s="914" t="s">
        <v>36</v>
      </c>
      <c r="B26" s="915"/>
      <c r="C26" s="915"/>
      <c r="D26" s="915"/>
      <c r="E26" s="916">
        <f>SUM(E21:F25)</f>
        <v>710</v>
      </c>
      <c r="F26" s="917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44"/>
      <c r="F27" s="844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Nget Kimsan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7">
    <mergeCell ref="A26:D26"/>
    <mergeCell ref="E26:F26"/>
    <mergeCell ref="E27:F27"/>
    <mergeCell ref="K33:N33"/>
    <mergeCell ref="C23:D23"/>
    <mergeCell ref="E23:F23"/>
    <mergeCell ref="C24:D24"/>
    <mergeCell ref="E24:F24"/>
    <mergeCell ref="C25:D25"/>
    <mergeCell ref="E25:F25"/>
    <mergeCell ref="M19:N19"/>
    <mergeCell ref="A20:F20"/>
    <mergeCell ref="C21:D21"/>
    <mergeCell ref="E21:F21"/>
    <mergeCell ref="C22:D22"/>
    <mergeCell ref="E22:F22"/>
    <mergeCell ref="C19:D19"/>
    <mergeCell ref="E19:F19"/>
    <mergeCell ref="K19:L19"/>
    <mergeCell ref="A16:D16"/>
    <mergeCell ref="K16:L16"/>
    <mergeCell ref="A17:F17"/>
    <mergeCell ref="K17:L17"/>
    <mergeCell ref="A18:G18"/>
    <mergeCell ref="A1:XFD7"/>
    <mergeCell ref="A8:N8"/>
    <mergeCell ref="K9:L9"/>
    <mergeCell ref="B10:B15"/>
    <mergeCell ref="C10:C15"/>
    <mergeCell ref="K10:L10"/>
    <mergeCell ref="O10:Q10"/>
    <mergeCell ref="K11:L11"/>
    <mergeCell ref="K15:L15"/>
    <mergeCell ref="O11:Q11"/>
    <mergeCell ref="K13:L13"/>
    <mergeCell ref="K14:L14"/>
    <mergeCell ref="K12:L12"/>
  </mergeCells>
  <hyperlinks>
    <hyperlink ref="M19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"/>
  <sheetViews>
    <sheetView zoomScale="80" workbookViewId="0">
      <pane ySplit="9" topLeftCell="A10" activePane="bottomLeft" state="frozen"/>
      <selection activeCell="G13" sqref="G13"/>
      <selection pane="bottomLeft" activeCell="V26" sqref="V26:V28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27.28515625" style="1" customWidth="1"/>
    <col min="5" max="5" width="8.42578125" style="1" customWidth="1"/>
    <col min="6" max="6" width="10.85546875" style="1" customWidth="1"/>
    <col min="7" max="7" width="17.5703125" style="1" customWidth="1"/>
    <col min="8" max="8" width="6.1406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7" s="866" customFormat="1" ht="15" x14ac:dyDescent="0.25"/>
    <row r="2" spans="1:17" s="866" customFormat="1" ht="15" x14ac:dyDescent="0.25"/>
    <row r="3" spans="1:17" s="866" customFormat="1" ht="15" x14ac:dyDescent="0.25"/>
    <row r="4" spans="1:17" s="866" customFormat="1" ht="15" x14ac:dyDescent="0.25"/>
    <row r="5" spans="1:17" s="866" customFormat="1" ht="15" x14ac:dyDescent="0.25"/>
    <row r="6" spans="1:17" s="866" customFormat="1" ht="15" x14ac:dyDescent="0.25"/>
    <row r="7" spans="1:17" s="866" customFormat="1" ht="15.75" thickBot="1" x14ac:dyDescent="0.3"/>
    <row r="8" spans="1:17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7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25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7" s="541" customFormat="1" ht="26.25" customHeight="1" x14ac:dyDescent="0.25">
      <c r="A10" s="91">
        <v>1</v>
      </c>
      <c r="B10" s="890" t="s">
        <v>166</v>
      </c>
      <c r="C10" s="890" t="s">
        <v>31</v>
      </c>
      <c r="D10" s="549" t="s">
        <v>357</v>
      </c>
      <c r="E10" s="544">
        <v>45</v>
      </c>
      <c r="F10" s="55"/>
      <c r="G10" s="56"/>
      <c r="H10" s="544" t="s">
        <v>98</v>
      </c>
      <c r="I10" s="544">
        <v>3</v>
      </c>
      <c r="J10" s="544">
        <v>10</v>
      </c>
      <c r="K10" s="948" t="s">
        <v>358</v>
      </c>
      <c r="L10" s="949"/>
      <c r="M10" s="542">
        <v>41517</v>
      </c>
      <c r="N10" s="543"/>
      <c r="O10" s="548"/>
      <c r="P10" s="432"/>
      <c r="Q10" s="432"/>
    </row>
    <row r="11" spans="1:17" s="541" customFormat="1" ht="26.25" customHeight="1" x14ac:dyDescent="0.25">
      <c r="A11" s="93"/>
      <c r="B11" s="891"/>
      <c r="C11" s="891"/>
      <c r="D11" s="53"/>
      <c r="E11" s="80"/>
      <c r="F11" s="55"/>
      <c r="G11" s="56"/>
      <c r="H11" s="80"/>
      <c r="I11" s="80"/>
      <c r="J11" s="80"/>
      <c r="K11" s="876"/>
      <c r="L11" s="877"/>
      <c r="M11" s="94"/>
      <c r="N11" s="84"/>
    </row>
    <row r="12" spans="1:17" s="541" customFormat="1" ht="26.25" customHeight="1" x14ac:dyDescent="0.25">
      <c r="A12" s="93"/>
      <c r="B12" s="891"/>
      <c r="C12" s="891"/>
      <c r="D12" s="53"/>
      <c r="E12" s="80"/>
      <c r="F12" s="55"/>
      <c r="G12" s="56"/>
      <c r="H12" s="80"/>
      <c r="I12" s="80"/>
      <c r="J12" s="80"/>
      <c r="K12" s="181"/>
      <c r="L12" s="182"/>
      <c r="M12" s="94"/>
      <c r="N12" s="84"/>
    </row>
    <row r="13" spans="1:17" s="541" customFormat="1" ht="26.25" customHeight="1" x14ac:dyDescent="0.25">
      <c r="A13" s="93"/>
      <c r="B13" s="891"/>
      <c r="C13" s="891"/>
      <c r="D13" s="77"/>
      <c r="E13" s="80"/>
      <c r="F13" s="55"/>
      <c r="G13" s="56">
        <f>E13*F13</f>
        <v>0</v>
      </c>
      <c r="H13" s="80"/>
      <c r="I13" s="80"/>
      <c r="J13" s="80"/>
      <c r="K13" s="181"/>
      <c r="L13" s="182"/>
      <c r="M13" s="94"/>
      <c r="N13" s="84"/>
    </row>
    <row r="14" spans="1:17" s="541" customFormat="1" ht="26.25" customHeight="1" x14ac:dyDescent="0.25">
      <c r="A14" s="93"/>
      <c r="B14" s="891"/>
      <c r="C14" s="891"/>
      <c r="D14" s="77"/>
      <c r="E14" s="80"/>
      <c r="F14" s="55"/>
      <c r="G14" s="56">
        <f t="shared" ref="G14:G15" si="0">E14*F14</f>
        <v>0</v>
      </c>
      <c r="H14" s="80"/>
      <c r="I14" s="80"/>
      <c r="J14" s="80"/>
      <c r="K14" s="181"/>
      <c r="L14" s="182"/>
      <c r="M14" s="94"/>
      <c r="N14" s="84"/>
    </row>
    <row r="15" spans="1:17" s="541" customFormat="1" ht="26.25" customHeight="1" x14ac:dyDescent="0.25">
      <c r="A15" s="93"/>
      <c r="B15" s="891"/>
      <c r="C15" s="891"/>
      <c r="D15" s="77"/>
      <c r="E15" s="80"/>
      <c r="F15" s="55"/>
      <c r="G15" s="56">
        <f t="shared" si="0"/>
        <v>0</v>
      </c>
      <c r="H15" s="80"/>
      <c r="I15" s="80"/>
      <c r="J15" s="80"/>
      <c r="K15" s="876"/>
      <c r="L15" s="877"/>
      <c r="M15" s="94"/>
      <c r="N15" s="84"/>
    </row>
    <row r="16" spans="1:17" s="541" customFormat="1" ht="26.25" customHeight="1" x14ac:dyDescent="0.25">
      <c r="A16" s="925" t="s">
        <v>11</v>
      </c>
      <c r="B16" s="926"/>
      <c r="C16" s="926"/>
      <c r="D16" s="926"/>
      <c r="E16" s="546">
        <f>SUM(E10:E15)</f>
        <v>45</v>
      </c>
      <c r="F16" s="76">
        <v>8</v>
      </c>
      <c r="G16" s="56">
        <f>E16*F16</f>
        <v>360</v>
      </c>
      <c r="H16" s="545"/>
      <c r="I16" s="545"/>
      <c r="J16" s="545"/>
      <c r="K16" s="876"/>
      <c r="L16" s="877"/>
      <c r="M16" s="545"/>
      <c r="N16" s="63"/>
    </row>
    <row r="17" spans="1:14" s="541" customFormat="1" ht="26.25" customHeight="1" x14ac:dyDescent="0.25">
      <c r="A17" s="927" t="s">
        <v>24</v>
      </c>
      <c r="B17" s="928"/>
      <c r="C17" s="928"/>
      <c r="D17" s="928"/>
      <c r="E17" s="928"/>
      <c r="F17" s="928"/>
      <c r="G17" s="64">
        <f>SUM(G10:G16)</f>
        <v>360</v>
      </c>
      <c r="H17" s="547"/>
      <c r="I17" s="547"/>
      <c r="J17" s="547"/>
      <c r="K17" s="859"/>
      <c r="L17" s="860"/>
      <c r="M17" s="547"/>
      <c r="N17" s="66"/>
    </row>
    <row r="18" spans="1:14" s="48" customFormat="1" ht="26.25" customHeight="1" x14ac:dyDescent="0.25">
      <c r="A18" s="929" t="s">
        <v>32</v>
      </c>
      <c r="B18" s="930"/>
      <c r="C18" s="930"/>
      <c r="D18" s="930"/>
      <c r="E18" s="930"/>
      <c r="F18" s="930"/>
      <c r="G18" s="900"/>
      <c r="H18" s="67"/>
      <c r="I18" s="67"/>
      <c r="J18" s="68" t="s">
        <v>44</v>
      </c>
      <c r="K18" s="67"/>
      <c r="L18" s="68"/>
      <c r="M18" s="69"/>
      <c r="N18" s="70"/>
    </row>
    <row r="19" spans="1:14" s="48" customFormat="1" ht="22.5" customHeight="1" thickBot="1" x14ac:dyDescent="0.3">
      <c r="A19" s="72" t="s">
        <v>5</v>
      </c>
      <c r="B19" s="71" t="s">
        <v>33</v>
      </c>
      <c r="C19" s="857" t="s">
        <v>21</v>
      </c>
      <c r="D19" s="858"/>
      <c r="E19" s="857" t="s">
        <v>34</v>
      </c>
      <c r="F19" s="858"/>
      <c r="G19" s="71" t="s">
        <v>0</v>
      </c>
      <c r="H19" s="71" t="s">
        <v>25</v>
      </c>
      <c r="I19" s="71" t="s">
        <v>26</v>
      </c>
      <c r="J19" s="71" t="s">
        <v>27</v>
      </c>
      <c r="K19" s="863" t="s">
        <v>28</v>
      </c>
      <c r="L19" s="857"/>
      <c r="M19" s="901" t="s">
        <v>43</v>
      </c>
      <c r="N19" s="902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360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 t="s">
        <v>537</v>
      </c>
      <c r="B21" s="11">
        <v>41739</v>
      </c>
      <c r="C21" s="1040" t="s">
        <v>357</v>
      </c>
      <c r="D21" s="1041"/>
      <c r="E21" s="918">
        <v>160</v>
      </c>
      <c r="F21" s="918"/>
      <c r="G21" s="167">
        <f>G20-E21</f>
        <v>200</v>
      </c>
      <c r="H21" s="540"/>
      <c r="I21" s="540"/>
      <c r="J21" s="540"/>
      <c r="K21" s="540"/>
      <c r="L21" s="540"/>
      <c r="M21" s="540"/>
      <c r="N21" s="168"/>
    </row>
    <row r="22" spans="1:14" s="3" customFormat="1" ht="26.25" customHeight="1" x14ac:dyDescent="0.25">
      <c r="A22" s="165" t="s">
        <v>563</v>
      </c>
      <c r="B22" s="11">
        <v>41768</v>
      </c>
      <c r="C22" s="1040" t="s">
        <v>357</v>
      </c>
      <c r="D22" s="1041"/>
      <c r="E22" s="918">
        <v>200</v>
      </c>
      <c r="F22" s="918"/>
      <c r="G22" s="167">
        <f t="shared" ref="G22:G25" si="1">G21-E22</f>
        <v>0</v>
      </c>
      <c r="H22" s="540"/>
      <c r="I22" s="540"/>
      <c r="J22" s="540"/>
      <c r="K22" s="540"/>
      <c r="L22" s="540"/>
      <c r="M22" s="540"/>
      <c r="N22" s="168"/>
    </row>
    <row r="23" spans="1:14" s="3" customFormat="1" ht="26.25" customHeight="1" x14ac:dyDescent="0.25">
      <c r="A23" s="170"/>
      <c r="B23" s="166"/>
      <c r="C23" s="924"/>
      <c r="D23" s="924"/>
      <c r="E23" s="918"/>
      <c r="F23" s="918"/>
      <c r="G23" s="167">
        <f t="shared" si="1"/>
        <v>0</v>
      </c>
      <c r="H23" s="540"/>
      <c r="I23" s="540"/>
      <c r="J23" s="540"/>
      <c r="K23" s="540"/>
      <c r="L23" s="540"/>
      <c r="M23" s="540"/>
      <c r="N23" s="168"/>
    </row>
    <row r="24" spans="1:14" s="3" customFormat="1" ht="26.25" customHeight="1" x14ac:dyDescent="0.25">
      <c r="A24" s="170"/>
      <c r="B24" s="166"/>
      <c r="C24" s="924"/>
      <c r="D24" s="924"/>
      <c r="E24" s="918"/>
      <c r="F24" s="918"/>
      <c r="G24" s="167">
        <f t="shared" si="1"/>
        <v>0</v>
      </c>
      <c r="H24" s="540"/>
      <c r="I24" s="540"/>
      <c r="J24" s="540"/>
      <c r="K24" s="540"/>
      <c r="L24" s="540"/>
      <c r="M24" s="540"/>
      <c r="N24" s="168"/>
    </row>
    <row r="25" spans="1:14" s="3" customFormat="1" ht="26.25" customHeight="1" x14ac:dyDescent="0.25">
      <c r="A25" s="169"/>
      <c r="B25" s="166"/>
      <c r="C25" s="945"/>
      <c r="D25" s="945"/>
      <c r="E25" s="919"/>
      <c r="F25" s="919"/>
      <c r="G25" s="167">
        <f t="shared" si="1"/>
        <v>0</v>
      </c>
      <c r="H25" s="540"/>
      <c r="I25" s="540"/>
      <c r="J25" s="540"/>
      <c r="K25" s="540"/>
      <c r="L25" s="540"/>
      <c r="M25" s="540"/>
      <c r="N25" s="168"/>
    </row>
    <row r="26" spans="1:14" s="23" customFormat="1" ht="26.25" customHeight="1" thickBot="1" x14ac:dyDescent="0.3">
      <c r="A26" s="914" t="s">
        <v>36</v>
      </c>
      <c r="B26" s="915"/>
      <c r="C26" s="915"/>
      <c r="D26" s="915"/>
      <c r="E26" s="916">
        <f>SUM(E21:F25)</f>
        <v>360</v>
      </c>
      <c r="F26" s="917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44"/>
      <c r="F27" s="844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Lam Socheat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2">
    <mergeCell ref="A1:XFD7"/>
    <mergeCell ref="A8:N8"/>
    <mergeCell ref="K9:L9"/>
    <mergeCell ref="B10:B15"/>
    <mergeCell ref="C10:C15"/>
    <mergeCell ref="K10:L10"/>
    <mergeCell ref="K11:L11"/>
    <mergeCell ref="K15:L15"/>
    <mergeCell ref="A16:D16"/>
    <mergeCell ref="K16:L16"/>
    <mergeCell ref="A17:F17"/>
    <mergeCell ref="K17:L17"/>
    <mergeCell ref="A18:G18"/>
    <mergeCell ref="M19:N19"/>
    <mergeCell ref="A20:F20"/>
    <mergeCell ref="C21:D21"/>
    <mergeCell ref="E21:F21"/>
    <mergeCell ref="C22:D22"/>
    <mergeCell ref="E22:F22"/>
    <mergeCell ref="C19:D19"/>
    <mergeCell ref="E19:F19"/>
    <mergeCell ref="K19:L19"/>
    <mergeCell ref="A26:D26"/>
    <mergeCell ref="E26:F26"/>
    <mergeCell ref="E27:F27"/>
    <mergeCell ref="K33:N33"/>
    <mergeCell ref="C23:D23"/>
    <mergeCell ref="E23:F23"/>
    <mergeCell ref="C24:D24"/>
    <mergeCell ref="E24:F24"/>
    <mergeCell ref="C25:D25"/>
    <mergeCell ref="E25:F25"/>
  </mergeCells>
  <hyperlinks>
    <hyperlink ref="M19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"/>
  <sheetViews>
    <sheetView zoomScale="80" workbookViewId="0">
      <pane ySplit="9" topLeftCell="A13" activePane="bottomLeft" state="frozen"/>
      <selection activeCell="G13" sqref="G13"/>
      <selection pane="bottomLeft" activeCell="T21" sqref="S21:T21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27.28515625" style="1" customWidth="1"/>
    <col min="5" max="5" width="8.42578125" style="1" customWidth="1"/>
    <col min="6" max="6" width="10.85546875" style="1" customWidth="1"/>
    <col min="7" max="7" width="17.5703125" style="1" customWidth="1"/>
    <col min="8" max="8" width="6.1406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17" width="9.140625" style="1"/>
    <col min="18" max="18" width="14.42578125" style="1" customWidth="1"/>
    <col min="19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7" s="866" customFormat="1" ht="15" x14ac:dyDescent="0.25"/>
    <row r="2" spans="1:17" s="866" customFormat="1" ht="15" x14ac:dyDescent="0.25"/>
    <row r="3" spans="1:17" s="866" customFormat="1" ht="15" x14ac:dyDescent="0.25"/>
    <row r="4" spans="1:17" s="866" customFormat="1" ht="15" x14ac:dyDescent="0.25"/>
    <row r="5" spans="1:17" s="866" customFormat="1" ht="15" x14ac:dyDescent="0.25"/>
    <row r="6" spans="1:17" s="866" customFormat="1" ht="15" x14ac:dyDescent="0.25"/>
    <row r="7" spans="1:17" s="866" customFormat="1" ht="15.75" thickBot="1" x14ac:dyDescent="0.3"/>
    <row r="8" spans="1:17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7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25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7" s="541" customFormat="1" ht="26.25" customHeight="1" x14ac:dyDescent="0.25">
      <c r="A10" s="91">
        <v>1</v>
      </c>
      <c r="B10" s="890" t="s">
        <v>69</v>
      </c>
      <c r="C10" s="890" t="s">
        <v>31</v>
      </c>
      <c r="D10" s="53" t="s">
        <v>354</v>
      </c>
      <c r="E10" s="544">
        <f>36+9</f>
        <v>45</v>
      </c>
      <c r="F10" s="55"/>
      <c r="G10" s="56"/>
      <c r="H10" s="544" t="s">
        <v>25</v>
      </c>
      <c r="I10" s="544">
        <v>4</v>
      </c>
      <c r="J10" s="544">
        <v>9</v>
      </c>
      <c r="K10" s="948" t="s">
        <v>42</v>
      </c>
      <c r="L10" s="949"/>
      <c r="M10" s="542">
        <v>41600</v>
      </c>
      <c r="N10" s="543"/>
      <c r="O10" s="548" t="s">
        <v>355</v>
      </c>
      <c r="P10" s="432"/>
      <c r="Q10" s="432"/>
    </row>
    <row r="11" spans="1:17" s="541" customFormat="1" ht="26.25" customHeight="1" x14ac:dyDescent="0.25">
      <c r="A11" s="93"/>
      <c r="B11" s="891"/>
      <c r="C11" s="891"/>
      <c r="D11" s="53"/>
      <c r="E11" s="80"/>
      <c r="F11" s="55"/>
      <c r="G11" s="56"/>
      <c r="H11" s="80"/>
      <c r="I11" s="80"/>
      <c r="J11" s="80"/>
      <c r="K11" s="876"/>
      <c r="L11" s="877"/>
      <c r="M11" s="94"/>
      <c r="N11" s="84"/>
    </row>
    <row r="12" spans="1:17" s="541" customFormat="1" ht="26.25" customHeight="1" x14ac:dyDescent="0.25">
      <c r="A12" s="93"/>
      <c r="B12" s="891"/>
      <c r="C12" s="891"/>
      <c r="D12" s="53"/>
      <c r="E12" s="80"/>
      <c r="F12" s="55"/>
      <c r="G12" s="56"/>
      <c r="H12" s="80"/>
      <c r="I12" s="80"/>
      <c r="J12" s="80"/>
      <c r="K12" s="181"/>
      <c r="L12" s="182"/>
      <c r="M12" s="94"/>
      <c r="N12" s="84"/>
    </row>
    <row r="13" spans="1:17" s="541" customFormat="1" ht="26.25" customHeight="1" x14ac:dyDescent="0.25">
      <c r="A13" s="93"/>
      <c r="B13" s="891"/>
      <c r="C13" s="891"/>
      <c r="D13" s="77"/>
      <c r="E13" s="80"/>
      <c r="F13" s="55"/>
      <c r="G13" s="56">
        <f>E13*F13</f>
        <v>0</v>
      </c>
      <c r="H13" s="80"/>
      <c r="I13" s="80"/>
      <c r="J13" s="80"/>
      <c r="K13" s="181"/>
      <c r="L13" s="182"/>
      <c r="M13" s="94"/>
      <c r="N13" s="84"/>
    </row>
    <row r="14" spans="1:17" s="541" customFormat="1" ht="26.25" customHeight="1" x14ac:dyDescent="0.25">
      <c r="A14" s="93"/>
      <c r="B14" s="891"/>
      <c r="C14" s="891"/>
      <c r="D14" s="77"/>
      <c r="E14" s="80"/>
      <c r="F14" s="55"/>
      <c r="G14" s="56">
        <f t="shared" ref="G14:G15" si="0">E14*F14</f>
        <v>0</v>
      </c>
      <c r="H14" s="80"/>
      <c r="I14" s="80"/>
      <c r="J14" s="80"/>
      <c r="K14" s="181"/>
      <c r="L14" s="182"/>
      <c r="M14" s="94"/>
      <c r="N14" s="84"/>
    </row>
    <row r="15" spans="1:17" s="541" customFormat="1" ht="26.25" customHeight="1" x14ac:dyDescent="0.25">
      <c r="A15" s="93"/>
      <c r="B15" s="891"/>
      <c r="C15" s="891"/>
      <c r="D15" s="77"/>
      <c r="E15" s="80"/>
      <c r="F15" s="55"/>
      <c r="G15" s="56">
        <f t="shared" si="0"/>
        <v>0</v>
      </c>
      <c r="H15" s="80"/>
      <c r="I15" s="80"/>
      <c r="J15" s="80"/>
      <c r="K15" s="876"/>
      <c r="L15" s="877"/>
      <c r="M15" s="94"/>
      <c r="N15" s="84"/>
    </row>
    <row r="16" spans="1:17" s="541" customFormat="1" ht="26.25" customHeight="1" x14ac:dyDescent="0.25">
      <c r="A16" s="925" t="s">
        <v>11</v>
      </c>
      <c r="B16" s="926"/>
      <c r="C16" s="926"/>
      <c r="D16" s="926"/>
      <c r="E16" s="546">
        <f>SUM(E10:E15)</f>
        <v>45</v>
      </c>
      <c r="F16" s="76">
        <v>8</v>
      </c>
      <c r="G16" s="56">
        <f>E16*F16</f>
        <v>360</v>
      </c>
      <c r="H16" s="545"/>
      <c r="I16" s="545"/>
      <c r="J16" s="545"/>
      <c r="K16" s="876"/>
      <c r="L16" s="877"/>
      <c r="M16" s="545"/>
      <c r="N16" s="63"/>
    </row>
    <row r="17" spans="1:14" s="541" customFormat="1" ht="26.25" customHeight="1" x14ac:dyDescent="0.25">
      <c r="A17" s="927" t="s">
        <v>24</v>
      </c>
      <c r="B17" s="928"/>
      <c r="C17" s="928"/>
      <c r="D17" s="928"/>
      <c r="E17" s="928"/>
      <c r="F17" s="928"/>
      <c r="G17" s="64">
        <f>SUM(G10:G16)</f>
        <v>360</v>
      </c>
      <c r="H17" s="547"/>
      <c r="I17" s="547"/>
      <c r="J17" s="547"/>
      <c r="K17" s="859"/>
      <c r="L17" s="860"/>
      <c r="M17" s="547"/>
      <c r="N17" s="66"/>
    </row>
    <row r="18" spans="1:14" s="48" customFormat="1" ht="26.25" customHeight="1" x14ac:dyDescent="0.25">
      <c r="A18" s="929" t="s">
        <v>32</v>
      </c>
      <c r="B18" s="930"/>
      <c r="C18" s="930"/>
      <c r="D18" s="930"/>
      <c r="E18" s="930"/>
      <c r="F18" s="930"/>
      <c r="G18" s="900"/>
      <c r="H18" s="67"/>
      <c r="I18" s="67"/>
      <c r="J18" s="68" t="s">
        <v>44</v>
      </c>
      <c r="K18" s="67"/>
      <c r="L18" s="68"/>
      <c r="M18" s="69"/>
      <c r="N18" s="70"/>
    </row>
    <row r="19" spans="1:14" s="48" customFormat="1" ht="22.5" customHeight="1" thickBot="1" x14ac:dyDescent="0.3">
      <c r="A19" s="72" t="s">
        <v>5</v>
      </c>
      <c r="B19" s="71" t="s">
        <v>33</v>
      </c>
      <c r="C19" s="857" t="s">
        <v>21</v>
      </c>
      <c r="D19" s="858"/>
      <c r="E19" s="857" t="s">
        <v>34</v>
      </c>
      <c r="F19" s="858"/>
      <c r="G19" s="71" t="s">
        <v>0</v>
      </c>
      <c r="H19" s="71" t="s">
        <v>25</v>
      </c>
      <c r="I19" s="71" t="s">
        <v>26</v>
      </c>
      <c r="J19" s="71" t="s">
        <v>27</v>
      </c>
      <c r="K19" s="863" t="s">
        <v>28</v>
      </c>
      <c r="L19" s="857"/>
      <c r="M19" s="901" t="s">
        <v>43</v>
      </c>
      <c r="N19" s="902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360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 t="s">
        <v>356</v>
      </c>
      <c r="B21" s="11">
        <v>41622</v>
      </c>
      <c r="C21" s="1040" t="s">
        <v>354</v>
      </c>
      <c r="D21" s="1041"/>
      <c r="E21" s="918">
        <v>50</v>
      </c>
      <c r="F21" s="918"/>
      <c r="G21" s="167">
        <f>G20-E21</f>
        <v>310</v>
      </c>
      <c r="H21" s="540"/>
      <c r="I21" s="540"/>
      <c r="J21" s="540"/>
      <c r="K21" s="540"/>
      <c r="L21" s="540"/>
      <c r="M21" s="540"/>
      <c r="N21" s="168"/>
    </row>
    <row r="22" spans="1:14" s="3" customFormat="1" ht="26.25" customHeight="1" x14ac:dyDescent="0.25">
      <c r="A22" s="313" t="s">
        <v>370</v>
      </c>
      <c r="B22" s="312">
        <v>41645</v>
      </c>
      <c r="C22" s="1040" t="s">
        <v>354</v>
      </c>
      <c r="D22" s="1041"/>
      <c r="E22" s="918">
        <v>100</v>
      </c>
      <c r="F22" s="918"/>
      <c r="G22" s="167">
        <f t="shared" ref="G22:G23" si="1">G21-E22</f>
        <v>210</v>
      </c>
      <c r="H22" s="540"/>
      <c r="I22" s="540"/>
      <c r="J22" s="540"/>
      <c r="K22" s="540"/>
      <c r="L22" s="540"/>
      <c r="M22" s="540"/>
      <c r="N22" s="168"/>
    </row>
    <row r="23" spans="1:14" s="3" customFormat="1" ht="26.25" customHeight="1" x14ac:dyDescent="0.25">
      <c r="A23" s="170" t="s">
        <v>465</v>
      </c>
      <c r="B23" s="166">
        <v>41703</v>
      </c>
      <c r="C23" s="1040" t="s">
        <v>354</v>
      </c>
      <c r="D23" s="1041"/>
      <c r="E23" s="918">
        <v>100</v>
      </c>
      <c r="F23" s="918"/>
      <c r="G23" s="167">
        <f t="shared" si="1"/>
        <v>110</v>
      </c>
      <c r="H23" s="540"/>
      <c r="I23" s="540"/>
      <c r="J23" s="540"/>
      <c r="K23" s="540"/>
      <c r="L23" s="540"/>
      <c r="M23" s="540"/>
      <c r="N23" s="168"/>
    </row>
    <row r="24" spans="1:14" s="3" customFormat="1" ht="26.25" customHeight="1" x14ac:dyDescent="0.25">
      <c r="A24" s="170" t="s">
        <v>537</v>
      </c>
      <c r="B24" s="166">
        <v>41739</v>
      </c>
      <c r="C24" s="1040" t="s">
        <v>354</v>
      </c>
      <c r="D24" s="1041"/>
      <c r="E24" s="918">
        <v>110</v>
      </c>
      <c r="F24" s="918"/>
      <c r="G24" s="167">
        <f>G23-E24</f>
        <v>0</v>
      </c>
      <c r="H24" s="540"/>
      <c r="I24" s="540"/>
      <c r="J24" s="540"/>
      <c r="K24" s="540"/>
      <c r="L24" s="540"/>
      <c r="M24" s="540"/>
      <c r="N24" s="168"/>
    </row>
    <row r="25" spans="1:14" s="3" customFormat="1" ht="26.25" customHeight="1" x14ac:dyDescent="0.25">
      <c r="A25" s="169"/>
      <c r="B25" s="166"/>
      <c r="C25" s="945"/>
      <c r="D25" s="945"/>
      <c r="E25" s="919"/>
      <c r="F25" s="919"/>
      <c r="G25" s="167">
        <f>G24-E25</f>
        <v>0</v>
      </c>
      <c r="H25" s="540"/>
      <c r="I25" s="540"/>
      <c r="J25" s="540"/>
      <c r="K25" s="540"/>
      <c r="L25" s="540"/>
      <c r="M25" s="540"/>
      <c r="N25" s="168"/>
    </row>
    <row r="26" spans="1:14" s="23" customFormat="1" ht="26.25" customHeight="1" thickBot="1" x14ac:dyDescent="0.3">
      <c r="A26" s="914" t="s">
        <v>36</v>
      </c>
      <c r="B26" s="915"/>
      <c r="C26" s="915"/>
      <c r="D26" s="915"/>
      <c r="E26" s="916">
        <f>SUM(E21:F25)</f>
        <v>360</v>
      </c>
      <c r="F26" s="917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44"/>
      <c r="F27" s="844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Phou Sok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2">
    <mergeCell ref="A1:XFD7"/>
    <mergeCell ref="A8:N8"/>
    <mergeCell ref="K9:L9"/>
    <mergeCell ref="B10:B15"/>
    <mergeCell ref="C10:C15"/>
    <mergeCell ref="K10:L10"/>
    <mergeCell ref="K11:L11"/>
    <mergeCell ref="K15:L15"/>
    <mergeCell ref="A16:D16"/>
    <mergeCell ref="K16:L16"/>
    <mergeCell ref="A17:F17"/>
    <mergeCell ref="K17:L17"/>
    <mergeCell ref="A18:G18"/>
    <mergeCell ref="M19:N19"/>
    <mergeCell ref="A20:F20"/>
    <mergeCell ref="C21:D21"/>
    <mergeCell ref="E21:F21"/>
    <mergeCell ref="C22:D22"/>
    <mergeCell ref="E22:F22"/>
    <mergeCell ref="C19:D19"/>
    <mergeCell ref="E19:F19"/>
    <mergeCell ref="K19:L19"/>
    <mergeCell ref="A26:D26"/>
    <mergeCell ref="E26:F26"/>
    <mergeCell ref="E27:F27"/>
    <mergeCell ref="K33:N33"/>
    <mergeCell ref="C23:D23"/>
    <mergeCell ref="E23:F23"/>
    <mergeCell ref="C24:D24"/>
    <mergeCell ref="E24:F24"/>
    <mergeCell ref="C25:D25"/>
    <mergeCell ref="E25:F25"/>
  </mergeCells>
  <hyperlinks>
    <hyperlink ref="M19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"/>
  <sheetViews>
    <sheetView zoomScale="80" workbookViewId="0">
      <pane ySplit="9" topLeftCell="A16" activePane="bottomLeft" state="frozen"/>
      <selection activeCell="G13" sqref="G13"/>
      <selection pane="bottomLeft" activeCell="E23" sqref="E23:F23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27.28515625" style="1" customWidth="1"/>
    <col min="5" max="5" width="8.42578125" style="1" customWidth="1"/>
    <col min="6" max="6" width="10.85546875" style="1" customWidth="1"/>
    <col min="7" max="7" width="17.5703125" style="1" customWidth="1"/>
    <col min="8" max="8" width="6.1406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7" s="866" customFormat="1" ht="15" x14ac:dyDescent="0.25"/>
    <row r="2" spans="1:17" s="866" customFormat="1" ht="15" x14ac:dyDescent="0.25"/>
    <row r="3" spans="1:17" s="866" customFormat="1" ht="15" x14ac:dyDescent="0.25"/>
    <row r="4" spans="1:17" s="866" customFormat="1" ht="15" x14ac:dyDescent="0.25"/>
    <row r="5" spans="1:17" s="866" customFormat="1" ht="15" x14ac:dyDescent="0.25"/>
    <row r="6" spans="1:17" s="866" customFormat="1" ht="15" x14ac:dyDescent="0.25"/>
    <row r="7" spans="1:17" s="866" customFormat="1" ht="15.75" thickBot="1" x14ac:dyDescent="0.3"/>
    <row r="8" spans="1:17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7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25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7" s="541" customFormat="1" ht="26.25" customHeight="1" x14ac:dyDescent="0.25">
      <c r="A10" s="91">
        <v>1</v>
      </c>
      <c r="B10" s="890" t="s">
        <v>360</v>
      </c>
      <c r="C10" s="890" t="s">
        <v>31</v>
      </c>
      <c r="D10" s="549" t="s">
        <v>361</v>
      </c>
      <c r="E10" s="544">
        <f>21+15+9</f>
        <v>45</v>
      </c>
      <c r="F10" s="55"/>
      <c r="G10" s="56">
        <f>E10*F10</f>
        <v>0</v>
      </c>
      <c r="H10" s="544" t="s">
        <v>53</v>
      </c>
      <c r="I10" s="544">
        <v>2</v>
      </c>
      <c r="J10" s="544">
        <v>11</v>
      </c>
      <c r="K10" s="948" t="s">
        <v>74</v>
      </c>
      <c r="L10" s="949"/>
      <c r="M10" s="542">
        <v>41589</v>
      </c>
      <c r="N10" s="543"/>
      <c r="O10" s="548"/>
      <c r="P10" s="432"/>
      <c r="Q10" s="432"/>
    </row>
    <row r="11" spans="1:17" s="541" customFormat="1" ht="26.25" customHeight="1" x14ac:dyDescent="0.25">
      <c r="A11" s="93"/>
      <c r="B11" s="891"/>
      <c r="C11" s="891"/>
      <c r="D11" s="53"/>
      <c r="E11" s="80"/>
      <c r="F11" s="55"/>
      <c r="G11" s="56">
        <f t="shared" ref="G11:G14" si="0">E11*F11</f>
        <v>0</v>
      </c>
      <c r="H11" s="80"/>
      <c r="I11" s="80"/>
      <c r="J11" s="80"/>
      <c r="K11" s="876"/>
      <c r="L11" s="877"/>
      <c r="M11" s="94"/>
      <c r="N11" s="84"/>
    </row>
    <row r="12" spans="1:17" s="541" customFormat="1" ht="26.25" customHeight="1" x14ac:dyDescent="0.25">
      <c r="A12" s="93"/>
      <c r="B12" s="891"/>
      <c r="C12" s="891"/>
      <c r="D12" s="53"/>
      <c r="E12" s="80"/>
      <c r="F12" s="55"/>
      <c r="G12" s="56">
        <f t="shared" si="0"/>
        <v>0</v>
      </c>
      <c r="H12" s="80"/>
      <c r="I12" s="80"/>
      <c r="J12" s="80"/>
      <c r="K12" s="181"/>
      <c r="L12" s="182"/>
      <c r="M12" s="94"/>
      <c r="N12" s="84"/>
    </row>
    <row r="13" spans="1:17" s="541" customFormat="1" ht="26.25" customHeight="1" x14ac:dyDescent="0.25">
      <c r="A13" s="93"/>
      <c r="B13" s="891"/>
      <c r="C13" s="891"/>
      <c r="D13" s="77"/>
      <c r="E13" s="80"/>
      <c r="F13" s="55"/>
      <c r="G13" s="56">
        <f t="shared" si="0"/>
        <v>0</v>
      </c>
      <c r="H13" s="80"/>
      <c r="I13" s="80"/>
      <c r="J13" s="80"/>
      <c r="K13" s="181"/>
      <c r="L13" s="182"/>
      <c r="M13" s="94"/>
      <c r="N13" s="84"/>
    </row>
    <row r="14" spans="1:17" s="541" customFormat="1" ht="26.25" customHeight="1" x14ac:dyDescent="0.25">
      <c r="A14" s="93"/>
      <c r="B14" s="891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17" s="541" customFormat="1" ht="26.25" customHeight="1" x14ac:dyDescent="0.25">
      <c r="A15" s="93"/>
      <c r="B15" s="891"/>
      <c r="C15" s="891"/>
      <c r="D15" s="77"/>
      <c r="E15" s="80"/>
      <c r="F15" s="55"/>
      <c r="G15" s="56">
        <f>E15*F15</f>
        <v>0</v>
      </c>
      <c r="H15" s="80"/>
      <c r="I15" s="80"/>
      <c r="J15" s="80"/>
      <c r="K15" s="876"/>
      <c r="L15" s="877"/>
      <c r="M15" s="94"/>
      <c r="N15" s="84"/>
    </row>
    <row r="16" spans="1:17" s="541" customFormat="1" ht="26.25" customHeight="1" x14ac:dyDescent="0.25">
      <c r="A16" s="925" t="s">
        <v>11</v>
      </c>
      <c r="B16" s="926"/>
      <c r="C16" s="926"/>
      <c r="D16" s="926"/>
      <c r="E16" s="546">
        <f>SUM(E10:E15)</f>
        <v>45</v>
      </c>
      <c r="F16" s="76">
        <v>8</v>
      </c>
      <c r="G16" s="56">
        <f>E16*F16</f>
        <v>360</v>
      </c>
      <c r="H16" s="545"/>
      <c r="I16" s="545"/>
      <c r="J16" s="545"/>
      <c r="K16" s="876"/>
      <c r="L16" s="877"/>
      <c r="M16" s="545"/>
      <c r="N16" s="63"/>
    </row>
    <row r="17" spans="1:14" s="541" customFormat="1" ht="26.25" customHeight="1" x14ac:dyDescent="0.25">
      <c r="A17" s="927" t="s">
        <v>24</v>
      </c>
      <c r="B17" s="928"/>
      <c r="C17" s="928"/>
      <c r="D17" s="928"/>
      <c r="E17" s="928"/>
      <c r="F17" s="928"/>
      <c r="G17" s="64">
        <f>SUM(G10:G16)</f>
        <v>360</v>
      </c>
      <c r="H17" s="547"/>
      <c r="I17" s="547"/>
      <c r="J17" s="547"/>
      <c r="K17" s="859"/>
      <c r="L17" s="860"/>
      <c r="M17" s="547"/>
      <c r="N17" s="66"/>
    </row>
    <row r="18" spans="1:14" s="48" customFormat="1" ht="26.25" customHeight="1" x14ac:dyDescent="0.25">
      <c r="A18" s="929" t="s">
        <v>32</v>
      </c>
      <c r="B18" s="930"/>
      <c r="C18" s="930"/>
      <c r="D18" s="930"/>
      <c r="E18" s="930"/>
      <c r="F18" s="930"/>
      <c r="G18" s="900"/>
      <c r="H18" s="67"/>
      <c r="I18" s="67"/>
      <c r="J18" s="68" t="s">
        <v>44</v>
      </c>
      <c r="K18" s="67"/>
      <c r="L18" s="68"/>
      <c r="M18" s="69"/>
      <c r="N18" s="70"/>
    </row>
    <row r="19" spans="1:14" s="48" customFormat="1" ht="22.5" customHeight="1" thickBot="1" x14ac:dyDescent="0.3">
      <c r="A19" s="72" t="s">
        <v>5</v>
      </c>
      <c r="B19" s="71" t="s">
        <v>33</v>
      </c>
      <c r="C19" s="857" t="s">
        <v>21</v>
      </c>
      <c r="D19" s="858"/>
      <c r="E19" s="857" t="s">
        <v>34</v>
      </c>
      <c r="F19" s="858"/>
      <c r="G19" s="71" t="s">
        <v>0</v>
      </c>
      <c r="H19" s="71" t="s">
        <v>25</v>
      </c>
      <c r="I19" s="71" t="s">
        <v>26</v>
      </c>
      <c r="J19" s="71" t="s">
        <v>27</v>
      </c>
      <c r="K19" s="863" t="s">
        <v>28</v>
      </c>
      <c r="L19" s="857"/>
      <c r="M19" s="901" t="s">
        <v>43</v>
      </c>
      <c r="N19" s="902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360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 t="s">
        <v>465</v>
      </c>
      <c r="B21" s="11">
        <v>41703</v>
      </c>
      <c r="C21" s="1040" t="s">
        <v>361</v>
      </c>
      <c r="D21" s="1041"/>
      <c r="E21" s="918">
        <v>140</v>
      </c>
      <c r="F21" s="918"/>
      <c r="G21" s="167">
        <f>G20-E21</f>
        <v>220</v>
      </c>
      <c r="H21" s="540"/>
      <c r="I21" s="540"/>
      <c r="J21" s="540"/>
      <c r="K21" s="540"/>
      <c r="L21" s="540"/>
      <c r="M21" s="540"/>
      <c r="N21" s="168"/>
    </row>
    <row r="22" spans="1:14" s="3" customFormat="1" ht="26.25" customHeight="1" x14ac:dyDescent="0.25">
      <c r="A22" s="165" t="s">
        <v>537</v>
      </c>
      <c r="B22" s="11">
        <v>41739</v>
      </c>
      <c r="C22" s="1040" t="s">
        <v>361</v>
      </c>
      <c r="D22" s="1041"/>
      <c r="E22" s="918">
        <v>220</v>
      </c>
      <c r="F22" s="918"/>
      <c r="G22" s="167">
        <f t="shared" ref="G22:G25" si="1">G21-E22</f>
        <v>0</v>
      </c>
      <c r="H22" s="540"/>
      <c r="I22" s="540"/>
      <c r="J22" s="540"/>
      <c r="K22" s="540"/>
      <c r="L22" s="540"/>
      <c r="M22" s="540"/>
      <c r="N22" s="168"/>
    </row>
    <row r="23" spans="1:14" s="3" customFormat="1" ht="26.25" customHeight="1" x14ac:dyDescent="0.25">
      <c r="A23" s="170"/>
      <c r="B23" s="166"/>
      <c r="C23" s="924"/>
      <c r="D23" s="924"/>
      <c r="E23" s="918"/>
      <c r="F23" s="918"/>
      <c r="G23" s="167">
        <f t="shared" si="1"/>
        <v>0</v>
      </c>
      <c r="H23" s="540"/>
      <c r="I23" s="540"/>
      <c r="J23" s="540"/>
      <c r="K23" s="540"/>
      <c r="L23" s="540"/>
      <c r="M23" s="540"/>
      <c r="N23" s="168"/>
    </row>
    <row r="24" spans="1:14" s="3" customFormat="1" ht="26.25" customHeight="1" x14ac:dyDescent="0.25">
      <c r="A24" s="170"/>
      <c r="B24" s="166"/>
      <c r="C24" s="924"/>
      <c r="D24" s="924"/>
      <c r="E24" s="918"/>
      <c r="F24" s="918"/>
      <c r="G24" s="167">
        <f t="shared" si="1"/>
        <v>0</v>
      </c>
      <c r="H24" s="540"/>
      <c r="I24" s="540"/>
      <c r="J24" s="540"/>
      <c r="K24" s="540"/>
      <c r="L24" s="540"/>
      <c r="M24" s="540"/>
      <c r="N24" s="168"/>
    </row>
    <row r="25" spans="1:14" s="3" customFormat="1" ht="26.25" customHeight="1" x14ac:dyDescent="0.25">
      <c r="A25" s="169"/>
      <c r="B25" s="166"/>
      <c r="C25" s="945"/>
      <c r="D25" s="945"/>
      <c r="E25" s="919"/>
      <c r="F25" s="919"/>
      <c r="G25" s="167">
        <f t="shared" si="1"/>
        <v>0</v>
      </c>
      <c r="H25" s="540"/>
      <c r="I25" s="540"/>
      <c r="J25" s="540"/>
      <c r="K25" s="540"/>
      <c r="L25" s="540"/>
      <c r="M25" s="540"/>
      <c r="N25" s="168"/>
    </row>
    <row r="26" spans="1:14" s="23" customFormat="1" ht="26.25" customHeight="1" thickBot="1" x14ac:dyDescent="0.3">
      <c r="A26" s="914" t="s">
        <v>36</v>
      </c>
      <c r="B26" s="915"/>
      <c r="C26" s="915"/>
      <c r="D26" s="915"/>
      <c r="E26" s="916">
        <f>SUM(E21:F25)</f>
        <v>360</v>
      </c>
      <c r="F26" s="917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44"/>
      <c r="F27" s="844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Hing Sophanarith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2">
    <mergeCell ref="A1:XFD7"/>
    <mergeCell ref="A8:N8"/>
    <mergeCell ref="K9:L9"/>
    <mergeCell ref="B10:B15"/>
    <mergeCell ref="C10:C15"/>
    <mergeCell ref="K10:L10"/>
    <mergeCell ref="K11:L11"/>
    <mergeCell ref="K15:L15"/>
    <mergeCell ref="A16:D16"/>
    <mergeCell ref="K16:L16"/>
    <mergeCell ref="A17:F17"/>
    <mergeCell ref="K17:L17"/>
    <mergeCell ref="A18:G18"/>
    <mergeCell ref="M19:N19"/>
    <mergeCell ref="A20:F20"/>
    <mergeCell ref="C21:D21"/>
    <mergeCell ref="E21:F21"/>
    <mergeCell ref="C22:D22"/>
    <mergeCell ref="E22:F22"/>
    <mergeCell ref="C19:D19"/>
    <mergeCell ref="E19:F19"/>
    <mergeCell ref="K19:L19"/>
    <mergeCell ref="A26:D26"/>
    <mergeCell ref="E26:F26"/>
    <mergeCell ref="E27:F27"/>
    <mergeCell ref="K33:N33"/>
    <mergeCell ref="C23:D23"/>
    <mergeCell ref="E23:F23"/>
    <mergeCell ref="C24:D24"/>
    <mergeCell ref="E24:F24"/>
    <mergeCell ref="C25:D25"/>
    <mergeCell ref="E25:F25"/>
  </mergeCells>
  <hyperlinks>
    <hyperlink ref="M19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"/>
  <sheetViews>
    <sheetView zoomScale="80" workbookViewId="0">
      <pane ySplit="9" topLeftCell="A10" activePane="bottomLeft" state="frozen"/>
      <selection activeCell="G13" sqref="G13"/>
      <selection pane="bottomLeft" activeCell="E23" sqref="E23:F23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27.28515625" style="1" customWidth="1"/>
    <col min="5" max="5" width="8.42578125" style="1" customWidth="1"/>
    <col min="6" max="6" width="10.85546875" style="1" customWidth="1"/>
    <col min="7" max="7" width="17.5703125" style="1" customWidth="1"/>
    <col min="8" max="8" width="6.1406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7" s="866" customFormat="1" ht="15" x14ac:dyDescent="0.25"/>
    <row r="2" spans="1:17" s="866" customFormat="1" ht="15" x14ac:dyDescent="0.25"/>
    <row r="3" spans="1:17" s="866" customFormat="1" ht="15" x14ac:dyDescent="0.25"/>
    <row r="4" spans="1:17" s="866" customFormat="1" ht="15" x14ac:dyDescent="0.25"/>
    <row r="5" spans="1:17" s="866" customFormat="1" ht="15" x14ac:dyDescent="0.25"/>
    <row r="6" spans="1:17" s="866" customFormat="1" ht="15" x14ac:dyDescent="0.25"/>
    <row r="7" spans="1:17" s="866" customFormat="1" ht="15.75" thickBot="1" x14ac:dyDescent="0.3"/>
    <row r="8" spans="1:17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7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7" s="557" customFormat="1" ht="26.25" customHeight="1" x14ac:dyDescent="0.25">
      <c r="A10" s="91">
        <v>1</v>
      </c>
      <c r="B10" s="890" t="s">
        <v>383</v>
      </c>
      <c r="C10" s="890" t="s">
        <v>31</v>
      </c>
      <c r="D10" s="549" t="s">
        <v>384</v>
      </c>
      <c r="E10" s="562">
        <v>45</v>
      </c>
      <c r="F10" s="55"/>
      <c r="G10" s="56">
        <f>E10*F10</f>
        <v>0</v>
      </c>
      <c r="H10" s="562" t="s">
        <v>53</v>
      </c>
      <c r="I10" s="562">
        <v>2</v>
      </c>
      <c r="J10" s="562">
        <v>11</v>
      </c>
      <c r="K10" s="948" t="s">
        <v>74</v>
      </c>
      <c r="L10" s="949"/>
      <c r="M10" s="560">
        <v>41515</v>
      </c>
      <c r="N10" s="561"/>
      <c r="O10" s="548"/>
      <c r="P10" s="432"/>
      <c r="Q10" s="432"/>
    </row>
    <row r="11" spans="1:17" s="557" customFormat="1" ht="26.25" customHeight="1" x14ac:dyDescent="0.25">
      <c r="A11" s="93">
        <v>2</v>
      </c>
      <c r="B11" s="891"/>
      <c r="C11" s="891"/>
      <c r="D11" s="568"/>
      <c r="E11" s="80"/>
      <c r="F11" s="55"/>
      <c r="G11" s="56">
        <f t="shared" ref="G11:G14" si="0">E11*F11</f>
        <v>0</v>
      </c>
      <c r="H11" s="80"/>
      <c r="I11" s="80"/>
      <c r="J11" s="80"/>
      <c r="K11" s="876"/>
      <c r="L11" s="877"/>
      <c r="M11" s="560"/>
      <c r="N11" s="84"/>
    </row>
    <row r="12" spans="1:17" s="557" customFormat="1" ht="26.25" customHeight="1" x14ac:dyDescent="0.25">
      <c r="A12" s="93"/>
      <c r="B12" s="891"/>
      <c r="C12" s="891"/>
      <c r="D12" s="568"/>
      <c r="E12" s="80"/>
      <c r="F12" s="55"/>
      <c r="G12" s="56">
        <f t="shared" si="0"/>
        <v>0</v>
      </c>
      <c r="H12" s="80"/>
      <c r="I12" s="80"/>
      <c r="J12" s="80"/>
      <c r="K12" s="181"/>
      <c r="L12" s="182"/>
      <c r="M12" s="94"/>
      <c r="N12" s="84"/>
    </row>
    <row r="13" spans="1:17" s="557" customFormat="1" ht="26.25" customHeight="1" x14ac:dyDescent="0.25">
      <c r="A13" s="93"/>
      <c r="B13" s="891"/>
      <c r="C13" s="891"/>
      <c r="D13" s="568"/>
      <c r="E13" s="80"/>
      <c r="F13" s="55"/>
      <c r="G13" s="56">
        <f t="shared" si="0"/>
        <v>0</v>
      </c>
      <c r="H13" s="80"/>
      <c r="I13" s="80"/>
      <c r="J13" s="80"/>
      <c r="K13" s="181"/>
      <c r="L13" s="182"/>
      <c r="M13" s="94"/>
      <c r="N13" s="84"/>
    </row>
    <row r="14" spans="1:17" s="557" customFormat="1" ht="26.25" customHeight="1" x14ac:dyDescent="0.25">
      <c r="A14" s="93"/>
      <c r="B14" s="891"/>
      <c r="C14" s="891"/>
      <c r="D14" s="568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17" s="557" customFormat="1" ht="26.25" customHeight="1" x14ac:dyDescent="0.25">
      <c r="A15" s="93"/>
      <c r="B15" s="891"/>
      <c r="C15" s="891"/>
      <c r="D15" s="568"/>
      <c r="E15" s="80"/>
      <c r="F15" s="55"/>
      <c r="G15" s="56">
        <f>E15*F15</f>
        <v>0</v>
      </c>
      <c r="H15" s="80"/>
      <c r="I15" s="80"/>
      <c r="J15" s="80"/>
      <c r="K15" s="876"/>
      <c r="L15" s="877"/>
      <c r="M15" s="94"/>
      <c r="N15" s="84"/>
    </row>
    <row r="16" spans="1:17" s="557" customFormat="1" ht="26.25" customHeight="1" x14ac:dyDescent="0.25">
      <c r="A16" s="925" t="s">
        <v>11</v>
      </c>
      <c r="B16" s="926"/>
      <c r="C16" s="926"/>
      <c r="D16" s="926"/>
      <c r="E16" s="564">
        <f>SUM(E10:E15)</f>
        <v>45</v>
      </c>
      <c r="F16" s="76">
        <v>8</v>
      </c>
      <c r="G16" s="56">
        <f>E16*F16</f>
        <v>360</v>
      </c>
      <c r="H16" s="563"/>
      <c r="I16" s="563"/>
      <c r="J16" s="563"/>
      <c r="K16" s="876"/>
      <c r="L16" s="877"/>
      <c r="M16" s="563"/>
      <c r="N16" s="63"/>
    </row>
    <row r="17" spans="1:14" s="557" customFormat="1" ht="26.25" customHeight="1" x14ac:dyDescent="0.25">
      <c r="A17" s="927" t="s">
        <v>24</v>
      </c>
      <c r="B17" s="928"/>
      <c r="C17" s="928"/>
      <c r="D17" s="928"/>
      <c r="E17" s="928"/>
      <c r="F17" s="928"/>
      <c r="G17" s="64">
        <f>SUM(G10:G16)</f>
        <v>360</v>
      </c>
      <c r="H17" s="565"/>
      <c r="I17" s="565"/>
      <c r="J17" s="565"/>
      <c r="K17" s="859"/>
      <c r="L17" s="860"/>
      <c r="M17" s="565"/>
      <c r="N17" s="66"/>
    </row>
    <row r="18" spans="1:14" s="48" customFormat="1" ht="26.25" customHeight="1" x14ac:dyDescent="0.25">
      <c r="A18" s="929" t="s">
        <v>32</v>
      </c>
      <c r="B18" s="930"/>
      <c r="C18" s="930"/>
      <c r="D18" s="930"/>
      <c r="E18" s="930"/>
      <c r="F18" s="930"/>
      <c r="G18" s="900"/>
      <c r="H18" s="67"/>
      <c r="I18" s="67"/>
      <c r="J18" s="68" t="s">
        <v>44</v>
      </c>
      <c r="K18" s="67"/>
      <c r="L18" s="68"/>
      <c r="M18" s="69"/>
      <c r="N18" s="70"/>
    </row>
    <row r="19" spans="1:14" s="48" customFormat="1" ht="22.5" customHeight="1" thickBot="1" x14ac:dyDescent="0.3">
      <c r="A19" s="72" t="s">
        <v>5</v>
      </c>
      <c r="B19" s="71" t="s">
        <v>33</v>
      </c>
      <c r="C19" s="857" t="s">
        <v>21</v>
      </c>
      <c r="D19" s="858"/>
      <c r="E19" s="857" t="s">
        <v>34</v>
      </c>
      <c r="F19" s="858"/>
      <c r="G19" s="71" t="s">
        <v>0</v>
      </c>
      <c r="H19" s="71" t="s">
        <v>25</v>
      </c>
      <c r="I19" s="71" t="s">
        <v>26</v>
      </c>
      <c r="J19" s="71" t="s">
        <v>27</v>
      </c>
      <c r="K19" s="863" t="s">
        <v>28</v>
      </c>
      <c r="L19" s="857"/>
      <c r="M19" s="901" t="s">
        <v>43</v>
      </c>
      <c r="N19" s="902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360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 t="s">
        <v>465</v>
      </c>
      <c r="B21" s="11">
        <v>41703</v>
      </c>
      <c r="C21" s="1040" t="s">
        <v>384</v>
      </c>
      <c r="D21" s="1041"/>
      <c r="E21" s="918">
        <v>170</v>
      </c>
      <c r="F21" s="918"/>
      <c r="G21" s="167">
        <f>G20-E21</f>
        <v>190</v>
      </c>
      <c r="H21" s="559"/>
      <c r="I21" s="559"/>
      <c r="J21" s="559"/>
      <c r="K21" s="559"/>
      <c r="L21" s="559"/>
      <c r="M21" s="559"/>
      <c r="N21" s="168"/>
    </row>
    <row r="22" spans="1:14" s="3" customFormat="1" ht="26.25" customHeight="1" x14ac:dyDescent="0.25">
      <c r="A22" s="165" t="s">
        <v>537</v>
      </c>
      <c r="B22" s="11">
        <v>41739</v>
      </c>
      <c r="C22" s="1040" t="s">
        <v>384</v>
      </c>
      <c r="D22" s="1041"/>
      <c r="E22" s="918">
        <v>190</v>
      </c>
      <c r="F22" s="918"/>
      <c r="G22" s="167">
        <f t="shared" ref="G22:G25" si="1">G21-E22</f>
        <v>0</v>
      </c>
      <c r="H22" s="559"/>
      <c r="I22" s="559"/>
      <c r="J22" s="559"/>
      <c r="K22" s="559"/>
      <c r="L22" s="559"/>
      <c r="M22" s="559"/>
      <c r="N22" s="168"/>
    </row>
    <row r="23" spans="1:14" s="3" customFormat="1" ht="26.25" customHeight="1" x14ac:dyDescent="0.25">
      <c r="A23" s="170"/>
      <c r="B23" s="166"/>
      <c r="C23" s="924"/>
      <c r="D23" s="924"/>
      <c r="E23" s="918"/>
      <c r="F23" s="918"/>
      <c r="G23" s="167">
        <f t="shared" si="1"/>
        <v>0</v>
      </c>
      <c r="H23" s="559"/>
      <c r="I23" s="559"/>
      <c r="J23" s="559"/>
      <c r="K23" s="559"/>
      <c r="L23" s="559"/>
      <c r="M23" s="559"/>
      <c r="N23" s="168"/>
    </row>
    <row r="24" spans="1:14" s="3" customFormat="1" ht="26.25" customHeight="1" x14ac:dyDescent="0.25">
      <c r="A24" s="170"/>
      <c r="B24" s="166"/>
      <c r="C24" s="924"/>
      <c r="D24" s="924"/>
      <c r="E24" s="918"/>
      <c r="F24" s="918"/>
      <c r="G24" s="167">
        <f t="shared" si="1"/>
        <v>0</v>
      </c>
      <c r="H24" s="559"/>
      <c r="I24" s="559"/>
      <c r="J24" s="559"/>
      <c r="K24" s="559"/>
      <c r="L24" s="559"/>
      <c r="M24" s="559"/>
      <c r="N24" s="168"/>
    </row>
    <row r="25" spans="1:14" s="3" customFormat="1" ht="26.25" customHeight="1" x14ac:dyDescent="0.25">
      <c r="A25" s="169"/>
      <c r="B25" s="166"/>
      <c r="C25" s="945"/>
      <c r="D25" s="945"/>
      <c r="E25" s="919"/>
      <c r="F25" s="919"/>
      <c r="G25" s="167">
        <f t="shared" si="1"/>
        <v>0</v>
      </c>
      <c r="H25" s="559"/>
      <c r="I25" s="559"/>
      <c r="J25" s="559"/>
      <c r="K25" s="559"/>
      <c r="L25" s="559"/>
      <c r="M25" s="559"/>
      <c r="N25" s="168"/>
    </row>
    <row r="26" spans="1:14" s="23" customFormat="1" ht="26.25" customHeight="1" thickBot="1" x14ac:dyDescent="0.3">
      <c r="A26" s="914" t="s">
        <v>36</v>
      </c>
      <c r="B26" s="915"/>
      <c r="C26" s="915"/>
      <c r="D26" s="915"/>
      <c r="E26" s="916">
        <f>SUM(E21:F25)</f>
        <v>360</v>
      </c>
      <c r="F26" s="917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44"/>
      <c r="F27" s="844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Ler Kimheng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2">
    <mergeCell ref="A26:D26"/>
    <mergeCell ref="E26:F26"/>
    <mergeCell ref="E27:F27"/>
    <mergeCell ref="K33:N33"/>
    <mergeCell ref="C23:D23"/>
    <mergeCell ref="E23:F23"/>
    <mergeCell ref="C24:D24"/>
    <mergeCell ref="E24:F24"/>
    <mergeCell ref="C25:D25"/>
    <mergeCell ref="E25:F25"/>
    <mergeCell ref="M19:N19"/>
    <mergeCell ref="A20:F20"/>
    <mergeCell ref="C21:D21"/>
    <mergeCell ref="E21:F21"/>
    <mergeCell ref="C22:D22"/>
    <mergeCell ref="E22:F22"/>
    <mergeCell ref="C19:D19"/>
    <mergeCell ref="E19:F19"/>
    <mergeCell ref="K19:L19"/>
    <mergeCell ref="A16:D16"/>
    <mergeCell ref="K16:L16"/>
    <mergeCell ref="A17:F17"/>
    <mergeCell ref="K17:L17"/>
    <mergeCell ref="A18:G18"/>
    <mergeCell ref="A1:XFD7"/>
    <mergeCell ref="A8:N8"/>
    <mergeCell ref="K9:L9"/>
    <mergeCell ref="B10:B15"/>
    <mergeCell ref="C10:C15"/>
    <mergeCell ref="K10:L10"/>
    <mergeCell ref="K11:L11"/>
    <mergeCell ref="K15:L15"/>
  </mergeCells>
  <hyperlinks>
    <hyperlink ref="M19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2"/>
  <sheetViews>
    <sheetView zoomScale="80" workbookViewId="0">
      <pane ySplit="9" topLeftCell="A10" activePane="bottomLeft" state="frozen"/>
      <selection activeCell="G13" sqref="G13"/>
      <selection pane="bottomLeft" activeCell="E12" sqref="E12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31.5703125" style="1" customWidth="1"/>
    <col min="5" max="5" width="8.42578125" style="1" customWidth="1"/>
    <col min="6" max="6" width="10.85546875" style="1" customWidth="1"/>
    <col min="7" max="7" width="17.5703125" style="1" customWidth="1"/>
    <col min="8" max="8" width="6.1406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9" s="866" customFormat="1" ht="15" x14ac:dyDescent="0.25"/>
    <row r="2" spans="1:19" s="866" customFormat="1" ht="15" x14ac:dyDescent="0.25"/>
    <row r="3" spans="1:19" s="866" customFormat="1" ht="15" x14ac:dyDescent="0.25"/>
    <row r="4" spans="1:19" s="866" customFormat="1" ht="15" x14ac:dyDescent="0.25"/>
    <row r="5" spans="1:19" s="866" customFormat="1" ht="15" x14ac:dyDescent="0.25"/>
    <row r="6" spans="1:19" s="866" customFormat="1" ht="15" x14ac:dyDescent="0.25"/>
    <row r="7" spans="1:19" s="866" customFormat="1" ht="15.75" thickBot="1" x14ac:dyDescent="0.3"/>
    <row r="8" spans="1:19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9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9" s="557" customFormat="1" ht="26.25" customHeight="1" x14ac:dyDescent="0.25">
      <c r="A10" s="91">
        <v>1</v>
      </c>
      <c r="B10" s="890" t="s">
        <v>385</v>
      </c>
      <c r="C10" s="890" t="s">
        <v>31</v>
      </c>
      <c r="D10" s="549" t="s">
        <v>386</v>
      </c>
      <c r="E10" s="562">
        <v>45</v>
      </c>
      <c r="F10" s="55"/>
      <c r="G10" s="56">
        <f>E10*F10</f>
        <v>0</v>
      </c>
      <c r="H10" s="562" t="s">
        <v>25</v>
      </c>
      <c r="I10" s="562">
        <v>4</v>
      </c>
      <c r="J10" s="562">
        <v>9</v>
      </c>
      <c r="K10" s="948" t="s">
        <v>256</v>
      </c>
      <c r="L10" s="949"/>
      <c r="M10" s="560">
        <v>41615</v>
      </c>
      <c r="N10" s="561"/>
      <c r="O10" s="931" t="s">
        <v>529</v>
      </c>
      <c r="P10" s="912"/>
      <c r="Q10" s="912"/>
      <c r="R10" s="912"/>
      <c r="S10" s="912"/>
    </row>
    <row r="11" spans="1:19" s="557" customFormat="1" ht="26.25" customHeight="1" x14ac:dyDescent="0.25">
      <c r="A11" s="93">
        <v>2</v>
      </c>
      <c r="B11" s="891"/>
      <c r="C11" s="891"/>
      <c r="D11" s="53" t="s">
        <v>430</v>
      </c>
      <c r="E11" s="80">
        <f>36+9</f>
        <v>45</v>
      </c>
      <c r="F11" s="55"/>
      <c r="G11" s="56">
        <f t="shared" ref="G11:G14" si="0">E11*F11</f>
        <v>0</v>
      </c>
      <c r="H11" s="80" t="s">
        <v>53</v>
      </c>
      <c r="I11" s="80">
        <v>4</v>
      </c>
      <c r="J11" s="80">
        <v>9</v>
      </c>
      <c r="K11" s="876" t="s">
        <v>256</v>
      </c>
      <c r="L11" s="877"/>
      <c r="M11" s="94">
        <v>41671</v>
      </c>
      <c r="N11" s="84"/>
      <c r="O11" s="931"/>
      <c r="P11" s="912"/>
      <c r="Q11" s="912"/>
      <c r="R11" s="912"/>
      <c r="S11" s="912"/>
    </row>
    <row r="12" spans="1:19" s="557" customFormat="1" ht="26.25" customHeight="1" x14ac:dyDescent="0.25">
      <c r="A12" s="93"/>
      <c r="B12" s="891"/>
      <c r="C12" s="891"/>
      <c r="D12" s="53"/>
      <c r="E12" s="80"/>
      <c r="F12" s="55"/>
      <c r="G12" s="56">
        <f t="shared" si="0"/>
        <v>0</v>
      </c>
      <c r="H12" s="80"/>
      <c r="I12" s="80"/>
      <c r="J12" s="80"/>
      <c r="K12" s="181"/>
      <c r="L12" s="182"/>
      <c r="M12" s="94"/>
      <c r="N12" s="84"/>
    </row>
    <row r="13" spans="1:19" s="557" customFormat="1" ht="26.25" customHeight="1" x14ac:dyDescent="0.25">
      <c r="A13" s="93"/>
      <c r="B13" s="891"/>
      <c r="C13" s="891"/>
      <c r="D13" s="77"/>
      <c r="E13" s="80"/>
      <c r="F13" s="55"/>
      <c r="G13" s="56">
        <f t="shared" si="0"/>
        <v>0</v>
      </c>
      <c r="H13" s="80"/>
      <c r="I13" s="80"/>
      <c r="J13" s="80"/>
      <c r="K13" s="181"/>
      <c r="L13" s="182"/>
      <c r="M13" s="94"/>
      <c r="N13" s="84"/>
    </row>
    <row r="14" spans="1:19" s="557" customFormat="1" ht="26.25" customHeight="1" x14ac:dyDescent="0.25">
      <c r="A14" s="93"/>
      <c r="B14" s="891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19" s="557" customFormat="1" ht="26.25" customHeight="1" x14ac:dyDescent="0.25">
      <c r="A15" s="93"/>
      <c r="B15" s="891"/>
      <c r="C15" s="891"/>
      <c r="D15" s="77"/>
      <c r="E15" s="80"/>
      <c r="F15" s="55"/>
      <c r="G15" s="56">
        <f>E15*F15</f>
        <v>0</v>
      </c>
      <c r="H15" s="80"/>
      <c r="I15" s="80"/>
      <c r="J15" s="80"/>
      <c r="K15" s="876"/>
      <c r="L15" s="877"/>
      <c r="M15" s="94"/>
      <c r="N15" s="84"/>
    </row>
    <row r="16" spans="1:19" s="557" customFormat="1" ht="26.25" customHeight="1" x14ac:dyDescent="0.25">
      <c r="A16" s="925" t="s">
        <v>11</v>
      </c>
      <c r="B16" s="926"/>
      <c r="C16" s="926"/>
      <c r="D16" s="926"/>
      <c r="E16" s="564">
        <f>SUM(E10:E15)</f>
        <v>90</v>
      </c>
      <c r="F16" s="76">
        <v>6</v>
      </c>
      <c r="G16" s="56">
        <f>E16*F16</f>
        <v>540</v>
      </c>
      <c r="H16" s="563"/>
      <c r="I16" s="563"/>
      <c r="J16" s="563"/>
      <c r="K16" s="876"/>
      <c r="L16" s="877"/>
      <c r="M16" s="563"/>
      <c r="N16" s="63"/>
    </row>
    <row r="17" spans="1:14" s="557" customFormat="1" ht="26.25" customHeight="1" x14ac:dyDescent="0.25">
      <c r="A17" s="927" t="s">
        <v>24</v>
      </c>
      <c r="B17" s="928"/>
      <c r="C17" s="928"/>
      <c r="D17" s="928"/>
      <c r="E17" s="928"/>
      <c r="F17" s="928"/>
      <c r="G17" s="64">
        <f>SUM(G10:G16)</f>
        <v>540</v>
      </c>
      <c r="H17" s="565"/>
      <c r="I17" s="565"/>
      <c r="J17" s="565"/>
      <c r="K17" s="859"/>
      <c r="L17" s="860"/>
      <c r="M17" s="565"/>
      <c r="N17" s="66"/>
    </row>
    <row r="18" spans="1:14" s="48" customFormat="1" ht="26.25" customHeight="1" x14ac:dyDescent="0.25">
      <c r="A18" s="929" t="s">
        <v>32</v>
      </c>
      <c r="B18" s="930"/>
      <c r="C18" s="930"/>
      <c r="D18" s="930"/>
      <c r="E18" s="930"/>
      <c r="F18" s="930"/>
      <c r="G18" s="900"/>
      <c r="H18" s="67"/>
      <c r="I18" s="67"/>
      <c r="J18" s="68" t="s">
        <v>44</v>
      </c>
      <c r="K18" s="67"/>
      <c r="L18" s="68"/>
      <c r="M18" s="69"/>
      <c r="N18" s="70"/>
    </row>
    <row r="19" spans="1:14" s="48" customFormat="1" ht="22.5" customHeight="1" thickBot="1" x14ac:dyDescent="0.3">
      <c r="A19" s="72" t="s">
        <v>5</v>
      </c>
      <c r="B19" s="71" t="s">
        <v>33</v>
      </c>
      <c r="C19" s="857" t="s">
        <v>21</v>
      </c>
      <c r="D19" s="858"/>
      <c r="E19" s="857" t="s">
        <v>34</v>
      </c>
      <c r="F19" s="858"/>
      <c r="G19" s="71" t="s">
        <v>0</v>
      </c>
      <c r="H19" s="71" t="s">
        <v>25</v>
      </c>
      <c r="I19" s="71" t="s">
        <v>26</v>
      </c>
      <c r="J19" s="71" t="s">
        <v>27</v>
      </c>
      <c r="K19" s="863" t="s">
        <v>28</v>
      </c>
      <c r="L19" s="857"/>
      <c r="M19" s="901" t="s">
        <v>43</v>
      </c>
      <c r="N19" s="902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540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 t="s">
        <v>465</v>
      </c>
      <c r="B21" s="11">
        <v>41703</v>
      </c>
      <c r="C21" s="1040" t="s">
        <v>430</v>
      </c>
      <c r="D21" s="1041"/>
      <c r="E21" s="918">
        <v>120</v>
      </c>
      <c r="F21" s="918"/>
      <c r="G21" s="167">
        <f>G20-E21</f>
        <v>420</v>
      </c>
      <c r="H21" s="559"/>
      <c r="I21" s="559"/>
      <c r="J21" s="559"/>
      <c r="K21" s="559"/>
      <c r="L21" s="559"/>
      <c r="M21" s="559"/>
      <c r="N21" s="168"/>
    </row>
    <row r="22" spans="1:14" s="3" customFormat="1" ht="26.25" customHeight="1" x14ac:dyDescent="0.25">
      <c r="A22" s="165" t="s">
        <v>537</v>
      </c>
      <c r="B22" s="11">
        <v>41739</v>
      </c>
      <c r="C22" s="1040" t="s">
        <v>430</v>
      </c>
      <c r="D22" s="1041"/>
      <c r="E22" s="918">
        <v>270</v>
      </c>
      <c r="F22" s="918"/>
      <c r="G22" s="167">
        <f t="shared" ref="G22:G25" si="1">G21-E22</f>
        <v>150</v>
      </c>
      <c r="H22" s="559"/>
      <c r="I22" s="559"/>
      <c r="J22" s="559"/>
      <c r="K22" s="559"/>
      <c r="L22" s="559"/>
      <c r="M22" s="559"/>
      <c r="N22" s="168"/>
    </row>
    <row r="23" spans="1:14" s="3" customFormat="1" ht="26.25" customHeight="1" x14ac:dyDescent="0.25">
      <c r="A23" s="165" t="s">
        <v>563</v>
      </c>
      <c r="B23" s="11">
        <v>41768</v>
      </c>
      <c r="C23" s="1040" t="s">
        <v>430</v>
      </c>
      <c r="D23" s="1041"/>
      <c r="E23" s="918">
        <v>50</v>
      </c>
      <c r="F23" s="918"/>
      <c r="G23" s="167">
        <f t="shared" si="1"/>
        <v>100</v>
      </c>
      <c r="H23" s="559"/>
      <c r="I23" s="559"/>
      <c r="J23" s="559"/>
      <c r="K23" s="559"/>
      <c r="L23" s="559"/>
      <c r="M23" s="559"/>
      <c r="N23" s="168"/>
    </row>
    <row r="24" spans="1:14" s="3" customFormat="1" ht="26.25" customHeight="1" x14ac:dyDescent="0.25">
      <c r="A24" s="170" t="s">
        <v>592</v>
      </c>
      <c r="B24" s="166">
        <v>41793</v>
      </c>
      <c r="C24" s="1040" t="s">
        <v>430</v>
      </c>
      <c r="D24" s="1041"/>
      <c r="E24" s="918">
        <v>50</v>
      </c>
      <c r="F24" s="918"/>
      <c r="G24" s="167">
        <f t="shared" si="1"/>
        <v>50</v>
      </c>
      <c r="H24" s="559"/>
      <c r="I24" s="559"/>
      <c r="J24" s="559"/>
      <c r="K24" s="559"/>
      <c r="L24" s="559"/>
      <c r="M24" s="559"/>
      <c r="N24" s="168"/>
    </row>
    <row r="25" spans="1:14" s="3" customFormat="1" ht="26.25" customHeight="1" x14ac:dyDescent="0.25">
      <c r="A25" s="169"/>
      <c r="B25" s="166"/>
      <c r="C25" s="945"/>
      <c r="D25" s="945"/>
      <c r="E25" s="919"/>
      <c r="F25" s="919"/>
      <c r="G25" s="167">
        <f t="shared" si="1"/>
        <v>50</v>
      </c>
      <c r="H25" s="559"/>
      <c r="I25" s="559"/>
      <c r="J25" s="559"/>
      <c r="K25" s="559"/>
      <c r="L25" s="559"/>
      <c r="M25" s="559"/>
      <c r="N25" s="168"/>
    </row>
    <row r="26" spans="1:14" s="23" customFormat="1" ht="26.25" customHeight="1" thickBot="1" x14ac:dyDescent="0.3">
      <c r="A26" s="914" t="s">
        <v>36</v>
      </c>
      <c r="B26" s="915"/>
      <c r="C26" s="915"/>
      <c r="D26" s="915"/>
      <c r="E26" s="916">
        <f>SUM(E21:F25)</f>
        <v>490</v>
      </c>
      <c r="F26" s="917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44"/>
      <c r="F27" s="844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Ham Hak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3">
    <mergeCell ref="A26:D26"/>
    <mergeCell ref="E26:F26"/>
    <mergeCell ref="E27:F27"/>
    <mergeCell ref="K33:N33"/>
    <mergeCell ref="C23:D23"/>
    <mergeCell ref="E23:F23"/>
    <mergeCell ref="C24:D24"/>
    <mergeCell ref="E24:F24"/>
    <mergeCell ref="C25:D25"/>
    <mergeCell ref="E25:F25"/>
    <mergeCell ref="M19:N19"/>
    <mergeCell ref="A20:F20"/>
    <mergeCell ref="C21:D21"/>
    <mergeCell ref="E21:F21"/>
    <mergeCell ref="C22:D22"/>
    <mergeCell ref="E22:F22"/>
    <mergeCell ref="C19:D19"/>
    <mergeCell ref="E19:F19"/>
    <mergeCell ref="K19:L19"/>
    <mergeCell ref="A16:D16"/>
    <mergeCell ref="K16:L16"/>
    <mergeCell ref="A17:F17"/>
    <mergeCell ref="K17:L17"/>
    <mergeCell ref="A18:G18"/>
    <mergeCell ref="A1:XFD7"/>
    <mergeCell ref="A8:N8"/>
    <mergeCell ref="K9:L9"/>
    <mergeCell ref="B10:B15"/>
    <mergeCell ref="C10:C15"/>
    <mergeCell ref="K10:L10"/>
    <mergeCell ref="K11:L11"/>
    <mergeCell ref="K15:L15"/>
    <mergeCell ref="O10:S11"/>
  </mergeCells>
  <hyperlinks>
    <hyperlink ref="M19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"/>
  <sheetViews>
    <sheetView zoomScale="80" workbookViewId="0">
      <pane ySplit="9" topLeftCell="A10" activePane="bottomLeft" state="frozen"/>
      <selection activeCell="G13" sqref="G13"/>
      <selection pane="bottomLeft" activeCell="N23" sqref="N23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31.5703125" style="1" customWidth="1"/>
    <col min="5" max="5" width="8.42578125" style="1" customWidth="1"/>
    <col min="6" max="6" width="10.85546875" style="1" customWidth="1"/>
    <col min="7" max="7" width="17.5703125" style="1" customWidth="1"/>
    <col min="8" max="8" width="6.1406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7" s="866" customFormat="1" ht="15" x14ac:dyDescent="0.25"/>
    <row r="2" spans="1:17" s="866" customFormat="1" ht="15" x14ac:dyDescent="0.25"/>
    <row r="3" spans="1:17" s="866" customFormat="1" ht="15" x14ac:dyDescent="0.25"/>
    <row r="4" spans="1:17" s="866" customFormat="1" ht="15" x14ac:dyDescent="0.25"/>
    <row r="5" spans="1:17" s="866" customFormat="1" ht="15" x14ac:dyDescent="0.25"/>
    <row r="6" spans="1:17" s="866" customFormat="1" ht="15" x14ac:dyDescent="0.25"/>
    <row r="7" spans="1:17" s="866" customFormat="1" ht="15.75" thickBot="1" x14ac:dyDescent="0.3"/>
    <row r="8" spans="1:17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7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7" s="557" customFormat="1" ht="26.25" customHeight="1" x14ac:dyDescent="0.25">
      <c r="A10" s="91">
        <v>1</v>
      </c>
      <c r="B10" s="890" t="s">
        <v>393</v>
      </c>
      <c r="C10" s="890" t="s">
        <v>31</v>
      </c>
      <c r="D10" s="549" t="s">
        <v>394</v>
      </c>
      <c r="E10" s="562">
        <f>27+18</f>
        <v>45</v>
      </c>
      <c r="F10" s="55"/>
      <c r="G10" s="56">
        <f>E10*F10</f>
        <v>0</v>
      </c>
      <c r="H10" s="562" t="s">
        <v>290</v>
      </c>
      <c r="I10" s="562">
        <v>2</v>
      </c>
      <c r="J10" s="562"/>
      <c r="K10" s="948" t="s">
        <v>118</v>
      </c>
      <c r="L10" s="949"/>
      <c r="M10" s="560">
        <v>41636</v>
      </c>
      <c r="N10" s="561"/>
      <c r="O10" s="548"/>
      <c r="P10" s="432"/>
      <c r="Q10" s="432"/>
    </row>
    <row r="11" spans="1:17" s="557" customFormat="1" ht="26.25" customHeight="1" x14ac:dyDescent="0.25">
      <c r="A11" s="93"/>
      <c r="B11" s="891"/>
      <c r="C11" s="891"/>
      <c r="D11" s="53"/>
      <c r="E11" s="80"/>
      <c r="F11" s="55"/>
      <c r="G11" s="56">
        <f t="shared" ref="G11:G14" si="0">E11*F11</f>
        <v>0</v>
      </c>
      <c r="H11" s="80"/>
      <c r="I11" s="80"/>
      <c r="J11" s="80"/>
      <c r="K11" s="876"/>
      <c r="L11" s="877"/>
      <c r="M11" s="94"/>
      <c r="N11" s="84"/>
    </row>
    <row r="12" spans="1:17" s="557" customFormat="1" ht="26.25" customHeight="1" x14ac:dyDescent="0.25">
      <c r="A12" s="93"/>
      <c r="B12" s="891"/>
      <c r="C12" s="891"/>
      <c r="D12" s="53"/>
      <c r="E12" s="80"/>
      <c r="F12" s="55"/>
      <c r="G12" s="56">
        <f t="shared" si="0"/>
        <v>0</v>
      </c>
      <c r="H12" s="80"/>
      <c r="I12" s="80"/>
      <c r="J12" s="80"/>
      <c r="K12" s="181"/>
      <c r="L12" s="182"/>
      <c r="M12" s="94"/>
      <c r="N12" s="84"/>
    </row>
    <row r="13" spans="1:17" s="557" customFormat="1" ht="26.25" customHeight="1" x14ac:dyDescent="0.25">
      <c r="A13" s="93"/>
      <c r="B13" s="891"/>
      <c r="C13" s="891"/>
      <c r="D13" s="77"/>
      <c r="E13" s="80"/>
      <c r="F13" s="55"/>
      <c r="G13" s="56">
        <f t="shared" si="0"/>
        <v>0</v>
      </c>
      <c r="H13" s="80"/>
      <c r="I13" s="80"/>
      <c r="J13" s="80"/>
      <c r="K13" s="181"/>
      <c r="L13" s="182"/>
      <c r="M13" s="94"/>
      <c r="N13" s="84"/>
    </row>
    <row r="14" spans="1:17" s="557" customFormat="1" ht="26.25" customHeight="1" x14ac:dyDescent="0.25">
      <c r="A14" s="93"/>
      <c r="B14" s="891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17" s="557" customFormat="1" ht="26.25" customHeight="1" x14ac:dyDescent="0.25">
      <c r="A15" s="93"/>
      <c r="B15" s="891"/>
      <c r="C15" s="891"/>
      <c r="D15" s="77"/>
      <c r="E15" s="80"/>
      <c r="F15" s="55"/>
      <c r="G15" s="56">
        <f>E15*F15</f>
        <v>0</v>
      </c>
      <c r="H15" s="80"/>
      <c r="I15" s="80"/>
      <c r="J15" s="80"/>
      <c r="K15" s="876"/>
      <c r="L15" s="877"/>
      <c r="M15" s="94"/>
      <c r="N15" s="84"/>
    </row>
    <row r="16" spans="1:17" s="557" customFormat="1" ht="26.25" customHeight="1" x14ac:dyDescent="0.25">
      <c r="A16" s="925" t="s">
        <v>11</v>
      </c>
      <c r="B16" s="926"/>
      <c r="C16" s="926"/>
      <c r="D16" s="926"/>
      <c r="E16" s="564">
        <f>SUM(E10:E15)</f>
        <v>45</v>
      </c>
      <c r="F16" s="76">
        <v>8</v>
      </c>
      <c r="G16" s="56">
        <f>E16*F16</f>
        <v>360</v>
      </c>
      <c r="H16" s="563"/>
      <c r="I16" s="563"/>
      <c r="J16" s="563"/>
      <c r="K16" s="876"/>
      <c r="L16" s="877"/>
      <c r="M16" s="563"/>
      <c r="N16" s="63"/>
    </row>
    <row r="17" spans="1:14" s="557" customFormat="1" ht="26.25" customHeight="1" x14ac:dyDescent="0.25">
      <c r="A17" s="927" t="s">
        <v>24</v>
      </c>
      <c r="B17" s="928"/>
      <c r="C17" s="928"/>
      <c r="D17" s="928"/>
      <c r="E17" s="928"/>
      <c r="F17" s="928"/>
      <c r="G17" s="64">
        <f>SUM(G10:G16)</f>
        <v>360</v>
      </c>
      <c r="H17" s="565"/>
      <c r="I17" s="565"/>
      <c r="J17" s="565"/>
      <c r="K17" s="859"/>
      <c r="L17" s="860"/>
      <c r="M17" s="565"/>
      <c r="N17" s="66"/>
    </row>
    <row r="18" spans="1:14" s="48" customFormat="1" ht="26.25" customHeight="1" x14ac:dyDescent="0.25">
      <c r="A18" s="929" t="s">
        <v>32</v>
      </c>
      <c r="B18" s="930"/>
      <c r="C18" s="930"/>
      <c r="D18" s="930"/>
      <c r="E18" s="930"/>
      <c r="F18" s="930"/>
      <c r="G18" s="900"/>
      <c r="H18" s="67"/>
      <c r="I18" s="67"/>
      <c r="J18" s="68" t="s">
        <v>44</v>
      </c>
      <c r="K18" s="67"/>
      <c r="L18" s="68"/>
      <c r="M18" s="69"/>
      <c r="N18" s="70"/>
    </row>
    <row r="19" spans="1:14" s="48" customFormat="1" ht="22.5" customHeight="1" thickBot="1" x14ac:dyDescent="0.3">
      <c r="A19" s="72" t="s">
        <v>5</v>
      </c>
      <c r="B19" s="71" t="s">
        <v>33</v>
      </c>
      <c r="C19" s="857" t="s">
        <v>21</v>
      </c>
      <c r="D19" s="858"/>
      <c r="E19" s="857" t="s">
        <v>34</v>
      </c>
      <c r="F19" s="858"/>
      <c r="G19" s="71" t="s">
        <v>0</v>
      </c>
      <c r="H19" s="71" t="s">
        <v>25</v>
      </c>
      <c r="I19" s="71" t="s">
        <v>26</v>
      </c>
      <c r="J19" s="71" t="s">
        <v>27</v>
      </c>
      <c r="K19" s="863" t="s">
        <v>28</v>
      </c>
      <c r="L19" s="857"/>
      <c r="M19" s="901" t="s">
        <v>37</v>
      </c>
      <c r="N19" s="902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360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 t="s">
        <v>465</v>
      </c>
      <c r="B21" s="11">
        <v>41703</v>
      </c>
      <c r="C21" s="1040" t="s">
        <v>394</v>
      </c>
      <c r="D21" s="1041"/>
      <c r="E21" s="918">
        <v>180</v>
      </c>
      <c r="F21" s="918"/>
      <c r="G21" s="167">
        <f>G20-E21</f>
        <v>180</v>
      </c>
      <c r="H21" s="559"/>
      <c r="I21" s="559"/>
      <c r="J21" s="559"/>
      <c r="K21" s="559"/>
      <c r="L21" s="559"/>
      <c r="M21" s="559"/>
      <c r="N21" s="168"/>
    </row>
    <row r="22" spans="1:14" s="3" customFormat="1" ht="26.25" customHeight="1" x14ac:dyDescent="0.25">
      <c r="A22" s="165" t="s">
        <v>537</v>
      </c>
      <c r="B22" s="11">
        <v>41739</v>
      </c>
      <c r="C22" s="1040" t="s">
        <v>394</v>
      </c>
      <c r="D22" s="1041"/>
      <c r="E22" s="918">
        <v>90</v>
      </c>
      <c r="F22" s="918"/>
      <c r="G22" s="167">
        <f t="shared" ref="G22:G25" si="1">G21-E22</f>
        <v>90</v>
      </c>
      <c r="H22" s="559"/>
      <c r="I22" s="559"/>
      <c r="J22" s="559"/>
      <c r="K22" s="559"/>
      <c r="L22" s="559"/>
      <c r="M22" s="559"/>
      <c r="N22" s="168"/>
    </row>
    <row r="23" spans="1:14" s="3" customFormat="1" ht="26.25" customHeight="1" x14ac:dyDescent="0.25">
      <c r="A23" s="165" t="s">
        <v>563</v>
      </c>
      <c r="B23" s="11">
        <v>41768</v>
      </c>
      <c r="C23" s="1040" t="s">
        <v>394</v>
      </c>
      <c r="D23" s="1041"/>
      <c r="E23" s="918">
        <v>90</v>
      </c>
      <c r="F23" s="918"/>
      <c r="G23" s="167">
        <f t="shared" si="1"/>
        <v>0</v>
      </c>
      <c r="H23" s="559"/>
      <c r="I23" s="559"/>
      <c r="J23" s="559"/>
      <c r="K23" s="559"/>
      <c r="L23" s="559"/>
      <c r="M23" s="559"/>
      <c r="N23" s="168"/>
    </row>
    <row r="24" spans="1:14" s="3" customFormat="1" ht="26.25" customHeight="1" x14ac:dyDescent="0.25">
      <c r="A24" s="170"/>
      <c r="B24" s="166"/>
      <c r="C24" s="924"/>
      <c r="D24" s="924"/>
      <c r="E24" s="918"/>
      <c r="F24" s="918"/>
      <c r="G24" s="167">
        <f t="shared" si="1"/>
        <v>0</v>
      </c>
      <c r="H24" s="559"/>
      <c r="I24" s="559"/>
      <c r="J24" s="559"/>
      <c r="K24" s="559"/>
      <c r="L24" s="559"/>
      <c r="M24" s="559"/>
      <c r="N24" s="168"/>
    </row>
    <row r="25" spans="1:14" s="3" customFormat="1" ht="26.25" customHeight="1" x14ac:dyDescent="0.25">
      <c r="A25" s="169"/>
      <c r="B25" s="166"/>
      <c r="C25" s="945"/>
      <c r="D25" s="945"/>
      <c r="E25" s="919"/>
      <c r="F25" s="919"/>
      <c r="G25" s="167">
        <f t="shared" si="1"/>
        <v>0</v>
      </c>
      <c r="H25" s="559"/>
      <c r="I25" s="559"/>
      <c r="J25" s="559"/>
      <c r="K25" s="559"/>
      <c r="L25" s="559"/>
      <c r="M25" s="559"/>
      <c r="N25" s="168"/>
    </row>
    <row r="26" spans="1:14" s="23" customFormat="1" ht="26.25" customHeight="1" thickBot="1" x14ac:dyDescent="0.3">
      <c r="A26" s="914" t="s">
        <v>36</v>
      </c>
      <c r="B26" s="915"/>
      <c r="C26" s="915"/>
      <c r="D26" s="915"/>
      <c r="E26" s="916">
        <f>SUM(E21:F25)</f>
        <v>360</v>
      </c>
      <c r="F26" s="917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44"/>
      <c r="F27" s="844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Chea Haing Y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2">
    <mergeCell ref="A26:D26"/>
    <mergeCell ref="E26:F26"/>
    <mergeCell ref="E27:F27"/>
    <mergeCell ref="K33:N33"/>
    <mergeCell ref="C23:D23"/>
    <mergeCell ref="E23:F23"/>
    <mergeCell ref="C24:D24"/>
    <mergeCell ref="E24:F24"/>
    <mergeCell ref="C25:D25"/>
    <mergeCell ref="E25:F25"/>
    <mergeCell ref="M19:N19"/>
    <mergeCell ref="A20:F20"/>
    <mergeCell ref="C21:D21"/>
    <mergeCell ref="E21:F21"/>
    <mergeCell ref="C22:D22"/>
    <mergeCell ref="E22:F22"/>
    <mergeCell ref="C19:D19"/>
    <mergeCell ref="E19:F19"/>
    <mergeCell ref="K19:L19"/>
    <mergeCell ref="A16:D16"/>
    <mergeCell ref="K16:L16"/>
    <mergeCell ref="A17:F17"/>
    <mergeCell ref="K17:L17"/>
    <mergeCell ref="A18:G18"/>
    <mergeCell ref="A1:XFD7"/>
    <mergeCell ref="A8:N8"/>
    <mergeCell ref="K9:L9"/>
    <mergeCell ref="B10:B15"/>
    <mergeCell ref="C10:C15"/>
    <mergeCell ref="K10:L10"/>
    <mergeCell ref="K11:L11"/>
    <mergeCell ref="K15:L15"/>
  </mergeCells>
  <hyperlinks>
    <hyperlink ref="M19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"/>
  <sheetViews>
    <sheetView zoomScale="80" workbookViewId="0">
      <pane ySplit="9" topLeftCell="A10" activePane="bottomLeft" state="frozen"/>
      <selection activeCell="G13" sqref="G13"/>
      <selection pane="bottomLeft" activeCell="G21" sqref="G21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31.5703125" style="1" customWidth="1"/>
    <col min="5" max="5" width="8.42578125" style="1" customWidth="1"/>
    <col min="6" max="6" width="10.85546875" style="1" customWidth="1"/>
    <col min="7" max="7" width="17.5703125" style="1" customWidth="1"/>
    <col min="8" max="8" width="6.1406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7" s="866" customFormat="1" ht="15" x14ac:dyDescent="0.25"/>
    <row r="2" spans="1:17" s="866" customFormat="1" ht="15" x14ac:dyDescent="0.25"/>
    <row r="3" spans="1:17" s="866" customFormat="1" ht="15" x14ac:dyDescent="0.25"/>
    <row r="4" spans="1:17" s="866" customFormat="1" ht="15" x14ac:dyDescent="0.25"/>
    <row r="5" spans="1:17" s="866" customFormat="1" ht="15" x14ac:dyDescent="0.25"/>
    <row r="6" spans="1:17" s="866" customFormat="1" ht="15" x14ac:dyDescent="0.25"/>
    <row r="7" spans="1:17" s="866" customFormat="1" ht="15.75" thickBot="1" x14ac:dyDescent="0.3"/>
    <row r="8" spans="1:17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7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7" s="557" customFormat="1" ht="26.25" customHeight="1" x14ac:dyDescent="0.25">
      <c r="A10" s="91">
        <v>1</v>
      </c>
      <c r="B10" s="890" t="s">
        <v>389</v>
      </c>
      <c r="C10" s="890" t="s">
        <v>31</v>
      </c>
      <c r="D10" s="549" t="s">
        <v>390</v>
      </c>
      <c r="E10" s="562">
        <v>45</v>
      </c>
      <c r="F10" s="55"/>
      <c r="G10" s="56">
        <f>E10*F10</f>
        <v>0</v>
      </c>
      <c r="H10" s="562" t="s">
        <v>126</v>
      </c>
      <c r="I10" s="562">
        <v>2</v>
      </c>
      <c r="J10" s="562">
        <v>4</v>
      </c>
      <c r="K10" s="948" t="s">
        <v>118</v>
      </c>
      <c r="L10" s="949"/>
      <c r="M10" s="560">
        <v>41651</v>
      </c>
      <c r="N10" s="561"/>
      <c r="O10" s="548"/>
      <c r="P10" s="432"/>
      <c r="Q10" s="432"/>
    </row>
    <row r="11" spans="1:17" s="557" customFormat="1" ht="26.25" customHeight="1" x14ac:dyDescent="0.25">
      <c r="A11" s="93"/>
      <c r="B11" s="891"/>
      <c r="C11" s="891"/>
      <c r="D11" s="53"/>
      <c r="E11" s="80"/>
      <c r="F11" s="55"/>
      <c r="G11" s="56">
        <f t="shared" ref="G11:G14" si="0">E11*F11</f>
        <v>0</v>
      </c>
      <c r="H11" s="80"/>
      <c r="I11" s="80"/>
      <c r="J11" s="80"/>
      <c r="K11" s="876"/>
      <c r="L11" s="877"/>
      <c r="M11" s="94"/>
      <c r="N11" s="84"/>
    </row>
    <row r="12" spans="1:17" s="557" customFormat="1" ht="26.25" customHeight="1" x14ac:dyDescent="0.25">
      <c r="A12" s="93"/>
      <c r="B12" s="891"/>
      <c r="C12" s="891"/>
      <c r="D12" s="53"/>
      <c r="E12" s="80"/>
      <c r="F12" s="55"/>
      <c r="G12" s="56">
        <f t="shared" si="0"/>
        <v>0</v>
      </c>
      <c r="H12" s="80"/>
      <c r="I12" s="80"/>
      <c r="J12" s="80"/>
      <c r="K12" s="181"/>
      <c r="L12" s="182"/>
      <c r="M12" s="94"/>
      <c r="N12" s="84"/>
    </row>
    <row r="13" spans="1:17" s="557" customFormat="1" ht="26.25" customHeight="1" x14ac:dyDescent="0.25">
      <c r="A13" s="93"/>
      <c r="B13" s="891"/>
      <c r="C13" s="891"/>
      <c r="D13" s="77"/>
      <c r="E13" s="80"/>
      <c r="F13" s="55"/>
      <c r="G13" s="56">
        <f t="shared" si="0"/>
        <v>0</v>
      </c>
      <c r="H13" s="80"/>
      <c r="I13" s="80"/>
      <c r="J13" s="80"/>
      <c r="K13" s="181"/>
      <c r="L13" s="182"/>
      <c r="M13" s="94"/>
      <c r="N13" s="84"/>
    </row>
    <row r="14" spans="1:17" s="557" customFormat="1" ht="26.25" customHeight="1" x14ac:dyDescent="0.25">
      <c r="A14" s="93"/>
      <c r="B14" s="891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17" s="557" customFormat="1" ht="26.25" customHeight="1" x14ac:dyDescent="0.25">
      <c r="A15" s="93"/>
      <c r="B15" s="891"/>
      <c r="C15" s="891"/>
      <c r="D15" s="77"/>
      <c r="E15" s="80"/>
      <c r="F15" s="55"/>
      <c r="G15" s="56">
        <f>E15*F15</f>
        <v>0</v>
      </c>
      <c r="H15" s="80"/>
      <c r="I15" s="80"/>
      <c r="J15" s="80"/>
      <c r="K15" s="876"/>
      <c r="L15" s="877"/>
      <c r="M15" s="94"/>
      <c r="N15" s="84"/>
    </row>
    <row r="16" spans="1:17" s="557" customFormat="1" ht="26.25" customHeight="1" x14ac:dyDescent="0.25">
      <c r="A16" s="925" t="s">
        <v>11</v>
      </c>
      <c r="B16" s="926"/>
      <c r="C16" s="926"/>
      <c r="D16" s="926"/>
      <c r="E16" s="564">
        <f>SUM(E10:E15)</f>
        <v>45</v>
      </c>
      <c r="F16" s="76">
        <v>13.333299999999999</v>
      </c>
      <c r="G16" s="56">
        <f>E16*F16</f>
        <v>599.99849999999992</v>
      </c>
      <c r="H16" s="563"/>
      <c r="I16" s="563"/>
      <c r="J16" s="563"/>
      <c r="K16" s="876"/>
      <c r="L16" s="877"/>
      <c r="M16" s="563"/>
      <c r="N16" s="63"/>
    </row>
    <row r="17" spans="1:14" s="557" customFormat="1" ht="26.25" customHeight="1" x14ac:dyDescent="0.25">
      <c r="A17" s="927" t="s">
        <v>24</v>
      </c>
      <c r="B17" s="928"/>
      <c r="C17" s="928"/>
      <c r="D17" s="928"/>
      <c r="E17" s="928"/>
      <c r="F17" s="928"/>
      <c r="G17" s="64">
        <f>SUM(G10:G16)</f>
        <v>599.99849999999992</v>
      </c>
      <c r="H17" s="565"/>
      <c r="I17" s="565"/>
      <c r="J17" s="565"/>
      <c r="K17" s="859"/>
      <c r="L17" s="860"/>
      <c r="M17" s="565"/>
      <c r="N17" s="66"/>
    </row>
    <row r="18" spans="1:14" s="48" customFormat="1" ht="26.25" customHeight="1" x14ac:dyDescent="0.25">
      <c r="A18" s="929" t="s">
        <v>32</v>
      </c>
      <c r="B18" s="930"/>
      <c r="C18" s="930"/>
      <c r="D18" s="930"/>
      <c r="E18" s="930"/>
      <c r="F18" s="930"/>
      <c r="G18" s="900"/>
      <c r="H18" s="67"/>
      <c r="I18" s="67"/>
      <c r="J18" s="68" t="s">
        <v>44</v>
      </c>
      <c r="K18" s="67"/>
      <c r="L18" s="68"/>
      <c r="M18" s="69"/>
      <c r="N18" s="70"/>
    </row>
    <row r="19" spans="1:14" s="48" customFormat="1" ht="22.5" customHeight="1" thickBot="1" x14ac:dyDescent="0.3">
      <c r="A19" s="72" t="s">
        <v>5</v>
      </c>
      <c r="B19" s="71" t="s">
        <v>33</v>
      </c>
      <c r="C19" s="857" t="s">
        <v>21</v>
      </c>
      <c r="D19" s="858"/>
      <c r="E19" s="857" t="s">
        <v>34</v>
      </c>
      <c r="F19" s="858"/>
      <c r="G19" s="71" t="s">
        <v>0</v>
      </c>
      <c r="H19" s="71" t="s">
        <v>25</v>
      </c>
      <c r="I19" s="71" t="s">
        <v>26</v>
      </c>
      <c r="J19" s="71" t="s">
        <v>27</v>
      </c>
      <c r="K19" s="863" t="s">
        <v>28</v>
      </c>
      <c r="L19" s="857"/>
      <c r="M19" s="901" t="s">
        <v>391</v>
      </c>
      <c r="N19" s="902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599.99849999999992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 t="s">
        <v>465</v>
      </c>
      <c r="B21" s="11">
        <v>41703</v>
      </c>
      <c r="C21" s="1040" t="s">
        <v>390</v>
      </c>
      <c r="D21" s="1041"/>
      <c r="E21" s="918">
        <v>300</v>
      </c>
      <c r="F21" s="918"/>
      <c r="G21" s="167">
        <f>G20-E21</f>
        <v>299.99849999999992</v>
      </c>
      <c r="H21" s="559"/>
      <c r="I21" s="559"/>
      <c r="J21" s="559"/>
      <c r="K21" s="559"/>
      <c r="L21" s="559"/>
      <c r="M21" s="559"/>
      <c r="N21" s="168"/>
    </row>
    <row r="22" spans="1:14" s="3" customFormat="1" ht="26.25" customHeight="1" x14ac:dyDescent="0.25">
      <c r="A22" s="165" t="s">
        <v>537</v>
      </c>
      <c r="B22" s="11">
        <v>41739</v>
      </c>
      <c r="C22" s="1040" t="s">
        <v>390</v>
      </c>
      <c r="D22" s="1041"/>
      <c r="E22" s="918">
        <v>200</v>
      </c>
      <c r="F22" s="918"/>
      <c r="G22" s="167">
        <f t="shared" ref="G22:G25" si="1">G21-E22</f>
        <v>99.998499999999922</v>
      </c>
      <c r="H22" s="559"/>
      <c r="I22" s="559"/>
      <c r="J22" s="559"/>
      <c r="K22" s="559"/>
      <c r="L22" s="559"/>
      <c r="M22" s="559"/>
      <c r="N22" s="168"/>
    </row>
    <row r="23" spans="1:14" s="3" customFormat="1" ht="26.25" customHeight="1" x14ac:dyDescent="0.25">
      <c r="A23" s="165" t="s">
        <v>563</v>
      </c>
      <c r="B23" s="11">
        <v>41768</v>
      </c>
      <c r="C23" s="1040" t="s">
        <v>390</v>
      </c>
      <c r="D23" s="1041"/>
      <c r="E23" s="918">
        <v>100</v>
      </c>
      <c r="F23" s="918"/>
      <c r="G23" s="167">
        <f t="shared" si="1"/>
        <v>-1.5000000000782165E-3</v>
      </c>
      <c r="H23" s="559"/>
      <c r="I23" s="559"/>
      <c r="J23" s="559"/>
      <c r="K23" s="559"/>
      <c r="L23" s="559"/>
      <c r="M23" s="559"/>
      <c r="N23" s="168"/>
    </row>
    <row r="24" spans="1:14" s="3" customFormat="1" ht="26.25" customHeight="1" x14ac:dyDescent="0.25">
      <c r="A24" s="170"/>
      <c r="B24" s="166"/>
      <c r="C24" s="924"/>
      <c r="D24" s="924"/>
      <c r="E24" s="918"/>
      <c r="F24" s="918"/>
      <c r="G24" s="167">
        <f t="shared" si="1"/>
        <v>-1.5000000000782165E-3</v>
      </c>
      <c r="H24" s="559"/>
      <c r="I24" s="559"/>
      <c r="J24" s="559"/>
      <c r="K24" s="559"/>
      <c r="L24" s="559"/>
      <c r="M24" s="559"/>
      <c r="N24" s="168"/>
    </row>
    <row r="25" spans="1:14" s="3" customFormat="1" ht="26.25" customHeight="1" x14ac:dyDescent="0.25">
      <c r="A25" s="169"/>
      <c r="B25" s="166"/>
      <c r="C25" s="945"/>
      <c r="D25" s="945"/>
      <c r="E25" s="919"/>
      <c r="F25" s="919"/>
      <c r="G25" s="167">
        <f t="shared" si="1"/>
        <v>-1.5000000000782165E-3</v>
      </c>
      <c r="H25" s="559"/>
      <c r="I25" s="559"/>
      <c r="J25" s="559"/>
      <c r="K25" s="559"/>
      <c r="L25" s="559"/>
      <c r="M25" s="559"/>
      <c r="N25" s="168"/>
    </row>
    <row r="26" spans="1:14" s="23" customFormat="1" ht="26.25" customHeight="1" thickBot="1" x14ac:dyDescent="0.3">
      <c r="A26" s="914" t="s">
        <v>36</v>
      </c>
      <c r="B26" s="915"/>
      <c r="C26" s="915"/>
      <c r="D26" s="915"/>
      <c r="E26" s="916">
        <f>SUM(E21:F25)</f>
        <v>600</v>
      </c>
      <c r="F26" s="917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44"/>
      <c r="F27" s="844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Long Phanith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2">
    <mergeCell ref="A26:D26"/>
    <mergeCell ref="E26:F26"/>
    <mergeCell ref="E27:F27"/>
    <mergeCell ref="K33:N33"/>
    <mergeCell ref="C23:D23"/>
    <mergeCell ref="E23:F23"/>
    <mergeCell ref="C24:D24"/>
    <mergeCell ref="E24:F24"/>
    <mergeCell ref="C25:D25"/>
    <mergeCell ref="E25:F25"/>
    <mergeCell ref="M19:N19"/>
    <mergeCell ref="A20:F20"/>
    <mergeCell ref="C21:D21"/>
    <mergeCell ref="E21:F21"/>
    <mergeCell ref="C22:D22"/>
    <mergeCell ref="E22:F22"/>
    <mergeCell ref="C19:D19"/>
    <mergeCell ref="E19:F19"/>
    <mergeCell ref="K19:L19"/>
    <mergeCell ref="A16:D16"/>
    <mergeCell ref="K16:L16"/>
    <mergeCell ref="A17:F17"/>
    <mergeCell ref="K17:L17"/>
    <mergeCell ref="A18:G18"/>
    <mergeCell ref="A1:XFD7"/>
    <mergeCell ref="A8:N8"/>
    <mergeCell ref="K9:L9"/>
    <mergeCell ref="B10:B15"/>
    <mergeCell ref="C10:C15"/>
    <mergeCell ref="K10:L10"/>
    <mergeCell ref="K11:L11"/>
    <mergeCell ref="K15:L15"/>
  </mergeCells>
  <hyperlinks>
    <hyperlink ref="M19" r:id="rId1" display="Tel:012 718 61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"/>
  <sheetViews>
    <sheetView zoomScale="80" workbookViewId="0">
      <pane ySplit="9" topLeftCell="A19" activePane="bottomLeft" state="frozen"/>
      <selection activeCell="G13" sqref="G13"/>
      <selection pane="bottomLeft" activeCell="G21" sqref="G21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31.5703125" style="1" customWidth="1"/>
    <col min="5" max="5" width="8.42578125" style="1" customWidth="1"/>
    <col min="6" max="6" width="10.85546875" style="1" customWidth="1"/>
    <col min="7" max="7" width="17.5703125" style="1" customWidth="1"/>
    <col min="8" max="8" width="6.1406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15" width="9.140625" style="1"/>
    <col min="16" max="16" width="21.28515625" style="1" customWidth="1"/>
    <col min="17" max="17" width="11.42578125" style="1" customWidth="1"/>
    <col min="18" max="18" width="16.7109375" style="1" customWidth="1"/>
    <col min="19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66" customFormat="1" ht="15" x14ac:dyDescent="0.25"/>
    <row r="2" spans="1:18" s="866" customFormat="1" ht="15" x14ac:dyDescent="0.25"/>
    <row r="3" spans="1:18" s="866" customFormat="1" ht="15" x14ac:dyDescent="0.25"/>
    <row r="4" spans="1:18" s="866" customFormat="1" ht="15" x14ac:dyDescent="0.25"/>
    <row r="5" spans="1:18" s="866" customFormat="1" ht="15" x14ac:dyDescent="0.25"/>
    <row r="6" spans="1:18" s="866" customFormat="1" ht="15" x14ac:dyDescent="0.25"/>
    <row r="7" spans="1:18" s="866" customFormat="1" ht="15.75" thickBot="1" x14ac:dyDescent="0.3"/>
    <row r="8" spans="1:18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8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8" s="574" customFormat="1" ht="26.25" customHeight="1" x14ac:dyDescent="0.25">
      <c r="A10" s="91">
        <v>1</v>
      </c>
      <c r="B10" s="890" t="s">
        <v>411</v>
      </c>
      <c r="C10" s="890" t="s">
        <v>31</v>
      </c>
      <c r="D10" s="549" t="s">
        <v>412</v>
      </c>
      <c r="E10" s="578">
        <f>42+3</f>
        <v>45</v>
      </c>
      <c r="F10" s="55">
        <v>7</v>
      </c>
      <c r="G10" s="56">
        <f>E10*F10</f>
        <v>315</v>
      </c>
      <c r="H10" s="578"/>
      <c r="I10" s="578"/>
      <c r="J10" s="578"/>
      <c r="K10" s="948"/>
      <c r="L10" s="949"/>
      <c r="M10" s="576">
        <v>41663</v>
      </c>
      <c r="N10" s="577"/>
      <c r="O10" s="548"/>
      <c r="P10" s="432"/>
      <c r="Q10" s="432"/>
      <c r="R10" s="582"/>
    </row>
    <row r="11" spans="1:18" s="574" customFormat="1" ht="26.25" customHeight="1" x14ac:dyDescent="0.25">
      <c r="A11" s="93"/>
      <c r="B11" s="891"/>
      <c r="C11" s="891"/>
      <c r="D11" s="53" t="s">
        <v>587</v>
      </c>
      <c r="E11" s="80">
        <v>8</v>
      </c>
      <c r="F11" s="55">
        <v>7</v>
      </c>
      <c r="G11" s="56">
        <f t="shared" ref="G11:G14" si="0">E11*F11</f>
        <v>56</v>
      </c>
      <c r="H11" s="80" t="s">
        <v>107</v>
      </c>
      <c r="I11" s="80">
        <v>2</v>
      </c>
      <c r="J11" s="80">
        <v>11</v>
      </c>
      <c r="K11" s="876" t="s">
        <v>118</v>
      </c>
      <c r="L11" s="877"/>
      <c r="M11" s="94">
        <v>41769</v>
      </c>
      <c r="N11" s="84"/>
    </row>
    <row r="12" spans="1:18" s="574" customFormat="1" ht="26.25" customHeight="1" x14ac:dyDescent="0.25">
      <c r="A12" s="93"/>
      <c r="B12" s="891"/>
      <c r="C12" s="891"/>
      <c r="D12" s="53"/>
      <c r="E12" s="80"/>
      <c r="F12" s="55"/>
      <c r="G12" s="56">
        <f t="shared" si="0"/>
        <v>0</v>
      </c>
      <c r="H12" s="80"/>
      <c r="I12" s="80"/>
      <c r="J12" s="80"/>
      <c r="K12" s="181"/>
      <c r="L12" s="182"/>
      <c r="M12" s="94"/>
      <c r="N12" s="84"/>
    </row>
    <row r="13" spans="1:18" s="574" customFormat="1" ht="26.25" customHeight="1" x14ac:dyDescent="0.25">
      <c r="A13" s="93"/>
      <c r="B13" s="891"/>
      <c r="C13" s="891"/>
      <c r="D13" s="77"/>
      <c r="E13" s="80"/>
      <c r="F13" s="55"/>
      <c r="G13" s="56">
        <f t="shared" si="0"/>
        <v>0</v>
      </c>
      <c r="H13" s="80"/>
      <c r="I13" s="80"/>
      <c r="J13" s="80"/>
      <c r="K13" s="181"/>
      <c r="L13" s="182"/>
      <c r="M13" s="94"/>
      <c r="N13" s="84"/>
    </row>
    <row r="14" spans="1:18" s="574" customFormat="1" ht="26.25" customHeight="1" x14ac:dyDescent="0.25">
      <c r="A14" s="93"/>
      <c r="B14" s="891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18" s="574" customFormat="1" ht="26.25" customHeight="1" x14ac:dyDescent="0.25">
      <c r="A15" s="93"/>
      <c r="B15" s="891"/>
      <c r="C15" s="891"/>
      <c r="D15" s="77"/>
      <c r="E15" s="80"/>
      <c r="F15" s="55"/>
      <c r="G15" s="56">
        <f>E15*F15</f>
        <v>0</v>
      </c>
      <c r="H15" s="80"/>
      <c r="I15" s="80"/>
      <c r="J15" s="80"/>
      <c r="K15" s="876"/>
      <c r="L15" s="877"/>
      <c r="M15" s="94"/>
      <c r="N15" s="84"/>
    </row>
    <row r="16" spans="1:18" s="574" customFormat="1" ht="26.25" customHeight="1" x14ac:dyDescent="0.25">
      <c r="A16" s="925" t="s">
        <v>11</v>
      </c>
      <c r="B16" s="926"/>
      <c r="C16" s="926"/>
      <c r="D16" s="926"/>
      <c r="E16" s="580">
        <f>SUM(E10:E15)</f>
        <v>53</v>
      </c>
      <c r="F16" s="76">
        <v>7</v>
      </c>
      <c r="G16" s="56">
        <f>SUM(E16*F16)</f>
        <v>371</v>
      </c>
      <c r="H16" s="579"/>
      <c r="I16" s="579"/>
      <c r="J16" s="579"/>
      <c r="K16" s="876"/>
      <c r="L16" s="877"/>
      <c r="M16" s="579"/>
      <c r="N16" s="63"/>
    </row>
    <row r="17" spans="1:14" s="574" customFormat="1" ht="26.25" customHeight="1" x14ac:dyDescent="0.25">
      <c r="A17" s="927" t="s">
        <v>24</v>
      </c>
      <c r="B17" s="928"/>
      <c r="C17" s="928"/>
      <c r="D17" s="928"/>
      <c r="E17" s="928"/>
      <c r="F17" s="928"/>
      <c r="G17" s="64">
        <f>SUM(G10:G15)</f>
        <v>371</v>
      </c>
      <c r="H17" s="581"/>
      <c r="I17" s="581"/>
      <c r="J17" s="581"/>
      <c r="K17" s="859"/>
      <c r="L17" s="860"/>
      <c r="M17" s="581"/>
      <c r="N17" s="66"/>
    </row>
    <row r="18" spans="1:14" s="48" customFormat="1" ht="26.25" customHeight="1" x14ac:dyDescent="0.25">
      <c r="A18" s="929" t="s">
        <v>32</v>
      </c>
      <c r="B18" s="930"/>
      <c r="C18" s="930"/>
      <c r="D18" s="930"/>
      <c r="E18" s="930"/>
      <c r="F18" s="930"/>
      <c r="G18" s="900"/>
      <c r="H18" s="67"/>
      <c r="I18" s="954" t="s">
        <v>415</v>
      </c>
      <c r="J18" s="954"/>
      <c r="K18" s="954"/>
      <c r="L18" s="955">
        <v>703700075894</v>
      </c>
      <c r="M18" s="955"/>
      <c r="N18" s="956"/>
    </row>
    <row r="19" spans="1:14" s="48" customFormat="1" ht="22.5" customHeight="1" thickBot="1" x14ac:dyDescent="0.3">
      <c r="A19" s="72" t="s">
        <v>5</v>
      </c>
      <c r="B19" s="71" t="s">
        <v>33</v>
      </c>
      <c r="C19" s="857" t="s">
        <v>21</v>
      </c>
      <c r="D19" s="858"/>
      <c r="E19" s="857" t="s">
        <v>34</v>
      </c>
      <c r="F19" s="858"/>
      <c r="G19" s="71" t="s">
        <v>0</v>
      </c>
      <c r="H19" s="71" t="s">
        <v>25</v>
      </c>
      <c r="I19" s="71" t="s">
        <v>26</v>
      </c>
      <c r="J19" s="71" t="s">
        <v>27</v>
      </c>
      <c r="K19" s="863" t="s">
        <v>28</v>
      </c>
      <c r="L19" s="857"/>
      <c r="M19" s="1064" t="s">
        <v>414</v>
      </c>
      <c r="N19" s="902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371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 t="s">
        <v>535</v>
      </c>
      <c r="B21" s="11">
        <v>41739</v>
      </c>
      <c r="C21" s="1040" t="s">
        <v>412</v>
      </c>
      <c r="D21" s="1041"/>
      <c r="E21" s="918">
        <v>200</v>
      </c>
      <c r="F21" s="918"/>
      <c r="G21" s="167">
        <f>G20-E21</f>
        <v>171</v>
      </c>
      <c r="H21" s="575"/>
      <c r="I21" s="575"/>
      <c r="J21" s="575"/>
      <c r="K21" s="575"/>
      <c r="L21" s="575"/>
      <c r="M21" s="575"/>
      <c r="N21" s="168"/>
    </row>
    <row r="22" spans="1:14" s="3" customFormat="1" ht="26.25" customHeight="1" x14ac:dyDescent="0.25">
      <c r="A22" s="165" t="s">
        <v>563</v>
      </c>
      <c r="B22" s="11">
        <v>41768</v>
      </c>
      <c r="C22" s="1040" t="s">
        <v>412</v>
      </c>
      <c r="D22" s="1041"/>
      <c r="E22" s="918">
        <v>115</v>
      </c>
      <c r="F22" s="918"/>
      <c r="G22" s="167">
        <f t="shared" ref="G22:G25" si="1">G21-E22</f>
        <v>56</v>
      </c>
      <c r="H22" s="575"/>
      <c r="I22" s="575"/>
      <c r="J22" s="575"/>
      <c r="K22" s="575"/>
      <c r="L22" s="575"/>
      <c r="M22" s="575"/>
      <c r="N22" s="168"/>
    </row>
    <row r="23" spans="1:14" s="3" customFormat="1" ht="26.25" customHeight="1" x14ac:dyDescent="0.25">
      <c r="A23" s="170" t="s">
        <v>592</v>
      </c>
      <c r="B23" s="166">
        <v>41793</v>
      </c>
      <c r="C23" s="1040" t="s">
        <v>412</v>
      </c>
      <c r="D23" s="1041"/>
      <c r="E23" s="918">
        <v>30</v>
      </c>
      <c r="F23" s="918"/>
      <c r="G23" s="167">
        <f t="shared" si="1"/>
        <v>26</v>
      </c>
      <c r="H23" s="575"/>
      <c r="I23" s="575"/>
      <c r="J23" s="575"/>
      <c r="K23" s="575"/>
      <c r="L23" s="575"/>
      <c r="M23" s="575"/>
      <c r="N23" s="168"/>
    </row>
    <row r="24" spans="1:14" s="3" customFormat="1" ht="26.25" customHeight="1" x14ac:dyDescent="0.25">
      <c r="A24" s="170"/>
      <c r="B24" s="166"/>
      <c r="C24" s="924"/>
      <c r="D24" s="924"/>
      <c r="E24" s="918"/>
      <c r="F24" s="918"/>
      <c r="G24" s="167">
        <f t="shared" si="1"/>
        <v>26</v>
      </c>
      <c r="H24" s="575"/>
      <c r="I24" s="575"/>
      <c r="J24" s="575"/>
      <c r="K24" s="575"/>
      <c r="L24" s="575"/>
      <c r="M24" s="575"/>
      <c r="N24" s="168"/>
    </row>
    <row r="25" spans="1:14" s="3" customFormat="1" ht="26.25" customHeight="1" x14ac:dyDescent="0.25">
      <c r="A25" s="169"/>
      <c r="B25" s="166"/>
      <c r="C25" s="945"/>
      <c r="D25" s="945"/>
      <c r="E25" s="919"/>
      <c r="F25" s="919"/>
      <c r="G25" s="167">
        <f t="shared" si="1"/>
        <v>26</v>
      </c>
      <c r="H25" s="575"/>
      <c r="I25" s="575"/>
      <c r="J25" s="575"/>
      <c r="K25" s="575"/>
      <c r="L25" s="575"/>
      <c r="M25" s="575"/>
      <c r="N25" s="168"/>
    </row>
    <row r="26" spans="1:14" s="23" customFormat="1" ht="26.25" customHeight="1" thickBot="1" x14ac:dyDescent="0.3">
      <c r="A26" s="914" t="s">
        <v>36</v>
      </c>
      <c r="B26" s="915"/>
      <c r="C26" s="915"/>
      <c r="D26" s="915"/>
      <c r="E26" s="916">
        <f>SUM(E21:F25)</f>
        <v>345</v>
      </c>
      <c r="F26" s="917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44"/>
      <c r="F27" s="844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Veun Thy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4">
    <mergeCell ref="A26:D26"/>
    <mergeCell ref="E26:F26"/>
    <mergeCell ref="E27:F27"/>
    <mergeCell ref="K33:N33"/>
    <mergeCell ref="L18:N18"/>
    <mergeCell ref="I18:K18"/>
    <mergeCell ref="C23:D23"/>
    <mergeCell ref="E23:F23"/>
    <mergeCell ref="C24:D24"/>
    <mergeCell ref="E24:F24"/>
    <mergeCell ref="C25:D25"/>
    <mergeCell ref="E25:F25"/>
    <mergeCell ref="M19:N19"/>
    <mergeCell ref="A20:F20"/>
    <mergeCell ref="C21:D21"/>
    <mergeCell ref="E21:F21"/>
    <mergeCell ref="C22:D22"/>
    <mergeCell ref="E22:F22"/>
    <mergeCell ref="A16:D16"/>
    <mergeCell ref="K16:L16"/>
    <mergeCell ref="A17:F17"/>
    <mergeCell ref="K17:L17"/>
    <mergeCell ref="A18:G18"/>
    <mergeCell ref="C19:D19"/>
    <mergeCell ref="E19:F19"/>
    <mergeCell ref="K19:L19"/>
    <mergeCell ref="A1:XFD7"/>
    <mergeCell ref="A8:N8"/>
    <mergeCell ref="K9:L9"/>
    <mergeCell ref="B10:B15"/>
    <mergeCell ref="C10:C15"/>
    <mergeCell ref="K10:L10"/>
    <mergeCell ref="K11:L11"/>
    <mergeCell ref="K15:L15"/>
  </mergeCells>
  <hyperlinks>
    <hyperlink ref="M19" r:id="rId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"/>
  <sheetViews>
    <sheetView zoomScale="80" workbookViewId="0">
      <pane ySplit="9" topLeftCell="A19" activePane="bottomLeft" state="frozen"/>
      <selection activeCell="G13" sqref="G13"/>
      <selection pane="bottomLeft" activeCell="A18" sqref="A18:G18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31.5703125" style="1" customWidth="1"/>
    <col min="5" max="5" width="8.42578125" style="1" customWidth="1"/>
    <col min="6" max="6" width="10.85546875" style="1" customWidth="1"/>
    <col min="7" max="7" width="17.5703125" style="1" customWidth="1"/>
    <col min="8" max="8" width="9.425781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15" width="9.140625" style="1"/>
    <col min="16" max="16" width="21.28515625" style="1" customWidth="1"/>
    <col min="17" max="17" width="15.140625" style="1" customWidth="1"/>
    <col min="18" max="18" width="16.7109375" style="1" customWidth="1"/>
    <col min="19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66" customFormat="1" ht="15" x14ac:dyDescent="0.25"/>
    <row r="2" spans="1:18" s="866" customFormat="1" ht="15" x14ac:dyDescent="0.25"/>
    <row r="3" spans="1:18" s="866" customFormat="1" ht="15" x14ac:dyDescent="0.25"/>
    <row r="4" spans="1:18" s="866" customFormat="1" ht="15" x14ac:dyDescent="0.25"/>
    <row r="5" spans="1:18" s="866" customFormat="1" ht="15" x14ac:dyDescent="0.25"/>
    <row r="6" spans="1:18" s="866" customFormat="1" ht="15" x14ac:dyDescent="0.25"/>
    <row r="7" spans="1:18" s="866" customFormat="1" ht="15.75" thickBot="1" x14ac:dyDescent="0.3"/>
    <row r="8" spans="1:18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8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8" s="608" customFormat="1" ht="26.25" customHeight="1" x14ac:dyDescent="0.25">
      <c r="A10" s="91">
        <v>1</v>
      </c>
      <c r="B10" s="890" t="s">
        <v>77</v>
      </c>
      <c r="C10" s="890" t="s">
        <v>31</v>
      </c>
      <c r="D10" s="549" t="s">
        <v>441</v>
      </c>
      <c r="E10" s="613">
        <f>6+8+9+12+9</f>
        <v>44</v>
      </c>
      <c r="F10" s="55">
        <v>7</v>
      </c>
      <c r="G10" s="56">
        <f>E10*F10</f>
        <v>308</v>
      </c>
      <c r="H10" s="613" t="s">
        <v>25</v>
      </c>
      <c r="I10" s="613">
        <v>3</v>
      </c>
      <c r="J10" s="613">
        <v>10</v>
      </c>
      <c r="K10" s="948" t="s">
        <v>74</v>
      </c>
      <c r="L10" s="949"/>
      <c r="M10" s="611">
        <v>41677</v>
      </c>
      <c r="N10" s="612"/>
      <c r="O10" s="931" t="s">
        <v>542</v>
      </c>
      <c r="P10" s="912"/>
      <c r="Q10" s="912"/>
      <c r="R10" s="582"/>
    </row>
    <row r="11" spans="1:18" s="608" customFormat="1" ht="26.25" customHeight="1" x14ac:dyDescent="0.25">
      <c r="A11" s="93"/>
      <c r="B11" s="891"/>
      <c r="C11" s="891"/>
      <c r="D11" s="53" t="s">
        <v>496</v>
      </c>
      <c r="E11" s="80">
        <f>12+13.5+14</f>
        <v>39.5</v>
      </c>
      <c r="F11" s="55">
        <v>7</v>
      </c>
      <c r="G11" s="56">
        <f t="shared" ref="G11:G14" si="0">E11*F11</f>
        <v>276.5</v>
      </c>
      <c r="H11" s="80" t="s">
        <v>432</v>
      </c>
      <c r="I11" s="80">
        <v>3</v>
      </c>
      <c r="J11" s="80">
        <v>10</v>
      </c>
      <c r="K11" s="876" t="s">
        <v>497</v>
      </c>
      <c r="L11" s="877"/>
      <c r="M11" s="94">
        <v>41724</v>
      </c>
      <c r="N11" s="84"/>
      <c r="O11" s="931"/>
      <c r="P11" s="912"/>
      <c r="Q11" s="912"/>
    </row>
    <row r="12" spans="1:18" s="608" customFormat="1" ht="26.25" customHeight="1" x14ac:dyDescent="0.25">
      <c r="A12" s="93"/>
      <c r="B12" s="891"/>
      <c r="C12" s="891"/>
      <c r="D12" s="53" t="s">
        <v>498</v>
      </c>
      <c r="E12" s="80">
        <f>12+12+21</f>
        <v>45</v>
      </c>
      <c r="F12" s="55">
        <v>7</v>
      </c>
      <c r="G12" s="56">
        <f t="shared" si="0"/>
        <v>315</v>
      </c>
      <c r="H12" s="80" t="s">
        <v>499</v>
      </c>
      <c r="I12" s="80">
        <v>2</v>
      </c>
      <c r="J12" s="80">
        <v>11</v>
      </c>
      <c r="K12" s="876" t="s">
        <v>497</v>
      </c>
      <c r="L12" s="877"/>
      <c r="M12" s="94">
        <v>41720</v>
      </c>
      <c r="N12" s="84" t="s">
        <v>607</v>
      </c>
      <c r="O12" s="931"/>
      <c r="P12" s="912"/>
      <c r="Q12" s="912"/>
    </row>
    <row r="13" spans="1:18" s="608" customFormat="1" ht="26.25" customHeight="1" x14ac:dyDescent="0.25">
      <c r="A13" s="93"/>
      <c r="B13" s="891"/>
      <c r="C13" s="891"/>
      <c r="D13" s="77"/>
      <c r="E13" s="80"/>
      <c r="F13" s="55"/>
      <c r="G13" s="56">
        <f t="shared" si="0"/>
        <v>0</v>
      </c>
      <c r="H13" s="80"/>
      <c r="I13" s="80"/>
      <c r="J13" s="80"/>
      <c r="K13" s="181"/>
      <c r="L13" s="182"/>
      <c r="M13" s="94"/>
      <c r="N13" s="84"/>
    </row>
    <row r="14" spans="1:18" s="608" customFormat="1" ht="26.25" customHeight="1" x14ac:dyDescent="0.25">
      <c r="A14" s="93"/>
      <c r="B14" s="891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18" s="608" customFormat="1" ht="26.25" customHeight="1" x14ac:dyDescent="0.25">
      <c r="A15" s="93"/>
      <c r="B15" s="891"/>
      <c r="C15" s="891"/>
      <c r="D15" s="77"/>
      <c r="E15" s="80"/>
      <c r="F15" s="55"/>
      <c r="G15" s="56">
        <f>E15*F15</f>
        <v>0</v>
      </c>
      <c r="H15" s="80"/>
      <c r="I15" s="80"/>
      <c r="J15" s="80"/>
      <c r="K15" s="876"/>
      <c r="L15" s="877"/>
      <c r="M15" s="94"/>
      <c r="N15" s="84"/>
    </row>
    <row r="16" spans="1:18" s="608" customFormat="1" ht="26.25" customHeight="1" x14ac:dyDescent="0.25">
      <c r="A16" s="925" t="s">
        <v>11</v>
      </c>
      <c r="B16" s="926"/>
      <c r="C16" s="926"/>
      <c r="D16" s="926"/>
      <c r="E16" s="615">
        <f>SUM(E10:E15)</f>
        <v>128.5</v>
      </c>
      <c r="F16" s="76">
        <v>7</v>
      </c>
      <c r="G16" s="56"/>
      <c r="H16" s="614"/>
      <c r="I16" s="614"/>
      <c r="J16" s="614"/>
      <c r="K16" s="876"/>
      <c r="L16" s="877"/>
      <c r="M16" s="614"/>
      <c r="N16" s="63"/>
    </row>
    <row r="17" spans="1:14" s="608" customFormat="1" ht="26.25" customHeight="1" x14ac:dyDescent="0.25">
      <c r="A17" s="927" t="s">
        <v>24</v>
      </c>
      <c r="B17" s="928"/>
      <c r="C17" s="928"/>
      <c r="D17" s="928"/>
      <c r="E17" s="928"/>
      <c r="F17" s="928"/>
      <c r="G17" s="64">
        <f>SUM(G10:G15)</f>
        <v>899.5</v>
      </c>
      <c r="H17" s="616"/>
      <c r="I17" s="616"/>
      <c r="J17" s="616"/>
      <c r="K17" s="859"/>
      <c r="L17" s="860"/>
      <c r="M17" s="616"/>
      <c r="N17" s="66"/>
    </row>
    <row r="18" spans="1:14" s="48" customFormat="1" ht="26.25" customHeight="1" x14ac:dyDescent="0.25">
      <c r="A18" s="929" t="s">
        <v>32</v>
      </c>
      <c r="B18" s="930"/>
      <c r="C18" s="930"/>
      <c r="D18" s="930"/>
      <c r="E18" s="930"/>
      <c r="F18" s="930"/>
      <c r="G18" s="900"/>
      <c r="H18" s="67"/>
      <c r="I18" s="954" t="s">
        <v>415</v>
      </c>
      <c r="J18" s="954"/>
      <c r="K18" s="954"/>
      <c r="L18" s="955"/>
      <c r="M18" s="955"/>
      <c r="N18" s="956"/>
    </row>
    <row r="19" spans="1:14" s="48" customFormat="1" ht="22.5" customHeight="1" thickBot="1" x14ac:dyDescent="0.3">
      <c r="A19" s="72" t="s">
        <v>5</v>
      </c>
      <c r="B19" s="71" t="s">
        <v>33</v>
      </c>
      <c r="C19" s="857" t="s">
        <v>21</v>
      </c>
      <c r="D19" s="858"/>
      <c r="E19" s="857" t="s">
        <v>34</v>
      </c>
      <c r="F19" s="858"/>
      <c r="G19" s="71" t="s">
        <v>0</v>
      </c>
      <c r="H19" s="71" t="s">
        <v>25</v>
      </c>
      <c r="I19" s="71" t="s">
        <v>26</v>
      </c>
      <c r="J19" s="71" t="s">
        <v>27</v>
      </c>
      <c r="K19" s="863" t="s">
        <v>28</v>
      </c>
      <c r="L19" s="857"/>
      <c r="M19" s="1064"/>
      <c r="N19" s="902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899.5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 t="s">
        <v>537</v>
      </c>
      <c r="B21" s="11">
        <v>41739</v>
      </c>
      <c r="C21" s="1040" t="s">
        <v>441</v>
      </c>
      <c r="D21" s="1041"/>
      <c r="E21" s="918">
        <v>90</v>
      </c>
      <c r="F21" s="918"/>
      <c r="G21" s="167">
        <f>G20-E21</f>
        <v>809.5</v>
      </c>
      <c r="H21" s="610"/>
      <c r="I21" s="610"/>
      <c r="J21" s="610"/>
      <c r="K21" s="610"/>
      <c r="L21" s="610"/>
      <c r="M21" s="610"/>
      <c r="N21" s="168"/>
    </row>
    <row r="22" spans="1:14" s="3" customFormat="1" ht="26.25" customHeight="1" x14ac:dyDescent="0.25">
      <c r="A22" s="165" t="s">
        <v>563</v>
      </c>
      <c r="B22" s="11">
        <v>41768</v>
      </c>
      <c r="C22" s="1040" t="s">
        <v>441</v>
      </c>
      <c r="D22" s="1041"/>
      <c r="E22" s="918">
        <v>160</v>
      </c>
      <c r="F22" s="918"/>
      <c r="G22" s="167">
        <f t="shared" ref="G22:G24" si="1">G21-E22</f>
        <v>649.5</v>
      </c>
      <c r="H22" s="610"/>
      <c r="I22" s="610"/>
      <c r="J22" s="610"/>
      <c r="K22" s="610"/>
      <c r="L22" s="610"/>
      <c r="M22" s="610"/>
      <c r="N22" s="168"/>
    </row>
    <row r="23" spans="1:14" s="3" customFormat="1" ht="26.25" customHeight="1" x14ac:dyDescent="0.25">
      <c r="A23" s="170" t="s">
        <v>592</v>
      </c>
      <c r="B23" s="166">
        <v>41793</v>
      </c>
      <c r="C23" s="1040" t="s">
        <v>441</v>
      </c>
      <c r="D23" s="1041"/>
      <c r="E23" s="918">
        <v>170</v>
      </c>
      <c r="F23" s="918"/>
      <c r="G23" s="167">
        <f t="shared" si="1"/>
        <v>479.5</v>
      </c>
      <c r="H23" s="610"/>
      <c r="I23" s="610"/>
      <c r="J23" s="610"/>
      <c r="K23" s="610"/>
      <c r="L23" s="610"/>
      <c r="M23" s="610"/>
      <c r="N23" s="168"/>
    </row>
    <row r="24" spans="1:14" s="3" customFormat="1" ht="26.25" customHeight="1" x14ac:dyDescent="0.25">
      <c r="A24" s="170"/>
      <c r="B24" s="166"/>
      <c r="C24" s="924"/>
      <c r="D24" s="924"/>
      <c r="E24" s="918"/>
      <c r="F24" s="918"/>
      <c r="G24" s="167">
        <f t="shared" si="1"/>
        <v>479.5</v>
      </c>
      <c r="H24" s="610"/>
      <c r="I24" s="610"/>
      <c r="J24" s="610"/>
      <c r="K24" s="610"/>
      <c r="L24" s="610"/>
      <c r="M24" s="610"/>
      <c r="N24" s="168"/>
    </row>
    <row r="25" spans="1:14" s="3" customFormat="1" ht="26.25" customHeight="1" x14ac:dyDescent="0.25">
      <c r="A25" s="169"/>
      <c r="B25" s="166"/>
      <c r="C25" s="945"/>
      <c r="D25" s="945"/>
      <c r="E25" s="919"/>
      <c r="F25" s="919"/>
      <c r="G25" s="167">
        <f>G24-E25</f>
        <v>479.5</v>
      </c>
      <c r="H25" s="610"/>
      <c r="I25" s="610"/>
      <c r="J25" s="610"/>
      <c r="K25" s="610"/>
      <c r="L25" s="610"/>
      <c r="M25" s="610"/>
      <c r="N25" s="168"/>
    </row>
    <row r="26" spans="1:14" s="23" customFormat="1" ht="26.25" customHeight="1" thickBot="1" x14ac:dyDescent="0.3">
      <c r="A26" s="914" t="s">
        <v>36</v>
      </c>
      <c r="B26" s="915"/>
      <c r="C26" s="915"/>
      <c r="D26" s="915"/>
      <c r="E26" s="916">
        <f>SUM(E21:F25)</f>
        <v>420</v>
      </c>
      <c r="F26" s="917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44"/>
      <c r="F27" s="844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No Phearak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6">
    <mergeCell ref="K33:N33"/>
    <mergeCell ref="C22:D22"/>
    <mergeCell ref="E22:F22"/>
    <mergeCell ref="C23:D23"/>
    <mergeCell ref="E23:F23"/>
    <mergeCell ref="C24:D24"/>
    <mergeCell ref="E24:F24"/>
    <mergeCell ref="C25:D25"/>
    <mergeCell ref="E25:F25"/>
    <mergeCell ref="A26:D26"/>
    <mergeCell ref="E26:F26"/>
    <mergeCell ref="E27:F27"/>
    <mergeCell ref="C21:D21"/>
    <mergeCell ref="E21:F21"/>
    <mergeCell ref="A16:D16"/>
    <mergeCell ref="K16:L16"/>
    <mergeCell ref="A17:F17"/>
    <mergeCell ref="K17:L17"/>
    <mergeCell ref="A18:G18"/>
    <mergeCell ref="I18:K18"/>
    <mergeCell ref="L18:N18"/>
    <mergeCell ref="C19:D19"/>
    <mergeCell ref="E19:F19"/>
    <mergeCell ref="K19:L19"/>
    <mergeCell ref="M19:N19"/>
    <mergeCell ref="A20:F20"/>
    <mergeCell ref="A1:XFD7"/>
    <mergeCell ref="A8:N8"/>
    <mergeCell ref="K9:L9"/>
    <mergeCell ref="B10:B15"/>
    <mergeCell ref="C10:C15"/>
    <mergeCell ref="K10:L10"/>
    <mergeCell ref="K11:L11"/>
    <mergeCell ref="K15:L15"/>
    <mergeCell ref="K12:L12"/>
    <mergeCell ref="O10:Q12"/>
  </mergeCells>
  <printOptions horizontalCentered="1"/>
  <pageMargins left="0.25" right="0.25" top="0.5" bottom="0.25" header="0.5" footer="0.5"/>
  <pageSetup scale="70" orientation="portrait" verticalDpi="300" r:id="rId1"/>
  <headerFooter alignWithMargins="0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"/>
  <sheetViews>
    <sheetView zoomScale="80" workbookViewId="0">
      <pane ySplit="9" topLeftCell="A10" activePane="bottomLeft" state="frozen"/>
      <selection activeCell="G13" sqref="G13"/>
      <selection pane="bottomLeft" activeCell="L29" sqref="L29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31.5703125" style="1" customWidth="1"/>
    <col min="5" max="5" width="8.42578125" style="1" customWidth="1"/>
    <col min="6" max="6" width="10.85546875" style="1" customWidth="1"/>
    <col min="7" max="7" width="17.5703125" style="1" customWidth="1"/>
    <col min="8" max="8" width="6.1406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15" width="9.140625" style="1"/>
    <col min="16" max="16" width="21.28515625" style="1" customWidth="1"/>
    <col min="17" max="17" width="11.42578125" style="1" customWidth="1"/>
    <col min="18" max="18" width="16.7109375" style="1" customWidth="1"/>
    <col min="19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66" customFormat="1" ht="15" x14ac:dyDescent="0.25"/>
    <row r="2" spans="1:18" s="866" customFormat="1" ht="15" x14ac:dyDescent="0.25"/>
    <row r="3" spans="1:18" s="866" customFormat="1" ht="15" x14ac:dyDescent="0.25"/>
    <row r="4" spans="1:18" s="866" customFormat="1" ht="15" x14ac:dyDescent="0.25"/>
    <row r="5" spans="1:18" s="866" customFormat="1" ht="15" x14ac:dyDescent="0.25"/>
    <row r="6" spans="1:18" s="866" customFormat="1" ht="15" x14ac:dyDescent="0.25"/>
    <row r="7" spans="1:18" s="866" customFormat="1" ht="15.75" thickBot="1" x14ac:dyDescent="0.3"/>
    <row r="8" spans="1:18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8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8" s="608" customFormat="1" ht="26.25" customHeight="1" x14ac:dyDescent="0.25">
      <c r="A10" s="91">
        <v>1</v>
      </c>
      <c r="B10" s="890" t="s">
        <v>444</v>
      </c>
      <c r="C10" s="890" t="s">
        <v>53</v>
      </c>
      <c r="D10" s="549" t="s">
        <v>445</v>
      </c>
      <c r="E10" s="613">
        <f>12+9+9+3</f>
        <v>33</v>
      </c>
      <c r="F10" s="55">
        <v>7</v>
      </c>
      <c r="G10" s="56">
        <f>E10*F10</f>
        <v>231</v>
      </c>
      <c r="H10" s="613" t="s">
        <v>63</v>
      </c>
      <c r="I10" s="613">
        <v>2</v>
      </c>
      <c r="J10" s="613">
        <v>11</v>
      </c>
      <c r="K10" s="948" t="s">
        <v>231</v>
      </c>
      <c r="L10" s="949"/>
      <c r="M10" s="611">
        <v>41673</v>
      </c>
      <c r="N10" s="612"/>
      <c r="O10" s="548"/>
      <c r="P10" s="432"/>
      <c r="Q10" s="432"/>
      <c r="R10" s="582"/>
    </row>
    <row r="11" spans="1:18" s="608" customFormat="1" ht="26.25" customHeight="1" x14ac:dyDescent="0.25">
      <c r="A11" s="93"/>
      <c r="B11" s="891"/>
      <c r="C11" s="891"/>
      <c r="D11" s="53"/>
      <c r="E11" s="80"/>
      <c r="F11" s="55"/>
      <c r="G11" s="56">
        <f t="shared" ref="G11:G14" si="0">E11*F11</f>
        <v>0</v>
      </c>
      <c r="H11" s="80"/>
      <c r="I11" s="80"/>
      <c r="J11" s="80"/>
      <c r="K11" s="876"/>
      <c r="L11" s="877"/>
      <c r="M11" s="94"/>
      <c r="N11" s="84"/>
    </row>
    <row r="12" spans="1:18" s="608" customFormat="1" ht="26.25" customHeight="1" x14ac:dyDescent="0.25">
      <c r="A12" s="93"/>
      <c r="B12" s="891"/>
      <c r="C12" s="891"/>
      <c r="D12" s="53"/>
      <c r="E12" s="80"/>
      <c r="F12" s="55"/>
      <c r="G12" s="56">
        <f t="shared" si="0"/>
        <v>0</v>
      </c>
      <c r="H12" s="80"/>
      <c r="I12" s="80"/>
      <c r="J12" s="80"/>
      <c r="K12" s="181"/>
      <c r="L12" s="182"/>
      <c r="M12" s="94"/>
      <c r="N12" s="84"/>
    </row>
    <row r="13" spans="1:18" s="608" customFormat="1" ht="26.25" customHeight="1" x14ac:dyDescent="0.25">
      <c r="A13" s="93"/>
      <c r="B13" s="891"/>
      <c r="C13" s="891"/>
      <c r="D13" s="77"/>
      <c r="E13" s="80"/>
      <c r="F13" s="55"/>
      <c r="G13" s="56">
        <f t="shared" si="0"/>
        <v>0</v>
      </c>
      <c r="H13" s="80"/>
      <c r="I13" s="80"/>
      <c r="J13" s="80"/>
      <c r="K13" s="181"/>
      <c r="L13" s="182"/>
      <c r="M13" s="94"/>
      <c r="N13" s="84"/>
    </row>
    <row r="14" spans="1:18" s="608" customFormat="1" ht="26.25" customHeight="1" x14ac:dyDescent="0.25">
      <c r="A14" s="93"/>
      <c r="B14" s="891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18" s="608" customFormat="1" ht="26.25" customHeight="1" x14ac:dyDescent="0.25">
      <c r="A15" s="93"/>
      <c r="B15" s="891"/>
      <c r="C15" s="891"/>
      <c r="D15" s="77"/>
      <c r="E15" s="80"/>
      <c r="F15" s="55"/>
      <c r="G15" s="56">
        <f>E15*F15</f>
        <v>0</v>
      </c>
      <c r="H15" s="80"/>
      <c r="I15" s="80"/>
      <c r="J15" s="80"/>
      <c r="K15" s="876"/>
      <c r="L15" s="877"/>
      <c r="M15" s="94"/>
      <c r="N15" s="84"/>
    </row>
    <row r="16" spans="1:18" s="608" customFormat="1" ht="26.25" customHeight="1" x14ac:dyDescent="0.25">
      <c r="A16" s="925" t="s">
        <v>11</v>
      </c>
      <c r="B16" s="926"/>
      <c r="C16" s="926"/>
      <c r="D16" s="926"/>
      <c r="E16" s="615">
        <f>SUM(E10:E15)</f>
        <v>33</v>
      </c>
      <c r="F16" s="76">
        <v>7</v>
      </c>
      <c r="G16" s="56">
        <f>SUM(E16*F16)</f>
        <v>231</v>
      </c>
      <c r="H16" s="614"/>
      <c r="I16" s="614"/>
      <c r="J16" s="614"/>
      <c r="K16" s="876"/>
      <c r="L16" s="877"/>
      <c r="M16" s="614"/>
      <c r="N16" s="63"/>
    </row>
    <row r="17" spans="1:14" s="608" customFormat="1" ht="26.25" customHeight="1" x14ac:dyDescent="0.25">
      <c r="A17" s="927" t="s">
        <v>24</v>
      </c>
      <c r="B17" s="928"/>
      <c r="C17" s="928"/>
      <c r="D17" s="928"/>
      <c r="E17" s="928"/>
      <c r="F17" s="928"/>
      <c r="G17" s="64">
        <f>SUM(G10:G15)</f>
        <v>231</v>
      </c>
      <c r="H17" s="616"/>
      <c r="I17" s="616"/>
      <c r="J17" s="616"/>
      <c r="K17" s="859"/>
      <c r="L17" s="860"/>
      <c r="M17" s="616"/>
      <c r="N17" s="66"/>
    </row>
    <row r="18" spans="1:14" s="48" customFormat="1" ht="26.25" customHeight="1" x14ac:dyDescent="0.25">
      <c r="A18" s="929" t="s">
        <v>32</v>
      </c>
      <c r="B18" s="930"/>
      <c r="C18" s="930"/>
      <c r="D18" s="930"/>
      <c r="E18" s="930"/>
      <c r="F18" s="930"/>
      <c r="G18" s="900"/>
      <c r="H18" s="67"/>
      <c r="I18" s="954" t="s">
        <v>415</v>
      </c>
      <c r="J18" s="954"/>
      <c r="K18" s="954"/>
      <c r="L18" s="955"/>
      <c r="M18" s="955"/>
      <c r="N18" s="956"/>
    </row>
    <row r="19" spans="1:14" s="48" customFormat="1" ht="22.5" customHeight="1" thickBot="1" x14ac:dyDescent="0.3">
      <c r="A19" s="72" t="s">
        <v>5</v>
      </c>
      <c r="B19" s="71" t="s">
        <v>33</v>
      </c>
      <c r="C19" s="857" t="s">
        <v>21</v>
      </c>
      <c r="D19" s="858"/>
      <c r="E19" s="857" t="s">
        <v>34</v>
      </c>
      <c r="F19" s="858"/>
      <c r="G19" s="71" t="s">
        <v>0</v>
      </c>
      <c r="H19" s="71" t="s">
        <v>25</v>
      </c>
      <c r="I19" s="71" t="s">
        <v>26</v>
      </c>
      <c r="J19" s="71" t="s">
        <v>27</v>
      </c>
      <c r="K19" s="863" t="s">
        <v>28</v>
      </c>
      <c r="L19" s="857"/>
      <c r="M19" s="1064"/>
      <c r="N19" s="902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231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 t="s">
        <v>536</v>
      </c>
      <c r="B21" s="11">
        <v>41739</v>
      </c>
      <c r="C21" s="1040" t="s">
        <v>445</v>
      </c>
      <c r="D21" s="1041"/>
      <c r="E21" s="918">
        <v>70</v>
      </c>
      <c r="F21" s="918"/>
      <c r="G21" s="167">
        <f>G20-E21</f>
        <v>161</v>
      </c>
      <c r="H21" s="610"/>
      <c r="I21" s="610"/>
      <c r="J21" s="610"/>
      <c r="K21" s="610"/>
      <c r="L21" s="610"/>
      <c r="M21" s="610"/>
      <c r="N21" s="168"/>
    </row>
    <row r="22" spans="1:14" s="3" customFormat="1" ht="26.25" customHeight="1" x14ac:dyDescent="0.25">
      <c r="A22" s="165" t="s">
        <v>563</v>
      </c>
      <c r="B22" s="11">
        <v>41768</v>
      </c>
      <c r="C22" s="1040" t="s">
        <v>445</v>
      </c>
      <c r="D22" s="1041"/>
      <c r="E22" s="918">
        <v>70</v>
      </c>
      <c r="F22" s="918"/>
      <c r="G22" s="167">
        <f t="shared" ref="G22:G24" si="1">G21-E22</f>
        <v>91</v>
      </c>
      <c r="H22" s="610"/>
      <c r="I22" s="610"/>
      <c r="J22" s="610"/>
      <c r="K22" s="610"/>
      <c r="L22" s="610"/>
      <c r="M22" s="610"/>
      <c r="N22" s="168"/>
    </row>
    <row r="23" spans="1:14" s="3" customFormat="1" ht="26.25" customHeight="1" x14ac:dyDescent="0.25">
      <c r="A23" s="170" t="s">
        <v>592</v>
      </c>
      <c r="B23" s="166">
        <v>41793</v>
      </c>
      <c r="C23" s="1040" t="s">
        <v>445</v>
      </c>
      <c r="D23" s="1041"/>
      <c r="E23" s="918">
        <v>50</v>
      </c>
      <c r="F23" s="918"/>
      <c r="G23" s="167">
        <f t="shared" si="1"/>
        <v>41</v>
      </c>
      <c r="H23" s="610"/>
      <c r="I23" s="610"/>
      <c r="J23" s="610"/>
      <c r="K23" s="610"/>
      <c r="L23" s="610"/>
      <c r="M23" s="610"/>
      <c r="N23" s="168"/>
    </row>
    <row r="24" spans="1:14" s="3" customFormat="1" ht="26.25" customHeight="1" x14ac:dyDescent="0.25">
      <c r="A24" s="170"/>
      <c r="B24" s="166"/>
      <c r="C24" s="924"/>
      <c r="D24" s="924"/>
      <c r="E24" s="918"/>
      <c r="F24" s="918"/>
      <c r="G24" s="167">
        <f t="shared" si="1"/>
        <v>41</v>
      </c>
      <c r="H24" s="610"/>
      <c r="I24" s="610"/>
      <c r="J24" s="610"/>
      <c r="K24" s="610"/>
      <c r="L24" s="610"/>
      <c r="M24" s="610"/>
      <c r="N24" s="168"/>
    </row>
    <row r="25" spans="1:14" s="3" customFormat="1" ht="26.25" customHeight="1" x14ac:dyDescent="0.25">
      <c r="A25" s="169"/>
      <c r="B25" s="166"/>
      <c r="C25" s="945"/>
      <c r="D25" s="945"/>
      <c r="E25" s="919"/>
      <c r="F25" s="919"/>
      <c r="G25" s="167">
        <f>G24-E25</f>
        <v>41</v>
      </c>
      <c r="H25" s="610"/>
      <c r="I25" s="610"/>
      <c r="J25" s="610"/>
      <c r="K25" s="610"/>
      <c r="L25" s="610"/>
      <c r="M25" s="610"/>
      <c r="N25" s="168"/>
    </row>
    <row r="26" spans="1:14" s="23" customFormat="1" ht="26.25" customHeight="1" thickBot="1" x14ac:dyDescent="0.3">
      <c r="A26" s="914" t="s">
        <v>36</v>
      </c>
      <c r="B26" s="915"/>
      <c r="C26" s="915"/>
      <c r="D26" s="915"/>
      <c r="E26" s="916">
        <f>SUM(E21:F25)</f>
        <v>190</v>
      </c>
      <c r="F26" s="917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44"/>
      <c r="F27" s="844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Sok Lika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4">
    <mergeCell ref="K33:N33"/>
    <mergeCell ref="C22:D22"/>
    <mergeCell ref="E22:F22"/>
    <mergeCell ref="C23:D23"/>
    <mergeCell ref="E23:F23"/>
    <mergeCell ref="C24:D24"/>
    <mergeCell ref="E24:F24"/>
    <mergeCell ref="C25:D25"/>
    <mergeCell ref="E25:F25"/>
    <mergeCell ref="A26:D26"/>
    <mergeCell ref="E26:F26"/>
    <mergeCell ref="E27:F27"/>
    <mergeCell ref="C21:D21"/>
    <mergeCell ref="E21:F21"/>
    <mergeCell ref="A16:D16"/>
    <mergeCell ref="K16:L16"/>
    <mergeCell ref="A17:F17"/>
    <mergeCell ref="K17:L17"/>
    <mergeCell ref="A18:G18"/>
    <mergeCell ref="I18:K18"/>
    <mergeCell ref="L18:N18"/>
    <mergeCell ref="C19:D19"/>
    <mergeCell ref="E19:F19"/>
    <mergeCell ref="K19:L19"/>
    <mergeCell ref="M19:N19"/>
    <mergeCell ref="A20:F20"/>
    <mergeCell ref="A1:XFD7"/>
    <mergeCell ref="A8:N8"/>
    <mergeCell ref="K9:L9"/>
    <mergeCell ref="B10:B15"/>
    <mergeCell ref="C10:C15"/>
    <mergeCell ref="K10:L10"/>
    <mergeCell ref="K11:L11"/>
    <mergeCell ref="K15:L15"/>
  </mergeCells>
  <printOptions horizontalCentered="1"/>
  <pageMargins left="0.25" right="0.25" top="0.5" bottom="0.25" header="0.5" footer="0.5"/>
  <pageSetup scale="70" orientation="portrait" verticalDpi="300" r:id="rId1"/>
  <headerFooter alignWithMargins="0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"/>
  <sheetViews>
    <sheetView zoomScale="80" workbookViewId="0">
      <pane ySplit="9" topLeftCell="A10" activePane="bottomLeft" state="frozen"/>
      <selection activeCell="G13" sqref="G13"/>
      <selection pane="bottomLeft" activeCell="K27" sqref="K27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31.5703125" style="1" customWidth="1"/>
    <col min="5" max="5" width="8.42578125" style="1" customWidth="1"/>
    <col min="6" max="6" width="10.85546875" style="1" customWidth="1"/>
    <col min="7" max="7" width="17.5703125" style="1" customWidth="1"/>
    <col min="8" max="8" width="6.1406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15" width="9.140625" style="1"/>
    <col min="16" max="16" width="21.28515625" style="1" customWidth="1"/>
    <col min="17" max="17" width="11.42578125" style="1" customWidth="1"/>
    <col min="18" max="18" width="16.7109375" style="1" customWidth="1"/>
    <col min="19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66" customFormat="1" ht="15" x14ac:dyDescent="0.25"/>
    <row r="2" spans="1:18" s="866" customFormat="1" ht="15" x14ac:dyDescent="0.25"/>
    <row r="3" spans="1:18" s="866" customFormat="1" ht="15" x14ac:dyDescent="0.25"/>
    <row r="4" spans="1:18" s="866" customFormat="1" ht="15" x14ac:dyDescent="0.25"/>
    <row r="5" spans="1:18" s="866" customFormat="1" ht="15" x14ac:dyDescent="0.25"/>
    <row r="6" spans="1:18" s="866" customFormat="1" ht="15" x14ac:dyDescent="0.25"/>
    <row r="7" spans="1:18" s="866" customFormat="1" ht="15.75" thickBot="1" x14ac:dyDescent="0.3"/>
    <row r="8" spans="1:18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8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8" s="608" customFormat="1" ht="26.25" customHeight="1" x14ac:dyDescent="0.25">
      <c r="A10" s="91">
        <v>1</v>
      </c>
      <c r="B10" s="890" t="s">
        <v>447</v>
      </c>
      <c r="C10" s="890" t="s">
        <v>31</v>
      </c>
      <c r="D10" s="549" t="s">
        <v>448</v>
      </c>
      <c r="E10" s="613">
        <f>12+24+9</f>
        <v>45</v>
      </c>
      <c r="F10" s="55">
        <v>8</v>
      </c>
      <c r="G10" s="56">
        <f>E10*F10</f>
        <v>360</v>
      </c>
      <c r="H10" s="613" t="s">
        <v>107</v>
      </c>
      <c r="I10" s="613">
        <v>2</v>
      </c>
      <c r="J10" s="613">
        <v>11</v>
      </c>
      <c r="K10" s="948" t="s">
        <v>227</v>
      </c>
      <c r="L10" s="949"/>
      <c r="M10" s="611">
        <v>41692</v>
      </c>
      <c r="N10" s="612"/>
      <c r="O10" s="548"/>
      <c r="P10" s="432"/>
      <c r="Q10" s="432"/>
      <c r="R10" s="582"/>
    </row>
    <row r="11" spans="1:18" s="608" customFormat="1" ht="26.25" customHeight="1" x14ac:dyDescent="0.25">
      <c r="A11" s="93"/>
      <c r="B11" s="891"/>
      <c r="C11" s="891"/>
      <c r="D11" s="53"/>
      <c r="E11" s="80"/>
      <c r="F11" s="55"/>
      <c r="G11" s="56">
        <f t="shared" ref="G11:G14" si="0">E11*F11</f>
        <v>0</v>
      </c>
      <c r="H11" s="80"/>
      <c r="I11" s="80"/>
      <c r="J11" s="80"/>
      <c r="K11" s="876"/>
      <c r="L11" s="877"/>
      <c r="M11" s="94"/>
      <c r="N11" s="84"/>
    </row>
    <row r="12" spans="1:18" s="608" customFormat="1" ht="26.25" customHeight="1" x14ac:dyDescent="0.25">
      <c r="A12" s="93"/>
      <c r="B12" s="891"/>
      <c r="C12" s="891"/>
      <c r="D12" s="53"/>
      <c r="E12" s="80"/>
      <c r="F12" s="55"/>
      <c r="G12" s="56">
        <f t="shared" si="0"/>
        <v>0</v>
      </c>
      <c r="H12" s="80"/>
      <c r="I12" s="80"/>
      <c r="J12" s="80"/>
      <c r="K12" s="181"/>
      <c r="L12" s="182"/>
      <c r="M12" s="94"/>
      <c r="N12" s="84"/>
    </row>
    <row r="13" spans="1:18" s="608" customFormat="1" ht="26.25" customHeight="1" x14ac:dyDescent="0.25">
      <c r="A13" s="93"/>
      <c r="B13" s="891"/>
      <c r="C13" s="891"/>
      <c r="D13" s="77"/>
      <c r="E13" s="80"/>
      <c r="F13" s="55"/>
      <c r="G13" s="56">
        <f t="shared" si="0"/>
        <v>0</v>
      </c>
      <c r="H13" s="80"/>
      <c r="I13" s="80"/>
      <c r="J13" s="80"/>
      <c r="K13" s="181"/>
      <c r="L13" s="182"/>
      <c r="M13" s="94"/>
      <c r="N13" s="84"/>
    </row>
    <row r="14" spans="1:18" s="608" customFormat="1" ht="26.25" customHeight="1" x14ac:dyDescent="0.25">
      <c r="A14" s="93"/>
      <c r="B14" s="891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18" s="608" customFormat="1" ht="26.25" customHeight="1" x14ac:dyDescent="0.25">
      <c r="A15" s="93"/>
      <c r="B15" s="891"/>
      <c r="C15" s="891"/>
      <c r="D15" s="77"/>
      <c r="E15" s="80"/>
      <c r="F15" s="55"/>
      <c r="G15" s="56">
        <f>E15*F15</f>
        <v>0</v>
      </c>
      <c r="H15" s="80"/>
      <c r="I15" s="80"/>
      <c r="J15" s="80"/>
      <c r="K15" s="876"/>
      <c r="L15" s="877"/>
      <c r="M15" s="94"/>
      <c r="N15" s="84"/>
    </row>
    <row r="16" spans="1:18" s="608" customFormat="1" ht="26.25" customHeight="1" x14ac:dyDescent="0.25">
      <c r="A16" s="925" t="s">
        <v>11</v>
      </c>
      <c r="B16" s="926"/>
      <c r="C16" s="926"/>
      <c r="D16" s="926"/>
      <c r="E16" s="615">
        <f>SUM(E10:E15)</f>
        <v>45</v>
      </c>
      <c r="F16" s="76">
        <v>8</v>
      </c>
      <c r="G16" s="56">
        <f>SUM(E16*F6)</f>
        <v>0</v>
      </c>
      <c r="H16" s="614"/>
      <c r="I16" s="614"/>
      <c r="J16" s="614"/>
      <c r="K16" s="876"/>
      <c r="L16" s="877"/>
      <c r="M16" s="614"/>
      <c r="N16" s="63"/>
    </row>
    <row r="17" spans="1:14" s="608" customFormat="1" ht="26.25" customHeight="1" x14ac:dyDescent="0.25">
      <c r="A17" s="927" t="s">
        <v>24</v>
      </c>
      <c r="B17" s="928"/>
      <c r="C17" s="928"/>
      <c r="D17" s="928"/>
      <c r="E17" s="928"/>
      <c r="F17" s="928"/>
      <c r="G17" s="64">
        <f>SUM(G10:G15)</f>
        <v>360</v>
      </c>
      <c r="H17" s="616"/>
      <c r="I17" s="616"/>
      <c r="J17" s="616"/>
      <c r="K17" s="859"/>
      <c r="L17" s="860"/>
      <c r="M17" s="616"/>
      <c r="N17" s="66"/>
    </row>
    <row r="18" spans="1:14" s="48" customFormat="1" ht="26.25" customHeight="1" x14ac:dyDescent="0.25">
      <c r="A18" s="929" t="s">
        <v>32</v>
      </c>
      <c r="B18" s="930"/>
      <c r="C18" s="930"/>
      <c r="D18" s="930"/>
      <c r="E18" s="930"/>
      <c r="F18" s="930"/>
      <c r="G18" s="900"/>
      <c r="H18" s="67"/>
      <c r="I18" s="954" t="s">
        <v>415</v>
      </c>
      <c r="J18" s="954"/>
      <c r="K18" s="954"/>
      <c r="L18" s="955"/>
      <c r="M18" s="955"/>
      <c r="N18" s="956"/>
    </row>
    <row r="19" spans="1:14" s="48" customFormat="1" ht="22.5" customHeight="1" thickBot="1" x14ac:dyDescent="0.3">
      <c r="A19" s="72" t="s">
        <v>5</v>
      </c>
      <c r="B19" s="71" t="s">
        <v>33</v>
      </c>
      <c r="C19" s="857" t="s">
        <v>21</v>
      </c>
      <c r="D19" s="858"/>
      <c r="E19" s="857" t="s">
        <v>34</v>
      </c>
      <c r="F19" s="858"/>
      <c r="G19" s="71" t="s">
        <v>0</v>
      </c>
      <c r="H19" s="71" t="s">
        <v>25</v>
      </c>
      <c r="I19" s="71" t="s">
        <v>26</v>
      </c>
      <c r="J19" s="71" t="s">
        <v>27</v>
      </c>
      <c r="K19" s="863" t="s">
        <v>28</v>
      </c>
      <c r="L19" s="857"/>
      <c r="M19" s="1064"/>
      <c r="N19" s="902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360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 t="s">
        <v>537</v>
      </c>
      <c r="B21" s="11">
        <v>41739</v>
      </c>
      <c r="C21" s="1040" t="s">
        <v>448</v>
      </c>
      <c r="D21" s="1041"/>
      <c r="E21" s="918">
        <v>140</v>
      </c>
      <c r="F21" s="918"/>
      <c r="G21" s="167">
        <f>G20-E21</f>
        <v>220</v>
      </c>
      <c r="H21" s="610"/>
      <c r="I21" s="610"/>
      <c r="J21" s="610"/>
      <c r="K21" s="610"/>
      <c r="L21" s="610"/>
      <c r="M21" s="610"/>
      <c r="N21" s="168"/>
    </row>
    <row r="22" spans="1:14" s="3" customFormat="1" ht="26.25" customHeight="1" x14ac:dyDescent="0.25">
      <c r="A22" s="165" t="s">
        <v>563</v>
      </c>
      <c r="B22" s="11">
        <v>41768</v>
      </c>
      <c r="C22" s="1040" t="s">
        <v>448</v>
      </c>
      <c r="D22" s="1041"/>
      <c r="E22" s="918">
        <v>110</v>
      </c>
      <c r="F22" s="918"/>
      <c r="G22" s="167">
        <f t="shared" ref="G22:G24" si="1">G21-E22</f>
        <v>110</v>
      </c>
      <c r="H22" s="610"/>
      <c r="I22" s="610"/>
      <c r="J22" s="610"/>
      <c r="K22" s="610"/>
      <c r="L22" s="610"/>
      <c r="M22" s="610"/>
      <c r="N22" s="168"/>
    </row>
    <row r="23" spans="1:14" s="3" customFormat="1" ht="26.25" customHeight="1" x14ac:dyDescent="0.25">
      <c r="A23" s="170" t="s">
        <v>592</v>
      </c>
      <c r="B23" s="166" t="s">
        <v>593</v>
      </c>
      <c r="C23" s="1040" t="s">
        <v>448</v>
      </c>
      <c r="D23" s="1041"/>
      <c r="E23" s="918">
        <v>50</v>
      </c>
      <c r="F23" s="918"/>
      <c r="G23" s="167">
        <f t="shared" si="1"/>
        <v>60</v>
      </c>
      <c r="H23" s="610"/>
      <c r="I23" s="610"/>
      <c r="J23" s="610"/>
      <c r="K23" s="610"/>
      <c r="L23" s="610"/>
      <c r="M23" s="610"/>
      <c r="N23" s="168"/>
    </row>
    <row r="24" spans="1:14" s="3" customFormat="1" ht="26.25" customHeight="1" x14ac:dyDescent="0.25">
      <c r="A24" s="170"/>
      <c r="B24" s="166"/>
      <c r="C24" s="924"/>
      <c r="D24" s="924"/>
      <c r="E24" s="918"/>
      <c r="F24" s="918"/>
      <c r="G24" s="167">
        <f t="shared" si="1"/>
        <v>60</v>
      </c>
      <c r="H24" s="610"/>
      <c r="I24" s="610"/>
      <c r="J24" s="610"/>
      <c r="K24" s="610"/>
      <c r="L24" s="610"/>
      <c r="M24" s="610"/>
      <c r="N24" s="168"/>
    </row>
    <row r="25" spans="1:14" s="3" customFormat="1" ht="26.25" customHeight="1" x14ac:dyDescent="0.25">
      <c r="A25" s="169"/>
      <c r="B25" s="166"/>
      <c r="C25" s="945"/>
      <c r="D25" s="945"/>
      <c r="E25" s="919"/>
      <c r="F25" s="919"/>
      <c r="G25" s="167">
        <f>G24-E25</f>
        <v>60</v>
      </c>
      <c r="H25" s="610"/>
      <c r="I25" s="610"/>
      <c r="J25" s="610"/>
      <c r="K25" s="610"/>
      <c r="L25" s="610"/>
      <c r="M25" s="610"/>
      <c r="N25" s="168"/>
    </row>
    <row r="26" spans="1:14" s="23" customFormat="1" ht="26.25" customHeight="1" thickBot="1" x14ac:dyDescent="0.3">
      <c r="A26" s="914" t="s">
        <v>36</v>
      </c>
      <c r="B26" s="915"/>
      <c r="C26" s="915"/>
      <c r="D26" s="915"/>
      <c r="E26" s="916">
        <f>SUM(E21:F25)</f>
        <v>300</v>
      </c>
      <c r="F26" s="917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44"/>
      <c r="F27" s="844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Sou Sontara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4">
    <mergeCell ref="K33:N33"/>
    <mergeCell ref="C22:D22"/>
    <mergeCell ref="E22:F22"/>
    <mergeCell ref="C23:D23"/>
    <mergeCell ref="E23:F23"/>
    <mergeCell ref="C24:D24"/>
    <mergeCell ref="E24:F24"/>
    <mergeCell ref="C25:D25"/>
    <mergeCell ref="E25:F25"/>
    <mergeCell ref="A26:D26"/>
    <mergeCell ref="E26:F26"/>
    <mergeCell ref="E27:F27"/>
    <mergeCell ref="C21:D21"/>
    <mergeCell ref="E21:F21"/>
    <mergeCell ref="A16:D16"/>
    <mergeCell ref="K16:L16"/>
    <mergeCell ref="A17:F17"/>
    <mergeCell ref="K17:L17"/>
    <mergeCell ref="A18:G18"/>
    <mergeCell ref="I18:K18"/>
    <mergeCell ref="L18:N18"/>
    <mergeCell ref="C19:D19"/>
    <mergeCell ref="E19:F19"/>
    <mergeCell ref="K19:L19"/>
    <mergeCell ref="M19:N19"/>
    <mergeCell ref="A20:F20"/>
    <mergeCell ref="A1:XFD7"/>
    <mergeCell ref="A8:N8"/>
    <mergeCell ref="K9:L9"/>
    <mergeCell ref="B10:B15"/>
    <mergeCell ref="C10:C15"/>
    <mergeCell ref="K10:L10"/>
    <mergeCell ref="K11:L11"/>
    <mergeCell ref="K15:L15"/>
  </mergeCells>
  <printOptions horizontalCentered="1"/>
  <pageMargins left="0.25" right="0.25" top="0.5" bottom="0.25" header="0.5" footer="0.5"/>
  <pageSetup scale="70" orientation="portrait" verticalDpi="300" r:id="rId1"/>
  <headerFooter alignWithMargins="0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"/>
  <sheetViews>
    <sheetView zoomScale="80" workbookViewId="0">
      <pane ySplit="9" topLeftCell="A10" activePane="bottomLeft" state="frozen"/>
      <selection activeCell="G13" sqref="G13"/>
      <selection pane="bottomLeft" activeCell="A18" sqref="A18:G18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31.5703125" style="1" customWidth="1"/>
    <col min="5" max="5" width="8.42578125" style="1" customWidth="1"/>
    <col min="6" max="6" width="10.85546875" style="1" customWidth="1"/>
    <col min="7" max="7" width="17.5703125" style="1" customWidth="1"/>
    <col min="8" max="8" width="6.1406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15" width="9.140625" style="1"/>
    <col min="16" max="16" width="21.28515625" style="1" customWidth="1"/>
    <col min="17" max="17" width="11.42578125" style="1" customWidth="1"/>
    <col min="18" max="18" width="16.7109375" style="1" customWidth="1"/>
    <col min="19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66" customFormat="1" ht="15" x14ac:dyDescent="0.25"/>
    <row r="2" spans="1:18" s="866" customFormat="1" ht="15" x14ac:dyDescent="0.25"/>
    <row r="3" spans="1:18" s="866" customFormat="1" ht="15" x14ac:dyDescent="0.25"/>
    <row r="4" spans="1:18" s="866" customFormat="1" ht="15" x14ac:dyDescent="0.25"/>
    <row r="5" spans="1:18" s="866" customFormat="1" ht="15" x14ac:dyDescent="0.25"/>
    <row r="6" spans="1:18" s="866" customFormat="1" ht="15" x14ac:dyDescent="0.25"/>
    <row r="7" spans="1:18" s="866" customFormat="1" ht="15.75" thickBot="1" x14ac:dyDescent="0.3"/>
    <row r="8" spans="1:18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8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8" s="608" customFormat="1" ht="26.25" customHeight="1" x14ac:dyDescent="0.25">
      <c r="A10" s="91">
        <v>1</v>
      </c>
      <c r="B10" s="890" t="s">
        <v>449</v>
      </c>
      <c r="C10" s="890" t="s">
        <v>31</v>
      </c>
      <c r="D10" s="549" t="s">
        <v>450</v>
      </c>
      <c r="E10" s="613">
        <f>3+6+7.5+6</f>
        <v>22.5</v>
      </c>
      <c r="F10" s="55">
        <v>8</v>
      </c>
      <c r="G10" s="56">
        <f>E10*F10</f>
        <v>180</v>
      </c>
      <c r="H10" s="613" t="s">
        <v>53</v>
      </c>
      <c r="I10" s="613">
        <v>2</v>
      </c>
      <c r="J10" s="613">
        <v>11</v>
      </c>
      <c r="K10" s="948" t="s">
        <v>74</v>
      </c>
      <c r="L10" s="949"/>
      <c r="M10" s="611">
        <v>41691</v>
      </c>
      <c r="N10" s="612"/>
      <c r="O10" s="548"/>
      <c r="P10" s="432"/>
      <c r="Q10" s="432"/>
      <c r="R10" s="582"/>
    </row>
    <row r="11" spans="1:18" s="608" customFormat="1" ht="26.25" customHeight="1" x14ac:dyDescent="0.25">
      <c r="A11" s="93"/>
      <c r="B11" s="891"/>
      <c r="C11" s="891"/>
      <c r="D11" s="53"/>
      <c r="E11" s="80"/>
      <c r="F11" s="55"/>
      <c r="G11" s="56">
        <f t="shared" ref="G11:G14" si="0">E11*F11</f>
        <v>0</v>
      </c>
      <c r="H11" s="80"/>
      <c r="I11" s="80"/>
      <c r="J11" s="80"/>
      <c r="K11" s="876"/>
      <c r="L11" s="877"/>
      <c r="M11" s="94"/>
      <c r="N11" s="84"/>
    </row>
    <row r="12" spans="1:18" s="608" customFormat="1" ht="26.25" customHeight="1" x14ac:dyDescent="0.25">
      <c r="A12" s="93"/>
      <c r="B12" s="891"/>
      <c r="C12" s="891"/>
      <c r="D12" s="53"/>
      <c r="E12" s="80"/>
      <c r="F12" s="55"/>
      <c r="G12" s="56">
        <f t="shared" si="0"/>
        <v>0</v>
      </c>
      <c r="H12" s="80"/>
      <c r="I12" s="80"/>
      <c r="J12" s="80"/>
      <c r="K12" s="181"/>
      <c r="L12" s="182"/>
      <c r="M12" s="94"/>
      <c r="N12" s="84"/>
    </row>
    <row r="13" spans="1:18" s="608" customFormat="1" ht="26.25" customHeight="1" x14ac:dyDescent="0.25">
      <c r="A13" s="93"/>
      <c r="B13" s="891"/>
      <c r="C13" s="891"/>
      <c r="D13" s="77"/>
      <c r="E13" s="80"/>
      <c r="F13" s="55"/>
      <c r="G13" s="56">
        <f t="shared" si="0"/>
        <v>0</v>
      </c>
      <c r="H13" s="80"/>
      <c r="I13" s="80"/>
      <c r="J13" s="80"/>
      <c r="K13" s="181"/>
      <c r="L13" s="182"/>
      <c r="M13" s="94"/>
      <c r="N13" s="84"/>
    </row>
    <row r="14" spans="1:18" s="608" customFormat="1" ht="26.25" customHeight="1" x14ac:dyDescent="0.25">
      <c r="A14" s="93"/>
      <c r="B14" s="891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18" s="608" customFormat="1" ht="26.25" customHeight="1" x14ac:dyDescent="0.25">
      <c r="A15" s="93"/>
      <c r="B15" s="891"/>
      <c r="C15" s="891"/>
      <c r="D15" s="77"/>
      <c r="E15" s="80"/>
      <c r="F15" s="55"/>
      <c r="G15" s="56">
        <f>E15*F15</f>
        <v>0</v>
      </c>
      <c r="H15" s="80"/>
      <c r="I15" s="80"/>
      <c r="J15" s="80"/>
      <c r="K15" s="876"/>
      <c r="L15" s="877"/>
      <c r="M15" s="94"/>
      <c r="N15" s="84"/>
    </row>
    <row r="16" spans="1:18" s="608" customFormat="1" ht="26.25" customHeight="1" x14ac:dyDescent="0.25">
      <c r="A16" s="925" t="s">
        <v>11</v>
      </c>
      <c r="B16" s="926"/>
      <c r="C16" s="926"/>
      <c r="D16" s="926"/>
      <c r="E16" s="615">
        <f>SUM(E10:E15)</f>
        <v>22.5</v>
      </c>
      <c r="F16" s="76">
        <v>8</v>
      </c>
      <c r="G16" s="56">
        <f>SUM(E16*F16)</f>
        <v>180</v>
      </c>
      <c r="H16" s="614"/>
      <c r="I16" s="614"/>
      <c r="J16" s="614"/>
      <c r="K16" s="876"/>
      <c r="L16" s="877"/>
      <c r="M16" s="63"/>
    </row>
    <row r="17" spans="1:14" s="608" customFormat="1" ht="26.25" customHeight="1" x14ac:dyDescent="0.25">
      <c r="A17" s="927" t="s">
        <v>24</v>
      </c>
      <c r="B17" s="928"/>
      <c r="C17" s="928"/>
      <c r="D17" s="928"/>
      <c r="E17" s="928"/>
      <c r="F17" s="928"/>
      <c r="G17" s="64">
        <f>SUM(G10:G15)</f>
        <v>180</v>
      </c>
      <c r="H17" s="616"/>
      <c r="I17" s="616"/>
      <c r="J17" s="616"/>
      <c r="K17" s="859"/>
      <c r="L17" s="860"/>
      <c r="M17" s="616"/>
      <c r="N17" s="66"/>
    </row>
    <row r="18" spans="1:14" s="48" customFormat="1" ht="26.25" customHeight="1" x14ac:dyDescent="0.25">
      <c r="A18" s="929" t="s">
        <v>32</v>
      </c>
      <c r="B18" s="930"/>
      <c r="C18" s="930"/>
      <c r="D18" s="930"/>
      <c r="E18" s="930"/>
      <c r="F18" s="930"/>
      <c r="G18" s="900"/>
      <c r="H18" s="67"/>
      <c r="I18" s="954" t="s">
        <v>415</v>
      </c>
      <c r="J18" s="954"/>
      <c r="K18" s="954"/>
      <c r="L18" s="955"/>
      <c r="M18" s="955"/>
      <c r="N18" s="956"/>
    </row>
    <row r="19" spans="1:14" s="48" customFormat="1" ht="22.5" customHeight="1" thickBot="1" x14ac:dyDescent="0.3">
      <c r="A19" s="72" t="s">
        <v>5</v>
      </c>
      <c r="B19" s="71" t="s">
        <v>33</v>
      </c>
      <c r="C19" s="857" t="s">
        <v>21</v>
      </c>
      <c r="D19" s="858"/>
      <c r="E19" s="857" t="s">
        <v>34</v>
      </c>
      <c r="F19" s="858"/>
      <c r="G19" s="71" t="s">
        <v>0</v>
      </c>
      <c r="H19" s="71" t="s">
        <v>25</v>
      </c>
      <c r="I19" s="71" t="s">
        <v>26</v>
      </c>
      <c r="J19" s="71" t="s">
        <v>27</v>
      </c>
      <c r="K19" s="863" t="s">
        <v>28</v>
      </c>
      <c r="L19" s="857"/>
      <c r="M19" s="1064"/>
      <c r="N19" s="902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180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 t="s">
        <v>537</v>
      </c>
      <c r="B21" s="11">
        <v>41739</v>
      </c>
      <c r="C21" s="1040" t="s">
        <v>450</v>
      </c>
      <c r="D21" s="1041"/>
      <c r="E21" s="918">
        <v>30</v>
      </c>
      <c r="F21" s="918"/>
      <c r="G21" s="167">
        <f>G20-E21</f>
        <v>150</v>
      </c>
      <c r="H21" s="610"/>
      <c r="I21" s="610"/>
      <c r="J21" s="610"/>
      <c r="K21" s="610"/>
      <c r="L21" s="610"/>
      <c r="M21" s="610"/>
      <c r="N21" s="168"/>
    </row>
    <row r="22" spans="1:14" s="3" customFormat="1" ht="26.25" customHeight="1" x14ac:dyDescent="0.25">
      <c r="A22" s="165" t="s">
        <v>592</v>
      </c>
      <c r="B22" s="11" t="s">
        <v>593</v>
      </c>
      <c r="C22" s="1040" t="s">
        <v>450</v>
      </c>
      <c r="D22" s="1041"/>
      <c r="E22" s="918">
        <v>50</v>
      </c>
      <c r="F22" s="918"/>
      <c r="G22" s="167">
        <f t="shared" ref="G22:G24" si="1">G21-E22</f>
        <v>100</v>
      </c>
      <c r="H22" s="610"/>
      <c r="I22" s="610"/>
      <c r="J22" s="610"/>
      <c r="K22" s="610"/>
      <c r="L22" s="610"/>
      <c r="M22" s="610"/>
      <c r="N22" s="168"/>
    </row>
    <row r="23" spans="1:14" s="3" customFormat="1" ht="26.25" customHeight="1" x14ac:dyDescent="0.25">
      <c r="A23" s="170"/>
      <c r="B23" s="166"/>
      <c r="C23" s="924"/>
      <c r="D23" s="924"/>
      <c r="E23" s="918"/>
      <c r="F23" s="918"/>
      <c r="G23" s="167">
        <f t="shared" si="1"/>
        <v>100</v>
      </c>
      <c r="H23" s="610"/>
      <c r="I23" s="610"/>
      <c r="J23" s="610"/>
      <c r="K23" s="610"/>
      <c r="L23" s="610"/>
      <c r="M23" s="610"/>
      <c r="N23" s="168"/>
    </row>
    <row r="24" spans="1:14" s="3" customFormat="1" ht="26.25" customHeight="1" x14ac:dyDescent="0.25">
      <c r="A24" s="170"/>
      <c r="B24" s="166"/>
      <c r="C24" s="924"/>
      <c r="D24" s="924"/>
      <c r="E24" s="918"/>
      <c r="F24" s="918"/>
      <c r="G24" s="167">
        <f t="shared" si="1"/>
        <v>100</v>
      </c>
      <c r="H24" s="610"/>
      <c r="I24" s="610"/>
      <c r="J24" s="610"/>
      <c r="K24" s="610"/>
      <c r="L24" s="610"/>
      <c r="M24" s="610"/>
      <c r="N24" s="168"/>
    </row>
    <row r="25" spans="1:14" s="3" customFormat="1" ht="26.25" customHeight="1" x14ac:dyDescent="0.25">
      <c r="A25" s="169"/>
      <c r="B25" s="166"/>
      <c r="C25" s="945"/>
      <c r="D25" s="945"/>
      <c r="E25" s="919"/>
      <c r="F25" s="919"/>
      <c r="G25" s="167">
        <f>G24-E25</f>
        <v>100</v>
      </c>
      <c r="H25" s="610"/>
      <c r="I25" s="610"/>
      <c r="J25" s="610"/>
      <c r="K25" s="610"/>
      <c r="L25" s="610"/>
      <c r="M25" s="610"/>
      <c r="N25" s="168"/>
    </row>
    <row r="26" spans="1:14" s="23" customFormat="1" ht="26.25" customHeight="1" thickBot="1" x14ac:dyDescent="0.3">
      <c r="A26" s="914" t="s">
        <v>36</v>
      </c>
      <c r="B26" s="915"/>
      <c r="C26" s="915"/>
      <c r="D26" s="915"/>
      <c r="E26" s="916">
        <f>SUM(E21:F25)</f>
        <v>80</v>
      </c>
      <c r="F26" s="917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44"/>
      <c r="F27" s="844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Soun Serey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4">
    <mergeCell ref="K33:N33"/>
    <mergeCell ref="C22:D22"/>
    <mergeCell ref="E22:F22"/>
    <mergeCell ref="C23:D23"/>
    <mergeCell ref="E23:F23"/>
    <mergeCell ref="C24:D24"/>
    <mergeCell ref="E24:F24"/>
    <mergeCell ref="C25:D25"/>
    <mergeCell ref="E25:F25"/>
    <mergeCell ref="A26:D26"/>
    <mergeCell ref="E26:F26"/>
    <mergeCell ref="E27:F27"/>
    <mergeCell ref="C21:D21"/>
    <mergeCell ref="E21:F21"/>
    <mergeCell ref="A16:D16"/>
    <mergeCell ref="K16:L16"/>
    <mergeCell ref="A17:F17"/>
    <mergeCell ref="K17:L17"/>
    <mergeCell ref="A18:G18"/>
    <mergeCell ref="I18:K18"/>
    <mergeCell ref="L18:N18"/>
    <mergeCell ref="C19:D19"/>
    <mergeCell ref="E19:F19"/>
    <mergeCell ref="K19:L19"/>
    <mergeCell ref="M19:N19"/>
    <mergeCell ref="A20:F20"/>
    <mergeCell ref="A1:XFD7"/>
    <mergeCell ref="A8:N8"/>
    <mergeCell ref="K9:L9"/>
    <mergeCell ref="B10:B15"/>
    <mergeCell ref="C10:C15"/>
    <mergeCell ref="K10:L10"/>
    <mergeCell ref="K11:L11"/>
    <mergeCell ref="K15:L15"/>
  </mergeCells>
  <printOptions horizontalCentered="1"/>
  <pageMargins left="0.25" right="0.25" top="0.5" bottom="0.25" header="0.5" footer="0.5"/>
  <pageSetup scale="70" orientation="portrait" verticalDpi="300" r:id="rId1"/>
  <headerFooter alignWithMargins="0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"/>
  <sheetViews>
    <sheetView zoomScale="80" workbookViewId="0">
      <pane ySplit="9" topLeftCell="A16" activePane="bottomLeft" state="frozen"/>
      <selection activeCell="G13" sqref="G13"/>
      <selection pane="bottomLeft" activeCell="P28" sqref="P28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31.5703125" style="1" customWidth="1"/>
    <col min="5" max="5" width="8.42578125" style="1" customWidth="1"/>
    <col min="6" max="6" width="10.85546875" style="1" customWidth="1"/>
    <col min="7" max="7" width="17.5703125" style="1" customWidth="1"/>
    <col min="8" max="8" width="6.1406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2.42578125" style="1" customWidth="1"/>
    <col min="15" max="15" width="9.140625" style="1"/>
    <col min="16" max="16" width="48.5703125" style="1" customWidth="1"/>
    <col min="17" max="17" width="11.42578125" style="1" customWidth="1"/>
    <col min="18" max="18" width="16.7109375" style="1" customWidth="1"/>
    <col min="19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66" customFormat="1" ht="15" x14ac:dyDescent="0.25"/>
    <row r="2" spans="1:18" s="866" customFormat="1" ht="15" x14ac:dyDescent="0.25"/>
    <row r="3" spans="1:18" s="866" customFormat="1" ht="15" x14ac:dyDescent="0.25"/>
    <row r="4" spans="1:18" s="866" customFormat="1" ht="15" x14ac:dyDescent="0.25"/>
    <row r="5" spans="1:18" s="866" customFormat="1" ht="15" x14ac:dyDescent="0.25"/>
    <row r="6" spans="1:18" s="866" customFormat="1" ht="15" x14ac:dyDescent="0.25"/>
    <row r="7" spans="1:18" s="866" customFormat="1" ht="15.75" thickBot="1" x14ac:dyDescent="0.3"/>
    <row r="8" spans="1:18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8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8" s="608" customFormat="1" ht="26.25" customHeight="1" x14ac:dyDescent="0.25">
      <c r="A10" s="91">
        <v>1</v>
      </c>
      <c r="B10" s="890" t="s">
        <v>454</v>
      </c>
      <c r="C10" s="890" t="s">
        <v>31</v>
      </c>
      <c r="D10" s="549" t="s">
        <v>455</v>
      </c>
      <c r="E10" s="613">
        <f>6+12+9+12+6</f>
        <v>45</v>
      </c>
      <c r="F10" s="55">
        <v>8</v>
      </c>
      <c r="G10" s="56">
        <f>E10*F10</f>
        <v>360</v>
      </c>
      <c r="H10" s="613" t="s">
        <v>98</v>
      </c>
      <c r="I10" s="613">
        <v>2</v>
      </c>
      <c r="J10" s="613">
        <v>11</v>
      </c>
      <c r="K10" s="948" t="s">
        <v>74</v>
      </c>
      <c r="L10" s="949"/>
      <c r="M10" s="611">
        <v>41677</v>
      </c>
      <c r="N10" s="612" t="s">
        <v>607</v>
      </c>
      <c r="O10" s="931" t="s">
        <v>471</v>
      </c>
      <c r="P10" s="912"/>
      <c r="Q10" s="432"/>
      <c r="R10" s="582"/>
    </row>
    <row r="11" spans="1:18" s="608" customFormat="1" ht="26.25" customHeight="1" x14ac:dyDescent="0.25">
      <c r="A11" s="93">
        <v>2</v>
      </c>
      <c r="B11" s="891"/>
      <c r="C11" s="891"/>
      <c r="D11" s="549" t="s">
        <v>455</v>
      </c>
      <c r="E11" s="80">
        <f>6+12+6+15+6</f>
        <v>45</v>
      </c>
      <c r="F11" s="55">
        <v>8</v>
      </c>
      <c r="G11" s="56">
        <f t="shared" ref="G11:G14" si="0">E11*F11</f>
        <v>360</v>
      </c>
      <c r="H11" s="80" t="s">
        <v>107</v>
      </c>
      <c r="I11" s="80">
        <v>2</v>
      </c>
      <c r="J11" s="80">
        <v>11</v>
      </c>
      <c r="K11" s="876" t="s">
        <v>231</v>
      </c>
      <c r="L11" s="877"/>
      <c r="M11" s="611">
        <v>41677</v>
      </c>
      <c r="N11" s="84" t="s">
        <v>606</v>
      </c>
      <c r="O11" s="931"/>
      <c r="P11" s="912"/>
    </row>
    <row r="12" spans="1:18" s="608" customFormat="1" ht="26.25" customHeight="1" x14ac:dyDescent="0.25">
      <c r="A12" s="93">
        <v>3</v>
      </c>
      <c r="B12" s="891"/>
      <c r="C12" s="891"/>
      <c r="D12" s="549" t="s">
        <v>455</v>
      </c>
      <c r="E12" s="80">
        <f>6+10.5+6+9+12</f>
        <v>43.5</v>
      </c>
      <c r="F12" s="55">
        <v>8</v>
      </c>
      <c r="G12" s="56">
        <f t="shared" si="0"/>
        <v>348</v>
      </c>
      <c r="H12" s="80" t="s">
        <v>64</v>
      </c>
      <c r="I12" s="80">
        <v>2</v>
      </c>
      <c r="J12" s="80">
        <v>11</v>
      </c>
      <c r="K12" s="876" t="s">
        <v>75</v>
      </c>
      <c r="L12" s="877"/>
      <c r="M12" s="611">
        <v>41677</v>
      </c>
      <c r="N12" s="84"/>
      <c r="O12" s="931"/>
      <c r="P12" s="912"/>
    </row>
    <row r="13" spans="1:18" s="608" customFormat="1" ht="26.25" customHeight="1" x14ac:dyDescent="0.25">
      <c r="A13" s="93">
        <v>4</v>
      </c>
      <c r="B13" s="891"/>
      <c r="C13" s="891"/>
      <c r="D13" s="549" t="s">
        <v>455</v>
      </c>
      <c r="E13" s="80">
        <f>9+9+12</f>
        <v>30</v>
      </c>
      <c r="F13" s="55">
        <v>8</v>
      </c>
      <c r="G13" s="56">
        <f t="shared" si="0"/>
        <v>240</v>
      </c>
      <c r="H13" s="80" t="s">
        <v>107</v>
      </c>
      <c r="I13" s="80">
        <v>2</v>
      </c>
      <c r="J13" s="80">
        <v>11</v>
      </c>
      <c r="K13" s="181" t="s">
        <v>516</v>
      </c>
      <c r="L13" s="182"/>
      <c r="M13" s="730">
        <v>41720</v>
      </c>
      <c r="N13" s="84"/>
      <c r="O13" s="931" t="s">
        <v>570</v>
      </c>
      <c r="P13" s="932"/>
    </row>
    <row r="14" spans="1:18" s="608" customFormat="1" ht="26.25" customHeight="1" x14ac:dyDescent="0.25">
      <c r="A14" s="93"/>
      <c r="B14" s="891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18" s="608" customFormat="1" ht="26.25" customHeight="1" x14ac:dyDescent="0.25">
      <c r="A15" s="93"/>
      <c r="B15" s="891"/>
      <c r="C15" s="891"/>
      <c r="D15" s="77"/>
      <c r="E15" s="80"/>
      <c r="F15" s="55"/>
      <c r="G15" s="56">
        <f>E15*F15</f>
        <v>0</v>
      </c>
      <c r="H15" s="80"/>
      <c r="I15" s="80"/>
      <c r="J15" s="80"/>
      <c r="K15" s="876"/>
      <c r="L15" s="877"/>
      <c r="M15" s="94"/>
      <c r="N15" s="84"/>
    </row>
    <row r="16" spans="1:18" s="608" customFormat="1" ht="26.25" customHeight="1" x14ac:dyDescent="0.25">
      <c r="A16" s="925" t="s">
        <v>11</v>
      </c>
      <c r="B16" s="926"/>
      <c r="C16" s="926"/>
      <c r="D16" s="926"/>
      <c r="E16" s="615">
        <f>SUM(E10:E15)</f>
        <v>163.5</v>
      </c>
      <c r="F16" s="76">
        <v>8</v>
      </c>
      <c r="G16" s="56"/>
      <c r="H16" s="614"/>
      <c r="I16" s="614"/>
      <c r="J16" s="614"/>
      <c r="K16" s="876"/>
      <c r="L16" s="877"/>
      <c r="M16" s="614"/>
      <c r="N16" s="63"/>
    </row>
    <row r="17" spans="1:14" s="608" customFormat="1" ht="26.25" customHeight="1" x14ac:dyDescent="0.25">
      <c r="A17" s="927" t="s">
        <v>24</v>
      </c>
      <c r="B17" s="928"/>
      <c r="C17" s="928"/>
      <c r="D17" s="928"/>
      <c r="E17" s="928"/>
      <c r="F17" s="928"/>
      <c r="G17" s="64">
        <f>SUM(G10:G15)</f>
        <v>1308</v>
      </c>
      <c r="H17" s="616"/>
      <c r="I17" s="616"/>
      <c r="J17" s="616"/>
      <c r="K17" s="859"/>
      <c r="L17" s="860"/>
      <c r="M17" s="616"/>
      <c r="N17" s="66"/>
    </row>
    <row r="18" spans="1:14" s="48" customFormat="1" ht="26.25" customHeight="1" x14ac:dyDescent="0.25">
      <c r="A18" s="929" t="s">
        <v>32</v>
      </c>
      <c r="B18" s="930"/>
      <c r="C18" s="930"/>
      <c r="D18" s="930"/>
      <c r="E18" s="930"/>
      <c r="F18" s="930"/>
      <c r="G18" s="900"/>
      <c r="H18" s="67"/>
      <c r="I18" s="954" t="s">
        <v>415</v>
      </c>
      <c r="J18" s="954"/>
      <c r="K18" s="954"/>
      <c r="L18" s="955"/>
      <c r="M18" s="955"/>
      <c r="N18" s="956"/>
    </row>
    <row r="19" spans="1:14" s="48" customFormat="1" ht="22.5" customHeight="1" thickBot="1" x14ac:dyDescent="0.3">
      <c r="A19" s="72" t="s">
        <v>5</v>
      </c>
      <c r="B19" s="71" t="s">
        <v>33</v>
      </c>
      <c r="C19" s="857" t="s">
        <v>21</v>
      </c>
      <c r="D19" s="858"/>
      <c r="E19" s="857" t="s">
        <v>34</v>
      </c>
      <c r="F19" s="858"/>
      <c r="G19" s="71" t="s">
        <v>0</v>
      </c>
      <c r="H19" s="71" t="s">
        <v>25</v>
      </c>
      <c r="I19" s="71" t="s">
        <v>26</v>
      </c>
      <c r="J19" s="71" t="s">
        <v>27</v>
      </c>
      <c r="K19" s="863" t="s">
        <v>28</v>
      </c>
      <c r="L19" s="857"/>
      <c r="M19" s="1064"/>
      <c r="N19" s="902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1308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 t="s">
        <v>537</v>
      </c>
      <c r="B21" s="11">
        <v>41739</v>
      </c>
      <c r="C21" s="1040" t="s">
        <v>455</v>
      </c>
      <c r="D21" s="1041"/>
      <c r="E21" s="918">
        <v>210</v>
      </c>
      <c r="F21" s="918"/>
      <c r="G21" s="167">
        <f>G20-E21</f>
        <v>1098</v>
      </c>
      <c r="H21" s="610"/>
      <c r="I21" s="610"/>
      <c r="J21" s="610"/>
      <c r="K21" s="610"/>
      <c r="L21" s="610"/>
      <c r="M21" s="610"/>
      <c r="N21" s="168"/>
    </row>
    <row r="22" spans="1:14" s="3" customFormat="1" ht="26.25" customHeight="1" x14ac:dyDescent="0.25">
      <c r="A22" s="165" t="s">
        <v>563</v>
      </c>
      <c r="B22" s="11">
        <v>41768</v>
      </c>
      <c r="C22" s="1040" t="s">
        <v>455</v>
      </c>
      <c r="D22" s="1041"/>
      <c r="E22" s="918">
        <v>300</v>
      </c>
      <c r="F22" s="918"/>
      <c r="G22" s="167">
        <f t="shared" ref="G22:G24" si="1">G21-E22</f>
        <v>798</v>
      </c>
      <c r="H22" s="610"/>
      <c r="I22" s="610"/>
      <c r="J22" s="610"/>
      <c r="K22" s="610"/>
      <c r="L22" s="610"/>
      <c r="M22" s="610"/>
      <c r="N22" s="168"/>
    </row>
    <row r="23" spans="1:14" s="3" customFormat="1" ht="26.25" customHeight="1" x14ac:dyDescent="0.25">
      <c r="A23" s="170" t="s">
        <v>592</v>
      </c>
      <c r="B23" s="166">
        <v>41793</v>
      </c>
      <c r="C23" s="1040" t="s">
        <v>455</v>
      </c>
      <c r="D23" s="1041"/>
      <c r="E23" s="918">
        <v>260</v>
      </c>
      <c r="F23" s="918"/>
      <c r="G23" s="167">
        <f t="shared" si="1"/>
        <v>538</v>
      </c>
      <c r="H23" s="610"/>
      <c r="I23" s="610"/>
      <c r="J23" s="610"/>
      <c r="K23" s="610"/>
      <c r="L23" s="610"/>
      <c r="M23" s="610"/>
      <c r="N23" s="168"/>
    </row>
    <row r="24" spans="1:14" s="3" customFormat="1" ht="26.25" customHeight="1" x14ac:dyDescent="0.25">
      <c r="A24" s="170"/>
      <c r="B24" s="166"/>
      <c r="C24" s="924"/>
      <c r="D24" s="924"/>
      <c r="E24" s="918"/>
      <c r="F24" s="918"/>
      <c r="G24" s="167">
        <f t="shared" si="1"/>
        <v>538</v>
      </c>
      <c r="H24" s="610"/>
      <c r="I24" s="610"/>
      <c r="J24" s="610"/>
      <c r="K24" s="610"/>
      <c r="L24" s="610"/>
      <c r="M24" s="610"/>
      <c r="N24" s="168"/>
    </row>
    <row r="25" spans="1:14" s="3" customFormat="1" ht="26.25" customHeight="1" x14ac:dyDescent="0.25">
      <c r="A25" s="169"/>
      <c r="B25" s="166"/>
      <c r="C25" s="945"/>
      <c r="D25" s="945"/>
      <c r="E25" s="919"/>
      <c r="F25" s="919"/>
      <c r="G25" s="167">
        <f>G24-E25</f>
        <v>538</v>
      </c>
      <c r="H25" s="610"/>
      <c r="I25" s="610"/>
      <c r="J25" s="610"/>
      <c r="K25" s="610"/>
      <c r="L25" s="610"/>
      <c r="M25" s="610"/>
      <c r="N25" s="168"/>
    </row>
    <row r="26" spans="1:14" s="23" customFormat="1" ht="26.25" customHeight="1" thickBot="1" x14ac:dyDescent="0.3">
      <c r="A26" s="914" t="s">
        <v>36</v>
      </c>
      <c r="B26" s="915"/>
      <c r="C26" s="915"/>
      <c r="D26" s="915"/>
      <c r="E26" s="916">
        <f>SUM(E21:F25)</f>
        <v>770</v>
      </c>
      <c r="F26" s="917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44"/>
      <c r="F27" s="844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Mok Phoeurn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7">
    <mergeCell ref="K33:N33"/>
    <mergeCell ref="C22:D22"/>
    <mergeCell ref="E22:F22"/>
    <mergeCell ref="C23:D23"/>
    <mergeCell ref="E23:F23"/>
    <mergeCell ref="C24:D24"/>
    <mergeCell ref="E24:F24"/>
    <mergeCell ref="C25:D25"/>
    <mergeCell ref="E25:F25"/>
    <mergeCell ref="A26:D26"/>
    <mergeCell ref="E26:F26"/>
    <mergeCell ref="E27:F27"/>
    <mergeCell ref="C21:D21"/>
    <mergeCell ref="E21:F21"/>
    <mergeCell ref="A16:D16"/>
    <mergeCell ref="K16:L16"/>
    <mergeCell ref="A17:F17"/>
    <mergeCell ref="K17:L17"/>
    <mergeCell ref="A18:G18"/>
    <mergeCell ref="I18:K18"/>
    <mergeCell ref="L18:N18"/>
    <mergeCell ref="C19:D19"/>
    <mergeCell ref="E19:F19"/>
    <mergeCell ref="K19:L19"/>
    <mergeCell ref="M19:N19"/>
    <mergeCell ref="A20:F20"/>
    <mergeCell ref="A1:XFD7"/>
    <mergeCell ref="A8:N8"/>
    <mergeCell ref="K9:L9"/>
    <mergeCell ref="B10:B15"/>
    <mergeCell ref="C10:C15"/>
    <mergeCell ref="K10:L10"/>
    <mergeCell ref="K11:L11"/>
    <mergeCell ref="K15:L15"/>
    <mergeCell ref="K12:L12"/>
    <mergeCell ref="O10:P12"/>
    <mergeCell ref="O13:P13"/>
  </mergeCells>
  <printOptions horizontalCentered="1"/>
  <pageMargins left="0.25" right="0.25" top="0.5" bottom="0.25" header="0.5" footer="0.5"/>
  <pageSetup scale="70" orientation="portrait" verticalDpi="300" r:id="rId1"/>
  <headerFooter alignWithMargins="0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7"/>
  <sheetViews>
    <sheetView zoomScale="80" workbookViewId="0">
      <pane ySplit="9" topLeftCell="A10" activePane="bottomLeft" state="frozen"/>
      <selection activeCell="G13" sqref="G13"/>
      <selection pane="bottomLeft" activeCell="G22" sqref="G22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31.5703125" style="1" customWidth="1"/>
    <col min="5" max="5" width="8.42578125" style="1" customWidth="1"/>
    <col min="6" max="6" width="10.85546875" style="1" customWidth="1"/>
    <col min="7" max="7" width="17.5703125" style="1" customWidth="1"/>
    <col min="8" max="8" width="6.1406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15" width="9.140625" style="1"/>
    <col min="16" max="16" width="21.28515625" style="1" customWidth="1"/>
    <col min="17" max="17" width="11.42578125" style="1" customWidth="1"/>
    <col min="18" max="18" width="16.7109375" style="1" customWidth="1"/>
    <col min="19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66" customFormat="1" ht="15" x14ac:dyDescent="0.25"/>
    <row r="2" spans="1:18" s="866" customFormat="1" ht="15" x14ac:dyDescent="0.25"/>
    <row r="3" spans="1:18" s="866" customFormat="1" ht="15" x14ac:dyDescent="0.25"/>
    <row r="4" spans="1:18" s="866" customFormat="1" ht="15" x14ac:dyDescent="0.25"/>
    <row r="5" spans="1:18" s="866" customFormat="1" ht="15" x14ac:dyDescent="0.25"/>
    <row r="6" spans="1:18" s="866" customFormat="1" ht="15" x14ac:dyDescent="0.25"/>
    <row r="7" spans="1:18" s="866" customFormat="1" ht="15.75" thickBot="1" x14ac:dyDescent="0.3"/>
    <row r="8" spans="1:18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8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8" s="595" customFormat="1" ht="26.25" customHeight="1" x14ac:dyDescent="0.25">
      <c r="A10" s="91">
        <v>1</v>
      </c>
      <c r="B10" s="890" t="s">
        <v>434</v>
      </c>
      <c r="C10" s="890" t="s">
        <v>31</v>
      </c>
      <c r="D10" s="53" t="s">
        <v>435</v>
      </c>
      <c r="E10" s="598">
        <f>4+9+12+2</f>
        <v>27</v>
      </c>
      <c r="F10" s="55"/>
      <c r="G10" s="56">
        <f>E10*F10</f>
        <v>0</v>
      </c>
      <c r="H10" s="598" t="s">
        <v>102</v>
      </c>
      <c r="I10" s="598">
        <v>2</v>
      </c>
      <c r="J10" s="598">
        <v>11</v>
      </c>
      <c r="K10" s="948" t="s">
        <v>74</v>
      </c>
      <c r="L10" s="949"/>
      <c r="M10" s="596">
        <v>41676</v>
      </c>
      <c r="N10" s="597"/>
      <c r="O10" s="548"/>
      <c r="P10" s="432"/>
      <c r="Q10" s="432"/>
      <c r="R10" s="582"/>
    </row>
    <row r="11" spans="1:18" s="595" customFormat="1" ht="26.25" customHeight="1" x14ac:dyDescent="0.25">
      <c r="A11" s="93">
        <v>2</v>
      </c>
      <c r="B11" s="891"/>
      <c r="C11" s="891"/>
      <c r="D11" s="53" t="s">
        <v>436</v>
      </c>
      <c r="E11" s="80">
        <f>1.5+11+10</f>
        <v>22.5</v>
      </c>
      <c r="F11" s="55"/>
      <c r="G11" s="56">
        <f t="shared" ref="G11:G14" si="0">E11*F11</f>
        <v>0</v>
      </c>
      <c r="H11" s="80" t="s">
        <v>98</v>
      </c>
      <c r="I11" s="80">
        <v>2</v>
      </c>
      <c r="J11" s="80">
        <v>11</v>
      </c>
      <c r="K11" s="876" t="s">
        <v>74</v>
      </c>
      <c r="L11" s="877"/>
      <c r="M11" s="94">
        <v>41675</v>
      </c>
      <c r="N11" s="84"/>
    </row>
    <row r="12" spans="1:18" s="595" customFormat="1" ht="26.25" customHeight="1" x14ac:dyDescent="0.25">
      <c r="A12" s="93">
        <v>3</v>
      </c>
      <c r="B12" s="891"/>
      <c r="C12" s="891"/>
      <c r="D12" s="53" t="s">
        <v>436</v>
      </c>
      <c r="E12" s="80">
        <f>3+17</f>
        <v>20</v>
      </c>
      <c r="F12" s="55"/>
      <c r="G12" s="56">
        <f t="shared" si="0"/>
        <v>0</v>
      </c>
      <c r="H12" s="80" t="s">
        <v>64</v>
      </c>
      <c r="I12" s="80">
        <v>2</v>
      </c>
      <c r="J12" s="80">
        <v>11</v>
      </c>
      <c r="K12" s="948" t="s">
        <v>75</v>
      </c>
      <c r="L12" s="949"/>
      <c r="M12" s="94">
        <v>41675</v>
      </c>
      <c r="N12" s="84"/>
    </row>
    <row r="13" spans="1:18" s="595" customFormat="1" ht="26.25" customHeight="1" x14ac:dyDescent="0.25">
      <c r="A13" s="93">
        <v>4</v>
      </c>
      <c r="B13" s="891"/>
      <c r="C13" s="891"/>
      <c r="D13" s="77" t="s">
        <v>436</v>
      </c>
      <c r="E13" s="80">
        <f>1+13+13+6+9</f>
        <v>42</v>
      </c>
      <c r="F13" s="55"/>
      <c r="G13" s="56">
        <f t="shared" si="0"/>
        <v>0</v>
      </c>
      <c r="H13" s="80" t="s">
        <v>98</v>
      </c>
      <c r="I13" s="80">
        <v>2</v>
      </c>
      <c r="J13" s="80">
        <v>11</v>
      </c>
      <c r="K13" s="948" t="s">
        <v>231</v>
      </c>
      <c r="L13" s="949"/>
      <c r="M13" s="94">
        <v>41676</v>
      </c>
      <c r="N13" s="84"/>
    </row>
    <row r="14" spans="1:18" s="595" customFormat="1" ht="26.25" customHeight="1" x14ac:dyDescent="0.25">
      <c r="A14" s="93">
        <v>5</v>
      </c>
      <c r="B14" s="891"/>
      <c r="C14" s="891"/>
      <c r="D14" s="77" t="s">
        <v>494</v>
      </c>
      <c r="E14" s="80"/>
      <c r="F14" s="55"/>
      <c r="G14" s="56">
        <f t="shared" si="0"/>
        <v>0</v>
      </c>
      <c r="H14" s="80" t="s">
        <v>25</v>
      </c>
      <c r="I14" s="80">
        <v>3</v>
      </c>
      <c r="J14" s="80">
        <v>10</v>
      </c>
      <c r="K14" s="948" t="s">
        <v>495</v>
      </c>
      <c r="L14" s="949"/>
      <c r="M14" s="94"/>
      <c r="N14" s="84"/>
    </row>
    <row r="15" spans="1:18" s="751" customFormat="1" ht="26.25" customHeight="1" x14ac:dyDescent="0.25">
      <c r="A15" s="93"/>
      <c r="B15" s="891"/>
      <c r="C15" s="891"/>
      <c r="D15" s="77"/>
      <c r="E15" s="80"/>
      <c r="F15" s="55"/>
      <c r="G15" s="56"/>
      <c r="H15" s="80"/>
      <c r="I15" s="80"/>
      <c r="J15" s="80"/>
      <c r="K15" s="181"/>
      <c r="L15" s="182"/>
      <c r="M15" s="94"/>
      <c r="N15" s="84"/>
    </row>
    <row r="16" spans="1:18" s="751" customFormat="1" ht="26.25" customHeight="1" x14ac:dyDescent="0.25">
      <c r="A16" s="93">
        <v>1</v>
      </c>
      <c r="B16" s="891"/>
      <c r="C16" s="891"/>
      <c r="D16" s="77" t="s">
        <v>548</v>
      </c>
      <c r="E16" s="80">
        <f>24+6</f>
        <v>30</v>
      </c>
      <c r="F16" s="55"/>
      <c r="G16" s="56"/>
      <c r="H16" s="80" t="s">
        <v>25</v>
      </c>
      <c r="I16" s="80">
        <v>3</v>
      </c>
      <c r="J16" s="80">
        <v>10</v>
      </c>
      <c r="K16" s="948" t="s">
        <v>74</v>
      </c>
      <c r="L16" s="949"/>
      <c r="M16" s="94">
        <v>41674</v>
      </c>
      <c r="N16" s="84"/>
    </row>
    <row r="17" spans="1:14" s="751" customFormat="1" ht="26.25" customHeight="1" x14ac:dyDescent="0.25">
      <c r="A17" s="93"/>
      <c r="B17" s="891"/>
      <c r="C17" s="891"/>
      <c r="D17" s="77"/>
      <c r="E17" s="80"/>
      <c r="F17" s="55"/>
      <c r="G17" s="56"/>
      <c r="H17" s="80"/>
      <c r="I17" s="80"/>
      <c r="J17" s="80"/>
      <c r="K17" s="948"/>
      <c r="L17" s="949"/>
      <c r="M17" s="94"/>
      <c r="N17" s="84"/>
    </row>
    <row r="18" spans="1:14" s="751" customFormat="1" ht="26.25" customHeight="1" x14ac:dyDescent="0.25">
      <c r="A18" s="93"/>
      <c r="B18" s="891"/>
      <c r="C18" s="891"/>
      <c r="D18" s="77"/>
      <c r="E18" s="80"/>
      <c r="F18" s="55"/>
      <c r="G18" s="56"/>
      <c r="H18" s="80"/>
      <c r="I18" s="80"/>
      <c r="J18" s="80"/>
      <c r="K18" s="948"/>
      <c r="L18" s="949"/>
      <c r="M18" s="94"/>
      <c r="N18" s="84"/>
    </row>
    <row r="19" spans="1:14" s="751" customFormat="1" ht="26.25" customHeight="1" x14ac:dyDescent="0.25">
      <c r="A19" s="93"/>
      <c r="B19" s="891"/>
      <c r="C19" s="891"/>
      <c r="D19" s="77"/>
      <c r="E19" s="80"/>
      <c r="F19" s="55"/>
      <c r="G19" s="56"/>
      <c r="H19" s="80"/>
      <c r="I19" s="80"/>
      <c r="J19" s="80"/>
      <c r="K19" s="948"/>
      <c r="L19" s="949"/>
      <c r="M19" s="94"/>
      <c r="N19" s="84"/>
    </row>
    <row r="20" spans="1:14" s="595" customFormat="1" ht="26.25" customHeight="1" x14ac:dyDescent="0.25">
      <c r="A20" s="93"/>
      <c r="B20" s="891"/>
      <c r="C20" s="891"/>
      <c r="D20" s="77"/>
      <c r="E20" s="80"/>
      <c r="F20" s="55"/>
      <c r="G20" s="56">
        <f>E20*F20</f>
        <v>0</v>
      </c>
      <c r="H20" s="80"/>
      <c r="I20" s="80"/>
      <c r="J20" s="80"/>
      <c r="K20" s="876"/>
      <c r="L20" s="877"/>
      <c r="M20" s="94"/>
      <c r="N20" s="84"/>
    </row>
    <row r="21" spans="1:14" s="595" customFormat="1" ht="26.25" customHeight="1" x14ac:dyDescent="0.25">
      <c r="A21" s="925" t="s">
        <v>11</v>
      </c>
      <c r="B21" s="926"/>
      <c r="C21" s="926"/>
      <c r="D21" s="926"/>
      <c r="E21" s="600">
        <f>SUM(E10:E20)</f>
        <v>141.5</v>
      </c>
      <c r="F21" s="76"/>
      <c r="G21" s="56">
        <f>SUM(E21*F21)</f>
        <v>0</v>
      </c>
      <c r="H21" s="599"/>
      <c r="I21" s="599"/>
      <c r="J21" s="599"/>
      <c r="K21" s="876"/>
      <c r="L21" s="877"/>
      <c r="M21" s="599"/>
      <c r="N21" s="63"/>
    </row>
    <row r="22" spans="1:14" s="595" customFormat="1" ht="26.25" customHeight="1" x14ac:dyDescent="0.25">
      <c r="A22" s="927" t="s">
        <v>24</v>
      </c>
      <c r="B22" s="928"/>
      <c r="C22" s="928"/>
      <c r="D22" s="928"/>
      <c r="E22" s="928"/>
      <c r="F22" s="928"/>
      <c r="G22" s="64">
        <f>SUM(G10:G20)</f>
        <v>0</v>
      </c>
      <c r="H22" s="601"/>
      <c r="I22" s="601"/>
      <c r="J22" s="601"/>
      <c r="K22" s="859"/>
      <c r="L22" s="860"/>
      <c r="M22" s="601"/>
      <c r="N22" s="66"/>
    </row>
    <row r="23" spans="1:14" s="48" customFormat="1" ht="26.25" customHeight="1" x14ac:dyDescent="0.25">
      <c r="A23" s="929" t="s">
        <v>32</v>
      </c>
      <c r="B23" s="930"/>
      <c r="C23" s="930"/>
      <c r="D23" s="930"/>
      <c r="E23" s="930"/>
      <c r="F23" s="930"/>
      <c r="G23" s="900"/>
      <c r="H23" s="67"/>
      <c r="I23" s="954" t="s">
        <v>415</v>
      </c>
      <c r="J23" s="954"/>
      <c r="K23" s="954"/>
      <c r="L23" s="955"/>
      <c r="M23" s="955"/>
      <c r="N23" s="956"/>
    </row>
    <row r="24" spans="1:14" s="48" customFormat="1" ht="22.5" customHeight="1" thickBot="1" x14ac:dyDescent="0.3">
      <c r="A24" s="72" t="s">
        <v>5</v>
      </c>
      <c r="B24" s="71" t="s">
        <v>33</v>
      </c>
      <c r="C24" s="857" t="s">
        <v>21</v>
      </c>
      <c r="D24" s="858"/>
      <c r="E24" s="857" t="s">
        <v>34</v>
      </c>
      <c r="F24" s="858"/>
      <c r="G24" s="71" t="s">
        <v>0</v>
      </c>
      <c r="H24" s="71" t="s">
        <v>25</v>
      </c>
      <c r="I24" s="71" t="s">
        <v>26</v>
      </c>
      <c r="J24" s="71" t="s">
        <v>27</v>
      </c>
      <c r="K24" s="863" t="s">
        <v>28</v>
      </c>
      <c r="L24" s="857"/>
      <c r="M24" s="1064" t="s">
        <v>414</v>
      </c>
      <c r="N24" s="902"/>
    </row>
    <row r="25" spans="1:14" s="3" customFormat="1" ht="26.25" customHeight="1" x14ac:dyDescent="0.25">
      <c r="A25" s="922" t="s">
        <v>35</v>
      </c>
      <c r="B25" s="923"/>
      <c r="C25" s="923"/>
      <c r="D25" s="923"/>
      <c r="E25" s="923"/>
      <c r="F25" s="923"/>
      <c r="G25" s="162">
        <f>G22</f>
        <v>0</v>
      </c>
      <c r="H25" s="163"/>
      <c r="I25" s="163"/>
      <c r="J25" s="163"/>
      <c r="K25" s="163"/>
      <c r="L25" s="163"/>
      <c r="M25" s="163"/>
      <c r="N25" s="164"/>
    </row>
    <row r="26" spans="1:14" s="3" customFormat="1" ht="26.25" customHeight="1" x14ac:dyDescent="0.25">
      <c r="A26" s="165"/>
      <c r="B26" s="11"/>
      <c r="C26" s="1040"/>
      <c r="D26" s="1041"/>
      <c r="E26" s="918"/>
      <c r="F26" s="918"/>
      <c r="G26" s="167">
        <f>G25-E26</f>
        <v>0</v>
      </c>
      <c r="H26" s="593"/>
      <c r="I26" s="593"/>
      <c r="J26" s="593"/>
      <c r="K26" s="593"/>
      <c r="L26" s="593"/>
      <c r="M26" s="593"/>
      <c r="N26" s="168"/>
    </row>
    <row r="27" spans="1:14" s="3" customFormat="1" ht="26.25" customHeight="1" x14ac:dyDescent="0.25">
      <c r="A27" s="165"/>
      <c r="B27" s="11"/>
      <c r="C27" s="924"/>
      <c r="D27" s="924"/>
      <c r="E27" s="918"/>
      <c r="F27" s="918"/>
      <c r="G27" s="167">
        <f t="shared" ref="G27:G30" si="1">G26-E27</f>
        <v>0</v>
      </c>
      <c r="H27" s="593"/>
      <c r="I27" s="593"/>
      <c r="J27" s="593"/>
      <c r="K27" s="593"/>
      <c r="L27" s="593"/>
      <c r="M27" s="593"/>
      <c r="N27" s="168"/>
    </row>
    <row r="28" spans="1:14" s="3" customFormat="1" ht="26.25" customHeight="1" x14ac:dyDescent="0.25">
      <c r="A28" s="170"/>
      <c r="B28" s="166"/>
      <c r="C28" s="924"/>
      <c r="D28" s="924"/>
      <c r="E28" s="918"/>
      <c r="F28" s="918"/>
      <c r="G28" s="167">
        <f t="shared" si="1"/>
        <v>0</v>
      </c>
      <c r="H28" s="593"/>
      <c r="I28" s="593"/>
      <c r="J28" s="593"/>
      <c r="K28" s="593"/>
      <c r="L28" s="593"/>
      <c r="M28" s="593"/>
      <c r="N28" s="168"/>
    </row>
    <row r="29" spans="1:14" s="3" customFormat="1" ht="26.25" customHeight="1" x14ac:dyDescent="0.25">
      <c r="A29" s="170"/>
      <c r="B29" s="166"/>
      <c r="C29" s="924"/>
      <c r="D29" s="924"/>
      <c r="E29" s="918"/>
      <c r="F29" s="918"/>
      <c r="G29" s="167">
        <f t="shared" si="1"/>
        <v>0</v>
      </c>
      <c r="H29" s="593"/>
      <c r="I29" s="593"/>
      <c r="J29" s="593"/>
      <c r="K29" s="593"/>
      <c r="L29" s="593"/>
      <c r="M29" s="593"/>
      <c r="N29" s="168"/>
    </row>
    <row r="30" spans="1:14" s="3" customFormat="1" ht="26.25" customHeight="1" x14ac:dyDescent="0.25">
      <c r="A30" s="169"/>
      <c r="B30" s="166"/>
      <c r="C30" s="945"/>
      <c r="D30" s="945"/>
      <c r="E30" s="919"/>
      <c r="F30" s="919"/>
      <c r="G30" s="167">
        <f t="shared" si="1"/>
        <v>0</v>
      </c>
      <c r="H30" s="593"/>
      <c r="I30" s="593"/>
      <c r="J30" s="593"/>
      <c r="K30" s="593"/>
      <c r="L30" s="593"/>
      <c r="M30" s="593"/>
      <c r="N30" s="168"/>
    </row>
    <row r="31" spans="1:14" s="23" customFormat="1" ht="26.25" customHeight="1" thickBot="1" x14ac:dyDescent="0.3">
      <c r="A31" s="914" t="s">
        <v>36</v>
      </c>
      <c r="B31" s="915"/>
      <c r="C31" s="915"/>
      <c r="D31" s="915"/>
      <c r="E31" s="916">
        <f>SUM(E26:F30)</f>
        <v>0</v>
      </c>
      <c r="F31" s="917"/>
      <c r="G31" s="171"/>
      <c r="H31" s="172"/>
      <c r="I31" s="172"/>
      <c r="J31" s="172"/>
      <c r="K31" s="172"/>
      <c r="L31" s="172"/>
      <c r="M31" s="172"/>
      <c r="N31" s="173"/>
    </row>
    <row r="32" spans="1:14" s="3" customFormat="1" ht="26.25" customHeight="1" thickTop="1" x14ac:dyDescent="0.25">
      <c r="A32" s="24"/>
      <c r="E32" s="844"/>
      <c r="F32" s="844"/>
    </row>
    <row r="33" spans="1:14" s="3" customFormat="1" ht="26.25" customHeight="1" x14ac:dyDescent="0.3">
      <c r="A33" s="25" t="s">
        <v>41</v>
      </c>
      <c r="B33" s="25"/>
      <c r="C33" s="25"/>
      <c r="D33" s="25" t="s">
        <v>81</v>
      </c>
      <c r="E33" s="25"/>
      <c r="F33" s="26"/>
      <c r="G33" s="25" t="s">
        <v>38</v>
      </c>
      <c r="H33" s="25"/>
      <c r="I33" s="25"/>
      <c r="J33" s="25"/>
      <c r="K33" s="25"/>
      <c r="L33" s="25" t="s">
        <v>39</v>
      </c>
      <c r="M33" s="28"/>
      <c r="N33" s="26"/>
    </row>
    <row r="34" spans="1:14" s="3" customFormat="1" ht="26.25" customHeight="1" x14ac:dyDescent="0.3">
      <c r="A34" s="25"/>
      <c r="B34" s="25"/>
      <c r="C34" s="25"/>
      <c r="D34" s="25"/>
      <c r="E34" s="25"/>
      <c r="F34" s="26"/>
      <c r="G34" s="25"/>
      <c r="H34" s="25"/>
      <c r="I34" s="25"/>
      <c r="J34" s="25"/>
      <c r="K34" s="25"/>
      <c r="L34" s="25"/>
      <c r="M34" s="28"/>
      <c r="N34" s="26"/>
    </row>
    <row r="35" spans="1:14" s="3" customFormat="1" ht="26.25" customHeight="1" x14ac:dyDescent="0.3">
      <c r="A35" s="25"/>
      <c r="B35" s="25"/>
      <c r="C35" s="25"/>
      <c r="D35" s="25"/>
      <c r="E35" s="25"/>
      <c r="F35" s="26"/>
      <c r="G35" s="25"/>
      <c r="H35" s="25"/>
      <c r="I35" s="25"/>
      <c r="J35" s="25"/>
      <c r="K35" s="25"/>
      <c r="L35" s="25"/>
      <c r="M35" s="28"/>
      <c r="N35" s="26"/>
    </row>
    <row r="36" spans="1:14" s="3" customFormat="1" ht="26.25" customHeight="1" x14ac:dyDescent="0.3">
      <c r="A36" s="25"/>
      <c r="B36" s="25"/>
      <c r="C36" s="25"/>
      <c r="D36" s="25"/>
      <c r="E36" s="25"/>
      <c r="F36" s="26"/>
      <c r="G36" s="25"/>
      <c r="H36" s="25"/>
      <c r="I36" s="25"/>
      <c r="J36" s="25"/>
      <c r="K36" s="25"/>
      <c r="L36" s="25"/>
      <c r="M36" s="28"/>
      <c r="N36" s="26"/>
    </row>
    <row r="37" spans="1:14" s="3" customFormat="1" ht="26.25" customHeight="1" x14ac:dyDescent="0.3">
      <c r="A37" s="29"/>
      <c r="B37" s="25"/>
      <c r="C37" s="25"/>
      <c r="D37" s="29"/>
      <c r="E37" s="29"/>
      <c r="F37" s="26"/>
      <c r="G37" s="29"/>
      <c r="H37" s="25"/>
      <c r="I37" s="25"/>
      <c r="J37" s="25"/>
      <c r="K37" s="25"/>
      <c r="L37" s="27"/>
      <c r="M37" s="28"/>
      <c r="N37" s="26"/>
    </row>
    <row r="38" spans="1:14" s="30" customFormat="1" ht="17.25" x14ac:dyDescent="0.3">
      <c r="A38" s="25" t="s">
        <v>48</v>
      </c>
      <c r="B38" s="25"/>
      <c r="C38" s="25" t="s">
        <v>80</v>
      </c>
      <c r="D38" s="25"/>
      <c r="G38" s="25" t="str">
        <f>B10</f>
        <v>Carl Curran</v>
      </c>
      <c r="H38" s="25"/>
      <c r="I38" s="25"/>
      <c r="J38" s="25"/>
      <c r="K38" s="829" t="s">
        <v>90</v>
      </c>
      <c r="L38" s="829"/>
      <c r="M38" s="829"/>
      <c r="N38" s="829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  <row r="43" spans="1:14" s="30" customFormat="1" ht="16.5" x14ac:dyDescent="0.3">
      <c r="A43" s="32"/>
    </row>
    <row r="44" spans="1:14" s="30" customFormat="1" ht="16.5" x14ac:dyDescent="0.3">
      <c r="A44" s="32"/>
    </row>
    <row r="45" spans="1:14" s="30" customFormat="1" ht="16.5" x14ac:dyDescent="0.3">
      <c r="A45" s="32"/>
    </row>
    <row r="46" spans="1:14" s="30" customFormat="1" ht="16.5" x14ac:dyDescent="0.3">
      <c r="A46" s="32"/>
    </row>
    <row r="47" spans="1:14" s="30" customFormat="1" ht="16.5" x14ac:dyDescent="0.3">
      <c r="A47" s="32"/>
    </row>
  </sheetData>
  <mergeCells count="41">
    <mergeCell ref="A1:XFD7"/>
    <mergeCell ref="A8:N8"/>
    <mergeCell ref="K9:L9"/>
    <mergeCell ref="B10:B20"/>
    <mergeCell ref="C10:C20"/>
    <mergeCell ref="K10:L10"/>
    <mergeCell ref="K11:L11"/>
    <mergeCell ref="K20:L20"/>
    <mergeCell ref="K12:L12"/>
    <mergeCell ref="K13:L13"/>
    <mergeCell ref="K14:L14"/>
    <mergeCell ref="K16:L16"/>
    <mergeCell ref="K17:L17"/>
    <mergeCell ref="K18:L18"/>
    <mergeCell ref="K19:L19"/>
    <mergeCell ref="C26:D26"/>
    <mergeCell ref="E26:F26"/>
    <mergeCell ref="A21:D21"/>
    <mergeCell ref="K21:L21"/>
    <mergeCell ref="A22:F22"/>
    <mergeCell ref="K22:L22"/>
    <mergeCell ref="A23:G23"/>
    <mergeCell ref="I23:K23"/>
    <mergeCell ref="L23:N23"/>
    <mergeCell ref="C24:D24"/>
    <mergeCell ref="E24:F24"/>
    <mergeCell ref="K24:L24"/>
    <mergeCell ref="M24:N24"/>
    <mergeCell ref="A25:F25"/>
    <mergeCell ref="K38:N38"/>
    <mergeCell ref="C27:D27"/>
    <mergeCell ref="E27:F27"/>
    <mergeCell ref="C28:D28"/>
    <mergeCell ref="E28:F28"/>
    <mergeCell ref="C29:D29"/>
    <mergeCell ref="E29:F29"/>
    <mergeCell ref="C30:D30"/>
    <mergeCell ref="E30:F30"/>
    <mergeCell ref="A31:D31"/>
    <mergeCell ref="E31:F31"/>
    <mergeCell ref="E32:F32"/>
  </mergeCells>
  <hyperlinks>
    <hyperlink ref="M24" r:id="rId1"/>
  </hyperlinks>
  <printOptions horizontalCentered="1"/>
  <pageMargins left="0.25" right="0.25" top="0.5" bottom="0.25" header="0.5" footer="0.5"/>
  <pageSetup scale="70" orientation="portrait" verticalDpi="300" r:id="rId2"/>
  <headerFooter alignWithMargins="0"/>
  <drawing r:id="rId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"/>
  <sheetViews>
    <sheetView zoomScale="80" workbookViewId="0">
      <pane ySplit="9" topLeftCell="A10" activePane="bottomLeft" state="frozen"/>
      <selection activeCell="G13" sqref="G13"/>
      <selection pane="bottomLeft" activeCell="A18" sqref="A18:G18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31.5703125" style="1" customWidth="1"/>
    <col min="5" max="5" width="8.42578125" style="1" customWidth="1"/>
    <col min="6" max="6" width="10.85546875" style="1" customWidth="1"/>
    <col min="7" max="7" width="17.5703125" style="1" customWidth="1"/>
    <col min="8" max="8" width="6.1406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15" width="9.140625" style="1"/>
    <col min="16" max="16" width="48.5703125" style="1" customWidth="1"/>
    <col min="17" max="17" width="11.42578125" style="1" customWidth="1"/>
    <col min="18" max="18" width="16.7109375" style="1" customWidth="1"/>
    <col min="19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66" customFormat="1" ht="15" x14ac:dyDescent="0.25"/>
    <row r="2" spans="1:18" s="866" customFormat="1" ht="15" x14ac:dyDescent="0.25"/>
    <row r="3" spans="1:18" s="866" customFormat="1" ht="15" x14ac:dyDescent="0.25"/>
    <row r="4" spans="1:18" s="866" customFormat="1" ht="15" x14ac:dyDescent="0.25"/>
    <row r="5" spans="1:18" s="866" customFormat="1" ht="15" x14ac:dyDescent="0.25"/>
    <row r="6" spans="1:18" s="866" customFormat="1" ht="15" x14ac:dyDescent="0.25"/>
    <row r="7" spans="1:18" s="866" customFormat="1" ht="15.75" thickBot="1" x14ac:dyDescent="0.3"/>
    <row r="8" spans="1:18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8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8" s="682" customFormat="1" ht="26.25" customHeight="1" x14ac:dyDescent="0.25">
      <c r="A10" s="91">
        <v>1</v>
      </c>
      <c r="B10" s="890" t="s">
        <v>485</v>
      </c>
      <c r="C10" s="890" t="s">
        <v>31</v>
      </c>
      <c r="D10" s="549" t="s">
        <v>486</v>
      </c>
      <c r="E10" s="685">
        <f>16+12+15+2</f>
        <v>45</v>
      </c>
      <c r="F10" s="55">
        <v>6</v>
      </c>
      <c r="G10" s="56">
        <f>E10*F10</f>
        <v>270</v>
      </c>
      <c r="H10" s="685" t="s">
        <v>107</v>
      </c>
      <c r="I10" s="685">
        <v>1</v>
      </c>
      <c r="J10" s="685">
        <v>12</v>
      </c>
      <c r="K10" s="948" t="s">
        <v>487</v>
      </c>
      <c r="L10" s="949"/>
      <c r="M10" s="683">
        <v>41701</v>
      </c>
      <c r="N10" s="684"/>
      <c r="O10" s="931"/>
      <c r="P10" s="912"/>
      <c r="Q10" s="432"/>
      <c r="R10" s="582"/>
    </row>
    <row r="11" spans="1:18" s="682" customFormat="1" ht="26.25" customHeight="1" x14ac:dyDescent="0.25">
      <c r="A11" s="93">
        <v>2</v>
      </c>
      <c r="B11" s="891"/>
      <c r="C11" s="891"/>
      <c r="D11" s="549" t="s">
        <v>486</v>
      </c>
      <c r="E11" s="80">
        <f>14.5+12+13.5+5</f>
        <v>45</v>
      </c>
      <c r="F11" s="55">
        <v>6</v>
      </c>
      <c r="G11" s="56">
        <f>E11*F11</f>
        <v>270</v>
      </c>
      <c r="H11" s="80" t="s">
        <v>64</v>
      </c>
      <c r="I11" s="80">
        <v>1</v>
      </c>
      <c r="J11" s="80">
        <v>12</v>
      </c>
      <c r="K11" s="948" t="s">
        <v>487</v>
      </c>
      <c r="L11" s="949"/>
      <c r="M11" s="683">
        <v>41701</v>
      </c>
      <c r="N11" s="84"/>
      <c r="O11" s="931"/>
      <c r="P11" s="912"/>
    </row>
    <row r="12" spans="1:18" s="682" customFormat="1" ht="26.25" customHeight="1" x14ac:dyDescent="0.25">
      <c r="A12" s="93"/>
      <c r="B12" s="891"/>
      <c r="C12" s="891"/>
      <c r="D12" s="549" t="s">
        <v>486</v>
      </c>
      <c r="E12" s="80">
        <f>12+12</f>
        <v>24</v>
      </c>
      <c r="F12" s="55">
        <v>6</v>
      </c>
      <c r="G12" s="56">
        <f>E12*F12</f>
        <v>144</v>
      </c>
      <c r="H12" s="80" t="s">
        <v>64</v>
      </c>
      <c r="I12" s="80">
        <v>1</v>
      </c>
      <c r="J12" s="80">
        <v>12</v>
      </c>
      <c r="K12" s="876" t="s">
        <v>573</v>
      </c>
      <c r="L12" s="877"/>
      <c r="M12" s="683">
        <v>41762</v>
      </c>
      <c r="N12" s="84" t="s">
        <v>290</v>
      </c>
      <c r="O12" s="931"/>
      <c r="P12" s="912"/>
    </row>
    <row r="13" spans="1:18" s="682" customFormat="1" ht="26.25" customHeight="1" x14ac:dyDescent="0.25">
      <c r="A13" s="93"/>
      <c r="B13" s="891"/>
      <c r="C13" s="891"/>
      <c r="D13" s="77"/>
      <c r="E13" s="80"/>
      <c r="F13" s="55"/>
      <c r="G13" s="56">
        <f t="shared" ref="G13:G14" si="0">E13*F13</f>
        <v>0</v>
      </c>
      <c r="H13" s="80"/>
      <c r="I13" s="80"/>
      <c r="J13" s="80"/>
      <c r="K13" s="181"/>
      <c r="L13" s="182"/>
      <c r="M13" s="94"/>
      <c r="N13" s="84"/>
    </row>
    <row r="14" spans="1:18" s="682" customFormat="1" ht="26.25" customHeight="1" x14ac:dyDescent="0.25">
      <c r="A14" s="93"/>
      <c r="B14" s="891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18" s="682" customFormat="1" ht="26.25" customHeight="1" x14ac:dyDescent="0.25">
      <c r="A15" s="93"/>
      <c r="B15" s="891"/>
      <c r="C15" s="891"/>
      <c r="D15" s="77"/>
      <c r="E15" s="80"/>
      <c r="F15" s="55"/>
      <c r="G15" s="56">
        <f>E15*F15</f>
        <v>0</v>
      </c>
      <c r="H15" s="80"/>
      <c r="I15" s="80"/>
      <c r="J15" s="80"/>
      <c r="K15" s="876"/>
      <c r="L15" s="877"/>
      <c r="M15" s="94"/>
      <c r="N15" s="84"/>
    </row>
    <row r="16" spans="1:18" s="682" customFormat="1" ht="26.25" customHeight="1" x14ac:dyDescent="0.25">
      <c r="A16" s="925" t="s">
        <v>11</v>
      </c>
      <c r="B16" s="926"/>
      <c r="C16" s="926"/>
      <c r="D16" s="926"/>
      <c r="E16" s="687">
        <f>SUM(E10:E15)</f>
        <v>114</v>
      </c>
      <c r="F16" s="76"/>
      <c r="G16" s="56"/>
      <c r="H16" s="686"/>
      <c r="I16" s="686"/>
      <c r="J16" s="686"/>
      <c r="K16" s="876"/>
      <c r="L16" s="877"/>
      <c r="M16" s="686"/>
      <c r="N16" s="63"/>
    </row>
    <row r="17" spans="1:14" s="682" customFormat="1" ht="26.25" customHeight="1" x14ac:dyDescent="0.25">
      <c r="A17" s="927" t="s">
        <v>24</v>
      </c>
      <c r="B17" s="928"/>
      <c r="C17" s="928"/>
      <c r="D17" s="928"/>
      <c r="E17" s="928"/>
      <c r="F17" s="928"/>
      <c r="G17" s="64">
        <f>SUM(G10:G15)</f>
        <v>684</v>
      </c>
      <c r="H17" s="688"/>
      <c r="I17" s="688"/>
      <c r="J17" s="688"/>
      <c r="K17" s="859"/>
      <c r="L17" s="860"/>
      <c r="M17" s="688"/>
      <c r="N17" s="66"/>
    </row>
    <row r="18" spans="1:14" s="48" customFormat="1" ht="26.25" customHeight="1" x14ac:dyDescent="0.25">
      <c r="A18" s="929" t="s">
        <v>32</v>
      </c>
      <c r="B18" s="930"/>
      <c r="C18" s="930"/>
      <c r="D18" s="930"/>
      <c r="E18" s="930"/>
      <c r="F18" s="930"/>
      <c r="G18" s="900"/>
      <c r="H18" s="67"/>
      <c r="I18" s="954" t="s">
        <v>415</v>
      </c>
      <c r="J18" s="954"/>
      <c r="K18" s="954"/>
      <c r="L18" s="955"/>
      <c r="M18" s="955"/>
      <c r="N18" s="956"/>
    </row>
    <row r="19" spans="1:14" s="48" customFormat="1" ht="22.5" customHeight="1" thickBot="1" x14ac:dyDescent="0.3">
      <c r="A19" s="72" t="s">
        <v>5</v>
      </c>
      <c r="B19" s="71" t="s">
        <v>33</v>
      </c>
      <c r="C19" s="857" t="s">
        <v>21</v>
      </c>
      <c r="D19" s="858"/>
      <c r="E19" s="857" t="s">
        <v>34</v>
      </c>
      <c r="F19" s="858"/>
      <c r="G19" s="71" t="s">
        <v>0</v>
      </c>
      <c r="H19" s="71" t="s">
        <v>25</v>
      </c>
      <c r="I19" s="71" t="s">
        <v>26</v>
      </c>
      <c r="J19" s="71" t="s">
        <v>27</v>
      </c>
      <c r="K19" s="863" t="s">
        <v>28</v>
      </c>
      <c r="L19" s="857"/>
      <c r="M19" s="1064"/>
      <c r="N19" s="902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684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 t="s">
        <v>537</v>
      </c>
      <c r="B21" s="11">
        <v>41739</v>
      </c>
      <c r="C21" s="1040" t="s">
        <v>486</v>
      </c>
      <c r="D21" s="1041"/>
      <c r="E21" s="918">
        <v>90</v>
      </c>
      <c r="F21" s="918"/>
      <c r="G21" s="167">
        <f>G20-E21</f>
        <v>594</v>
      </c>
      <c r="H21" s="681"/>
      <c r="I21" s="681"/>
      <c r="J21" s="681"/>
      <c r="K21" s="681"/>
      <c r="L21" s="681"/>
      <c r="M21" s="681"/>
      <c r="N21" s="168"/>
    </row>
    <row r="22" spans="1:14" s="3" customFormat="1" ht="26.25" customHeight="1" x14ac:dyDescent="0.25">
      <c r="A22" s="165" t="s">
        <v>563</v>
      </c>
      <c r="B22" s="11">
        <v>41768</v>
      </c>
      <c r="C22" s="1040" t="s">
        <v>486</v>
      </c>
      <c r="D22" s="1041"/>
      <c r="E22" s="918">
        <v>120</v>
      </c>
      <c r="F22" s="918"/>
      <c r="G22" s="167">
        <f>G21-E22</f>
        <v>474</v>
      </c>
      <c r="H22" s="681"/>
      <c r="I22" s="681"/>
      <c r="J22" s="681"/>
      <c r="K22" s="681"/>
      <c r="L22" s="681"/>
      <c r="M22" s="681"/>
      <c r="N22" s="168"/>
    </row>
    <row r="23" spans="1:14" s="3" customFormat="1" ht="26.25" customHeight="1" x14ac:dyDescent="0.25">
      <c r="A23" s="170" t="s">
        <v>592</v>
      </c>
      <c r="B23" s="166">
        <v>41793</v>
      </c>
      <c r="C23" s="1040" t="s">
        <v>486</v>
      </c>
      <c r="D23" s="1041"/>
      <c r="E23" s="918">
        <v>180</v>
      </c>
      <c r="F23" s="918"/>
      <c r="G23" s="167">
        <f t="shared" ref="G23:G24" si="1">G22-E23</f>
        <v>294</v>
      </c>
      <c r="H23" s="681"/>
      <c r="I23" s="681"/>
      <c r="J23" s="681"/>
      <c r="K23" s="681"/>
      <c r="L23" s="681"/>
      <c r="M23" s="681"/>
      <c r="N23" s="168"/>
    </row>
    <row r="24" spans="1:14" s="3" customFormat="1" ht="26.25" customHeight="1" x14ac:dyDescent="0.25">
      <c r="A24" s="170"/>
      <c r="B24" s="166"/>
      <c r="C24" s="924"/>
      <c r="D24" s="924"/>
      <c r="E24" s="918"/>
      <c r="F24" s="918"/>
      <c r="G24" s="167">
        <f t="shared" si="1"/>
        <v>294</v>
      </c>
      <c r="H24" s="681"/>
      <c r="I24" s="681"/>
      <c r="J24" s="681"/>
      <c r="K24" s="681"/>
      <c r="L24" s="681"/>
      <c r="M24" s="681"/>
      <c r="N24" s="168"/>
    </row>
    <row r="25" spans="1:14" s="3" customFormat="1" ht="26.25" customHeight="1" x14ac:dyDescent="0.25">
      <c r="A25" s="169"/>
      <c r="B25" s="166"/>
      <c r="C25" s="945"/>
      <c r="D25" s="945"/>
      <c r="E25" s="919"/>
      <c r="F25" s="919"/>
      <c r="G25" s="167">
        <f>G24-E25</f>
        <v>294</v>
      </c>
      <c r="H25" s="681"/>
      <c r="I25" s="681"/>
      <c r="J25" s="681"/>
      <c r="K25" s="681"/>
      <c r="L25" s="681"/>
      <c r="M25" s="681"/>
      <c r="N25" s="168"/>
    </row>
    <row r="26" spans="1:14" s="23" customFormat="1" ht="26.25" customHeight="1" thickBot="1" x14ac:dyDescent="0.3">
      <c r="A26" s="914" t="s">
        <v>36</v>
      </c>
      <c r="B26" s="915"/>
      <c r="C26" s="915"/>
      <c r="D26" s="915"/>
      <c r="E26" s="916">
        <f>SUM(E21:F25)</f>
        <v>390</v>
      </c>
      <c r="F26" s="917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44"/>
      <c r="F27" s="844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Heng Seitha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6">
    <mergeCell ref="A1:XFD7"/>
    <mergeCell ref="A8:N8"/>
    <mergeCell ref="K9:L9"/>
    <mergeCell ref="B10:B15"/>
    <mergeCell ref="C10:C15"/>
    <mergeCell ref="K10:L10"/>
    <mergeCell ref="O10:P12"/>
    <mergeCell ref="K11:L11"/>
    <mergeCell ref="K12:L12"/>
    <mergeCell ref="K15:L15"/>
    <mergeCell ref="C21:D21"/>
    <mergeCell ref="E21:F21"/>
    <mergeCell ref="A16:D16"/>
    <mergeCell ref="K16:L16"/>
    <mergeCell ref="A17:F17"/>
    <mergeCell ref="K17:L17"/>
    <mergeCell ref="A18:G18"/>
    <mergeCell ref="I18:K18"/>
    <mergeCell ref="L18:N18"/>
    <mergeCell ref="C19:D19"/>
    <mergeCell ref="E19:F19"/>
    <mergeCell ref="K19:L19"/>
    <mergeCell ref="M19:N19"/>
    <mergeCell ref="A20:F20"/>
    <mergeCell ref="K33:N33"/>
    <mergeCell ref="C22:D22"/>
    <mergeCell ref="E22:F22"/>
    <mergeCell ref="C23:D23"/>
    <mergeCell ref="E23:F23"/>
    <mergeCell ref="C24:D24"/>
    <mergeCell ref="E24:F24"/>
    <mergeCell ref="C25:D25"/>
    <mergeCell ref="E25:F25"/>
    <mergeCell ref="A26:D26"/>
    <mergeCell ref="E26:F26"/>
    <mergeCell ref="E27:F27"/>
  </mergeCells>
  <printOptions horizontalCentered="1"/>
  <pageMargins left="0.25" right="0.25" top="0.5" bottom="0.25" header="0.5" footer="0.5"/>
  <pageSetup scale="70" orientation="portrait" verticalDpi="300" r:id="rId1"/>
  <headerFooter alignWithMargins="0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"/>
  <sheetViews>
    <sheetView zoomScale="80" workbookViewId="0">
      <pane ySplit="9" topLeftCell="A10" activePane="bottomLeft" state="frozen"/>
      <selection activeCell="G13" sqref="G13"/>
      <selection pane="bottomLeft" activeCell="P26" sqref="P26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31.5703125" style="1" customWidth="1"/>
    <col min="5" max="5" width="8.42578125" style="1" customWidth="1"/>
    <col min="6" max="6" width="10.85546875" style="1" customWidth="1"/>
    <col min="7" max="7" width="17.5703125" style="1" customWidth="1"/>
    <col min="8" max="8" width="6.1406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15" width="9.140625" style="1"/>
    <col min="16" max="16" width="48.5703125" style="1" customWidth="1"/>
    <col min="17" max="17" width="11.42578125" style="1" customWidth="1"/>
    <col min="18" max="18" width="16.7109375" style="1" customWidth="1"/>
    <col min="19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66" customFormat="1" ht="15" x14ac:dyDescent="0.25"/>
    <row r="2" spans="1:18" s="866" customFormat="1" ht="15" x14ac:dyDescent="0.25"/>
    <row r="3" spans="1:18" s="866" customFormat="1" ht="15" x14ac:dyDescent="0.25"/>
    <row r="4" spans="1:18" s="866" customFormat="1" ht="15" x14ac:dyDescent="0.25"/>
    <row r="5" spans="1:18" s="866" customFormat="1" ht="15" x14ac:dyDescent="0.25"/>
    <row r="6" spans="1:18" s="866" customFormat="1" ht="15" x14ac:dyDescent="0.25"/>
    <row r="7" spans="1:18" s="866" customFormat="1" ht="15.75" thickBot="1" x14ac:dyDescent="0.3"/>
    <row r="8" spans="1:18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8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8" s="682" customFormat="1" ht="26.25" customHeight="1" x14ac:dyDescent="0.25">
      <c r="A10" s="91">
        <v>1</v>
      </c>
      <c r="B10" s="890" t="s">
        <v>60</v>
      </c>
      <c r="C10" s="890" t="s">
        <v>31</v>
      </c>
      <c r="D10" s="549" t="s">
        <v>488</v>
      </c>
      <c r="E10" s="685">
        <f>12+10.5+2.5</f>
        <v>25</v>
      </c>
      <c r="F10" s="55">
        <v>7</v>
      </c>
      <c r="G10" s="56">
        <f>E10*F10</f>
        <v>175</v>
      </c>
      <c r="H10" s="685" t="s">
        <v>107</v>
      </c>
      <c r="I10" s="685">
        <v>1</v>
      </c>
      <c r="J10" s="685">
        <v>12</v>
      </c>
      <c r="K10" s="948" t="s">
        <v>487</v>
      </c>
      <c r="L10" s="949"/>
      <c r="M10" s="683" t="s">
        <v>489</v>
      </c>
      <c r="N10" s="684"/>
      <c r="Q10" s="432"/>
      <c r="R10" s="582"/>
    </row>
    <row r="11" spans="1:18" s="682" customFormat="1" ht="26.25" customHeight="1" x14ac:dyDescent="0.25">
      <c r="A11" s="93">
        <v>2</v>
      </c>
      <c r="B11" s="891"/>
      <c r="C11" s="891"/>
      <c r="D11" s="549" t="s">
        <v>488</v>
      </c>
      <c r="E11" s="80">
        <f>12+10.5+2.5</f>
        <v>25</v>
      </c>
      <c r="F11" s="55">
        <v>7</v>
      </c>
      <c r="G11" s="56">
        <f t="shared" ref="G11:G14" si="0">E11*F11</f>
        <v>175</v>
      </c>
      <c r="H11" s="80" t="s">
        <v>64</v>
      </c>
      <c r="I11" s="80">
        <v>1</v>
      </c>
      <c r="J11" s="80">
        <v>12</v>
      </c>
      <c r="K11" s="948" t="s">
        <v>487</v>
      </c>
      <c r="L11" s="949"/>
      <c r="M11" s="683" t="s">
        <v>489</v>
      </c>
      <c r="N11" s="84"/>
    </row>
    <row r="12" spans="1:18" s="682" customFormat="1" ht="26.25" customHeight="1" x14ac:dyDescent="0.25">
      <c r="A12" s="93"/>
      <c r="B12" s="891"/>
      <c r="C12" s="891"/>
      <c r="D12" s="549" t="s">
        <v>488</v>
      </c>
      <c r="E12" s="80">
        <f>6+12+7</f>
        <v>25</v>
      </c>
      <c r="F12" s="55">
        <v>7</v>
      </c>
      <c r="G12" s="56">
        <f t="shared" si="0"/>
        <v>175</v>
      </c>
      <c r="H12" s="80" t="s">
        <v>63</v>
      </c>
      <c r="I12" s="80">
        <v>1</v>
      </c>
      <c r="J12" s="80">
        <v>12</v>
      </c>
      <c r="K12" s="876" t="s">
        <v>343</v>
      </c>
      <c r="L12" s="877"/>
      <c r="M12" s="683">
        <v>41723</v>
      </c>
      <c r="N12" s="84"/>
    </row>
    <row r="13" spans="1:18" s="682" customFormat="1" ht="26.25" customHeight="1" x14ac:dyDescent="0.25">
      <c r="A13" s="93"/>
      <c r="B13" s="891"/>
      <c r="C13" s="891"/>
      <c r="D13" s="77" t="s">
        <v>490</v>
      </c>
      <c r="E13" s="80">
        <f>18+12</f>
        <v>30</v>
      </c>
      <c r="F13" s="55">
        <v>7</v>
      </c>
      <c r="G13" s="56">
        <f t="shared" si="0"/>
        <v>210</v>
      </c>
      <c r="H13" s="80" t="s">
        <v>64</v>
      </c>
      <c r="I13" s="80">
        <v>1</v>
      </c>
      <c r="J13" s="80">
        <v>12</v>
      </c>
      <c r="K13" s="876" t="s">
        <v>573</v>
      </c>
      <c r="L13" s="877"/>
      <c r="M13" s="94">
        <v>41770</v>
      </c>
      <c r="N13" s="84"/>
    </row>
    <row r="14" spans="1:18" s="682" customFormat="1" ht="26.25" customHeight="1" x14ac:dyDescent="0.25">
      <c r="A14" s="93"/>
      <c r="B14" s="891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18" s="682" customFormat="1" ht="26.25" customHeight="1" x14ac:dyDescent="0.25">
      <c r="A15" s="93"/>
      <c r="B15" s="891"/>
      <c r="C15" s="891"/>
      <c r="D15" s="77"/>
      <c r="E15" s="80"/>
      <c r="F15" s="55"/>
      <c r="G15" s="56">
        <f>E15*F15</f>
        <v>0</v>
      </c>
      <c r="H15" s="80"/>
      <c r="I15" s="80"/>
      <c r="J15" s="80"/>
      <c r="K15" s="876"/>
      <c r="L15" s="877"/>
      <c r="M15" s="94"/>
      <c r="N15" s="84"/>
    </row>
    <row r="16" spans="1:18" s="682" customFormat="1" ht="26.25" customHeight="1" x14ac:dyDescent="0.25">
      <c r="A16" s="925" t="s">
        <v>11</v>
      </c>
      <c r="B16" s="926"/>
      <c r="C16" s="926"/>
      <c r="D16" s="926"/>
      <c r="E16" s="687">
        <f>SUM(E10:E15)</f>
        <v>105</v>
      </c>
      <c r="F16" s="76"/>
      <c r="G16" s="56"/>
      <c r="H16" s="686"/>
      <c r="I16" s="686"/>
      <c r="J16" s="686"/>
      <c r="K16" s="876"/>
      <c r="L16" s="877"/>
      <c r="M16" s="686"/>
      <c r="N16" s="63"/>
    </row>
    <row r="17" spans="1:14" s="682" customFormat="1" ht="26.25" customHeight="1" x14ac:dyDescent="0.25">
      <c r="A17" s="927" t="s">
        <v>24</v>
      </c>
      <c r="B17" s="928"/>
      <c r="C17" s="928"/>
      <c r="D17" s="928"/>
      <c r="E17" s="928"/>
      <c r="F17" s="928"/>
      <c r="G17" s="64">
        <f>SUM(G10:G15)</f>
        <v>735</v>
      </c>
      <c r="H17" s="688"/>
      <c r="I17" s="688"/>
      <c r="J17" s="688"/>
      <c r="K17" s="859"/>
      <c r="L17" s="860"/>
      <c r="M17" s="688"/>
      <c r="N17" s="66"/>
    </row>
    <row r="18" spans="1:14" s="48" customFormat="1" ht="26.25" customHeight="1" x14ac:dyDescent="0.25">
      <c r="A18" s="929" t="s">
        <v>32</v>
      </c>
      <c r="B18" s="930"/>
      <c r="C18" s="930"/>
      <c r="D18" s="930"/>
      <c r="E18" s="930"/>
      <c r="F18" s="930"/>
      <c r="G18" s="900"/>
      <c r="H18" s="67"/>
      <c r="I18" s="954" t="s">
        <v>415</v>
      </c>
      <c r="J18" s="954"/>
      <c r="K18" s="954"/>
      <c r="L18" s="955"/>
      <c r="M18" s="955"/>
      <c r="N18" s="956"/>
    </row>
    <row r="19" spans="1:14" s="48" customFormat="1" ht="22.5" customHeight="1" thickBot="1" x14ac:dyDescent="0.3">
      <c r="A19" s="72" t="s">
        <v>5</v>
      </c>
      <c r="B19" s="71" t="s">
        <v>33</v>
      </c>
      <c r="C19" s="857" t="s">
        <v>21</v>
      </c>
      <c r="D19" s="858"/>
      <c r="E19" s="857" t="s">
        <v>34</v>
      </c>
      <c r="F19" s="858"/>
      <c r="G19" s="71" t="s">
        <v>0</v>
      </c>
      <c r="H19" s="71" t="s">
        <v>25</v>
      </c>
      <c r="I19" s="71" t="s">
        <v>26</v>
      </c>
      <c r="J19" s="71" t="s">
        <v>27</v>
      </c>
      <c r="K19" s="863" t="s">
        <v>28</v>
      </c>
      <c r="L19" s="857"/>
      <c r="M19" s="1064"/>
      <c r="N19" s="902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735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 t="s">
        <v>537</v>
      </c>
      <c r="B21" s="11">
        <v>41739</v>
      </c>
      <c r="C21" s="1040" t="s">
        <v>488</v>
      </c>
      <c r="D21" s="1041"/>
      <c r="E21" s="918">
        <v>80</v>
      </c>
      <c r="F21" s="918"/>
      <c r="G21" s="167">
        <f>G20-E21</f>
        <v>655</v>
      </c>
      <c r="H21" s="681"/>
      <c r="I21" s="681"/>
      <c r="J21" s="681"/>
      <c r="K21" s="681"/>
      <c r="L21" s="681"/>
      <c r="M21" s="681"/>
      <c r="N21" s="168"/>
    </row>
    <row r="22" spans="1:14" s="3" customFormat="1" ht="26.25" customHeight="1" x14ac:dyDescent="0.25">
      <c r="A22" s="165" t="s">
        <v>563</v>
      </c>
      <c r="B22" s="11">
        <v>41768</v>
      </c>
      <c r="C22" s="1040" t="s">
        <v>488</v>
      </c>
      <c r="D22" s="1041"/>
      <c r="E22" s="918">
        <v>150</v>
      </c>
      <c r="F22" s="918"/>
      <c r="G22" s="167">
        <f>G21-E22</f>
        <v>505</v>
      </c>
      <c r="H22" s="681"/>
      <c r="I22" s="681"/>
      <c r="J22" s="681"/>
      <c r="K22" s="681"/>
      <c r="L22" s="681"/>
      <c r="M22" s="681"/>
      <c r="N22" s="168"/>
    </row>
    <row r="23" spans="1:14" s="3" customFormat="1" ht="26.25" customHeight="1" x14ac:dyDescent="0.25">
      <c r="A23" s="170" t="s">
        <v>592</v>
      </c>
      <c r="B23" s="166">
        <v>41793</v>
      </c>
      <c r="C23" s="1040" t="s">
        <v>488</v>
      </c>
      <c r="D23" s="1041"/>
      <c r="E23" s="918">
        <v>190</v>
      </c>
      <c r="F23" s="918"/>
      <c r="G23" s="167">
        <f t="shared" ref="G23:G24" si="1">G22-E23</f>
        <v>315</v>
      </c>
      <c r="H23" s="681"/>
      <c r="I23" s="681"/>
      <c r="J23" s="681"/>
      <c r="K23" s="681"/>
      <c r="L23" s="681"/>
      <c r="M23" s="681"/>
      <c r="N23" s="168"/>
    </row>
    <row r="24" spans="1:14" s="3" customFormat="1" ht="26.25" customHeight="1" x14ac:dyDescent="0.25">
      <c r="A24" s="170"/>
      <c r="B24" s="166"/>
      <c r="C24" s="1065"/>
      <c r="D24" s="944"/>
      <c r="E24" s="918"/>
      <c r="F24" s="918"/>
      <c r="G24" s="167">
        <f t="shared" si="1"/>
        <v>315</v>
      </c>
      <c r="H24" s="681"/>
      <c r="I24" s="681"/>
      <c r="J24" s="681"/>
      <c r="K24" s="681"/>
      <c r="L24" s="681"/>
      <c r="M24" s="681"/>
      <c r="N24" s="168"/>
    </row>
    <row r="25" spans="1:14" s="3" customFormat="1" ht="26.25" customHeight="1" x14ac:dyDescent="0.25">
      <c r="A25" s="169"/>
      <c r="B25" s="166"/>
      <c r="C25" s="945"/>
      <c r="D25" s="945"/>
      <c r="E25" s="919"/>
      <c r="F25" s="919"/>
      <c r="G25" s="167">
        <f>G24-E25</f>
        <v>315</v>
      </c>
      <c r="H25" s="681"/>
      <c r="I25" s="681"/>
      <c r="J25" s="681"/>
      <c r="K25" s="681"/>
      <c r="L25" s="681"/>
      <c r="M25" s="681"/>
      <c r="N25" s="168"/>
    </row>
    <row r="26" spans="1:14" s="23" customFormat="1" ht="26.25" customHeight="1" thickBot="1" x14ac:dyDescent="0.3">
      <c r="A26" s="914" t="s">
        <v>36</v>
      </c>
      <c r="B26" s="915"/>
      <c r="C26" s="915"/>
      <c r="D26" s="915"/>
      <c r="E26" s="916">
        <f>SUM(E21:F25)</f>
        <v>420</v>
      </c>
      <c r="F26" s="917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44"/>
      <c r="F27" s="844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Eam Bunthoeun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6">
    <mergeCell ref="A1:XFD7"/>
    <mergeCell ref="A8:N8"/>
    <mergeCell ref="K9:L9"/>
    <mergeCell ref="B10:B15"/>
    <mergeCell ref="C10:C15"/>
    <mergeCell ref="K10:L10"/>
    <mergeCell ref="K11:L11"/>
    <mergeCell ref="K12:L12"/>
    <mergeCell ref="K15:L15"/>
    <mergeCell ref="K13:L13"/>
    <mergeCell ref="C21:D21"/>
    <mergeCell ref="E21:F21"/>
    <mergeCell ref="A16:D16"/>
    <mergeCell ref="K16:L16"/>
    <mergeCell ref="A17:F17"/>
    <mergeCell ref="K17:L17"/>
    <mergeCell ref="A18:G18"/>
    <mergeCell ref="I18:K18"/>
    <mergeCell ref="L18:N18"/>
    <mergeCell ref="C19:D19"/>
    <mergeCell ref="E19:F19"/>
    <mergeCell ref="K19:L19"/>
    <mergeCell ref="M19:N19"/>
    <mergeCell ref="A20:F20"/>
    <mergeCell ref="K33:N33"/>
    <mergeCell ref="C22:D22"/>
    <mergeCell ref="E22:F22"/>
    <mergeCell ref="C23:D23"/>
    <mergeCell ref="E23:F23"/>
    <mergeCell ref="E24:F24"/>
    <mergeCell ref="C25:D25"/>
    <mergeCell ref="E25:F25"/>
    <mergeCell ref="A26:D26"/>
    <mergeCell ref="E26:F26"/>
    <mergeCell ref="E27:F27"/>
    <mergeCell ref="C24:D24"/>
  </mergeCells>
  <printOptions horizontalCentered="1"/>
  <pageMargins left="0.25" right="0.25" top="0.5" bottom="0.25" header="0.5" footer="0.5"/>
  <pageSetup scale="70" orientation="portrait" verticalDpi="300" r:id="rId1"/>
  <headerFooter alignWithMargins="0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"/>
  <sheetViews>
    <sheetView zoomScale="80" workbookViewId="0">
      <pane ySplit="9" topLeftCell="A10" activePane="bottomLeft" state="frozen"/>
      <selection activeCell="G13" sqref="G13"/>
      <selection pane="bottomLeft" activeCell="P24" sqref="P24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31.5703125" style="1" customWidth="1"/>
    <col min="5" max="5" width="8.42578125" style="1" customWidth="1"/>
    <col min="6" max="6" width="10.85546875" style="1" customWidth="1"/>
    <col min="7" max="7" width="17.5703125" style="1" customWidth="1"/>
    <col min="8" max="8" width="6.1406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15" width="9.140625" style="1"/>
    <col min="16" max="16" width="48.5703125" style="1" customWidth="1"/>
    <col min="17" max="17" width="11.42578125" style="1" customWidth="1"/>
    <col min="18" max="18" width="16.7109375" style="1" customWidth="1"/>
    <col min="19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66" customFormat="1" ht="15" x14ac:dyDescent="0.25"/>
    <row r="2" spans="1:18" s="866" customFormat="1" ht="15" x14ac:dyDescent="0.25"/>
    <row r="3" spans="1:18" s="866" customFormat="1" ht="15" x14ac:dyDescent="0.25"/>
    <row r="4" spans="1:18" s="866" customFormat="1" ht="15" x14ac:dyDescent="0.25"/>
    <row r="5" spans="1:18" s="866" customFormat="1" ht="15" x14ac:dyDescent="0.25"/>
    <row r="6" spans="1:18" s="866" customFormat="1" ht="15" x14ac:dyDescent="0.25"/>
    <row r="7" spans="1:18" s="866" customFormat="1" ht="15.75" thickBot="1" x14ac:dyDescent="0.3"/>
    <row r="8" spans="1:18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8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8" s="682" customFormat="1" ht="26.25" customHeight="1" x14ac:dyDescent="0.25">
      <c r="A10" s="91">
        <v>1</v>
      </c>
      <c r="B10" s="890" t="s">
        <v>72</v>
      </c>
      <c r="C10" s="890" t="s">
        <v>31</v>
      </c>
      <c r="D10" s="549" t="s">
        <v>490</v>
      </c>
      <c r="E10" s="685">
        <f>3+6+10.5</f>
        <v>19.5</v>
      </c>
      <c r="F10" s="55">
        <v>7</v>
      </c>
      <c r="G10" s="56">
        <f>E10*F10</f>
        <v>136.5</v>
      </c>
      <c r="H10" s="685" t="s">
        <v>64</v>
      </c>
      <c r="I10" s="685">
        <v>1</v>
      </c>
      <c r="J10" s="685">
        <v>12</v>
      </c>
      <c r="K10" s="948" t="s">
        <v>487</v>
      </c>
      <c r="L10" s="949"/>
      <c r="M10" s="683">
        <v>41717</v>
      </c>
      <c r="N10" s="684"/>
      <c r="O10" s="932" t="s">
        <v>590</v>
      </c>
      <c r="P10" s="932"/>
      <c r="Q10" s="432"/>
      <c r="R10" s="582"/>
    </row>
    <row r="11" spans="1:18" s="682" customFormat="1" ht="26.25" customHeight="1" x14ac:dyDescent="0.25">
      <c r="A11" s="93"/>
      <c r="B11" s="891"/>
      <c r="C11" s="891"/>
      <c r="D11" s="549" t="s">
        <v>490</v>
      </c>
      <c r="E11" s="80">
        <f>6+10.5</f>
        <v>16.5</v>
      </c>
      <c r="F11" s="55">
        <v>7</v>
      </c>
      <c r="G11" s="56">
        <f t="shared" ref="G11:G14" si="0">E11*F11</f>
        <v>115.5</v>
      </c>
      <c r="H11" s="80" t="s">
        <v>107</v>
      </c>
      <c r="I11" s="80">
        <v>1</v>
      </c>
      <c r="J11" s="80">
        <v>12</v>
      </c>
      <c r="K11" s="948" t="s">
        <v>487</v>
      </c>
      <c r="L11" s="949"/>
      <c r="M11" s="683">
        <v>41724</v>
      </c>
      <c r="N11" s="84"/>
      <c r="O11" s="932"/>
      <c r="P11" s="932"/>
    </row>
    <row r="12" spans="1:18" s="682" customFormat="1" ht="26.25" customHeight="1" x14ac:dyDescent="0.25">
      <c r="A12" s="93"/>
      <c r="B12" s="891"/>
      <c r="C12" s="891"/>
      <c r="D12" s="549"/>
      <c r="E12" s="80"/>
      <c r="F12" s="55"/>
      <c r="G12" s="56">
        <f t="shared" si="0"/>
        <v>0</v>
      </c>
      <c r="H12" s="80"/>
      <c r="I12" s="80"/>
      <c r="J12" s="80"/>
      <c r="K12" s="876"/>
      <c r="L12" s="877"/>
      <c r="M12" s="683"/>
      <c r="N12" s="84"/>
    </row>
    <row r="13" spans="1:18" s="682" customFormat="1" ht="26.25" customHeight="1" x14ac:dyDescent="0.25">
      <c r="A13" s="93"/>
      <c r="B13" s="891"/>
      <c r="C13" s="891"/>
      <c r="D13" s="77"/>
      <c r="E13" s="80"/>
      <c r="F13" s="55"/>
      <c r="G13" s="56">
        <f t="shared" si="0"/>
        <v>0</v>
      </c>
      <c r="H13" s="80"/>
      <c r="I13" s="80"/>
      <c r="J13" s="80"/>
      <c r="K13" s="181"/>
      <c r="L13" s="182"/>
      <c r="M13" s="94"/>
      <c r="N13" s="84"/>
    </row>
    <row r="14" spans="1:18" s="682" customFormat="1" ht="26.25" customHeight="1" x14ac:dyDescent="0.25">
      <c r="A14" s="93"/>
      <c r="B14" s="891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18" s="682" customFormat="1" ht="26.25" customHeight="1" x14ac:dyDescent="0.25">
      <c r="A15" s="93"/>
      <c r="B15" s="891"/>
      <c r="C15" s="891"/>
      <c r="D15" s="77"/>
      <c r="E15" s="80"/>
      <c r="F15" s="55"/>
      <c r="G15" s="56">
        <f>E15*F15</f>
        <v>0</v>
      </c>
      <c r="H15" s="80"/>
      <c r="I15" s="80"/>
      <c r="J15" s="80"/>
      <c r="K15" s="876"/>
      <c r="L15" s="877"/>
      <c r="M15" s="94"/>
      <c r="N15" s="84"/>
    </row>
    <row r="16" spans="1:18" s="682" customFormat="1" ht="26.25" customHeight="1" x14ac:dyDescent="0.25">
      <c r="A16" s="925" t="s">
        <v>11</v>
      </c>
      <c r="B16" s="926"/>
      <c r="C16" s="926"/>
      <c r="D16" s="926"/>
      <c r="E16" s="687">
        <f>SUM(E10:E15)</f>
        <v>36</v>
      </c>
      <c r="F16" s="76"/>
      <c r="G16" s="56"/>
      <c r="H16" s="686"/>
      <c r="I16" s="686"/>
      <c r="J16" s="686"/>
      <c r="K16" s="876"/>
      <c r="L16" s="877"/>
      <c r="M16" s="686"/>
      <c r="N16" s="63"/>
    </row>
    <row r="17" spans="1:14" s="682" customFormat="1" ht="26.25" customHeight="1" x14ac:dyDescent="0.25">
      <c r="A17" s="927" t="s">
        <v>24</v>
      </c>
      <c r="B17" s="928"/>
      <c r="C17" s="928"/>
      <c r="D17" s="928"/>
      <c r="E17" s="928"/>
      <c r="F17" s="928"/>
      <c r="G17" s="64">
        <f>SUM(G10:G15)</f>
        <v>252</v>
      </c>
      <c r="H17" s="688"/>
      <c r="I17" s="688"/>
      <c r="J17" s="688"/>
      <c r="K17" s="859"/>
      <c r="L17" s="860"/>
      <c r="M17" s="688"/>
      <c r="N17" s="66"/>
    </row>
    <row r="18" spans="1:14" s="48" customFormat="1" ht="26.25" customHeight="1" x14ac:dyDescent="0.25">
      <c r="A18" s="929" t="s">
        <v>32</v>
      </c>
      <c r="B18" s="930"/>
      <c r="C18" s="930"/>
      <c r="D18" s="930"/>
      <c r="E18" s="930"/>
      <c r="F18" s="930"/>
      <c r="G18" s="900"/>
      <c r="H18" s="67"/>
      <c r="I18" s="954" t="s">
        <v>415</v>
      </c>
      <c r="J18" s="954"/>
      <c r="K18" s="954"/>
      <c r="L18" s="955"/>
      <c r="M18" s="955"/>
      <c r="N18" s="956"/>
    </row>
    <row r="19" spans="1:14" s="48" customFormat="1" ht="22.5" customHeight="1" thickBot="1" x14ac:dyDescent="0.3">
      <c r="A19" s="72" t="s">
        <v>5</v>
      </c>
      <c r="B19" s="71" t="s">
        <v>33</v>
      </c>
      <c r="C19" s="857" t="s">
        <v>21</v>
      </c>
      <c r="D19" s="858"/>
      <c r="E19" s="857" t="s">
        <v>34</v>
      </c>
      <c r="F19" s="858"/>
      <c r="G19" s="71" t="s">
        <v>0</v>
      </c>
      <c r="H19" s="71" t="s">
        <v>25</v>
      </c>
      <c r="I19" s="71" t="s">
        <v>26</v>
      </c>
      <c r="J19" s="71" t="s">
        <v>27</v>
      </c>
      <c r="K19" s="863" t="s">
        <v>28</v>
      </c>
      <c r="L19" s="857"/>
      <c r="M19" s="1064"/>
      <c r="N19" s="902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252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 t="s">
        <v>563</v>
      </c>
      <c r="B21" s="11">
        <v>41768</v>
      </c>
      <c r="C21" s="1040" t="s">
        <v>490</v>
      </c>
      <c r="D21" s="1041"/>
      <c r="E21" s="918">
        <v>50</v>
      </c>
      <c r="F21" s="918"/>
      <c r="G21" s="167">
        <f>G20-E21</f>
        <v>202</v>
      </c>
      <c r="H21" s="681"/>
      <c r="I21" s="681"/>
      <c r="J21" s="681"/>
      <c r="K21" s="681"/>
      <c r="L21" s="681"/>
      <c r="M21" s="681"/>
      <c r="N21" s="168"/>
    </row>
    <row r="22" spans="1:14" s="3" customFormat="1" ht="26.25" customHeight="1" x14ac:dyDescent="0.25">
      <c r="A22" s="165" t="s">
        <v>592</v>
      </c>
      <c r="B22" s="11" t="s">
        <v>593</v>
      </c>
      <c r="C22" s="1040" t="s">
        <v>490</v>
      </c>
      <c r="D22" s="1041"/>
      <c r="E22" s="918">
        <v>100</v>
      </c>
      <c r="F22" s="918"/>
      <c r="G22" s="167">
        <f>G21-E22</f>
        <v>102</v>
      </c>
      <c r="H22" s="681"/>
      <c r="I22" s="681"/>
      <c r="J22" s="681"/>
      <c r="K22" s="681"/>
      <c r="L22" s="681"/>
      <c r="M22" s="681"/>
      <c r="N22" s="168"/>
    </row>
    <row r="23" spans="1:14" s="3" customFormat="1" ht="26.25" customHeight="1" x14ac:dyDescent="0.25">
      <c r="A23" s="170"/>
      <c r="B23" s="166"/>
      <c r="C23" s="924"/>
      <c r="D23" s="924"/>
      <c r="E23" s="918"/>
      <c r="F23" s="918"/>
      <c r="G23" s="167">
        <f t="shared" ref="G23:G24" si="1">G22-E23</f>
        <v>102</v>
      </c>
      <c r="H23" s="681"/>
      <c r="I23" s="681"/>
      <c r="J23" s="681"/>
      <c r="K23" s="681"/>
      <c r="L23" s="681"/>
      <c r="M23" s="681"/>
      <c r="N23" s="168"/>
    </row>
    <row r="24" spans="1:14" s="3" customFormat="1" ht="26.25" customHeight="1" x14ac:dyDescent="0.25">
      <c r="A24" s="170"/>
      <c r="B24" s="166"/>
      <c r="C24" s="924"/>
      <c r="D24" s="924"/>
      <c r="E24" s="918"/>
      <c r="F24" s="918"/>
      <c r="G24" s="167">
        <f t="shared" si="1"/>
        <v>102</v>
      </c>
      <c r="H24" s="681"/>
      <c r="I24" s="681"/>
      <c r="J24" s="681"/>
      <c r="K24" s="681"/>
      <c r="L24" s="681"/>
      <c r="M24" s="681"/>
      <c r="N24" s="168"/>
    </row>
    <row r="25" spans="1:14" s="3" customFormat="1" ht="26.25" customHeight="1" x14ac:dyDescent="0.25">
      <c r="A25" s="169"/>
      <c r="B25" s="166"/>
      <c r="C25" s="945"/>
      <c r="D25" s="945"/>
      <c r="E25" s="919"/>
      <c r="F25" s="919"/>
      <c r="G25" s="167">
        <f>G24-E25</f>
        <v>102</v>
      </c>
      <c r="H25" s="681"/>
      <c r="I25" s="681"/>
      <c r="J25" s="681"/>
      <c r="K25" s="681"/>
      <c r="L25" s="681"/>
      <c r="M25" s="681"/>
      <c r="N25" s="168"/>
    </row>
    <row r="26" spans="1:14" s="23" customFormat="1" ht="26.25" customHeight="1" thickBot="1" x14ac:dyDescent="0.3">
      <c r="A26" s="914" t="s">
        <v>36</v>
      </c>
      <c r="B26" s="915"/>
      <c r="C26" s="915"/>
      <c r="D26" s="915"/>
      <c r="E26" s="916">
        <f>SUM(E21:F25)</f>
        <v>150</v>
      </c>
      <c r="F26" s="917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44"/>
      <c r="F27" s="844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Oeu Samath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6">
    <mergeCell ref="A1:XFD7"/>
    <mergeCell ref="A8:N8"/>
    <mergeCell ref="K9:L9"/>
    <mergeCell ref="B10:B15"/>
    <mergeCell ref="C10:C15"/>
    <mergeCell ref="K10:L10"/>
    <mergeCell ref="K11:L11"/>
    <mergeCell ref="K12:L12"/>
    <mergeCell ref="K15:L15"/>
    <mergeCell ref="O10:P11"/>
    <mergeCell ref="C21:D21"/>
    <mergeCell ref="E21:F21"/>
    <mergeCell ref="A16:D16"/>
    <mergeCell ref="K16:L16"/>
    <mergeCell ref="A17:F17"/>
    <mergeCell ref="K17:L17"/>
    <mergeCell ref="A18:G18"/>
    <mergeCell ref="I18:K18"/>
    <mergeCell ref="L18:N18"/>
    <mergeCell ref="C19:D19"/>
    <mergeCell ref="E19:F19"/>
    <mergeCell ref="K19:L19"/>
    <mergeCell ref="M19:N19"/>
    <mergeCell ref="A20:F20"/>
    <mergeCell ref="K33:N33"/>
    <mergeCell ref="C22:D22"/>
    <mergeCell ref="E22:F22"/>
    <mergeCell ref="C23:D23"/>
    <mergeCell ref="E23:F23"/>
    <mergeCell ref="C24:D24"/>
    <mergeCell ref="E24:F24"/>
    <mergeCell ref="C25:D25"/>
    <mergeCell ref="E25:F25"/>
    <mergeCell ref="A26:D26"/>
    <mergeCell ref="E26:F26"/>
    <mergeCell ref="E27:F27"/>
  </mergeCells>
  <printOptions horizontalCentered="1"/>
  <pageMargins left="0.25" right="0.25" top="0.5" bottom="0.25" header="0.5" footer="0.5"/>
  <pageSetup scale="70" orientation="portrait" verticalDpi="300" r:id="rId1"/>
  <headerFooter alignWithMargins="0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"/>
  <sheetViews>
    <sheetView zoomScale="80" workbookViewId="0">
      <pane ySplit="9" topLeftCell="A13" activePane="bottomLeft" state="frozen"/>
      <selection activeCell="G13" sqref="G13"/>
      <selection pane="bottomLeft" activeCell="G24" sqref="G24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31.5703125" style="1" customWidth="1"/>
    <col min="5" max="5" width="8.42578125" style="1" customWidth="1"/>
    <col min="6" max="6" width="10.85546875" style="1" customWidth="1"/>
    <col min="7" max="7" width="17.5703125" style="1" customWidth="1"/>
    <col min="8" max="8" width="6.1406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15" width="9.140625" style="1"/>
    <col min="16" max="16" width="48.5703125" style="1" customWidth="1"/>
    <col min="17" max="17" width="11.42578125" style="1" customWidth="1"/>
    <col min="18" max="18" width="16.7109375" style="1" customWidth="1"/>
    <col min="19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66" customFormat="1" ht="15" x14ac:dyDescent="0.25"/>
    <row r="2" spans="1:18" s="866" customFormat="1" ht="15" x14ac:dyDescent="0.25"/>
    <row r="3" spans="1:18" s="866" customFormat="1" ht="15" x14ac:dyDescent="0.25"/>
    <row r="4" spans="1:18" s="866" customFormat="1" ht="15" x14ac:dyDescent="0.25"/>
    <row r="5" spans="1:18" s="866" customFormat="1" ht="15" x14ac:dyDescent="0.25"/>
    <row r="6" spans="1:18" s="866" customFormat="1" ht="15" x14ac:dyDescent="0.25"/>
    <row r="7" spans="1:18" s="866" customFormat="1" ht="15.75" thickBot="1" x14ac:dyDescent="0.3"/>
    <row r="8" spans="1:18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8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8" s="703" customFormat="1" ht="26.25" customHeight="1" x14ac:dyDescent="0.25">
      <c r="A10" s="91">
        <v>1</v>
      </c>
      <c r="B10" s="890" t="s">
        <v>500</v>
      </c>
      <c r="C10" s="890" t="s">
        <v>31</v>
      </c>
      <c r="D10" s="549" t="s">
        <v>501</v>
      </c>
      <c r="E10" s="708">
        <f>18+27</f>
        <v>45</v>
      </c>
      <c r="F10" s="55">
        <v>8</v>
      </c>
      <c r="G10" s="56">
        <f>E10*F10</f>
        <v>360</v>
      </c>
      <c r="H10" s="708" t="s">
        <v>107</v>
      </c>
      <c r="I10" s="708">
        <v>2</v>
      </c>
      <c r="J10" s="708">
        <v>11</v>
      </c>
      <c r="K10" s="948" t="s">
        <v>42</v>
      </c>
      <c r="L10" s="949"/>
      <c r="M10" s="706"/>
      <c r="N10" s="707"/>
      <c r="P10" s="703" t="s">
        <v>543</v>
      </c>
      <c r="Q10" s="432"/>
      <c r="R10" s="582"/>
    </row>
    <row r="11" spans="1:18" s="703" customFormat="1" ht="26.25" customHeight="1" x14ac:dyDescent="0.25">
      <c r="A11" s="93"/>
      <c r="B11" s="891"/>
      <c r="C11" s="891"/>
      <c r="D11" s="549"/>
      <c r="E11" s="80"/>
      <c r="F11" s="55"/>
      <c r="G11" s="56">
        <f t="shared" ref="G11:G14" si="0">E11*F11</f>
        <v>0</v>
      </c>
      <c r="H11" s="80"/>
      <c r="I11" s="80"/>
      <c r="J11" s="80"/>
      <c r="K11" s="948"/>
      <c r="L11" s="949"/>
      <c r="M11" s="706"/>
      <c r="N11" s="84"/>
    </row>
    <row r="12" spans="1:18" s="703" customFormat="1" ht="26.25" customHeight="1" x14ac:dyDescent="0.25">
      <c r="A12" s="93"/>
      <c r="B12" s="891"/>
      <c r="C12" s="891"/>
      <c r="D12" s="549"/>
      <c r="E12" s="80"/>
      <c r="F12" s="55"/>
      <c r="G12" s="56">
        <f t="shared" si="0"/>
        <v>0</v>
      </c>
      <c r="H12" s="80"/>
      <c r="I12" s="80"/>
      <c r="J12" s="80"/>
      <c r="K12" s="876"/>
      <c r="L12" s="877"/>
      <c r="M12" s="706"/>
      <c r="N12" s="84"/>
    </row>
    <row r="13" spans="1:18" s="703" customFormat="1" ht="26.25" customHeight="1" x14ac:dyDescent="0.25">
      <c r="A13" s="93"/>
      <c r="B13" s="891"/>
      <c r="C13" s="891"/>
      <c r="D13" s="77"/>
      <c r="E13" s="80"/>
      <c r="F13" s="55"/>
      <c r="G13" s="56">
        <f t="shared" si="0"/>
        <v>0</v>
      </c>
      <c r="H13" s="80"/>
      <c r="I13" s="80"/>
      <c r="J13" s="80"/>
      <c r="K13" s="181"/>
      <c r="L13" s="182"/>
      <c r="M13" s="94"/>
      <c r="N13" s="84"/>
    </row>
    <row r="14" spans="1:18" s="703" customFormat="1" ht="26.25" customHeight="1" x14ac:dyDescent="0.25">
      <c r="A14" s="93"/>
      <c r="B14" s="891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18" s="703" customFormat="1" ht="26.25" customHeight="1" x14ac:dyDescent="0.25">
      <c r="A15" s="93"/>
      <c r="B15" s="891"/>
      <c r="C15" s="891"/>
      <c r="D15" s="77"/>
      <c r="E15" s="80"/>
      <c r="F15" s="55"/>
      <c r="G15" s="56">
        <f>E15*F15</f>
        <v>0</v>
      </c>
      <c r="H15" s="80"/>
      <c r="I15" s="80"/>
      <c r="J15" s="80"/>
      <c r="K15" s="876"/>
      <c r="L15" s="877"/>
      <c r="M15" s="94"/>
      <c r="N15" s="84"/>
    </row>
    <row r="16" spans="1:18" s="703" customFormat="1" ht="26.25" customHeight="1" x14ac:dyDescent="0.25">
      <c r="A16" s="925" t="s">
        <v>11</v>
      </c>
      <c r="B16" s="926"/>
      <c r="C16" s="926"/>
      <c r="D16" s="926"/>
      <c r="E16" s="710">
        <f>SUM(E10:E15)</f>
        <v>45</v>
      </c>
      <c r="F16" s="76"/>
      <c r="G16" s="56"/>
      <c r="H16" s="709"/>
      <c r="I16" s="709"/>
      <c r="J16" s="709"/>
      <c r="K16" s="876"/>
      <c r="L16" s="877"/>
      <c r="M16" s="709"/>
      <c r="N16" s="63"/>
    </row>
    <row r="17" spans="1:14" s="703" customFormat="1" ht="26.25" customHeight="1" x14ac:dyDescent="0.25">
      <c r="A17" s="927" t="s">
        <v>24</v>
      </c>
      <c r="B17" s="928"/>
      <c r="C17" s="928"/>
      <c r="D17" s="928"/>
      <c r="E17" s="928"/>
      <c r="F17" s="928"/>
      <c r="G17" s="64">
        <f>SUM(G10:G15)</f>
        <v>360</v>
      </c>
      <c r="H17" s="711"/>
      <c r="I17" s="711"/>
      <c r="J17" s="711"/>
      <c r="K17" s="859"/>
      <c r="L17" s="860"/>
      <c r="M17" s="711"/>
      <c r="N17" s="66"/>
    </row>
    <row r="18" spans="1:14" s="48" customFormat="1" ht="26.25" customHeight="1" x14ac:dyDescent="0.25">
      <c r="A18" s="929" t="s">
        <v>32</v>
      </c>
      <c r="B18" s="930"/>
      <c r="C18" s="930"/>
      <c r="D18" s="930"/>
      <c r="E18" s="930"/>
      <c r="F18" s="930"/>
      <c r="G18" s="900"/>
      <c r="H18" s="67"/>
      <c r="I18" s="954" t="s">
        <v>415</v>
      </c>
      <c r="J18" s="954"/>
      <c r="K18" s="954"/>
      <c r="L18" s="955"/>
      <c r="M18" s="955"/>
      <c r="N18" s="956"/>
    </row>
    <row r="19" spans="1:14" s="48" customFormat="1" ht="22.5" customHeight="1" thickBot="1" x14ac:dyDescent="0.3">
      <c r="A19" s="72" t="s">
        <v>5</v>
      </c>
      <c r="B19" s="71" t="s">
        <v>33</v>
      </c>
      <c r="C19" s="857" t="s">
        <v>21</v>
      </c>
      <c r="D19" s="858"/>
      <c r="E19" s="857" t="s">
        <v>34</v>
      </c>
      <c r="F19" s="858"/>
      <c r="G19" s="71" t="s">
        <v>0</v>
      </c>
      <c r="H19" s="71" t="s">
        <v>25</v>
      </c>
      <c r="I19" s="71" t="s">
        <v>26</v>
      </c>
      <c r="J19" s="71" t="s">
        <v>27</v>
      </c>
      <c r="K19" s="863" t="s">
        <v>28</v>
      </c>
      <c r="L19" s="857"/>
      <c r="M19" s="1064"/>
      <c r="N19" s="902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360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 t="s">
        <v>537</v>
      </c>
      <c r="B21" s="11">
        <v>41739</v>
      </c>
      <c r="C21" s="1040" t="s">
        <v>501</v>
      </c>
      <c r="D21" s="1041"/>
      <c r="E21" s="918">
        <v>70</v>
      </c>
      <c r="F21" s="918"/>
      <c r="G21" s="167">
        <f>G20-E21</f>
        <v>290</v>
      </c>
      <c r="H21" s="705"/>
      <c r="I21" s="705"/>
      <c r="J21" s="705"/>
      <c r="K21" s="705"/>
      <c r="L21" s="705"/>
      <c r="M21" s="705"/>
      <c r="N21" s="168"/>
    </row>
    <row r="22" spans="1:14" s="3" customFormat="1" ht="26.25" customHeight="1" x14ac:dyDescent="0.25">
      <c r="A22" s="165" t="s">
        <v>563</v>
      </c>
      <c r="B22" s="11">
        <v>41768</v>
      </c>
      <c r="C22" s="1040" t="s">
        <v>501</v>
      </c>
      <c r="D22" s="1041"/>
      <c r="E22" s="918">
        <v>150</v>
      </c>
      <c r="F22" s="918"/>
      <c r="G22" s="167">
        <f>G21-E22</f>
        <v>140</v>
      </c>
      <c r="H22" s="705"/>
      <c r="I22" s="705"/>
      <c r="J22" s="705"/>
      <c r="K22" s="705"/>
      <c r="L22" s="705"/>
      <c r="M22" s="705"/>
      <c r="N22" s="168"/>
    </row>
    <row r="23" spans="1:14" s="3" customFormat="1" ht="26.25" customHeight="1" x14ac:dyDescent="0.25">
      <c r="A23" s="170" t="s">
        <v>592</v>
      </c>
      <c r="B23" s="166">
        <v>41793</v>
      </c>
      <c r="C23" s="1040" t="s">
        <v>501</v>
      </c>
      <c r="D23" s="1041"/>
      <c r="E23" s="918">
        <v>70</v>
      </c>
      <c r="F23" s="918"/>
      <c r="G23" s="167">
        <f t="shared" ref="G23:G24" si="1">G22-E23</f>
        <v>70</v>
      </c>
      <c r="H23" s="705"/>
      <c r="I23" s="705"/>
      <c r="J23" s="705"/>
      <c r="K23" s="705"/>
      <c r="L23" s="705"/>
      <c r="M23" s="705"/>
      <c r="N23" s="168"/>
    </row>
    <row r="24" spans="1:14" s="3" customFormat="1" ht="26.25" customHeight="1" x14ac:dyDescent="0.25">
      <c r="A24" s="170"/>
      <c r="B24" s="166"/>
      <c r="C24" s="924"/>
      <c r="D24" s="924"/>
      <c r="E24" s="918"/>
      <c r="F24" s="918"/>
      <c r="G24" s="167">
        <f t="shared" si="1"/>
        <v>70</v>
      </c>
      <c r="H24" s="705"/>
      <c r="I24" s="705"/>
      <c r="J24" s="705"/>
      <c r="K24" s="705"/>
      <c r="L24" s="705"/>
      <c r="M24" s="705"/>
      <c r="N24" s="168"/>
    </row>
    <row r="25" spans="1:14" s="3" customFormat="1" ht="26.25" customHeight="1" x14ac:dyDescent="0.25">
      <c r="A25" s="169"/>
      <c r="B25" s="166"/>
      <c r="C25" s="945"/>
      <c r="D25" s="945"/>
      <c r="E25" s="919"/>
      <c r="F25" s="919"/>
      <c r="G25" s="167">
        <f>G24-E25</f>
        <v>70</v>
      </c>
      <c r="H25" s="705"/>
      <c r="I25" s="705"/>
      <c r="J25" s="705"/>
      <c r="K25" s="705"/>
      <c r="L25" s="705"/>
      <c r="M25" s="705"/>
      <c r="N25" s="168"/>
    </row>
    <row r="26" spans="1:14" s="23" customFormat="1" ht="26.25" customHeight="1" thickBot="1" x14ac:dyDescent="0.3">
      <c r="A26" s="914" t="s">
        <v>36</v>
      </c>
      <c r="B26" s="915"/>
      <c r="C26" s="915"/>
      <c r="D26" s="915"/>
      <c r="E26" s="916">
        <f>SUM(E21:F25)</f>
        <v>290</v>
      </c>
      <c r="F26" s="917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44"/>
      <c r="F27" s="844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Pol Mony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5">
    <mergeCell ref="K33:N33"/>
    <mergeCell ref="C22:D22"/>
    <mergeCell ref="E22:F22"/>
    <mergeCell ref="C23:D23"/>
    <mergeCell ref="E23:F23"/>
    <mergeCell ref="C24:D24"/>
    <mergeCell ref="E24:F24"/>
    <mergeCell ref="C25:D25"/>
    <mergeCell ref="E25:F25"/>
    <mergeCell ref="A26:D26"/>
    <mergeCell ref="E26:F26"/>
    <mergeCell ref="E27:F27"/>
    <mergeCell ref="C21:D21"/>
    <mergeCell ref="E21:F21"/>
    <mergeCell ref="A16:D16"/>
    <mergeCell ref="K16:L16"/>
    <mergeCell ref="A17:F17"/>
    <mergeCell ref="K17:L17"/>
    <mergeCell ref="A18:G18"/>
    <mergeCell ref="I18:K18"/>
    <mergeCell ref="L18:N18"/>
    <mergeCell ref="C19:D19"/>
    <mergeCell ref="E19:F19"/>
    <mergeCell ref="K19:L19"/>
    <mergeCell ref="M19:N19"/>
    <mergeCell ref="A20:F20"/>
    <mergeCell ref="A1:XFD7"/>
    <mergeCell ref="A8:N8"/>
    <mergeCell ref="K9:L9"/>
    <mergeCell ref="B10:B15"/>
    <mergeCell ref="C10:C15"/>
    <mergeCell ref="K10:L10"/>
    <mergeCell ref="K11:L11"/>
    <mergeCell ref="K12:L12"/>
    <mergeCell ref="K15:L15"/>
  </mergeCells>
  <printOptions horizontalCentered="1"/>
  <pageMargins left="0.25" right="0.25" top="0.5" bottom="0.25" header="0.5" footer="0.5"/>
  <pageSetup scale="70" orientation="portrait" verticalDpi="300" r:id="rId1"/>
  <headerFooter alignWithMargins="0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"/>
  <sheetViews>
    <sheetView zoomScale="80" workbookViewId="0">
      <pane ySplit="9" topLeftCell="A10" activePane="bottomLeft" state="frozen"/>
      <selection activeCell="G13" sqref="G13"/>
      <selection pane="bottomLeft" activeCell="E11" sqref="E11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31.5703125" style="1" customWidth="1"/>
    <col min="5" max="5" width="8.42578125" style="1" customWidth="1"/>
    <col min="6" max="6" width="10.85546875" style="1" customWidth="1"/>
    <col min="7" max="7" width="15.5703125" style="1" customWidth="1"/>
    <col min="8" max="8" width="8.57031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15" width="9.140625" style="1"/>
    <col min="16" max="16" width="48.5703125" style="1" customWidth="1"/>
    <col min="17" max="17" width="11.42578125" style="1" customWidth="1"/>
    <col min="18" max="18" width="16.7109375" style="1" customWidth="1"/>
    <col min="19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66" customFormat="1" ht="15" x14ac:dyDescent="0.25"/>
    <row r="2" spans="1:18" s="866" customFormat="1" ht="15" x14ac:dyDescent="0.25"/>
    <row r="3" spans="1:18" s="866" customFormat="1" ht="15" x14ac:dyDescent="0.25"/>
    <row r="4" spans="1:18" s="866" customFormat="1" ht="15" x14ac:dyDescent="0.25"/>
    <row r="5" spans="1:18" s="866" customFormat="1" ht="15" x14ac:dyDescent="0.25"/>
    <row r="6" spans="1:18" s="866" customFormat="1" ht="15" x14ac:dyDescent="0.25"/>
    <row r="7" spans="1:18" s="866" customFormat="1" ht="15.75" thickBot="1" x14ac:dyDescent="0.3"/>
    <row r="8" spans="1:18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8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8" s="703" customFormat="1" ht="26.25" customHeight="1" x14ac:dyDescent="0.25">
      <c r="A10" s="91">
        <v>1</v>
      </c>
      <c r="B10" s="890" t="s">
        <v>508</v>
      </c>
      <c r="C10" s="890" t="s">
        <v>31</v>
      </c>
      <c r="D10" s="549" t="s">
        <v>509</v>
      </c>
      <c r="E10" s="708">
        <f>12+10.5</f>
        <v>22.5</v>
      </c>
      <c r="F10" s="55">
        <v>7</v>
      </c>
      <c r="G10" s="56">
        <f>E10*F10</f>
        <v>157.5</v>
      </c>
      <c r="H10" s="708" t="s">
        <v>432</v>
      </c>
      <c r="I10" s="708">
        <v>3</v>
      </c>
      <c r="J10" s="708">
        <v>10</v>
      </c>
      <c r="K10" s="948" t="s">
        <v>42</v>
      </c>
      <c r="L10" s="949"/>
      <c r="M10" s="706">
        <v>41720</v>
      </c>
      <c r="N10" s="707"/>
      <c r="Q10" s="432"/>
      <c r="R10" s="582"/>
    </row>
    <row r="11" spans="1:18" s="703" customFormat="1" ht="26.25" customHeight="1" x14ac:dyDescent="0.25">
      <c r="A11" s="93"/>
      <c r="B11" s="891"/>
      <c r="C11" s="891"/>
      <c r="D11" s="549"/>
      <c r="E11" s="80"/>
      <c r="F11" s="55"/>
      <c r="G11" s="56">
        <f t="shared" ref="G11:G14" si="0">E11*F11</f>
        <v>0</v>
      </c>
      <c r="H11" s="80"/>
      <c r="I11" s="80"/>
      <c r="J11" s="80"/>
      <c r="K11" s="948"/>
      <c r="L11" s="949"/>
      <c r="M11" s="706"/>
      <c r="N11" s="84"/>
    </row>
    <row r="12" spans="1:18" s="703" customFormat="1" ht="26.25" customHeight="1" x14ac:dyDescent="0.25">
      <c r="A12" s="93"/>
      <c r="B12" s="891"/>
      <c r="C12" s="891"/>
      <c r="D12" s="549"/>
      <c r="E12" s="80"/>
      <c r="F12" s="55"/>
      <c r="G12" s="56">
        <f t="shared" si="0"/>
        <v>0</v>
      </c>
      <c r="H12" s="80"/>
      <c r="I12" s="80"/>
      <c r="J12" s="80"/>
      <c r="K12" s="876"/>
      <c r="L12" s="877"/>
      <c r="M12" s="706"/>
      <c r="N12" s="84"/>
    </row>
    <row r="13" spans="1:18" s="703" customFormat="1" ht="26.25" customHeight="1" x14ac:dyDescent="0.25">
      <c r="A13" s="93"/>
      <c r="B13" s="891"/>
      <c r="C13" s="891"/>
      <c r="D13" s="77"/>
      <c r="E13" s="80"/>
      <c r="F13" s="55"/>
      <c r="G13" s="56">
        <f t="shared" si="0"/>
        <v>0</v>
      </c>
      <c r="H13" s="80"/>
      <c r="I13" s="80"/>
      <c r="J13" s="80"/>
      <c r="K13" s="181"/>
      <c r="L13" s="182"/>
      <c r="M13" s="94"/>
      <c r="N13" s="84"/>
    </row>
    <row r="14" spans="1:18" s="703" customFormat="1" ht="26.25" customHeight="1" x14ac:dyDescent="0.25">
      <c r="A14" s="93"/>
      <c r="B14" s="891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18" s="703" customFormat="1" ht="26.25" customHeight="1" x14ac:dyDescent="0.25">
      <c r="A15" s="93"/>
      <c r="B15" s="891"/>
      <c r="C15" s="891"/>
      <c r="D15" s="77"/>
      <c r="E15" s="80"/>
      <c r="F15" s="55"/>
      <c r="G15" s="56">
        <f>E15*F15</f>
        <v>0</v>
      </c>
      <c r="H15" s="80"/>
      <c r="I15" s="80"/>
      <c r="J15" s="80"/>
      <c r="K15" s="876"/>
      <c r="L15" s="877"/>
      <c r="M15" s="94"/>
      <c r="N15" s="84"/>
    </row>
    <row r="16" spans="1:18" s="703" customFormat="1" ht="26.25" customHeight="1" x14ac:dyDescent="0.25">
      <c r="A16" s="925" t="s">
        <v>11</v>
      </c>
      <c r="B16" s="926"/>
      <c r="C16" s="926"/>
      <c r="D16" s="926"/>
      <c r="E16" s="710">
        <f>SUM(E10:E15)</f>
        <v>22.5</v>
      </c>
      <c r="F16" s="76"/>
      <c r="G16" s="56"/>
      <c r="H16" s="709"/>
      <c r="I16" s="709"/>
      <c r="J16" s="709"/>
      <c r="K16" s="876"/>
      <c r="L16" s="877"/>
      <c r="M16" s="709"/>
      <c r="N16" s="63"/>
    </row>
    <row r="17" spans="1:14" s="703" customFormat="1" ht="26.25" customHeight="1" x14ac:dyDescent="0.25">
      <c r="A17" s="927" t="s">
        <v>24</v>
      </c>
      <c r="B17" s="928"/>
      <c r="C17" s="928"/>
      <c r="D17" s="928"/>
      <c r="E17" s="928"/>
      <c r="F17" s="928"/>
      <c r="G17" s="64">
        <f>SUM(G10:G15)</f>
        <v>157.5</v>
      </c>
      <c r="H17" s="711"/>
      <c r="I17" s="711"/>
      <c r="J17" s="711"/>
      <c r="K17" s="859"/>
      <c r="L17" s="860"/>
      <c r="M17" s="711"/>
      <c r="N17" s="66"/>
    </row>
    <row r="18" spans="1:14" s="48" customFormat="1" ht="26.25" customHeight="1" x14ac:dyDescent="0.25">
      <c r="A18" s="929" t="s">
        <v>32</v>
      </c>
      <c r="B18" s="930"/>
      <c r="C18" s="930"/>
      <c r="D18" s="930"/>
      <c r="E18" s="930"/>
      <c r="F18" s="930"/>
      <c r="G18" s="900"/>
      <c r="H18" s="67"/>
      <c r="I18" s="954" t="s">
        <v>415</v>
      </c>
      <c r="J18" s="954"/>
      <c r="K18" s="954"/>
      <c r="L18" s="955"/>
      <c r="M18" s="955"/>
      <c r="N18" s="956"/>
    </row>
    <row r="19" spans="1:14" s="48" customFormat="1" ht="22.5" customHeight="1" thickBot="1" x14ac:dyDescent="0.3">
      <c r="A19" s="72" t="s">
        <v>5</v>
      </c>
      <c r="B19" s="71" t="s">
        <v>33</v>
      </c>
      <c r="C19" s="857" t="s">
        <v>21</v>
      </c>
      <c r="D19" s="858"/>
      <c r="E19" s="857" t="s">
        <v>34</v>
      </c>
      <c r="F19" s="858"/>
      <c r="G19" s="71" t="s">
        <v>0</v>
      </c>
      <c r="H19" s="71" t="s">
        <v>25</v>
      </c>
      <c r="I19" s="71" t="s">
        <v>26</v>
      </c>
      <c r="J19" s="71" t="s">
        <v>27</v>
      </c>
      <c r="K19" s="863" t="s">
        <v>28</v>
      </c>
      <c r="L19" s="857"/>
      <c r="M19" s="1064"/>
      <c r="N19" s="902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157.5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/>
      <c r="B21" s="11"/>
      <c r="C21" s="1040" t="s">
        <v>509</v>
      </c>
      <c r="D21" s="1041"/>
      <c r="E21" s="918"/>
      <c r="F21" s="918"/>
      <c r="G21" s="167">
        <f>G20-E21</f>
        <v>157.5</v>
      </c>
      <c r="H21" s="705"/>
      <c r="I21" s="705"/>
      <c r="J21" s="705"/>
      <c r="K21" s="705"/>
      <c r="L21" s="705"/>
      <c r="M21" s="705"/>
      <c r="N21" s="168"/>
    </row>
    <row r="22" spans="1:14" s="3" customFormat="1" ht="26.25" customHeight="1" x14ac:dyDescent="0.25">
      <c r="A22" s="165"/>
      <c r="B22" s="11"/>
      <c r="C22" s="924"/>
      <c r="D22" s="924"/>
      <c r="E22" s="918"/>
      <c r="F22" s="918"/>
      <c r="G22" s="167">
        <f>G21-E22</f>
        <v>157.5</v>
      </c>
      <c r="H22" s="705"/>
      <c r="I22" s="705"/>
      <c r="J22" s="705"/>
      <c r="K22" s="705"/>
      <c r="L22" s="705"/>
      <c r="M22" s="705"/>
      <c r="N22" s="168"/>
    </row>
    <row r="23" spans="1:14" s="3" customFormat="1" ht="26.25" customHeight="1" x14ac:dyDescent="0.25">
      <c r="A23" s="170"/>
      <c r="B23" s="166"/>
      <c r="C23" s="924"/>
      <c r="D23" s="924"/>
      <c r="E23" s="918"/>
      <c r="F23" s="918"/>
      <c r="G23" s="167">
        <f t="shared" ref="G23:G24" si="1">G22-E23</f>
        <v>157.5</v>
      </c>
      <c r="H23" s="705"/>
      <c r="I23" s="705"/>
      <c r="J23" s="705"/>
      <c r="K23" s="705"/>
      <c r="L23" s="705"/>
      <c r="M23" s="705"/>
      <c r="N23" s="168"/>
    </row>
    <row r="24" spans="1:14" s="3" customFormat="1" ht="26.25" customHeight="1" x14ac:dyDescent="0.25">
      <c r="A24" s="170"/>
      <c r="B24" s="166"/>
      <c r="C24" s="924"/>
      <c r="D24" s="924"/>
      <c r="E24" s="918"/>
      <c r="F24" s="918"/>
      <c r="G24" s="167">
        <f t="shared" si="1"/>
        <v>157.5</v>
      </c>
      <c r="H24" s="705"/>
      <c r="I24" s="705"/>
      <c r="J24" s="705"/>
      <c r="K24" s="705"/>
      <c r="L24" s="705"/>
      <c r="M24" s="705"/>
      <c r="N24" s="168"/>
    </row>
    <row r="25" spans="1:14" s="3" customFormat="1" ht="26.25" customHeight="1" x14ac:dyDescent="0.25">
      <c r="A25" s="169"/>
      <c r="B25" s="166"/>
      <c r="C25" s="945"/>
      <c r="D25" s="945"/>
      <c r="E25" s="919"/>
      <c r="F25" s="919"/>
      <c r="G25" s="167">
        <f>G24-E25</f>
        <v>157.5</v>
      </c>
      <c r="H25" s="705"/>
      <c r="I25" s="705"/>
      <c r="J25" s="705"/>
      <c r="K25" s="705"/>
      <c r="L25" s="705"/>
      <c r="M25" s="705"/>
      <c r="N25" s="168"/>
    </row>
    <row r="26" spans="1:14" s="23" customFormat="1" ht="26.25" customHeight="1" thickBot="1" x14ac:dyDescent="0.3">
      <c r="A26" s="914" t="s">
        <v>36</v>
      </c>
      <c r="B26" s="915"/>
      <c r="C26" s="915"/>
      <c r="D26" s="915"/>
      <c r="E26" s="916">
        <f>SUM(E21:F25)</f>
        <v>0</v>
      </c>
      <c r="F26" s="917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44"/>
      <c r="F27" s="844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Seng Theara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5">
    <mergeCell ref="K33:N33"/>
    <mergeCell ref="C22:D22"/>
    <mergeCell ref="E22:F22"/>
    <mergeCell ref="C23:D23"/>
    <mergeCell ref="E23:F23"/>
    <mergeCell ref="C24:D24"/>
    <mergeCell ref="E24:F24"/>
    <mergeCell ref="C25:D25"/>
    <mergeCell ref="E25:F25"/>
    <mergeCell ref="A26:D26"/>
    <mergeCell ref="E26:F26"/>
    <mergeCell ref="E27:F27"/>
    <mergeCell ref="C21:D21"/>
    <mergeCell ref="E21:F21"/>
    <mergeCell ref="A16:D16"/>
    <mergeCell ref="K16:L16"/>
    <mergeCell ref="A17:F17"/>
    <mergeCell ref="K17:L17"/>
    <mergeCell ref="A18:G18"/>
    <mergeCell ref="I18:K18"/>
    <mergeCell ref="L18:N18"/>
    <mergeCell ref="C19:D19"/>
    <mergeCell ref="E19:F19"/>
    <mergeCell ref="K19:L19"/>
    <mergeCell ref="M19:N19"/>
    <mergeCell ref="A20:F20"/>
    <mergeCell ref="A1:XFD7"/>
    <mergeCell ref="A8:N8"/>
    <mergeCell ref="K9:L9"/>
    <mergeCell ref="B10:B15"/>
    <mergeCell ref="C10:C15"/>
    <mergeCell ref="K10:L10"/>
    <mergeCell ref="K11:L11"/>
    <mergeCell ref="K12:L12"/>
    <mergeCell ref="K15:L15"/>
  </mergeCells>
  <printOptions horizontalCentered="1"/>
  <pageMargins left="0.25" right="0.25" top="0.5" bottom="0.25" header="0.5" footer="0.5"/>
  <pageSetup scale="70" orientation="portrait" verticalDpi="300" r:id="rId1"/>
  <headerFooter alignWithMargins="0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"/>
  <sheetViews>
    <sheetView zoomScale="80" workbookViewId="0">
      <pane ySplit="9" topLeftCell="A10" activePane="bottomLeft" state="frozen"/>
      <selection activeCell="G13" sqref="G13"/>
      <selection pane="bottomLeft" activeCell="G12" sqref="G12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31.5703125" style="1" customWidth="1"/>
    <col min="5" max="5" width="8.42578125" style="1" customWidth="1"/>
    <col min="6" max="6" width="10.85546875" style="1" customWidth="1"/>
    <col min="7" max="7" width="17.5703125" style="1" customWidth="1"/>
    <col min="8" max="8" width="8.57031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15" width="9.140625" style="1"/>
    <col min="16" max="16" width="48.5703125" style="1" customWidth="1"/>
    <col min="17" max="17" width="11.42578125" style="1" customWidth="1"/>
    <col min="18" max="18" width="16.7109375" style="1" customWidth="1"/>
    <col min="19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66" customFormat="1" ht="15" x14ac:dyDescent="0.25"/>
    <row r="2" spans="1:18" s="866" customFormat="1" ht="15" x14ac:dyDescent="0.25"/>
    <row r="3" spans="1:18" s="866" customFormat="1" ht="15" x14ac:dyDescent="0.25"/>
    <row r="4" spans="1:18" s="866" customFormat="1" ht="15" x14ac:dyDescent="0.25"/>
    <row r="5" spans="1:18" s="866" customFormat="1" ht="15" x14ac:dyDescent="0.25"/>
    <row r="6" spans="1:18" s="866" customFormat="1" ht="15" x14ac:dyDescent="0.25"/>
    <row r="7" spans="1:18" s="866" customFormat="1" ht="15.75" thickBot="1" x14ac:dyDescent="0.3"/>
    <row r="8" spans="1:18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8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8" s="713" customFormat="1" ht="26.25" customHeight="1" x14ac:dyDescent="0.25">
      <c r="A10" s="91">
        <v>1</v>
      </c>
      <c r="B10" s="890" t="s">
        <v>510</v>
      </c>
      <c r="C10" s="890" t="s">
        <v>31</v>
      </c>
      <c r="D10" s="549" t="s">
        <v>605</v>
      </c>
      <c r="E10" s="716">
        <f>30+15</f>
        <v>45</v>
      </c>
      <c r="F10" s="55">
        <v>7</v>
      </c>
      <c r="G10" s="56">
        <f>E10*F10</f>
        <v>315</v>
      </c>
      <c r="H10" s="716" t="s">
        <v>86</v>
      </c>
      <c r="I10" s="716">
        <v>2</v>
      </c>
      <c r="J10" s="716">
        <v>11</v>
      </c>
      <c r="K10" s="948" t="s">
        <v>42</v>
      </c>
      <c r="L10" s="949"/>
      <c r="M10" s="714">
        <v>41699</v>
      </c>
      <c r="N10" s="715"/>
      <c r="O10" s="1066" t="s">
        <v>530</v>
      </c>
      <c r="P10" s="1067"/>
      <c r="Q10" s="432"/>
      <c r="R10" s="582"/>
    </row>
    <row r="11" spans="1:18" s="713" customFormat="1" ht="26.25" customHeight="1" x14ac:dyDescent="0.25">
      <c r="A11" s="93"/>
      <c r="B11" s="891"/>
      <c r="C11" s="891"/>
      <c r="D11" s="549" t="s">
        <v>511</v>
      </c>
      <c r="E11" s="80">
        <v>12</v>
      </c>
      <c r="F11" s="55">
        <v>7</v>
      </c>
      <c r="G11" s="56">
        <f>E11*F11</f>
        <v>84</v>
      </c>
      <c r="H11" s="80" t="s">
        <v>86</v>
      </c>
      <c r="I11" s="80">
        <v>2</v>
      </c>
      <c r="J11" s="80">
        <v>11</v>
      </c>
      <c r="K11" s="948" t="s">
        <v>42</v>
      </c>
      <c r="L11" s="949"/>
      <c r="M11" s="714">
        <v>41797</v>
      </c>
      <c r="N11" s="84"/>
    </row>
    <row r="12" spans="1:18" s="713" customFormat="1" ht="26.25" customHeight="1" x14ac:dyDescent="0.25">
      <c r="A12" s="93"/>
      <c r="B12" s="891"/>
      <c r="C12" s="891"/>
      <c r="D12" s="549"/>
      <c r="E12" s="80"/>
      <c r="F12" s="55"/>
      <c r="G12" s="56">
        <f>E12*F12</f>
        <v>0</v>
      </c>
      <c r="H12" s="80"/>
      <c r="I12" s="80"/>
      <c r="J12" s="80"/>
      <c r="K12" s="876"/>
      <c r="L12" s="877"/>
      <c r="M12" s="714"/>
      <c r="N12" s="84"/>
    </row>
    <row r="13" spans="1:18" s="713" customFormat="1" ht="26.25" customHeight="1" x14ac:dyDescent="0.25">
      <c r="A13" s="93"/>
      <c r="B13" s="891"/>
      <c r="C13" s="891"/>
      <c r="D13" s="77"/>
      <c r="E13" s="80"/>
      <c r="F13" s="55"/>
      <c r="G13" s="56">
        <f t="shared" ref="G13:G14" si="0">E13*F13</f>
        <v>0</v>
      </c>
      <c r="H13" s="80"/>
      <c r="I13" s="80"/>
      <c r="J13" s="80"/>
      <c r="K13" s="181"/>
      <c r="L13" s="182"/>
      <c r="M13" s="94"/>
      <c r="N13" s="84"/>
    </row>
    <row r="14" spans="1:18" s="713" customFormat="1" ht="26.25" customHeight="1" x14ac:dyDescent="0.25">
      <c r="A14" s="93"/>
      <c r="B14" s="891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18" s="713" customFormat="1" ht="26.25" customHeight="1" x14ac:dyDescent="0.25">
      <c r="A15" s="93"/>
      <c r="B15" s="891"/>
      <c r="C15" s="891"/>
      <c r="D15" s="77"/>
      <c r="E15" s="80"/>
      <c r="F15" s="55"/>
      <c r="G15" s="56">
        <f>E15*F15</f>
        <v>0</v>
      </c>
      <c r="H15" s="80"/>
      <c r="I15" s="80"/>
      <c r="J15" s="80"/>
      <c r="K15" s="876"/>
      <c r="L15" s="877"/>
      <c r="M15" s="94"/>
      <c r="N15" s="84"/>
    </row>
    <row r="16" spans="1:18" s="713" customFormat="1" ht="26.25" customHeight="1" x14ac:dyDescent="0.25">
      <c r="A16" s="925" t="s">
        <v>11</v>
      </c>
      <c r="B16" s="926"/>
      <c r="C16" s="926"/>
      <c r="D16" s="926"/>
      <c r="E16" s="718">
        <f>SUM(E10:E15)</f>
        <v>57</v>
      </c>
      <c r="F16" s="76"/>
      <c r="G16" s="56"/>
      <c r="H16" s="717"/>
      <c r="I16" s="717"/>
      <c r="J16" s="717"/>
      <c r="K16" s="876"/>
      <c r="L16" s="877"/>
      <c r="M16" s="717"/>
      <c r="N16" s="63"/>
    </row>
    <row r="17" spans="1:14" s="713" customFormat="1" ht="26.25" customHeight="1" x14ac:dyDescent="0.25">
      <c r="A17" s="927" t="s">
        <v>24</v>
      </c>
      <c r="B17" s="928"/>
      <c r="C17" s="928"/>
      <c r="D17" s="928"/>
      <c r="E17" s="928"/>
      <c r="F17" s="928"/>
      <c r="G17" s="64">
        <f>SUM(G10:G15)</f>
        <v>399</v>
      </c>
      <c r="H17" s="719"/>
      <c r="I17" s="719"/>
      <c r="J17" s="719"/>
      <c r="K17" s="859"/>
      <c r="L17" s="860"/>
      <c r="M17" s="719"/>
      <c r="N17" s="66"/>
    </row>
    <row r="18" spans="1:14" s="48" customFormat="1" ht="26.25" customHeight="1" x14ac:dyDescent="0.25">
      <c r="A18" s="929" t="s">
        <v>32</v>
      </c>
      <c r="B18" s="930"/>
      <c r="C18" s="930"/>
      <c r="D18" s="930"/>
      <c r="E18" s="930"/>
      <c r="F18" s="930"/>
      <c r="G18" s="900"/>
      <c r="H18" s="67"/>
      <c r="I18" s="954" t="s">
        <v>415</v>
      </c>
      <c r="J18" s="954"/>
      <c r="K18" s="954"/>
      <c r="L18" s="955"/>
      <c r="M18" s="955"/>
      <c r="N18" s="956"/>
    </row>
    <row r="19" spans="1:14" s="48" customFormat="1" ht="22.5" customHeight="1" thickBot="1" x14ac:dyDescent="0.3">
      <c r="A19" s="72" t="s">
        <v>5</v>
      </c>
      <c r="B19" s="71" t="s">
        <v>33</v>
      </c>
      <c r="C19" s="857" t="s">
        <v>21</v>
      </c>
      <c r="D19" s="858"/>
      <c r="E19" s="857" t="s">
        <v>34</v>
      </c>
      <c r="F19" s="858"/>
      <c r="G19" s="71" t="s">
        <v>0</v>
      </c>
      <c r="H19" s="71" t="s">
        <v>25</v>
      </c>
      <c r="I19" s="71" t="s">
        <v>26</v>
      </c>
      <c r="J19" s="71" t="s">
        <v>27</v>
      </c>
      <c r="K19" s="863" t="s">
        <v>28</v>
      </c>
      <c r="L19" s="857"/>
      <c r="M19" s="1064"/>
      <c r="N19" s="902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399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 t="s">
        <v>592</v>
      </c>
      <c r="B21" s="11">
        <v>41793</v>
      </c>
      <c r="C21" s="1040" t="s">
        <v>511</v>
      </c>
      <c r="D21" s="1041"/>
      <c r="E21" s="918">
        <v>160</v>
      </c>
      <c r="F21" s="918"/>
      <c r="G21" s="167">
        <f>G20-E21</f>
        <v>239</v>
      </c>
      <c r="H21" s="712"/>
      <c r="I21" s="712"/>
      <c r="J21" s="712"/>
      <c r="K21" s="712"/>
      <c r="L21" s="712"/>
      <c r="M21" s="712"/>
      <c r="N21" s="168"/>
    </row>
    <row r="22" spans="1:14" s="3" customFormat="1" ht="26.25" customHeight="1" x14ac:dyDescent="0.25">
      <c r="A22" s="165"/>
      <c r="B22" s="11"/>
      <c r="C22" s="924"/>
      <c r="D22" s="924"/>
      <c r="E22" s="918"/>
      <c r="F22" s="918"/>
      <c r="G22" s="167">
        <f>G21-E22</f>
        <v>239</v>
      </c>
      <c r="H22" s="712"/>
      <c r="I22" s="712"/>
      <c r="J22" s="712"/>
      <c r="K22" s="712"/>
      <c r="L22" s="712"/>
      <c r="M22" s="712"/>
      <c r="N22" s="168"/>
    </row>
    <row r="23" spans="1:14" s="3" customFormat="1" ht="26.25" customHeight="1" x14ac:dyDescent="0.25">
      <c r="A23" s="170"/>
      <c r="B23" s="166"/>
      <c r="C23" s="924"/>
      <c r="D23" s="924"/>
      <c r="E23" s="918"/>
      <c r="F23" s="918"/>
      <c r="G23" s="167">
        <f t="shared" ref="G23:G24" si="1">G22-E23</f>
        <v>239</v>
      </c>
      <c r="H23" s="712"/>
      <c r="I23" s="712"/>
      <c r="J23" s="712"/>
      <c r="K23" s="712"/>
      <c r="L23" s="712"/>
      <c r="M23" s="712"/>
      <c r="N23" s="168"/>
    </row>
    <row r="24" spans="1:14" s="3" customFormat="1" ht="26.25" customHeight="1" x14ac:dyDescent="0.25">
      <c r="A24" s="170"/>
      <c r="B24" s="166"/>
      <c r="C24" s="924"/>
      <c r="D24" s="924"/>
      <c r="E24" s="918"/>
      <c r="F24" s="918"/>
      <c r="G24" s="167">
        <f t="shared" si="1"/>
        <v>239</v>
      </c>
      <c r="H24" s="712"/>
      <c r="I24" s="712"/>
      <c r="J24" s="712"/>
      <c r="K24" s="712"/>
      <c r="L24" s="712"/>
      <c r="M24" s="712"/>
      <c r="N24" s="168"/>
    </row>
    <row r="25" spans="1:14" s="3" customFormat="1" ht="26.25" customHeight="1" x14ac:dyDescent="0.25">
      <c r="A25" s="169"/>
      <c r="B25" s="166"/>
      <c r="C25" s="945"/>
      <c r="D25" s="945"/>
      <c r="E25" s="919"/>
      <c r="F25" s="919"/>
      <c r="G25" s="167">
        <f>G24-E25</f>
        <v>239</v>
      </c>
      <c r="H25" s="712"/>
      <c r="I25" s="712"/>
      <c r="J25" s="712"/>
      <c r="K25" s="712"/>
      <c r="L25" s="712"/>
      <c r="M25" s="712"/>
      <c r="N25" s="168"/>
    </row>
    <row r="26" spans="1:14" s="23" customFormat="1" ht="26.25" customHeight="1" thickBot="1" x14ac:dyDescent="0.3">
      <c r="A26" s="914" t="s">
        <v>36</v>
      </c>
      <c r="B26" s="915"/>
      <c r="C26" s="915"/>
      <c r="D26" s="915"/>
      <c r="E26" s="916">
        <f>SUM(E21:F25)</f>
        <v>160</v>
      </c>
      <c r="F26" s="917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44"/>
      <c r="F27" s="844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Khim Kemara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6">
    <mergeCell ref="A1:XFD7"/>
    <mergeCell ref="A8:N8"/>
    <mergeCell ref="K9:L9"/>
    <mergeCell ref="B10:B15"/>
    <mergeCell ref="C10:C15"/>
    <mergeCell ref="K10:L10"/>
    <mergeCell ref="K11:L11"/>
    <mergeCell ref="K12:L12"/>
    <mergeCell ref="K15:L15"/>
    <mergeCell ref="O10:P10"/>
    <mergeCell ref="C21:D21"/>
    <mergeCell ref="E21:F21"/>
    <mergeCell ref="A16:D16"/>
    <mergeCell ref="K16:L16"/>
    <mergeCell ref="A17:F17"/>
    <mergeCell ref="K17:L17"/>
    <mergeCell ref="A18:G18"/>
    <mergeCell ref="I18:K18"/>
    <mergeCell ref="L18:N18"/>
    <mergeCell ref="C19:D19"/>
    <mergeCell ref="E19:F19"/>
    <mergeCell ref="K19:L19"/>
    <mergeCell ref="M19:N19"/>
    <mergeCell ref="A20:F20"/>
    <mergeCell ref="K33:N33"/>
    <mergeCell ref="C22:D22"/>
    <mergeCell ref="E22:F22"/>
    <mergeCell ref="C23:D23"/>
    <mergeCell ref="E23:F23"/>
    <mergeCell ref="C24:D24"/>
    <mergeCell ref="E24:F24"/>
    <mergeCell ref="C25:D25"/>
    <mergeCell ref="E25:F25"/>
    <mergeCell ref="A26:D26"/>
    <mergeCell ref="E26:F26"/>
    <mergeCell ref="E27:F27"/>
  </mergeCells>
  <printOptions horizontalCentered="1"/>
  <pageMargins left="0.25" right="0.25" top="0.5" bottom="0.25" header="0.5" footer="0.5"/>
  <pageSetup scale="70" orientation="portrait" verticalDpi="300" r:id="rId1"/>
  <headerFooter alignWithMargins="0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"/>
  <sheetViews>
    <sheetView zoomScale="80" workbookViewId="0">
      <pane ySplit="9" topLeftCell="A19" activePane="bottomLeft" state="frozen"/>
      <selection activeCell="G13" sqref="G13"/>
      <selection pane="bottomLeft" activeCell="O22" sqref="O22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31.5703125" style="1" customWidth="1"/>
    <col min="5" max="5" width="8.42578125" style="1" customWidth="1"/>
    <col min="6" max="6" width="10.85546875" style="1" customWidth="1"/>
    <col min="7" max="7" width="17.5703125" style="1" customWidth="1"/>
    <col min="8" max="8" width="8.57031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15" width="9.140625" style="1"/>
    <col min="16" max="16" width="48.5703125" style="1" customWidth="1"/>
    <col min="17" max="17" width="11.42578125" style="1" customWidth="1"/>
    <col min="18" max="18" width="16.7109375" style="1" customWidth="1"/>
    <col min="19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66" customFormat="1" ht="15" x14ac:dyDescent="0.25"/>
    <row r="2" spans="1:18" s="866" customFormat="1" ht="15" x14ac:dyDescent="0.25"/>
    <row r="3" spans="1:18" s="866" customFormat="1" ht="15" x14ac:dyDescent="0.25"/>
    <row r="4" spans="1:18" s="866" customFormat="1" ht="15" x14ac:dyDescent="0.25"/>
    <row r="5" spans="1:18" s="866" customFormat="1" ht="15" x14ac:dyDescent="0.25"/>
    <row r="6" spans="1:18" s="866" customFormat="1" ht="15" x14ac:dyDescent="0.25"/>
    <row r="7" spans="1:18" s="866" customFormat="1" ht="15.75" thickBot="1" x14ac:dyDescent="0.3"/>
    <row r="8" spans="1:18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8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8" s="713" customFormat="1" ht="26.25" customHeight="1" x14ac:dyDescent="0.25">
      <c r="A10" s="91">
        <v>1</v>
      </c>
      <c r="B10" s="890" t="s">
        <v>512</v>
      </c>
      <c r="C10" s="890" t="s">
        <v>31</v>
      </c>
      <c r="D10" s="549" t="s">
        <v>513</v>
      </c>
      <c r="E10" s="716">
        <f>6+12+10.5+7.5</f>
        <v>36</v>
      </c>
      <c r="F10" s="55">
        <v>7</v>
      </c>
      <c r="G10" s="56">
        <f>E10*F10</f>
        <v>252</v>
      </c>
      <c r="H10" s="716" t="s">
        <v>98</v>
      </c>
      <c r="I10" s="716">
        <v>3</v>
      </c>
      <c r="J10" s="716">
        <v>10</v>
      </c>
      <c r="K10" s="948" t="s">
        <v>42</v>
      </c>
      <c r="L10" s="949"/>
      <c r="M10" s="714">
        <v>41701</v>
      </c>
      <c r="N10" s="715"/>
      <c r="Q10" s="432"/>
      <c r="R10" s="582"/>
    </row>
    <row r="11" spans="1:18" s="713" customFormat="1" ht="26.25" customHeight="1" x14ac:dyDescent="0.25">
      <c r="A11" s="93"/>
      <c r="B11" s="891"/>
      <c r="C11" s="891"/>
      <c r="D11" s="549"/>
      <c r="E11" s="80"/>
      <c r="F11" s="55"/>
      <c r="G11" s="56">
        <f t="shared" ref="G11:G14" si="0">E11*F11</f>
        <v>0</v>
      </c>
      <c r="H11" s="80"/>
      <c r="I11" s="80"/>
      <c r="J11" s="80"/>
      <c r="K11" s="948"/>
      <c r="L11" s="949"/>
      <c r="M11" s="714"/>
      <c r="N11" s="84"/>
    </row>
    <row r="12" spans="1:18" s="713" customFormat="1" ht="26.25" customHeight="1" x14ac:dyDescent="0.25">
      <c r="A12" s="93"/>
      <c r="B12" s="891"/>
      <c r="C12" s="891"/>
      <c r="D12" s="549"/>
      <c r="E12" s="80"/>
      <c r="F12" s="55"/>
      <c r="G12" s="56">
        <f t="shared" si="0"/>
        <v>0</v>
      </c>
      <c r="H12" s="80"/>
      <c r="I12" s="80"/>
      <c r="J12" s="80"/>
      <c r="K12" s="876"/>
      <c r="L12" s="877"/>
      <c r="M12" s="714"/>
      <c r="N12" s="84"/>
    </row>
    <row r="13" spans="1:18" s="713" customFormat="1" ht="26.25" customHeight="1" x14ac:dyDescent="0.25">
      <c r="A13" s="93"/>
      <c r="B13" s="891"/>
      <c r="C13" s="891"/>
      <c r="D13" s="77"/>
      <c r="E13" s="80"/>
      <c r="F13" s="55"/>
      <c r="G13" s="56">
        <f t="shared" si="0"/>
        <v>0</v>
      </c>
      <c r="H13" s="80"/>
      <c r="I13" s="80"/>
      <c r="J13" s="80"/>
      <c r="K13" s="181"/>
      <c r="L13" s="182"/>
      <c r="M13" s="94"/>
      <c r="N13" s="84"/>
    </row>
    <row r="14" spans="1:18" s="713" customFormat="1" ht="26.25" customHeight="1" x14ac:dyDescent="0.25">
      <c r="A14" s="93"/>
      <c r="B14" s="891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18" s="713" customFormat="1" ht="26.25" customHeight="1" x14ac:dyDescent="0.25">
      <c r="A15" s="93"/>
      <c r="B15" s="891"/>
      <c r="C15" s="891"/>
      <c r="D15" s="77"/>
      <c r="E15" s="80"/>
      <c r="F15" s="55"/>
      <c r="G15" s="56">
        <f>E15*F15</f>
        <v>0</v>
      </c>
      <c r="H15" s="80"/>
      <c r="I15" s="80"/>
      <c r="J15" s="80"/>
      <c r="K15" s="876"/>
      <c r="L15" s="877"/>
      <c r="M15" s="94"/>
      <c r="N15" s="84"/>
    </row>
    <row r="16" spans="1:18" s="713" customFormat="1" ht="26.25" customHeight="1" x14ac:dyDescent="0.25">
      <c r="A16" s="925" t="s">
        <v>11</v>
      </c>
      <c r="B16" s="926"/>
      <c r="C16" s="926"/>
      <c r="D16" s="926"/>
      <c r="E16" s="718">
        <f>SUM(E10:E15)</f>
        <v>36</v>
      </c>
      <c r="F16" s="76"/>
      <c r="G16" s="56"/>
      <c r="H16" s="717"/>
      <c r="I16" s="717"/>
      <c r="J16" s="717"/>
      <c r="K16" s="876"/>
      <c r="L16" s="877"/>
      <c r="M16" s="717"/>
      <c r="N16" s="63"/>
    </row>
    <row r="17" spans="1:14" s="713" customFormat="1" ht="26.25" customHeight="1" x14ac:dyDescent="0.25">
      <c r="A17" s="927" t="s">
        <v>24</v>
      </c>
      <c r="B17" s="928"/>
      <c r="C17" s="928"/>
      <c r="D17" s="928"/>
      <c r="E17" s="928"/>
      <c r="F17" s="928"/>
      <c r="G17" s="64">
        <f>SUM(G10:G15)</f>
        <v>252</v>
      </c>
      <c r="H17" s="719"/>
      <c r="I17" s="719"/>
      <c r="J17" s="719"/>
      <c r="K17" s="859"/>
      <c r="L17" s="860"/>
      <c r="M17" s="719"/>
      <c r="N17" s="66"/>
    </row>
    <row r="18" spans="1:14" s="48" customFormat="1" ht="26.25" customHeight="1" x14ac:dyDescent="0.25">
      <c r="A18" s="929" t="s">
        <v>32</v>
      </c>
      <c r="B18" s="930"/>
      <c r="C18" s="930"/>
      <c r="D18" s="930"/>
      <c r="E18" s="930"/>
      <c r="F18" s="930"/>
      <c r="G18" s="900"/>
      <c r="H18" s="67"/>
      <c r="I18" s="954" t="s">
        <v>415</v>
      </c>
      <c r="J18" s="954"/>
      <c r="K18" s="954"/>
      <c r="L18" s="955"/>
      <c r="M18" s="955"/>
      <c r="N18" s="956"/>
    </row>
    <row r="19" spans="1:14" s="48" customFormat="1" ht="22.5" customHeight="1" thickBot="1" x14ac:dyDescent="0.3">
      <c r="A19" s="72" t="s">
        <v>5</v>
      </c>
      <c r="B19" s="71" t="s">
        <v>33</v>
      </c>
      <c r="C19" s="857" t="s">
        <v>21</v>
      </c>
      <c r="D19" s="858"/>
      <c r="E19" s="857" t="s">
        <v>34</v>
      </c>
      <c r="F19" s="858"/>
      <c r="G19" s="71" t="s">
        <v>0</v>
      </c>
      <c r="H19" s="71" t="s">
        <v>25</v>
      </c>
      <c r="I19" s="71" t="s">
        <v>26</v>
      </c>
      <c r="J19" s="71" t="s">
        <v>27</v>
      </c>
      <c r="K19" s="863" t="s">
        <v>28</v>
      </c>
      <c r="L19" s="857"/>
      <c r="M19" s="1064"/>
      <c r="N19" s="902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252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/>
      <c r="B21" s="11"/>
      <c r="C21" s="1040"/>
      <c r="D21" s="1041"/>
      <c r="E21" s="918"/>
      <c r="F21" s="918"/>
      <c r="G21" s="167">
        <f>G20-E21</f>
        <v>252</v>
      </c>
      <c r="H21" s="712"/>
      <c r="I21" s="712"/>
      <c r="J21" s="712"/>
      <c r="K21" s="712"/>
      <c r="L21" s="712"/>
      <c r="M21" s="712"/>
      <c r="N21" s="168"/>
    </row>
    <row r="22" spans="1:14" s="3" customFormat="1" ht="26.25" customHeight="1" x14ac:dyDescent="0.25">
      <c r="A22" s="165"/>
      <c r="B22" s="11"/>
      <c r="C22" s="924"/>
      <c r="D22" s="924"/>
      <c r="E22" s="918"/>
      <c r="F22" s="918"/>
      <c r="G22" s="167">
        <f>G21-E22</f>
        <v>252</v>
      </c>
      <c r="H22" s="712"/>
      <c r="I22" s="712"/>
      <c r="J22" s="712"/>
      <c r="K22" s="712"/>
      <c r="L22" s="712"/>
      <c r="M22" s="712"/>
      <c r="N22" s="168"/>
    </row>
    <row r="23" spans="1:14" s="3" customFormat="1" ht="26.25" customHeight="1" x14ac:dyDescent="0.25">
      <c r="A23" s="170"/>
      <c r="B23" s="166"/>
      <c r="C23" s="924"/>
      <c r="D23" s="924"/>
      <c r="E23" s="918"/>
      <c r="F23" s="918"/>
      <c r="G23" s="167">
        <f t="shared" ref="G23:G24" si="1">G22-E23</f>
        <v>252</v>
      </c>
      <c r="H23" s="712"/>
      <c r="I23" s="712"/>
      <c r="J23" s="712"/>
      <c r="K23" s="712"/>
      <c r="L23" s="712"/>
      <c r="M23" s="712"/>
      <c r="N23" s="168"/>
    </row>
    <row r="24" spans="1:14" s="3" customFormat="1" ht="26.25" customHeight="1" x14ac:dyDescent="0.25">
      <c r="A24" s="170"/>
      <c r="B24" s="166"/>
      <c r="C24" s="924"/>
      <c r="D24" s="924"/>
      <c r="E24" s="918"/>
      <c r="F24" s="918"/>
      <c r="G24" s="167">
        <f t="shared" si="1"/>
        <v>252</v>
      </c>
      <c r="H24" s="712"/>
      <c r="I24" s="712"/>
      <c r="J24" s="712"/>
      <c r="K24" s="712"/>
      <c r="L24" s="712"/>
      <c r="M24" s="712"/>
      <c r="N24" s="168"/>
    </row>
    <row r="25" spans="1:14" s="3" customFormat="1" ht="26.25" customHeight="1" x14ac:dyDescent="0.25">
      <c r="A25" s="169"/>
      <c r="B25" s="166"/>
      <c r="C25" s="945"/>
      <c r="D25" s="945"/>
      <c r="E25" s="919"/>
      <c r="F25" s="919"/>
      <c r="G25" s="167">
        <f>G24-E25</f>
        <v>252</v>
      </c>
      <c r="H25" s="712"/>
      <c r="I25" s="712"/>
      <c r="J25" s="712"/>
      <c r="K25" s="712"/>
      <c r="L25" s="712"/>
      <c r="M25" s="712"/>
      <c r="N25" s="168"/>
    </row>
    <row r="26" spans="1:14" s="23" customFormat="1" ht="26.25" customHeight="1" thickBot="1" x14ac:dyDescent="0.3">
      <c r="A26" s="914" t="s">
        <v>36</v>
      </c>
      <c r="B26" s="915"/>
      <c r="C26" s="915"/>
      <c r="D26" s="915"/>
      <c r="E26" s="916">
        <f>SUM(E21:F25)</f>
        <v>0</v>
      </c>
      <c r="F26" s="917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44"/>
      <c r="F27" s="844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Yuth Kongyu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5">
    <mergeCell ref="A1:XFD7"/>
    <mergeCell ref="A8:N8"/>
    <mergeCell ref="K9:L9"/>
    <mergeCell ref="B10:B15"/>
    <mergeCell ref="C10:C15"/>
    <mergeCell ref="K10:L10"/>
    <mergeCell ref="K11:L11"/>
    <mergeCell ref="K12:L12"/>
    <mergeCell ref="K15:L15"/>
    <mergeCell ref="C21:D21"/>
    <mergeCell ref="E21:F21"/>
    <mergeCell ref="A16:D16"/>
    <mergeCell ref="K16:L16"/>
    <mergeCell ref="A17:F17"/>
    <mergeCell ref="K17:L17"/>
    <mergeCell ref="A18:G18"/>
    <mergeCell ref="I18:K18"/>
    <mergeCell ref="L18:N18"/>
    <mergeCell ref="C19:D19"/>
    <mergeCell ref="E19:F19"/>
    <mergeCell ref="K19:L19"/>
    <mergeCell ref="M19:N19"/>
    <mergeCell ref="A20:F20"/>
    <mergeCell ref="K33:N33"/>
    <mergeCell ref="C22:D22"/>
    <mergeCell ref="E22:F22"/>
    <mergeCell ref="C23:D23"/>
    <mergeCell ref="E23:F23"/>
    <mergeCell ref="C24:D24"/>
    <mergeCell ref="E24:F24"/>
    <mergeCell ref="C25:D25"/>
    <mergeCell ref="E25:F25"/>
    <mergeCell ref="A26:D26"/>
    <mergeCell ref="E26:F26"/>
    <mergeCell ref="E27:F27"/>
  </mergeCells>
  <printOptions horizontalCentered="1"/>
  <pageMargins left="0.25" right="0.25" top="0.5" bottom="0.25" header="0.5" footer="0.5"/>
  <pageSetup scale="70" orientation="portrait" verticalDpi="300" r:id="rId1"/>
  <headerFooter alignWithMargins="0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"/>
  <sheetViews>
    <sheetView zoomScale="80" workbookViewId="0">
      <pane ySplit="9" topLeftCell="A22" activePane="bottomLeft" state="frozen"/>
      <selection activeCell="G13" sqref="G13"/>
      <selection pane="bottomLeft" activeCell="E11" sqref="E11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31.5703125" style="1" customWidth="1"/>
    <col min="5" max="5" width="8.42578125" style="1" customWidth="1"/>
    <col min="6" max="6" width="10.85546875" style="1" customWidth="1"/>
    <col min="7" max="7" width="17.5703125" style="1" customWidth="1"/>
    <col min="8" max="8" width="8.57031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15" width="9.140625" style="1"/>
    <col min="16" max="16" width="48.5703125" style="1" customWidth="1"/>
    <col min="17" max="17" width="11.42578125" style="1" customWidth="1"/>
    <col min="18" max="18" width="16.7109375" style="1" customWidth="1"/>
    <col min="19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66" customFormat="1" ht="15" x14ac:dyDescent="0.25"/>
    <row r="2" spans="1:18" s="866" customFormat="1" ht="15" x14ac:dyDescent="0.25"/>
    <row r="3" spans="1:18" s="866" customFormat="1" ht="15" x14ac:dyDescent="0.25"/>
    <row r="4" spans="1:18" s="866" customFormat="1" ht="15" x14ac:dyDescent="0.25"/>
    <row r="5" spans="1:18" s="866" customFormat="1" ht="15" x14ac:dyDescent="0.25"/>
    <row r="6" spans="1:18" s="866" customFormat="1" ht="15" x14ac:dyDescent="0.25"/>
    <row r="7" spans="1:18" s="866" customFormat="1" ht="15.75" thickBot="1" x14ac:dyDescent="0.3"/>
    <row r="8" spans="1:18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8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8" s="731" customFormat="1" ht="26.25" customHeight="1" x14ac:dyDescent="0.25">
      <c r="A10" s="91">
        <v>1</v>
      </c>
      <c r="B10" s="890" t="s">
        <v>517</v>
      </c>
      <c r="C10" s="890" t="s">
        <v>31</v>
      </c>
      <c r="D10" s="549" t="s">
        <v>518</v>
      </c>
      <c r="E10" s="735">
        <f>15+6+6</f>
        <v>27</v>
      </c>
      <c r="F10" s="55">
        <v>8</v>
      </c>
      <c r="G10" s="56">
        <f>E10*F10</f>
        <v>216</v>
      </c>
      <c r="H10" s="735" t="s">
        <v>53</v>
      </c>
      <c r="I10" s="735">
        <v>2</v>
      </c>
      <c r="J10" s="735">
        <v>11</v>
      </c>
      <c r="K10" s="948" t="s">
        <v>74</v>
      </c>
      <c r="L10" s="949"/>
      <c r="M10" s="733">
        <v>41688</v>
      </c>
      <c r="N10" s="734"/>
      <c r="Q10" s="432"/>
      <c r="R10" s="582"/>
    </row>
    <row r="11" spans="1:18" s="731" customFormat="1" ht="26.25" customHeight="1" x14ac:dyDescent="0.25">
      <c r="A11" s="93"/>
      <c r="B11" s="891"/>
      <c r="C11" s="891"/>
      <c r="D11" s="549"/>
      <c r="E11" s="80"/>
      <c r="F11" s="55"/>
      <c r="G11" s="56">
        <f t="shared" ref="G11:G14" si="0">E11*F11</f>
        <v>0</v>
      </c>
      <c r="H11" s="80"/>
      <c r="I11" s="80"/>
      <c r="J11" s="80"/>
      <c r="K11" s="948"/>
      <c r="L11" s="949"/>
      <c r="M11" s="733"/>
      <c r="N11" s="84"/>
    </row>
    <row r="12" spans="1:18" s="731" customFormat="1" ht="26.25" customHeight="1" x14ac:dyDescent="0.25">
      <c r="A12" s="93"/>
      <c r="B12" s="891"/>
      <c r="C12" s="891"/>
      <c r="D12" s="549"/>
      <c r="E12" s="80"/>
      <c r="F12" s="55"/>
      <c r="G12" s="56">
        <f t="shared" si="0"/>
        <v>0</v>
      </c>
      <c r="H12" s="80"/>
      <c r="I12" s="80"/>
      <c r="J12" s="80"/>
      <c r="K12" s="876"/>
      <c r="L12" s="877"/>
      <c r="M12" s="733"/>
      <c r="N12" s="84"/>
    </row>
    <row r="13" spans="1:18" s="731" customFormat="1" ht="26.25" customHeight="1" x14ac:dyDescent="0.25">
      <c r="A13" s="93"/>
      <c r="B13" s="891"/>
      <c r="C13" s="891"/>
      <c r="D13" s="77"/>
      <c r="E13" s="80"/>
      <c r="F13" s="55"/>
      <c r="G13" s="56">
        <f t="shared" si="0"/>
        <v>0</v>
      </c>
      <c r="H13" s="80"/>
      <c r="I13" s="80"/>
      <c r="J13" s="80"/>
      <c r="K13" s="181"/>
      <c r="L13" s="182"/>
      <c r="M13" s="94"/>
      <c r="N13" s="84"/>
    </row>
    <row r="14" spans="1:18" s="731" customFormat="1" ht="26.25" customHeight="1" x14ac:dyDescent="0.25">
      <c r="A14" s="93"/>
      <c r="B14" s="891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18" s="731" customFormat="1" ht="26.25" customHeight="1" x14ac:dyDescent="0.25">
      <c r="A15" s="93"/>
      <c r="B15" s="891"/>
      <c r="C15" s="891"/>
      <c r="D15" s="77"/>
      <c r="E15" s="80"/>
      <c r="F15" s="55"/>
      <c r="G15" s="56">
        <f>E15*F15</f>
        <v>0</v>
      </c>
      <c r="H15" s="80"/>
      <c r="I15" s="80"/>
      <c r="J15" s="80"/>
      <c r="K15" s="876"/>
      <c r="L15" s="877"/>
      <c r="M15" s="94"/>
      <c r="N15" s="84"/>
    </row>
    <row r="16" spans="1:18" s="731" customFormat="1" ht="26.25" customHeight="1" x14ac:dyDescent="0.25">
      <c r="A16" s="925" t="s">
        <v>11</v>
      </c>
      <c r="B16" s="926"/>
      <c r="C16" s="926"/>
      <c r="D16" s="926"/>
      <c r="E16" s="737">
        <f>SUM(E10:E15)</f>
        <v>27</v>
      </c>
      <c r="F16" s="76"/>
      <c r="G16" s="56"/>
      <c r="H16" s="736"/>
      <c r="I16" s="736"/>
      <c r="J16" s="736"/>
      <c r="K16" s="876"/>
      <c r="L16" s="877"/>
      <c r="M16" s="736"/>
      <c r="N16" s="63"/>
    </row>
    <row r="17" spans="1:14" s="731" customFormat="1" ht="26.25" customHeight="1" x14ac:dyDescent="0.25">
      <c r="A17" s="927" t="s">
        <v>24</v>
      </c>
      <c r="B17" s="928"/>
      <c r="C17" s="928"/>
      <c r="D17" s="928"/>
      <c r="E17" s="928"/>
      <c r="F17" s="928"/>
      <c r="G17" s="64">
        <f>SUM(G10:G15)</f>
        <v>216</v>
      </c>
      <c r="H17" s="738"/>
      <c r="I17" s="738"/>
      <c r="J17" s="738"/>
      <c r="K17" s="859"/>
      <c r="L17" s="860"/>
      <c r="M17" s="738"/>
      <c r="N17" s="66"/>
    </row>
    <row r="18" spans="1:14" s="48" customFormat="1" ht="26.25" customHeight="1" x14ac:dyDescent="0.25">
      <c r="A18" s="929" t="s">
        <v>32</v>
      </c>
      <c r="B18" s="930"/>
      <c r="C18" s="930"/>
      <c r="D18" s="930"/>
      <c r="E18" s="930"/>
      <c r="F18" s="930"/>
      <c r="G18" s="900"/>
      <c r="H18" s="67"/>
      <c r="I18" s="954" t="s">
        <v>415</v>
      </c>
      <c r="J18" s="954"/>
      <c r="K18" s="954"/>
      <c r="L18" s="955"/>
      <c r="M18" s="955"/>
      <c r="N18" s="956"/>
    </row>
    <row r="19" spans="1:14" s="48" customFormat="1" ht="22.5" customHeight="1" thickBot="1" x14ac:dyDescent="0.3">
      <c r="A19" s="72" t="s">
        <v>5</v>
      </c>
      <c r="B19" s="71" t="s">
        <v>33</v>
      </c>
      <c r="C19" s="857" t="s">
        <v>21</v>
      </c>
      <c r="D19" s="858"/>
      <c r="E19" s="857" t="s">
        <v>34</v>
      </c>
      <c r="F19" s="858"/>
      <c r="G19" s="71" t="s">
        <v>0</v>
      </c>
      <c r="H19" s="71" t="s">
        <v>25</v>
      </c>
      <c r="I19" s="71" t="s">
        <v>26</v>
      </c>
      <c r="J19" s="71" t="s">
        <v>27</v>
      </c>
      <c r="K19" s="863" t="s">
        <v>28</v>
      </c>
      <c r="L19" s="857"/>
      <c r="M19" s="1064"/>
      <c r="N19" s="902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216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 t="s">
        <v>537</v>
      </c>
      <c r="B21" s="11">
        <v>41739</v>
      </c>
      <c r="C21" s="1040" t="s">
        <v>518</v>
      </c>
      <c r="D21" s="1041"/>
      <c r="E21" s="918">
        <v>60</v>
      </c>
      <c r="F21" s="918"/>
      <c r="G21" s="167">
        <f>G20-E21</f>
        <v>156</v>
      </c>
      <c r="H21" s="732"/>
      <c r="I21" s="732"/>
      <c r="J21" s="732"/>
      <c r="K21" s="732"/>
      <c r="L21" s="732"/>
      <c r="M21" s="732"/>
      <c r="N21" s="168"/>
    </row>
    <row r="22" spans="1:14" s="3" customFormat="1" ht="26.25" customHeight="1" x14ac:dyDescent="0.25">
      <c r="A22" s="165" t="s">
        <v>563</v>
      </c>
      <c r="B22" s="11">
        <v>41768</v>
      </c>
      <c r="C22" s="1040" t="s">
        <v>518</v>
      </c>
      <c r="D22" s="1041"/>
      <c r="E22" s="918">
        <v>30</v>
      </c>
      <c r="F22" s="918"/>
      <c r="G22" s="167">
        <f>G21-E22</f>
        <v>126</v>
      </c>
      <c r="H22" s="732"/>
      <c r="I22" s="732"/>
      <c r="J22" s="732"/>
      <c r="K22" s="732"/>
      <c r="L22" s="732"/>
      <c r="M22" s="732"/>
      <c r="N22" s="168"/>
    </row>
    <row r="23" spans="1:14" s="3" customFormat="1" ht="26.25" customHeight="1" x14ac:dyDescent="0.25">
      <c r="A23" s="170" t="s">
        <v>592</v>
      </c>
      <c r="B23" s="166">
        <v>41793</v>
      </c>
      <c r="C23" s="1040" t="s">
        <v>518</v>
      </c>
      <c r="D23" s="1041"/>
      <c r="E23" s="918">
        <v>40</v>
      </c>
      <c r="F23" s="918"/>
      <c r="G23" s="167">
        <f t="shared" ref="G23:G24" si="1">G22-E23</f>
        <v>86</v>
      </c>
      <c r="H23" s="732"/>
      <c r="I23" s="732"/>
      <c r="J23" s="732"/>
      <c r="K23" s="732"/>
      <c r="L23" s="732"/>
      <c r="M23" s="732"/>
      <c r="N23" s="168"/>
    </row>
    <row r="24" spans="1:14" s="3" customFormat="1" ht="26.25" customHeight="1" x14ac:dyDescent="0.25">
      <c r="A24" s="170"/>
      <c r="B24" s="166"/>
      <c r="C24" s="924"/>
      <c r="D24" s="924"/>
      <c r="E24" s="918"/>
      <c r="F24" s="918"/>
      <c r="G24" s="167">
        <f t="shared" si="1"/>
        <v>86</v>
      </c>
      <c r="H24" s="732"/>
      <c r="I24" s="732"/>
      <c r="J24" s="732"/>
      <c r="K24" s="732"/>
      <c r="L24" s="732"/>
      <c r="M24" s="732"/>
      <c r="N24" s="168"/>
    </row>
    <row r="25" spans="1:14" s="3" customFormat="1" ht="26.25" customHeight="1" x14ac:dyDescent="0.25">
      <c r="A25" s="169"/>
      <c r="B25" s="166"/>
      <c r="C25" s="945"/>
      <c r="D25" s="945"/>
      <c r="E25" s="919"/>
      <c r="F25" s="919"/>
      <c r="G25" s="167">
        <f>G24-E25</f>
        <v>86</v>
      </c>
      <c r="H25" s="732"/>
      <c r="I25" s="732"/>
      <c r="J25" s="732"/>
      <c r="K25" s="732"/>
      <c r="L25" s="732"/>
      <c r="M25" s="732"/>
      <c r="N25" s="168"/>
    </row>
    <row r="26" spans="1:14" s="23" customFormat="1" ht="26.25" customHeight="1" thickBot="1" x14ac:dyDescent="0.3">
      <c r="A26" s="914" t="s">
        <v>36</v>
      </c>
      <c r="B26" s="915"/>
      <c r="C26" s="915"/>
      <c r="D26" s="915"/>
      <c r="E26" s="916">
        <f>SUM(E21:F25)</f>
        <v>130</v>
      </c>
      <c r="F26" s="917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44"/>
      <c r="F27" s="844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Ngoun Sopeap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5">
    <mergeCell ref="K33:N33"/>
    <mergeCell ref="C22:D22"/>
    <mergeCell ref="E22:F22"/>
    <mergeCell ref="C23:D23"/>
    <mergeCell ref="E23:F23"/>
    <mergeCell ref="C24:D24"/>
    <mergeCell ref="E24:F24"/>
    <mergeCell ref="C25:D25"/>
    <mergeCell ref="E25:F25"/>
    <mergeCell ref="A26:D26"/>
    <mergeCell ref="E26:F26"/>
    <mergeCell ref="E27:F27"/>
    <mergeCell ref="C21:D21"/>
    <mergeCell ref="E21:F21"/>
    <mergeCell ref="A16:D16"/>
    <mergeCell ref="K16:L16"/>
    <mergeCell ref="A17:F17"/>
    <mergeCell ref="K17:L17"/>
    <mergeCell ref="A18:G18"/>
    <mergeCell ref="I18:K18"/>
    <mergeCell ref="L18:N18"/>
    <mergeCell ref="C19:D19"/>
    <mergeCell ref="E19:F19"/>
    <mergeCell ref="K19:L19"/>
    <mergeCell ref="M19:N19"/>
    <mergeCell ref="A20:F20"/>
    <mergeCell ref="A1:XFD7"/>
    <mergeCell ref="A8:N8"/>
    <mergeCell ref="K9:L9"/>
    <mergeCell ref="B10:B15"/>
    <mergeCell ref="C10:C15"/>
    <mergeCell ref="K10:L10"/>
    <mergeCell ref="K11:L11"/>
    <mergeCell ref="K12:L12"/>
    <mergeCell ref="K15:L15"/>
  </mergeCells>
  <printOptions horizontalCentered="1"/>
  <pageMargins left="0.25" right="0.25" top="0.5" bottom="0.25" header="0.5" footer="0.5"/>
  <pageSetup scale="70" orientation="portrait" verticalDpi="300" r:id="rId1"/>
  <headerFooter alignWithMargins="0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"/>
  <sheetViews>
    <sheetView zoomScale="80" workbookViewId="0">
      <pane ySplit="9" topLeftCell="A10" activePane="bottomLeft" state="frozen"/>
      <selection activeCell="G13" sqref="G13"/>
      <selection pane="bottomLeft" activeCell="P19" sqref="P19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31.5703125" style="1" customWidth="1"/>
    <col min="5" max="5" width="8.42578125" style="1" customWidth="1"/>
    <col min="6" max="6" width="10.85546875" style="1" customWidth="1"/>
    <col min="7" max="7" width="17.5703125" style="1" customWidth="1"/>
    <col min="8" max="8" width="8.5703125" style="1" customWidth="1"/>
    <col min="9" max="9" width="3.85546875" style="1" customWidth="1"/>
    <col min="10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15" width="9.140625" style="1"/>
    <col min="16" max="16" width="48.5703125" style="1" customWidth="1"/>
    <col min="17" max="17" width="11.42578125" style="1" customWidth="1"/>
    <col min="18" max="18" width="16.7109375" style="1" customWidth="1"/>
    <col min="19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66" customFormat="1" ht="15" x14ac:dyDescent="0.25"/>
    <row r="2" spans="1:18" s="866" customFormat="1" ht="15" x14ac:dyDescent="0.25"/>
    <row r="3" spans="1:18" s="866" customFormat="1" ht="15" x14ac:dyDescent="0.25"/>
    <row r="4" spans="1:18" s="866" customFormat="1" ht="15" x14ac:dyDescent="0.25"/>
    <row r="5" spans="1:18" s="866" customFormat="1" ht="15" x14ac:dyDescent="0.25"/>
    <row r="6" spans="1:18" s="866" customFormat="1" ht="15" x14ac:dyDescent="0.25"/>
    <row r="7" spans="1:18" s="866" customFormat="1" ht="15.75" thickBot="1" x14ac:dyDescent="0.3"/>
    <row r="8" spans="1:18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8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8" s="731" customFormat="1" ht="26.25" customHeight="1" x14ac:dyDescent="0.25">
      <c r="A10" s="91">
        <v>1</v>
      </c>
      <c r="B10" s="890" t="s">
        <v>519</v>
      </c>
      <c r="C10" s="890" t="s">
        <v>31</v>
      </c>
      <c r="D10" s="549" t="s">
        <v>520</v>
      </c>
      <c r="E10" s="735">
        <f>15+3+12</f>
        <v>30</v>
      </c>
      <c r="F10" s="55">
        <v>8</v>
      </c>
      <c r="G10" s="56">
        <f>E10*F10</f>
        <v>240</v>
      </c>
      <c r="H10" s="735" t="s">
        <v>53</v>
      </c>
      <c r="I10" s="735">
        <v>2</v>
      </c>
      <c r="J10" s="735">
        <v>11</v>
      </c>
      <c r="K10" s="948" t="s">
        <v>74</v>
      </c>
      <c r="L10" s="949"/>
      <c r="M10" s="733">
        <v>41697</v>
      </c>
      <c r="N10" s="734"/>
      <c r="Q10" s="432"/>
      <c r="R10" s="582"/>
    </row>
    <row r="11" spans="1:18" s="731" customFormat="1" ht="26.25" customHeight="1" x14ac:dyDescent="0.25">
      <c r="A11" s="93"/>
      <c r="B11" s="891"/>
      <c r="C11" s="891"/>
      <c r="D11" s="549"/>
      <c r="E11" s="80"/>
      <c r="F11" s="55"/>
      <c r="G11" s="56">
        <f t="shared" ref="G11:G14" si="0">E11*F11</f>
        <v>0</v>
      </c>
      <c r="H11" s="80"/>
      <c r="I11" s="80"/>
      <c r="J11" s="80"/>
      <c r="K11" s="948"/>
      <c r="L11" s="949"/>
      <c r="M11" s="733"/>
      <c r="N11" s="84"/>
    </row>
    <row r="12" spans="1:18" s="731" customFormat="1" ht="26.25" customHeight="1" x14ac:dyDescent="0.25">
      <c r="A12" s="93"/>
      <c r="B12" s="891"/>
      <c r="C12" s="891"/>
      <c r="D12" s="549"/>
      <c r="E12" s="80"/>
      <c r="F12" s="55"/>
      <c r="G12" s="56">
        <f t="shared" si="0"/>
        <v>0</v>
      </c>
      <c r="H12" s="80"/>
      <c r="I12" s="80"/>
      <c r="J12" s="80"/>
      <c r="K12" s="876"/>
      <c r="L12" s="877"/>
      <c r="M12" s="733"/>
      <c r="N12" s="84"/>
    </row>
    <row r="13" spans="1:18" s="731" customFormat="1" ht="26.25" customHeight="1" x14ac:dyDescent="0.25">
      <c r="A13" s="93"/>
      <c r="B13" s="891"/>
      <c r="C13" s="891"/>
      <c r="D13" s="77"/>
      <c r="E13" s="80"/>
      <c r="F13" s="55"/>
      <c r="G13" s="56">
        <f t="shared" si="0"/>
        <v>0</v>
      </c>
      <c r="H13" s="80"/>
      <c r="I13" s="80"/>
      <c r="J13" s="80"/>
      <c r="K13" s="181"/>
      <c r="L13" s="182"/>
      <c r="M13" s="94"/>
      <c r="N13" s="84"/>
    </row>
    <row r="14" spans="1:18" s="731" customFormat="1" ht="26.25" customHeight="1" x14ac:dyDescent="0.25">
      <c r="A14" s="93"/>
      <c r="B14" s="891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18" s="731" customFormat="1" ht="26.25" customHeight="1" x14ac:dyDescent="0.25">
      <c r="A15" s="93"/>
      <c r="B15" s="891"/>
      <c r="C15" s="891"/>
      <c r="D15" s="77"/>
      <c r="E15" s="80"/>
      <c r="F15" s="55"/>
      <c r="G15" s="56">
        <f>E15*F15</f>
        <v>0</v>
      </c>
      <c r="H15" s="80"/>
      <c r="I15" s="80"/>
      <c r="J15" s="80"/>
      <c r="K15" s="876"/>
      <c r="L15" s="877"/>
      <c r="M15" s="94"/>
      <c r="N15" s="84"/>
    </row>
    <row r="16" spans="1:18" s="731" customFormat="1" ht="26.25" customHeight="1" x14ac:dyDescent="0.25">
      <c r="A16" s="925" t="s">
        <v>11</v>
      </c>
      <c r="B16" s="926"/>
      <c r="C16" s="926"/>
      <c r="D16" s="926"/>
      <c r="E16" s="737">
        <f>SUM(E10:E15)</f>
        <v>30</v>
      </c>
      <c r="F16" s="76"/>
      <c r="G16" s="56"/>
      <c r="H16" s="736"/>
      <c r="I16" s="736"/>
      <c r="J16" s="736"/>
      <c r="K16" s="876"/>
      <c r="L16" s="877"/>
      <c r="M16" s="736"/>
      <c r="N16" s="63"/>
    </row>
    <row r="17" spans="1:14" s="731" customFormat="1" ht="26.25" customHeight="1" x14ac:dyDescent="0.25">
      <c r="A17" s="927" t="s">
        <v>24</v>
      </c>
      <c r="B17" s="928"/>
      <c r="C17" s="928"/>
      <c r="D17" s="928"/>
      <c r="E17" s="928"/>
      <c r="F17" s="928"/>
      <c r="G17" s="64">
        <f>SUM(G10:G15)</f>
        <v>240</v>
      </c>
      <c r="H17" s="738"/>
      <c r="I17" s="738"/>
      <c r="J17" s="738"/>
      <c r="K17" s="859"/>
      <c r="L17" s="860"/>
      <c r="M17" s="738"/>
      <c r="N17" s="66"/>
    </row>
    <row r="18" spans="1:14" s="48" customFormat="1" ht="26.25" customHeight="1" x14ac:dyDescent="0.25">
      <c r="A18" s="929" t="s">
        <v>32</v>
      </c>
      <c r="B18" s="930"/>
      <c r="C18" s="930"/>
      <c r="D18" s="930"/>
      <c r="E18" s="930"/>
      <c r="F18" s="930"/>
      <c r="G18" s="900"/>
      <c r="H18" s="67"/>
      <c r="I18" s="954" t="s">
        <v>415</v>
      </c>
      <c r="J18" s="954"/>
      <c r="K18" s="954"/>
      <c r="L18" s="955"/>
      <c r="M18" s="955"/>
      <c r="N18" s="956"/>
    </row>
    <row r="19" spans="1:14" s="48" customFormat="1" ht="22.5" customHeight="1" thickBot="1" x14ac:dyDescent="0.3">
      <c r="A19" s="72" t="s">
        <v>5</v>
      </c>
      <c r="B19" s="71" t="s">
        <v>33</v>
      </c>
      <c r="C19" s="857" t="s">
        <v>21</v>
      </c>
      <c r="D19" s="858"/>
      <c r="E19" s="857" t="s">
        <v>34</v>
      </c>
      <c r="F19" s="858"/>
      <c r="G19" s="71" t="s">
        <v>0</v>
      </c>
      <c r="H19" s="71" t="s">
        <v>25</v>
      </c>
      <c r="I19" s="71" t="s">
        <v>26</v>
      </c>
      <c r="J19" s="71" t="s">
        <v>27</v>
      </c>
      <c r="K19" s="863" t="s">
        <v>28</v>
      </c>
      <c r="L19" s="857"/>
      <c r="M19" s="1064"/>
      <c r="N19" s="902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240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 t="s">
        <v>563</v>
      </c>
      <c r="B21" s="11">
        <v>41768</v>
      </c>
      <c r="C21" s="1040" t="s">
        <v>520</v>
      </c>
      <c r="D21" s="1041"/>
      <c r="E21" s="918">
        <v>70</v>
      </c>
      <c r="F21" s="918"/>
      <c r="G21" s="167">
        <f>G20-E21</f>
        <v>170</v>
      </c>
      <c r="H21" s="732"/>
      <c r="I21" s="732"/>
      <c r="J21" s="732"/>
      <c r="K21" s="732"/>
      <c r="L21" s="732"/>
      <c r="M21" s="732"/>
      <c r="N21" s="168"/>
    </row>
    <row r="22" spans="1:14" s="3" customFormat="1" ht="26.25" customHeight="1" x14ac:dyDescent="0.25">
      <c r="A22" s="165" t="s">
        <v>592</v>
      </c>
      <c r="B22" s="11">
        <v>41793</v>
      </c>
      <c r="C22" s="1040" t="s">
        <v>520</v>
      </c>
      <c r="D22" s="1041"/>
      <c r="E22" s="918">
        <v>40</v>
      </c>
      <c r="F22" s="918"/>
      <c r="G22" s="167">
        <f>G21-E22</f>
        <v>130</v>
      </c>
      <c r="H22" s="732"/>
      <c r="I22" s="732"/>
      <c r="J22" s="732"/>
      <c r="K22" s="732"/>
      <c r="L22" s="732"/>
      <c r="M22" s="732"/>
      <c r="N22" s="168"/>
    </row>
    <row r="23" spans="1:14" s="3" customFormat="1" ht="26.25" customHeight="1" x14ac:dyDescent="0.25">
      <c r="A23" s="170"/>
      <c r="B23" s="166"/>
      <c r="C23" s="924"/>
      <c r="D23" s="924"/>
      <c r="E23" s="918"/>
      <c r="F23" s="918"/>
      <c r="G23" s="167">
        <f t="shared" ref="G23:G24" si="1">G22-E23</f>
        <v>130</v>
      </c>
      <c r="H23" s="732"/>
      <c r="I23" s="732"/>
      <c r="J23" s="732"/>
      <c r="K23" s="732"/>
      <c r="L23" s="732"/>
      <c r="M23" s="732"/>
      <c r="N23" s="168"/>
    </row>
    <row r="24" spans="1:14" s="3" customFormat="1" ht="26.25" customHeight="1" x14ac:dyDescent="0.25">
      <c r="A24" s="170"/>
      <c r="B24" s="166"/>
      <c r="C24" s="924"/>
      <c r="D24" s="924"/>
      <c r="E24" s="918"/>
      <c r="F24" s="918"/>
      <c r="G24" s="167">
        <f t="shared" si="1"/>
        <v>130</v>
      </c>
      <c r="H24" s="732"/>
      <c r="I24" s="732"/>
      <c r="J24" s="732"/>
      <c r="K24" s="732"/>
      <c r="L24" s="732"/>
      <c r="M24" s="732"/>
      <c r="N24" s="168"/>
    </row>
    <row r="25" spans="1:14" s="3" customFormat="1" ht="26.25" customHeight="1" x14ac:dyDescent="0.25">
      <c r="A25" s="169"/>
      <c r="B25" s="166"/>
      <c r="C25" s="945"/>
      <c r="D25" s="945"/>
      <c r="E25" s="919"/>
      <c r="F25" s="919"/>
      <c r="G25" s="167">
        <f>G24-E25</f>
        <v>130</v>
      </c>
      <c r="H25" s="732"/>
      <c r="I25" s="732"/>
      <c r="J25" s="732"/>
      <c r="K25" s="732"/>
      <c r="L25" s="732"/>
      <c r="M25" s="732"/>
      <c r="N25" s="168"/>
    </row>
    <row r="26" spans="1:14" s="23" customFormat="1" ht="26.25" customHeight="1" thickBot="1" x14ac:dyDescent="0.3">
      <c r="A26" s="914" t="s">
        <v>36</v>
      </c>
      <c r="B26" s="915"/>
      <c r="C26" s="915"/>
      <c r="D26" s="915"/>
      <c r="E26" s="916">
        <f>SUM(E21:F25)</f>
        <v>110</v>
      </c>
      <c r="F26" s="917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44"/>
      <c r="F27" s="844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Thath Sovanarith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5">
    <mergeCell ref="K33:N33"/>
    <mergeCell ref="C22:D22"/>
    <mergeCell ref="E22:F22"/>
    <mergeCell ref="C23:D23"/>
    <mergeCell ref="E23:F23"/>
    <mergeCell ref="C24:D24"/>
    <mergeCell ref="E24:F24"/>
    <mergeCell ref="C25:D25"/>
    <mergeCell ref="E25:F25"/>
    <mergeCell ref="A26:D26"/>
    <mergeCell ref="E26:F26"/>
    <mergeCell ref="E27:F27"/>
    <mergeCell ref="C21:D21"/>
    <mergeCell ref="E21:F21"/>
    <mergeCell ref="A16:D16"/>
    <mergeCell ref="K16:L16"/>
    <mergeCell ref="A17:F17"/>
    <mergeCell ref="K17:L17"/>
    <mergeCell ref="A18:G18"/>
    <mergeCell ref="I18:K18"/>
    <mergeCell ref="L18:N18"/>
    <mergeCell ref="C19:D19"/>
    <mergeCell ref="E19:F19"/>
    <mergeCell ref="K19:L19"/>
    <mergeCell ref="M19:N19"/>
    <mergeCell ref="A20:F20"/>
    <mergeCell ref="A1:XFD7"/>
    <mergeCell ref="A8:N8"/>
    <mergeCell ref="K9:L9"/>
    <mergeCell ref="B10:B15"/>
    <mergeCell ref="C10:C15"/>
    <mergeCell ref="K10:L10"/>
    <mergeCell ref="K11:L11"/>
    <mergeCell ref="K12:L12"/>
    <mergeCell ref="K15:L15"/>
  </mergeCells>
  <printOptions horizontalCentered="1"/>
  <pageMargins left="0.25" right="0.25" top="0.5" bottom="0.25" header="0.5" footer="0.5"/>
  <pageSetup scale="70" orientation="portrait" verticalDpi="300" r:id="rId1"/>
  <headerFooter alignWithMargins="0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"/>
  <sheetViews>
    <sheetView zoomScale="80" workbookViewId="0">
      <pane ySplit="9" topLeftCell="A10" activePane="bottomLeft" state="frozen"/>
      <selection activeCell="G13" sqref="G13"/>
      <selection pane="bottomLeft" activeCell="P19" sqref="P19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31.5703125" style="1" customWidth="1"/>
    <col min="5" max="5" width="8.42578125" style="1" customWidth="1"/>
    <col min="6" max="6" width="10.85546875" style="1" customWidth="1"/>
    <col min="7" max="7" width="17.5703125" style="1" customWidth="1"/>
    <col min="8" max="8" width="11" style="1" customWidth="1"/>
    <col min="9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15" width="9.140625" style="1"/>
    <col min="16" max="16" width="48.5703125" style="1" customWidth="1"/>
    <col min="17" max="17" width="11.42578125" style="1" customWidth="1"/>
    <col min="18" max="18" width="16.7109375" style="1" customWidth="1"/>
    <col min="19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66" customFormat="1" ht="15" x14ac:dyDescent="0.25"/>
    <row r="2" spans="1:18" s="866" customFormat="1" ht="15" x14ac:dyDescent="0.25"/>
    <row r="3" spans="1:18" s="866" customFormat="1" ht="15" x14ac:dyDescent="0.25"/>
    <row r="4" spans="1:18" s="866" customFormat="1" ht="15" x14ac:dyDescent="0.25"/>
    <row r="5" spans="1:18" s="866" customFormat="1" ht="15" x14ac:dyDescent="0.25"/>
    <row r="6" spans="1:18" s="866" customFormat="1" ht="15" x14ac:dyDescent="0.25"/>
    <row r="7" spans="1:18" s="866" customFormat="1" ht="15.75" thickBot="1" x14ac:dyDescent="0.3"/>
    <row r="8" spans="1:18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8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8" s="689" customFormat="1" ht="26.25" customHeight="1" x14ac:dyDescent="0.25">
      <c r="A10" s="91">
        <v>1</v>
      </c>
      <c r="B10" s="890" t="s">
        <v>88</v>
      </c>
      <c r="C10" s="890" t="s">
        <v>31</v>
      </c>
      <c r="D10" s="549" t="s">
        <v>491</v>
      </c>
      <c r="E10" s="693">
        <f>10+35</f>
        <v>45</v>
      </c>
      <c r="F10" s="55">
        <v>10</v>
      </c>
      <c r="G10" s="56">
        <f>E10*F10</f>
        <v>450</v>
      </c>
      <c r="H10" s="693" t="s">
        <v>126</v>
      </c>
      <c r="I10" s="693" t="s">
        <v>493</v>
      </c>
      <c r="J10" s="693">
        <v>5</v>
      </c>
      <c r="K10" s="948" t="s">
        <v>492</v>
      </c>
      <c r="L10" s="949"/>
      <c r="M10" s="691">
        <v>41720</v>
      </c>
      <c r="N10" s="692"/>
      <c r="P10" s="689" t="s">
        <v>525</v>
      </c>
      <c r="Q10" s="432"/>
      <c r="R10" s="582"/>
    </row>
    <row r="11" spans="1:18" s="689" customFormat="1" ht="26.25" customHeight="1" x14ac:dyDescent="0.25">
      <c r="A11" s="93"/>
      <c r="B11" s="891"/>
      <c r="C11" s="891"/>
      <c r="D11" s="549"/>
      <c r="E11" s="80"/>
      <c r="F11" s="55"/>
      <c r="G11" s="56">
        <f t="shared" ref="G11:G14" si="0">E11*F11</f>
        <v>0</v>
      </c>
      <c r="H11" s="80"/>
      <c r="I11" s="80"/>
      <c r="J11" s="80"/>
      <c r="K11" s="948"/>
      <c r="L11" s="949"/>
      <c r="M11" s="691"/>
      <c r="N11" s="84"/>
    </row>
    <row r="12" spans="1:18" s="689" customFormat="1" ht="26.25" customHeight="1" x14ac:dyDescent="0.25">
      <c r="A12" s="93"/>
      <c r="B12" s="891"/>
      <c r="C12" s="891"/>
      <c r="D12" s="549"/>
      <c r="E12" s="80"/>
      <c r="F12" s="55"/>
      <c r="G12" s="56">
        <f t="shared" si="0"/>
        <v>0</v>
      </c>
      <c r="H12" s="80"/>
      <c r="I12" s="80"/>
      <c r="J12" s="80"/>
      <c r="K12" s="876"/>
      <c r="L12" s="877"/>
      <c r="M12" s="691"/>
      <c r="N12" s="84"/>
    </row>
    <row r="13" spans="1:18" s="689" customFormat="1" ht="26.25" customHeight="1" x14ac:dyDescent="0.25">
      <c r="A13" s="93"/>
      <c r="B13" s="891"/>
      <c r="C13" s="891"/>
      <c r="D13" s="77"/>
      <c r="E13" s="80"/>
      <c r="F13" s="55"/>
      <c r="G13" s="56">
        <f t="shared" si="0"/>
        <v>0</v>
      </c>
      <c r="H13" s="80"/>
      <c r="I13" s="80"/>
      <c r="J13" s="80"/>
      <c r="K13" s="181"/>
      <c r="L13" s="182"/>
      <c r="M13" s="94"/>
      <c r="N13" s="84"/>
    </row>
    <row r="14" spans="1:18" s="689" customFormat="1" ht="26.25" customHeight="1" x14ac:dyDescent="0.25">
      <c r="A14" s="93"/>
      <c r="B14" s="891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18" s="689" customFormat="1" ht="26.25" customHeight="1" x14ac:dyDescent="0.25">
      <c r="A15" s="93"/>
      <c r="B15" s="891"/>
      <c r="C15" s="891"/>
      <c r="D15" s="77"/>
      <c r="E15" s="80"/>
      <c r="F15" s="55"/>
      <c r="G15" s="56">
        <f>E15*F15</f>
        <v>0</v>
      </c>
      <c r="H15" s="80"/>
      <c r="I15" s="80"/>
      <c r="J15" s="80"/>
      <c r="K15" s="876"/>
      <c r="L15" s="877"/>
      <c r="M15" s="94"/>
      <c r="N15" s="84"/>
    </row>
    <row r="16" spans="1:18" s="689" customFormat="1" ht="26.25" customHeight="1" x14ac:dyDescent="0.25">
      <c r="A16" s="925" t="s">
        <v>11</v>
      </c>
      <c r="B16" s="926"/>
      <c r="C16" s="926"/>
      <c r="D16" s="926"/>
      <c r="E16" s="695">
        <f>SUM(E10:E15)</f>
        <v>45</v>
      </c>
      <c r="F16" s="76"/>
      <c r="G16" s="56"/>
      <c r="H16" s="694"/>
      <c r="I16" s="694"/>
      <c r="J16" s="694"/>
      <c r="K16" s="876"/>
      <c r="L16" s="877"/>
      <c r="M16" s="694"/>
      <c r="N16" s="63"/>
    </row>
    <row r="17" spans="1:14" s="689" customFormat="1" ht="26.25" customHeight="1" x14ac:dyDescent="0.25">
      <c r="A17" s="927" t="s">
        <v>24</v>
      </c>
      <c r="B17" s="928"/>
      <c r="C17" s="928"/>
      <c r="D17" s="928"/>
      <c r="E17" s="928"/>
      <c r="F17" s="928"/>
      <c r="G17" s="64">
        <f>SUM(G10:G15)</f>
        <v>450</v>
      </c>
      <c r="H17" s="696"/>
      <c r="I17" s="696"/>
      <c r="J17" s="696"/>
      <c r="K17" s="859"/>
      <c r="L17" s="860"/>
      <c r="M17" s="696"/>
      <c r="N17" s="66"/>
    </row>
    <row r="18" spans="1:14" s="48" customFormat="1" ht="26.25" customHeight="1" x14ac:dyDescent="0.25">
      <c r="A18" s="929" t="s">
        <v>32</v>
      </c>
      <c r="B18" s="930"/>
      <c r="C18" s="930"/>
      <c r="D18" s="930"/>
      <c r="E18" s="930"/>
      <c r="F18" s="930"/>
      <c r="G18" s="900"/>
      <c r="H18" s="67"/>
      <c r="I18" s="954" t="s">
        <v>415</v>
      </c>
      <c r="J18" s="954"/>
      <c r="K18" s="954"/>
      <c r="L18" s="955"/>
      <c r="M18" s="955"/>
      <c r="N18" s="956"/>
    </row>
    <row r="19" spans="1:14" s="48" customFormat="1" ht="22.5" customHeight="1" thickBot="1" x14ac:dyDescent="0.3">
      <c r="A19" s="72" t="s">
        <v>5</v>
      </c>
      <c r="B19" s="71" t="s">
        <v>33</v>
      </c>
      <c r="C19" s="857" t="s">
        <v>21</v>
      </c>
      <c r="D19" s="858"/>
      <c r="E19" s="857" t="s">
        <v>34</v>
      </c>
      <c r="F19" s="858"/>
      <c r="G19" s="71" t="s">
        <v>0</v>
      </c>
      <c r="H19" s="71" t="s">
        <v>25</v>
      </c>
      <c r="I19" s="71" t="s">
        <v>26</v>
      </c>
      <c r="J19" s="71" t="s">
        <v>27</v>
      </c>
      <c r="K19" s="863" t="s">
        <v>28</v>
      </c>
      <c r="L19" s="857"/>
      <c r="M19" s="1064"/>
      <c r="N19" s="902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450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 t="s">
        <v>592</v>
      </c>
      <c r="B21" s="11">
        <v>41793</v>
      </c>
      <c r="C21" s="1040" t="s">
        <v>491</v>
      </c>
      <c r="D21" s="1041"/>
      <c r="E21" s="918">
        <v>225</v>
      </c>
      <c r="F21" s="918"/>
      <c r="G21" s="167">
        <f>G20-E21</f>
        <v>225</v>
      </c>
      <c r="H21" s="690"/>
      <c r="I21" s="690"/>
      <c r="J21" s="690"/>
      <c r="K21" s="690"/>
      <c r="L21" s="690"/>
      <c r="M21" s="690"/>
      <c r="N21" s="168"/>
    </row>
    <row r="22" spans="1:14" s="3" customFormat="1" ht="26.25" customHeight="1" x14ac:dyDescent="0.25">
      <c r="A22" s="165"/>
      <c r="B22" s="11"/>
      <c r="C22" s="924"/>
      <c r="D22" s="924"/>
      <c r="E22" s="918"/>
      <c r="F22" s="918"/>
      <c r="G22" s="167">
        <f>G21-E22</f>
        <v>225</v>
      </c>
      <c r="H22" s="690"/>
      <c r="I22" s="690"/>
      <c r="J22" s="690"/>
      <c r="K22" s="690"/>
      <c r="L22" s="690"/>
      <c r="M22" s="690"/>
      <c r="N22" s="168"/>
    </row>
    <row r="23" spans="1:14" s="3" customFormat="1" ht="26.25" customHeight="1" x14ac:dyDescent="0.25">
      <c r="A23" s="170"/>
      <c r="B23" s="166"/>
      <c r="C23" s="924"/>
      <c r="D23" s="924"/>
      <c r="E23" s="918"/>
      <c r="F23" s="918"/>
      <c r="G23" s="167">
        <f t="shared" ref="G23:G24" si="1">G22-E23</f>
        <v>225</v>
      </c>
      <c r="H23" s="690"/>
      <c r="I23" s="690"/>
      <c r="J23" s="690"/>
      <c r="K23" s="690"/>
      <c r="L23" s="690"/>
      <c r="M23" s="690"/>
      <c r="N23" s="168"/>
    </row>
    <row r="24" spans="1:14" s="3" customFormat="1" ht="26.25" customHeight="1" x14ac:dyDescent="0.25">
      <c r="A24" s="170"/>
      <c r="B24" s="166"/>
      <c r="C24" s="924"/>
      <c r="D24" s="924"/>
      <c r="E24" s="918"/>
      <c r="F24" s="918"/>
      <c r="G24" s="167">
        <f t="shared" si="1"/>
        <v>225</v>
      </c>
      <c r="H24" s="690"/>
      <c r="I24" s="690"/>
      <c r="J24" s="690"/>
      <c r="K24" s="690"/>
      <c r="L24" s="690"/>
      <c r="M24" s="690"/>
      <c r="N24" s="168"/>
    </row>
    <row r="25" spans="1:14" s="3" customFormat="1" ht="26.25" customHeight="1" x14ac:dyDescent="0.25">
      <c r="A25" s="169"/>
      <c r="B25" s="166"/>
      <c r="C25" s="945"/>
      <c r="D25" s="945"/>
      <c r="E25" s="919"/>
      <c r="F25" s="919"/>
      <c r="G25" s="167">
        <f>G24-E25</f>
        <v>225</v>
      </c>
      <c r="H25" s="690"/>
      <c r="I25" s="690"/>
      <c r="J25" s="690"/>
      <c r="K25" s="690"/>
      <c r="L25" s="690"/>
      <c r="M25" s="690"/>
      <c r="N25" s="168"/>
    </row>
    <row r="26" spans="1:14" s="23" customFormat="1" ht="26.25" customHeight="1" thickBot="1" x14ac:dyDescent="0.3">
      <c r="A26" s="914" t="s">
        <v>36</v>
      </c>
      <c r="B26" s="915"/>
      <c r="C26" s="915"/>
      <c r="D26" s="915"/>
      <c r="E26" s="916">
        <f>SUM(E21:F25)</f>
        <v>225</v>
      </c>
      <c r="F26" s="917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44"/>
      <c r="F27" s="844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Leang Sophanna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5">
    <mergeCell ref="K33:N33"/>
    <mergeCell ref="C22:D22"/>
    <mergeCell ref="E22:F22"/>
    <mergeCell ref="C23:D23"/>
    <mergeCell ref="E23:F23"/>
    <mergeCell ref="C24:D24"/>
    <mergeCell ref="E24:F24"/>
    <mergeCell ref="C25:D25"/>
    <mergeCell ref="E25:F25"/>
    <mergeCell ref="A26:D26"/>
    <mergeCell ref="E26:F26"/>
    <mergeCell ref="E27:F27"/>
    <mergeCell ref="C21:D21"/>
    <mergeCell ref="E21:F21"/>
    <mergeCell ref="A16:D16"/>
    <mergeCell ref="K16:L16"/>
    <mergeCell ref="A17:F17"/>
    <mergeCell ref="K17:L17"/>
    <mergeCell ref="A18:G18"/>
    <mergeCell ref="I18:K18"/>
    <mergeCell ref="L18:N18"/>
    <mergeCell ref="C19:D19"/>
    <mergeCell ref="E19:F19"/>
    <mergeCell ref="K19:L19"/>
    <mergeCell ref="M19:N19"/>
    <mergeCell ref="A20:F20"/>
    <mergeCell ref="A1:XFD7"/>
    <mergeCell ref="A8:N8"/>
    <mergeCell ref="K9:L9"/>
    <mergeCell ref="B10:B15"/>
    <mergeCell ref="C10:C15"/>
    <mergeCell ref="K10:L10"/>
    <mergeCell ref="K11:L11"/>
    <mergeCell ref="K12:L12"/>
    <mergeCell ref="K15:L15"/>
  </mergeCells>
  <printOptions horizontalCentered="1"/>
  <pageMargins left="0.25" right="0.25" top="0.5" bottom="0.25" header="0.5" footer="0.5"/>
  <pageSetup scale="70" orientation="portrait" verticalDpi="300" r:id="rId1"/>
  <headerFooter alignWithMargins="0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"/>
  <sheetViews>
    <sheetView zoomScale="80" workbookViewId="0">
      <pane ySplit="9" topLeftCell="A25" activePane="bottomLeft" state="frozen"/>
      <selection activeCell="G13" sqref="G13"/>
      <selection pane="bottomLeft" activeCell="H31" sqref="H31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31.5703125" style="1" customWidth="1"/>
    <col min="5" max="5" width="8.42578125" style="1" customWidth="1"/>
    <col min="6" max="6" width="10.85546875" style="1" customWidth="1"/>
    <col min="7" max="7" width="17.5703125" style="1" customWidth="1"/>
    <col min="8" max="8" width="11" style="1" customWidth="1"/>
    <col min="9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15" width="9.140625" style="1"/>
    <col min="16" max="16" width="48.5703125" style="1" customWidth="1"/>
    <col min="17" max="17" width="11.42578125" style="1" customWidth="1"/>
    <col min="18" max="18" width="16.7109375" style="1" customWidth="1"/>
    <col min="19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66" customFormat="1" ht="15" x14ac:dyDescent="0.25"/>
    <row r="2" spans="1:18" s="866" customFormat="1" ht="15" x14ac:dyDescent="0.25"/>
    <row r="3" spans="1:18" s="866" customFormat="1" ht="15" x14ac:dyDescent="0.25"/>
    <row r="4" spans="1:18" s="866" customFormat="1" ht="15" x14ac:dyDescent="0.25"/>
    <row r="5" spans="1:18" s="866" customFormat="1" ht="15" x14ac:dyDescent="0.25"/>
    <row r="6" spans="1:18" s="866" customFormat="1" ht="15" x14ac:dyDescent="0.25"/>
    <row r="7" spans="1:18" s="866" customFormat="1" ht="15.75" thickBot="1" x14ac:dyDescent="0.3"/>
    <row r="8" spans="1:18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8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8" s="722" customFormat="1" ht="26.25" customHeight="1" x14ac:dyDescent="0.25">
      <c r="A10" s="91">
        <v>1</v>
      </c>
      <c r="B10" s="890" t="s">
        <v>514</v>
      </c>
      <c r="C10" s="890" t="s">
        <v>31</v>
      </c>
      <c r="D10" s="549" t="s">
        <v>515</v>
      </c>
      <c r="E10" s="726">
        <v>45</v>
      </c>
      <c r="F10" s="55">
        <v>13.333299999999999</v>
      </c>
      <c r="G10" s="56">
        <f>E10*F10</f>
        <v>599.99849999999992</v>
      </c>
      <c r="H10" s="726" t="s">
        <v>126</v>
      </c>
      <c r="I10" s="726" t="s">
        <v>493</v>
      </c>
      <c r="J10" s="726">
        <v>5</v>
      </c>
      <c r="K10" s="948" t="s">
        <v>492</v>
      </c>
      <c r="L10" s="949"/>
      <c r="M10" s="724"/>
      <c r="N10" s="725"/>
      <c r="Q10" s="432"/>
      <c r="R10" s="582"/>
    </row>
    <row r="11" spans="1:18" s="722" customFormat="1" ht="26.25" customHeight="1" x14ac:dyDescent="0.25">
      <c r="A11" s="93"/>
      <c r="B11" s="891"/>
      <c r="C11" s="891"/>
      <c r="D11" s="549"/>
      <c r="E11" s="80"/>
      <c r="F11" s="55"/>
      <c r="G11" s="56">
        <f t="shared" ref="G11:G14" si="0">E11*F11</f>
        <v>0</v>
      </c>
      <c r="H11" s="80"/>
      <c r="I11" s="80"/>
      <c r="J11" s="80"/>
      <c r="K11" s="948"/>
      <c r="L11" s="949"/>
      <c r="M11" s="724"/>
      <c r="N11" s="84"/>
    </row>
    <row r="12" spans="1:18" s="722" customFormat="1" ht="26.25" customHeight="1" x14ac:dyDescent="0.25">
      <c r="A12" s="93"/>
      <c r="B12" s="891"/>
      <c r="C12" s="891"/>
      <c r="D12" s="549"/>
      <c r="E12" s="80"/>
      <c r="F12" s="55"/>
      <c r="G12" s="56">
        <f t="shared" si="0"/>
        <v>0</v>
      </c>
      <c r="H12" s="80"/>
      <c r="I12" s="80"/>
      <c r="J12" s="80"/>
      <c r="K12" s="876"/>
      <c r="L12" s="877"/>
      <c r="M12" s="724"/>
      <c r="N12" s="84"/>
    </row>
    <row r="13" spans="1:18" s="722" customFormat="1" ht="26.25" customHeight="1" x14ac:dyDescent="0.25">
      <c r="A13" s="93"/>
      <c r="B13" s="891"/>
      <c r="C13" s="891"/>
      <c r="D13" s="77"/>
      <c r="E13" s="80"/>
      <c r="F13" s="55"/>
      <c r="G13" s="56">
        <f t="shared" si="0"/>
        <v>0</v>
      </c>
      <c r="H13" s="80"/>
      <c r="I13" s="80"/>
      <c r="J13" s="80"/>
      <c r="K13" s="181"/>
      <c r="L13" s="182"/>
      <c r="M13" s="94"/>
      <c r="N13" s="84"/>
    </row>
    <row r="14" spans="1:18" s="722" customFormat="1" ht="26.25" customHeight="1" x14ac:dyDescent="0.25">
      <c r="A14" s="93"/>
      <c r="B14" s="891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18" s="722" customFormat="1" ht="26.25" customHeight="1" x14ac:dyDescent="0.25">
      <c r="A15" s="93"/>
      <c r="B15" s="891"/>
      <c r="C15" s="891"/>
      <c r="D15" s="77"/>
      <c r="E15" s="80"/>
      <c r="F15" s="55"/>
      <c r="G15" s="56">
        <f>E15*F15</f>
        <v>0</v>
      </c>
      <c r="H15" s="80"/>
      <c r="I15" s="80"/>
      <c r="J15" s="80"/>
      <c r="K15" s="876"/>
      <c r="L15" s="877"/>
      <c r="M15" s="94"/>
      <c r="N15" s="84"/>
    </row>
    <row r="16" spans="1:18" s="722" customFormat="1" ht="26.25" customHeight="1" x14ac:dyDescent="0.25">
      <c r="A16" s="925" t="s">
        <v>11</v>
      </c>
      <c r="B16" s="926"/>
      <c r="C16" s="926"/>
      <c r="D16" s="926"/>
      <c r="E16" s="728">
        <f>SUM(E10:E15)</f>
        <v>45</v>
      </c>
      <c r="F16" s="76"/>
      <c r="G16" s="56"/>
      <c r="H16" s="727"/>
      <c r="I16" s="727"/>
      <c r="J16" s="727"/>
      <c r="K16" s="876"/>
      <c r="L16" s="877"/>
      <c r="M16" s="727"/>
      <c r="N16" s="63"/>
    </row>
    <row r="17" spans="1:14" s="722" customFormat="1" ht="26.25" customHeight="1" x14ac:dyDescent="0.25">
      <c r="A17" s="927" t="s">
        <v>24</v>
      </c>
      <c r="B17" s="928"/>
      <c r="C17" s="928"/>
      <c r="D17" s="928"/>
      <c r="E17" s="928"/>
      <c r="F17" s="928"/>
      <c r="G17" s="64">
        <f>SUM(G10:G15)</f>
        <v>599.99849999999992</v>
      </c>
      <c r="H17" s="729"/>
      <c r="I17" s="729"/>
      <c r="J17" s="729"/>
      <c r="K17" s="859"/>
      <c r="L17" s="860"/>
      <c r="M17" s="729"/>
      <c r="N17" s="66"/>
    </row>
    <row r="18" spans="1:14" s="48" customFormat="1" ht="26.25" customHeight="1" x14ac:dyDescent="0.25">
      <c r="A18" s="929" t="s">
        <v>32</v>
      </c>
      <c r="B18" s="930"/>
      <c r="C18" s="930"/>
      <c r="D18" s="930"/>
      <c r="E18" s="930"/>
      <c r="F18" s="930"/>
      <c r="G18" s="900"/>
      <c r="H18" s="67"/>
      <c r="I18" s="954" t="s">
        <v>415</v>
      </c>
      <c r="J18" s="954"/>
      <c r="K18" s="954"/>
      <c r="L18" s="955"/>
      <c r="M18" s="955"/>
      <c r="N18" s="956"/>
    </row>
    <row r="19" spans="1:14" s="48" customFormat="1" ht="22.5" customHeight="1" thickBot="1" x14ac:dyDescent="0.3">
      <c r="A19" s="72" t="s">
        <v>5</v>
      </c>
      <c r="B19" s="71" t="s">
        <v>33</v>
      </c>
      <c r="C19" s="857" t="s">
        <v>21</v>
      </c>
      <c r="D19" s="858"/>
      <c r="E19" s="857" t="s">
        <v>34</v>
      </c>
      <c r="F19" s="858"/>
      <c r="G19" s="71" t="s">
        <v>0</v>
      </c>
      <c r="H19" s="71" t="s">
        <v>25</v>
      </c>
      <c r="I19" s="71" t="s">
        <v>26</v>
      </c>
      <c r="J19" s="71" t="s">
        <v>27</v>
      </c>
      <c r="K19" s="863" t="s">
        <v>28</v>
      </c>
      <c r="L19" s="857"/>
      <c r="M19" s="1064"/>
      <c r="N19" s="902"/>
    </row>
    <row r="20" spans="1:14" s="3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599.99849999999992</v>
      </c>
      <c r="H20" s="163"/>
      <c r="I20" s="163"/>
      <c r="J20" s="163"/>
      <c r="K20" s="163"/>
      <c r="L20" s="163"/>
      <c r="M20" s="163"/>
      <c r="N20" s="164"/>
    </row>
    <row r="21" spans="1:14" s="3" customFormat="1" ht="26.25" customHeight="1" x14ac:dyDescent="0.25">
      <c r="A21" s="165" t="s">
        <v>534</v>
      </c>
      <c r="B21" s="11">
        <v>41738</v>
      </c>
      <c r="C21" s="1040" t="s">
        <v>515</v>
      </c>
      <c r="D21" s="1041"/>
      <c r="E21" s="918">
        <v>300</v>
      </c>
      <c r="F21" s="918"/>
      <c r="G21" s="167">
        <f>G20-E21</f>
        <v>299.99849999999992</v>
      </c>
      <c r="H21" s="723"/>
      <c r="I21" s="723"/>
      <c r="J21" s="723"/>
      <c r="K21" s="723"/>
      <c r="L21" s="723"/>
      <c r="M21" s="723"/>
      <c r="N21" s="168"/>
    </row>
    <row r="22" spans="1:14" s="3" customFormat="1" ht="26.25" customHeight="1" x14ac:dyDescent="0.25">
      <c r="A22" s="165" t="s">
        <v>567</v>
      </c>
      <c r="B22" s="11">
        <v>41766</v>
      </c>
      <c r="C22" s="1040" t="s">
        <v>515</v>
      </c>
      <c r="D22" s="1041"/>
      <c r="E22" s="918">
        <v>300</v>
      </c>
      <c r="F22" s="918"/>
      <c r="G22" s="167">
        <f>G21-E22</f>
        <v>-1.5000000000782165E-3</v>
      </c>
      <c r="H22" s="723"/>
      <c r="I22" s="723"/>
      <c r="J22" s="723"/>
      <c r="K22" s="723"/>
      <c r="L22" s="723"/>
      <c r="M22" s="723"/>
      <c r="N22" s="168"/>
    </row>
    <row r="23" spans="1:14" s="3" customFormat="1" ht="26.25" customHeight="1" x14ac:dyDescent="0.25">
      <c r="A23" s="170"/>
      <c r="B23" s="166"/>
      <c r="C23" s="924"/>
      <c r="D23" s="924"/>
      <c r="E23" s="918"/>
      <c r="F23" s="918"/>
      <c r="G23" s="167">
        <f t="shared" ref="G23:G24" si="1">G22-E23</f>
        <v>-1.5000000000782165E-3</v>
      </c>
      <c r="H23" s="723"/>
      <c r="I23" s="723"/>
      <c r="J23" s="723"/>
      <c r="K23" s="723"/>
      <c r="L23" s="723"/>
      <c r="M23" s="723"/>
      <c r="N23" s="168"/>
    </row>
    <row r="24" spans="1:14" s="3" customFormat="1" ht="26.25" customHeight="1" x14ac:dyDescent="0.25">
      <c r="A24" s="170"/>
      <c r="B24" s="166"/>
      <c r="C24" s="924"/>
      <c r="D24" s="924"/>
      <c r="E24" s="918"/>
      <c r="F24" s="918"/>
      <c r="G24" s="167">
        <f t="shared" si="1"/>
        <v>-1.5000000000782165E-3</v>
      </c>
      <c r="H24" s="723"/>
      <c r="I24" s="723"/>
      <c r="J24" s="723"/>
      <c r="K24" s="723"/>
      <c r="L24" s="723"/>
      <c r="M24" s="723"/>
      <c r="N24" s="168"/>
    </row>
    <row r="25" spans="1:14" s="3" customFormat="1" ht="26.25" customHeight="1" x14ac:dyDescent="0.25">
      <c r="A25" s="169"/>
      <c r="B25" s="166"/>
      <c r="C25" s="945"/>
      <c r="D25" s="945"/>
      <c r="E25" s="919"/>
      <c r="F25" s="919"/>
      <c r="G25" s="167">
        <f>G24-E25</f>
        <v>-1.5000000000782165E-3</v>
      </c>
      <c r="H25" s="723"/>
      <c r="I25" s="723"/>
      <c r="J25" s="723"/>
      <c r="K25" s="723"/>
      <c r="L25" s="723"/>
      <c r="M25" s="723"/>
      <c r="N25" s="168"/>
    </row>
    <row r="26" spans="1:14" s="23" customFormat="1" ht="26.25" customHeight="1" thickBot="1" x14ac:dyDescent="0.3">
      <c r="A26" s="914" t="s">
        <v>36</v>
      </c>
      <c r="B26" s="915"/>
      <c r="C26" s="915"/>
      <c r="D26" s="915"/>
      <c r="E26" s="916">
        <f>SUM(E21:F25)</f>
        <v>600</v>
      </c>
      <c r="F26" s="917"/>
      <c r="G26" s="171"/>
      <c r="H26" s="172"/>
      <c r="I26" s="172"/>
      <c r="J26" s="172"/>
      <c r="K26" s="172"/>
      <c r="L26" s="172"/>
      <c r="M26" s="172"/>
      <c r="N26" s="173"/>
    </row>
    <row r="27" spans="1:14" s="3" customFormat="1" ht="26.25" customHeight="1" thickTop="1" x14ac:dyDescent="0.25">
      <c r="A27" s="24"/>
      <c r="E27" s="844"/>
      <c r="F27" s="844"/>
    </row>
    <row r="28" spans="1:14" s="3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3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3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3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3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Tek Veasna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5">
    <mergeCell ref="K33:N33"/>
    <mergeCell ref="C22:D22"/>
    <mergeCell ref="E22:F22"/>
    <mergeCell ref="C23:D23"/>
    <mergeCell ref="E23:F23"/>
    <mergeCell ref="C24:D24"/>
    <mergeCell ref="E24:F24"/>
    <mergeCell ref="C25:D25"/>
    <mergeCell ref="E25:F25"/>
    <mergeCell ref="A26:D26"/>
    <mergeCell ref="E26:F26"/>
    <mergeCell ref="E27:F27"/>
    <mergeCell ref="C21:D21"/>
    <mergeCell ref="E21:F21"/>
    <mergeCell ref="A16:D16"/>
    <mergeCell ref="K16:L16"/>
    <mergeCell ref="A17:F17"/>
    <mergeCell ref="K17:L17"/>
    <mergeCell ref="A18:G18"/>
    <mergeCell ref="I18:K18"/>
    <mergeCell ref="L18:N18"/>
    <mergeCell ref="C19:D19"/>
    <mergeCell ref="E19:F19"/>
    <mergeCell ref="K19:L19"/>
    <mergeCell ref="M19:N19"/>
    <mergeCell ref="A20:F20"/>
    <mergeCell ref="A1:XFD7"/>
    <mergeCell ref="A8:N8"/>
    <mergeCell ref="K9:L9"/>
    <mergeCell ref="B10:B15"/>
    <mergeCell ref="C10:C15"/>
    <mergeCell ref="K10:L10"/>
    <mergeCell ref="K11:L11"/>
    <mergeCell ref="K12:L12"/>
    <mergeCell ref="K15:L15"/>
  </mergeCells>
  <printOptions horizontalCentered="1"/>
  <pageMargins left="0.25" right="0.25" top="0.5" bottom="0.25" header="0.5" footer="0.5"/>
  <pageSetup scale="70" orientation="portrait" verticalDpi="300" r:id="rId1"/>
  <headerFooter alignWithMargins="0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"/>
  <sheetViews>
    <sheetView zoomScale="80" workbookViewId="0">
      <pane ySplit="9" topLeftCell="A10" activePane="bottomLeft" state="frozen"/>
      <selection activeCell="G13" sqref="G13"/>
      <selection pane="bottomLeft" activeCell="F16" sqref="F16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31.5703125" style="1" customWidth="1"/>
    <col min="5" max="5" width="8.42578125" style="1" customWidth="1"/>
    <col min="6" max="6" width="10.85546875" style="1" customWidth="1"/>
    <col min="7" max="7" width="17.5703125" style="1" customWidth="1"/>
    <col min="8" max="8" width="11" style="1" customWidth="1"/>
    <col min="9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15" width="9.140625" style="1"/>
    <col min="16" max="16" width="48.5703125" style="1" customWidth="1"/>
    <col min="17" max="17" width="11.42578125" style="1" customWidth="1"/>
    <col min="18" max="18" width="16.7109375" style="1" customWidth="1"/>
    <col min="19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66" customFormat="1" ht="15" x14ac:dyDescent="0.25"/>
    <row r="2" spans="1:18" s="866" customFormat="1" ht="15" x14ac:dyDescent="0.25"/>
    <row r="3" spans="1:18" s="866" customFormat="1" ht="15" x14ac:dyDescent="0.25"/>
    <row r="4" spans="1:18" s="866" customFormat="1" ht="15" x14ac:dyDescent="0.25"/>
    <row r="5" spans="1:18" s="866" customFormat="1" ht="15" x14ac:dyDescent="0.25"/>
    <row r="6" spans="1:18" s="866" customFormat="1" ht="15" x14ac:dyDescent="0.25"/>
    <row r="7" spans="1:18" s="866" customFormat="1" ht="15.75" thickBot="1" x14ac:dyDescent="0.3"/>
    <row r="8" spans="1:18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8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8" s="751" customFormat="1" ht="26.25" customHeight="1" x14ac:dyDescent="0.25">
      <c r="A10" s="91">
        <v>1</v>
      </c>
      <c r="B10" s="295" t="s">
        <v>552</v>
      </c>
      <c r="C10" s="890" t="s">
        <v>31</v>
      </c>
      <c r="D10" s="549" t="s">
        <v>553</v>
      </c>
      <c r="E10" s="755">
        <f>12.5+6+6</f>
        <v>24.5</v>
      </c>
      <c r="F10" s="55">
        <v>7</v>
      </c>
      <c r="G10" s="56">
        <f>E10*F10</f>
        <v>171.5</v>
      </c>
      <c r="H10" s="755" t="s">
        <v>387</v>
      </c>
      <c r="I10" s="755">
        <v>3</v>
      </c>
      <c r="J10" s="755">
        <v>10</v>
      </c>
      <c r="K10" s="948" t="s">
        <v>118</v>
      </c>
      <c r="L10" s="949"/>
      <c r="M10" s="753">
        <v>41721</v>
      </c>
      <c r="N10" s="754"/>
      <c r="Q10" s="432"/>
      <c r="R10" s="582"/>
    </row>
    <row r="11" spans="1:18" s="751" customFormat="1" ht="26.25" customHeight="1" x14ac:dyDescent="0.25">
      <c r="A11" s="93"/>
      <c r="B11" s="296"/>
      <c r="C11" s="891"/>
      <c r="D11" s="549"/>
      <c r="E11" s="80"/>
      <c r="F11" s="55"/>
      <c r="G11" s="56">
        <f t="shared" ref="G11:G14" si="0">E11*F11</f>
        <v>0</v>
      </c>
      <c r="H11" s="80"/>
      <c r="I11" s="80"/>
      <c r="J11" s="80"/>
      <c r="K11" s="948"/>
      <c r="L11" s="949"/>
      <c r="M11" s="753"/>
      <c r="N11" s="84"/>
    </row>
    <row r="12" spans="1:18" s="751" customFormat="1" ht="26.25" customHeight="1" x14ac:dyDescent="0.25">
      <c r="A12" s="93"/>
      <c r="B12" s="296"/>
      <c r="C12" s="891"/>
      <c r="D12" s="549"/>
      <c r="E12" s="80"/>
      <c r="F12" s="55"/>
      <c r="G12" s="56">
        <f t="shared" si="0"/>
        <v>0</v>
      </c>
      <c r="H12" s="80"/>
      <c r="I12" s="80"/>
      <c r="J12" s="80"/>
      <c r="K12" s="876"/>
      <c r="L12" s="877"/>
      <c r="M12" s="753"/>
      <c r="N12" s="84"/>
    </row>
    <row r="13" spans="1:18" s="751" customFormat="1" ht="26.25" customHeight="1" x14ac:dyDescent="0.25">
      <c r="A13" s="93"/>
      <c r="B13" s="296"/>
      <c r="C13" s="891"/>
      <c r="D13" s="77"/>
      <c r="E13" s="80"/>
      <c r="F13" s="55"/>
      <c r="G13" s="56">
        <f t="shared" si="0"/>
        <v>0</v>
      </c>
      <c r="H13" s="80"/>
      <c r="I13" s="80"/>
      <c r="J13" s="80"/>
      <c r="K13" s="181"/>
      <c r="L13" s="182"/>
      <c r="M13" s="94"/>
      <c r="N13" s="84"/>
    </row>
    <row r="14" spans="1:18" s="751" customFormat="1" ht="26.25" customHeight="1" x14ac:dyDescent="0.25">
      <c r="A14" s="93"/>
      <c r="B14" s="296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18" s="751" customFormat="1" ht="26.25" customHeight="1" x14ac:dyDescent="0.25">
      <c r="A15" s="93"/>
      <c r="B15" s="297"/>
      <c r="C15" s="891"/>
      <c r="D15" s="77"/>
      <c r="E15" s="80"/>
      <c r="F15" s="55"/>
      <c r="G15" s="56">
        <f>E15*F15</f>
        <v>0</v>
      </c>
      <c r="H15" s="80"/>
      <c r="I15" s="80"/>
      <c r="J15" s="80"/>
      <c r="K15" s="876"/>
      <c r="L15" s="877"/>
      <c r="M15" s="94"/>
      <c r="N15" s="84"/>
    </row>
    <row r="16" spans="1:18" s="751" customFormat="1" ht="26.25" customHeight="1" x14ac:dyDescent="0.25">
      <c r="A16" s="925" t="s">
        <v>11</v>
      </c>
      <c r="B16" s="926"/>
      <c r="C16" s="926"/>
      <c r="D16" s="926"/>
      <c r="E16" s="757">
        <f>SUM(E10:E15)</f>
        <v>24.5</v>
      </c>
      <c r="F16" s="76">
        <v>7</v>
      </c>
      <c r="G16" s="56"/>
      <c r="H16" s="756"/>
      <c r="I16" s="756"/>
      <c r="J16" s="756"/>
      <c r="K16" s="876"/>
      <c r="L16" s="877"/>
      <c r="M16" s="756"/>
      <c r="N16" s="63"/>
    </row>
    <row r="17" spans="1:14" s="751" customFormat="1" ht="26.25" customHeight="1" x14ac:dyDescent="0.25">
      <c r="A17" s="927" t="s">
        <v>24</v>
      </c>
      <c r="B17" s="928"/>
      <c r="C17" s="928"/>
      <c r="D17" s="928"/>
      <c r="E17" s="928"/>
      <c r="F17" s="928"/>
      <c r="G17" s="64">
        <f>SUM(G10:G15)</f>
        <v>171.5</v>
      </c>
      <c r="H17" s="758"/>
      <c r="I17" s="758"/>
      <c r="J17" s="758"/>
      <c r="K17" s="859"/>
      <c r="L17" s="860"/>
      <c r="M17" s="758"/>
      <c r="N17" s="66"/>
    </row>
    <row r="18" spans="1:14" s="48" customFormat="1" ht="26.25" customHeight="1" x14ac:dyDescent="0.25">
      <c r="A18" s="929" t="s">
        <v>32</v>
      </c>
      <c r="B18" s="930"/>
      <c r="C18" s="930"/>
      <c r="D18" s="930"/>
      <c r="E18" s="930"/>
      <c r="F18" s="930"/>
      <c r="G18" s="900"/>
      <c r="H18" s="67"/>
      <c r="I18" s="954" t="s">
        <v>415</v>
      </c>
      <c r="J18" s="954"/>
      <c r="K18" s="954"/>
      <c r="L18" s="955"/>
      <c r="M18" s="955"/>
      <c r="N18" s="956"/>
    </row>
    <row r="19" spans="1:14" s="48" customFormat="1" ht="22.5" customHeight="1" thickBot="1" x14ac:dyDescent="0.3">
      <c r="A19" s="72" t="s">
        <v>5</v>
      </c>
      <c r="B19" s="71" t="s">
        <v>33</v>
      </c>
      <c r="C19" s="857" t="s">
        <v>21</v>
      </c>
      <c r="D19" s="858"/>
      <c r="E19" s="857" t="s">
        <v>34</v>
      </c>
      <c r="F19" s="858"/>
      <c r="G19" s="71" t="s">
        <v>0</v>
      </c>
      <c r="H19" s="71" t="s">
        <v>25</v>
      </c>
      <c r="I19" s="71" t="s">
        <v>26</v>
      </c>
      <c r="J19" s="71" t="s">
        <v>27</v>
      </c>
      <c r="K19" s="863" t="s">
        <v>28</v>
      </c>
      <c r="L19" s="857"/>
      <c r="M19" s="1064"/>
      <c r="N19" s="902"/>
    </row>
    <row r="20" spans="1:14" s="752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171.5</v>
      </c>
      <c r="H20" s="163"/>
      <c r="I20" s="163"/>
      <c r="J20" s="163"/>
      <c r="K20" s="163"/>
      <c r="L20" s="163"/>
      <c r="M20" s="163"/>
      <c r="N20" s="164"/>
    </row>
    <row r="21" spans="1:14" s="752" customFormat="1" ht="26.25" customHeight="1" x14ac:dyDescent="0.25">
      <c r="A21" s="165" t="s">
        <v>563</v>
      </c>
      <c r="B21" s="11">
        <v>41768</v>
      </c>
      <c r="C21" s="1040" t="s">
        <v>553</v>
      </c>
      <c r="D21" s="1041"/>
      <c r="E21" s="918">
        <v>50</v>
      </c>
      <c r="F21" s="918"/>
      <c r="G21" s="167">
        <f>G20-E21</f>
        <v>121.5</v>
      </c>
      <c r="H21" s="749"/>
      <c r="I21" s="749"/>
      <c r="J21" s="749"/>
      <c r="K21" s="749"/>
      <c r="L21" s="749"/>
      <c r="M21" s="749"/>
      <c r="N21" s="168"/>
    </row>
    <row r="22" spans="1:14" s="752" customFormat="1" ht="26.25" customHeight="1" x14ac:dyDescent="0.25">
      <c r="A22" s="165" t="s">
        <v>592</v>
      </c>
      <c r="B22" s="11">
        <v>41793</v>
      </c>
      <c r="C22" s="1040" t="s">
        <v>553</v>
      </c>
      <c r="D22" s="1041"/>
      <c r="E22" s="918">
        <v>40</v>
      </c>
      <c r="F22" s="918"/>
      <c r="G22" s="167">
        <f>G21-E22</f>
        <v>81.5</v>
      </c>
      <c r="H22" s="749"/>
      <c r="I22" s="749"/>
      <c r="J22" s="749"/>
      <c r="K22" s="749"/>
      <c r="L22" s="749"/>
      <c r="M22" s="749"/>
      <c r="N22" s="168"/>
    </row>
    <row r="23" spans="1:14" s="752" customFormat="1" ht="26.25" customHeight="1" x14ac:dyDescent="0.25">
      <c r="A23" s="170"/>
      <c r="B23" s="166"/>
      <c r="C23" s="924"/>
      <c r="D23" s="924"/>
      <c r="E23" s="918"/>
      <c r="F23" s="918"/>
      <c r="G23" s="167">
        <f t="shared" ref="G23:G24" si="1">G22-E23</f>
        <v>81.5</v>
      </c>
      <c r="H23" s="749"/>
      <c r="I23" s="749"/>
      <c r="J23" s="749"/>
      <c r="K23" s="749"/>
      <c r="L23" s="749"/>
      <c r="M23" s="749"/>
      <c r="N23" s="168"/>
    </row>
    <row r="24" spans="1:14" s="752" customFormat="1" ht="26.25" customHeight="1" x14ac:dyDescent="0.25">
      <c r="A24" s="170"/>
      <c r="B24" s="166"/>
      <c r="C24" s="924"/>
      <c r="D24" s="924"/>
      <c r="E24" s="918"/>
      <c r="F24" s="918"/>
      <c r="G24" s="167">
        <f t="shared" si="1"/>
        <v>81.5</v>
      </c>
      <c r="H24" s="749"/>
      <c r="I24" s="749"/>
      <c r="J24" s="749"/>
      <c r="K24" s="749"/>
      <c r="L24" s="749"/>
      <c r="M24" s="749"/>
      <c r="N24" s="168"/>
    </row>
    <row r="25" spans="1:14" s="752" customFormat="1" ht="26.25" customHeight="1" x14ac:dyDescent="0.25">
      <c r="A25" s="169"/>
      <c r="B25" s="166"/>
      <c r="C25" s="945"/>
      <c r="D25" s="945"/>
      <c r="E25" s="919"/>
      <c r="F25" s="919"/>
      <c r="G25" s="167">
        <f>G24-E25</f>
        <v>81.5</v>
      </c>
      <c r="H25" s="749"/>
      <c r="I25" s="749"/>
      <c r="J25" s="749"/>
      <c r="K25" s="749"/>
      <c r="L25" s="749"/>
      <c r="M25" s="749"/>
      <c r="N25" s="168"/>
    </row>
    <row r="26" spans="1:14" s="23" customFormat="1" ht="26.25" customHeight="1" thickBot="1" x14ac:dyDescent="0.3">
      <c r="A26" s="914" t="s">
        <v>36</v>
      </c>
      <c r="B26" s="915"/>
      <c r="C26" s="915"/>
      <c r="D26" s="915"/>
      <c r="E26" s="916">
        <f>SUM(E21:F25)</f>
        <v>90</v>
      </c>
      <c r="F26" s="917"/>
      <c r="G26" s="171"/>
      <c r="H26" s="172"/>
      <c r="I26" s="172"/>
      <c r="J26" s="172"/>
      <c r="K26" s="172"/>
      <c r="L26" s="172"/>
      <c r="M26" s="172"/>
      <c r="N26" s="173"/>
    </row>
    <row r="27" spans="1:14" s="752" customFormat="1" ht="26.25" customHeight="1" thickTop="1" x14ac:dyDescent="0.25">
      <c r="A27" s="24"/>
      <c r="E27" s="844"/>
      <c r="F27" s="844"/>
    </row>
    <row r="28" spans="1:14" s="752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752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752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752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752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Dorn Phorsanith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4">
    <mergeCell ref="A1:XFD7"/>
    <mergeCell ref="A8:N8"/>
    <mergeCell ref="K9:L9"/>
    <mergeCell ref="C10:C15"/>
    <mergeCell ref="K10:L10"/>
    <mergeCell ref="K11:L11"/>
    <mergeCell ref="K12:L12"/>
    <mergeCell ref="K15:L15"/>
    <mergeCell ref="C21:D21"/>
    <mergeCell ref="E21:F21"/>
    <mergeCell ref="A16:D16"/>
    <mergeCell ref="K16:L16"/>
    <mergeCell ref="A17:F17"/>
    <mergeCell ref="K17:L17"/>
    <mergeCell ref="A18:G18"/>
    <mergeCell ref="I18:K18"/>
    <mergeCell ref="L18:N18"/>
    <mergeCell ref="C19:D19"/>
    <mergeCell ref="E19:F19"/>
    <mergeCell ref="K19:L19"/>
    <mergeCell ref="M19:N19"/>
    <mergeCell ref="A20:F20"/>
    <mergeCell ref="K33:N33"/>
    <mergeCell ref="C22:D22"/>
    <mergeCell ref="E22:F22"/>
    <mergeCell ref="C23:D23"/>
    <mergeCell ref="E23:F23"/>
    <mergeCell ref="C24:D24"/>
    <mergeCell ref="E24:F24"/>
    <mergeCell ref="C25:D25"/>
    <mergeCell ref="E25:F25"/>
    <mergeCell ref="A26:D26"/>
    <mergeCell ref="E26:F26"/>
    <mergeCell ref="E27:F27"/>
  </mergeCells>
  <printOptions horizontalCentered="1"/>
  <pageMargins left="0.25" right="0.25" top="0.5" bottom="0.25" header="0.5" footer="0.5"/>
  <pageSetup scale="70" orientation="portrait" verticalDpi="300" r:id="rId1"/>
  <headerFooter alignWithMargins="0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"/>
  <sheetViews>
    <sheetView zoomScale="80" workbookViewId="0">
      <pane ySplit="9" topLeftCell="A28" activePane="bottomLeft" state="frozen"/>
      <selection activeCell="G13" sqref="G13"/>
      <selection pane="bottomLeft" activeCell="K29" sqref="K29"/>
    </sheetView>
  </sheetViews>
  <sheetFormatPr defaultRowHeight="13.5" x14ac:dyDescent="0.25"/>
  <cols>
    <col min="1" max="1" width="15" style="33" customWidth="1"/>
    <col min="2" max="2" width="20" style="1" customWidth="1"/>
    <col min="3" max="3" width="5.5703125" style="1" customWidth="1"/>
    <col min="4" max="4" width="31.5703125" style="1" customWidth="1"/>
    <col min="5" max="5" width="8.42578125" style="1" customWidth="1"/>
    <col min="6" max="6" width="10.85546875" style="1" customWidth="1"/>
    <col min="7" max="7" width="17.5703125" style="1" customWidth="1"/>
    <col min="8" max="8" width="11" style="1" customWidth="1"/>
    <col min="9" max="10" width="5" style="1" customWidth="1"/>
    <col min="11" max="11" width="8" style="1" customWidth="1"/>
    <col min="12" max="12" width="7.5703125" style="1" customWidth="1"/>
    <col min="13" max="13" width="15.28515625" style="1" customWidth="1"/>
    <col min="14" max="14" width="10.28515625" style="1" bestFit="1" customWidth="1"/>
    <col min="15" max="15" width="9.140625" style="1"/>
    <col min="16" max="16" width="48.5703125" style="1" customWidth="1"/>
    <col min="17" max="17" width="11.42578125" style="1" customWidth="1"/>
    <col min="18" max="18" width="16.7109375" style="1" customWidth="1"/>
    <col min="19" max="256" width="9.140625" style="1"/>
    <col min="257" max="257" width="4.85546875" style="1" customWidth="1"/>
    <col min="258" max="258" width="19.140625" style="1" customWidth="1"/>
    <col min="259" max="259" width="5.5703125" style="1" customWidth="1"/>
    <col min="260" max="260" width="23.85546875" style="1" customWidth="1"/>
    <col min="261" max="261" width="8.42578125" style="1" customWidth="1"/>
    <col min="262" max="262" width="8.28515625" style="1" customWidth="1"/>
    <col min="263" max="263" width="16.42578125" style="1" customWidth="1"/>
    <col min="264" max="264" width="3.7109375" style="1" customWidth="1"/>
    <col min="265" max="265" width="3.85546875" style="1" customWidth="1"/>
    <col min="266" max="266" width="5" style="1" customWidth="1"/>
    <col min="267" max="267" width="8" style="1" customWidth="1"/>
    <col min="268" max="268" width="7.5703125" style="1" customWidth="1"/>
    <col min="269" max="270" width="10.28515625" style="1" bestFit="1" customWidth="1"/>
    <col min="271" max="512" width="9.140625" style="1"/>
    <col min="513" max="513" width="4.85546875" style="1" customWidth="1"/>
    <col min="514" max="514" width="19.140625" style="1" customWidth="1"/>
    <col min="515" max="515" width="5.5703125" style="1" customWidth="1"/>
    <col min="516" max="516" width="23.85546875" style="1" customWidth="1"/>
    <col min="517" max="517" width="8.42578125" style="1" customWidth="1"/>
    <col min="518" max="518" width="8.28515625" style="1" customWidth="1"/>
    <col min="519" max="519" width="16.42578125" style="1" customWidth="1"/>
    <col min="520" max="520" width="3.7109375" style="1" customWidth="1"/>
    <col min="521" max="521" width="3.85546875" style="1" customWidth="1"/>
    <col min="522" max="522" width="5" style="1" customWidth="1"/>
    <col min="523" max="523" width="8" style="1" customWidth="1"/>
    <col min="524" max="524" width="7.5703125" style="1" customWidth="1"/>
    <col min="525" max="526" width="10.28515625" style="1" bestFit="1" customWidth="1"/>
    <col min="527" max="768" width="9.140625" style="1"/>
    <col min="769" max="769" width="4.85546875" style="1" customWidth="1"/>
    <col min="770" max="770" width="19.140625" style="1" customWidth="1"/>
    <col min="771" max="771" width="5.5703125" style="1" customWidth="1"/>
    <col min="772" max="772" width="23.85546875" style="1" customWidth="1"/>
    <col min="773" max="773" width="8.42578125" style="1" customWidth="1"/>
    <col min="774" max="774" width="8.28515625" style="1" customWidth="1"/>
    <col min="775" max="775" width="16.42578125" style="1" customWidth="1"/>
    <col min="776" max="776" width="3.7109375" style="1" customWidth="1"/>
    <col min="777" max="777" width="3.85546875" style="1" customWidth="1"/>
    <col min="778" max="778" width="5" style="1" customWidth="1"/>
    <col min="779" max="779" width="8" style="1" customWidth="1"/>
    <col min="780" max="780" width="7.5703125" style="1" customWidth="1"/>
    <col min="781" max="782" width="10.28515625" style="1" bestFit="1" customWidth="1"/>
    <col min="783" max="1024" width="9.140625" style="1"/>
    <col min="1025" max="1025" width="4.85546875" style="1" customWidth="1"/>
    <col min="1026" max="1026" width="19.140625" style="1" customWidth="1"/>
    <col min="1027" max="1027" width="5.5703125" style="1" customWidth="1"/>
    <col min="1028" max="1028" width="23.85546875" style="1" customWidth="1"/>
    <col min="1029" max="1029" width="8.42578125" style="1" customWidth="1"/>
    <col min="1030" max="1030" width="8.28515625" style="1" customWidth="1"/>
    <col min="1031" max="1031" width="16.42578125" style="1" customWidth="1"/>
    <col min="1032" max="1032" width="3.7109375" style="1" customWidth="1"/>
    <col min="1033" max="1033" width="3.85546875" style="1" customWidth="1"/>
    <col min="1034" max="1034" width="5" style="1" customWidth="1"/>
    <col min="1035" max="1035" width="8" style="1" customWidth="1"/>
    <col min="1036" max="1036" width="7.5703125" style="1" customWidth="1"/>
    <col min="1037" max="1038" width="10.28515625" style="1" bestFit="1" customWidth="1"/>
    <col min="1039" max="1280" width="9.140625" style="1"/>
    <col min="1281" max="1281" width="4.85546875" style="1" customWidth="1"/>
    <col min="1282" max="1282" width="19.140625" style="1" customWidth="1"/>
    <col min="1283" max="1283" width="5.5703125" style="1" customWidth="1"/>
    <col min="1284" max="1284" width="23.85546875" style="1" customWidth="1"/>
    <col min="1285" max="1285" width="8.42578125" style="1" customWidth="1"/>
    <col min="1286" max="1286" width="8.28515625" style="1" customWidth="1"/>
    <col min="1287" max="1287" width="16.42578125" style="1" customWidth="1"/>
    <col min="1288" max="1288" width="3.7109375" style="1" customWidth="1"/>
    <col min="1289" max="1289" width="3.85546875" style="1" customWidth="1"/>
    <col min="1290" max="1290" width="5" style="1" customWidth="1"/>
    <col min="1291" max="1291" width="8" style="1" customWidth="1"/>
    <col min="1292" max="1292" width="7.5703125" style="1" customWidth="1"/>
    <col min="1293" max="1294" width="10.28515625" style="1" bestFit="1" customWidth="1"/>
    <col min="1295" max="1536" width="9.140625" style="1"/>
    <col min="1537" max="1537" width="4.85546875" style="1" customWidth="1"/>
    <col min="1538" max="1538" width="19.140625" style="1" customWidth="1"/>
    <col min="1539" max="1539" width="5.5703125" style="1" customWidth="1"/>
    <col min="1540" max="1540" width="23.85546875" style="1" customWidth="1"/>
    <col min="1541" max="1541" width="8.42578125" style="1" customWidth="1"/>
    <col min="1542" max="1542" width="8.28515625" style="1" customWidth="1"/>
    <col min="1543" max="1543" width="16.42578125" style="1" customWidth="1"/>
    <col min="1544" max="1544" width="3.7109375" style="1" customWidth="1"/>
    <col min="1545" max="1545" width="3.85546875" style="1" customWidth="1"/>
    <col min="1546" max="1546" width="5" style="1" customWidth="1"/>
    <col min="1547" max="1547" width="8" style="1" customWidth="1"/>
    <col min="1548" max="1548" width="7.5703125" style="1" customWidth="1"/>
    <col min="1549" max="1550" width="10.28515625" style="1" bestFit="1" customWidth="1"/>
    <col min="1551" max="1792" width="9.140625" style="1"/>
    <col min="1793" max="1793" width="4.85546875" style="1" customWidth="1"/>
    <col min="1794" max="1794" width="19.140625" style="1" customWidth="1"/>
    <col min="1795" max="1795" width="5.5703125" style="1" customWidth="1"/>
    <col min="1796" max="1796" width="23.85546875" style="1" customWidth="1"/>
    <col min="1797" max="1797" width="8.42578125" style="1" customWidth="1"/>
    <col min="1798" max="1798" width="8.28515625" style="1" customWidth="1"/>
    <col min="1799" max="1799" width="16.42578125" style="1" customWidth="1"/>
    <col min="1800" max="1800" width="3.7109375" style="1" customWidth="1"/>
    <col min="1801" max="1801" width="3.85546875" style="1" customWidth="1"/>
    <col min="1802" max="1802" width="5" style="1" customWidth="1"/>
    <col min="1803" max="1803" width="8" style="1" customWidth="1"/>
    <col min="1804" max="1804" width="7.5703125" style="1" customWidth="1"/>
    <col min="1805" max="1806" width="10.28515625" style="1" bestFit="1" customWidth="1"/>
    <col min="1807" max="2048" width="9.140625" style="1"/>
    <col min="2049" max="2049" width="4.85546875" style="1" customWidth="1"/>
    <col min="2050" max="2050" width="19.140625" style="1" customWidth="1"/>
    <col min="2051" max="2051" width="5.5703125" style="1" customWidth="1"/>
    <col min="2052" max="2052" width="23.85546875" style="1" customWidth="1"/>
    <col min="2053" max="2053" width="8.42578125" style="1" customWidth="1"/>
    <col min="2054" max="2054" width="8.28515625" style="1" customWidth="1"/>
    <col min="2055" max="2055" width="16.42578125" style="1" customWidth="1"/>
    <col min="2056" max="2056" width="3.7109375" style="1" customWidth="1"/>
    <col min="2057" max="2057" width="3.85546875" style="1" customWidth="1"/>
    <col min="2058" max="2058" width="5" style="1" customWidth="1"/>
    <col min="2059" max="2059" width="8" style="1" customWidth="1"/>
    <col min="2060" max="2060" width="7.5703125" style="1" customWidth="1"/>
    <col min="2061" max="2062" width="10.28515625" style="1" bestFit="1" customWidth="1"/>
    <col min="2063" max="2304" width="9.140625" style="1"/>
    <col min="2305" max="2305" width="4.85546875" style="1" customWidth="1"/>
    <col min="2306" max="2306" width="19.140625" style="1" customWidth="1"/>
    <col min="2307" max="2307" width="5.5703125" style="1" customWidth="1"/>
    <col min="2308" max="2308" width="23.85546875" style="1" customWidth="1"/>
    <col min="2309" max="2309" width="8.42578125" style="1" customWidth="1"/>
    <col min="2310" max="2310" width="8.28515625" style="1" customWidth="1"/>
    <col min="2311" max="2311" width="16.42578125" style="1" customWidth="1"/>
    <col min="2312" max="2312" width="3.7109375" style="1" customWidth="1"/>
    <col min="2313" max="2313" width="3.85546875" style="1" customWidth="1"/>
    <col min="2314" max="2314" width="5" style="1" customWidth="1"/>
    <col min="2315" max="2315" width="8" style="1" customWidth="1"/>
    <col min="2316" max="2316" width="7.5703125" style="1" customWidth="1"/>
    <col min="2317" max="2318" width="10.28515625" style="1" bestFit="1" customWidth="1"/>
    <col min="2319" max="2560" width="9.140625" style="1"/>
    <col min="2561" max="2561" width="4.85546875" style="1" customWidth="1"/>
    <col min="2562" max="2562" width="19.140625" style="1" customWidth="1"/>
    <col min="2563" max="2563" width="5.5703125" style="1" customWidth="1"/>
    <col min="2564" max="2564" width="23.85546875" style="1" customWidth="1"/>
    <col min="2565" max="2565" width="8.42578125" style="1" customWidth="1"/>
    <col min="2566" max="2566" width="8.28515625" style="1" customWidth="1"/>
    <col min="2567" max="2567" width="16.42578125" style="1" customWidth="1"/>
    <col min="2568" max="2568" width="3.7109375" style="1" customWidth="1"/>
    <col min="2569" max="2569" width="3.85546875" style="1" customWidth="1"/>
    <col min="2570" max="2570" width="5" style="1" customWidth="1"/>
    <col min="2571" max="2571" width="8" style="1" customWidth="1"/>
    <col min="2572" max="2572" width="7.5703125" style="1" customWidth="1"/>
    <col min="2573" max="2574" width="10.28515625" style="1" bestFit="1" customWidth="1"/>
    <col min="2575" max="2816" width="9.140625" style="1"/>
    <col min="2817" max="2817" width="4.85546875" style="1" customWidth="1"/>
    <col min="2818" max="2818" width="19.140625" style="1" customWidth="1"/>
    <col min="2819" max="2819" width="5.5703125" style="1" customWidth="1"/>
    <col min="2820" max="2820" width="23.85546875" style="1" customWidth="1"/>
    <col min="2821" max="2821" width="8.42578125" style="1" customWidth="1"/>
    <col min="2822" max="2822" width="8.28515625" style="1" customWidth="1"/>
    <col min="2823" max="2823" width="16.42578125" style="1" customWidth="1"/>
    <col min="2824" max="2824" width="3.7109375" style="1" customWidth="1"/>
    <col min="2825" max="2825" width="3.85546875" style="1" customWidth="1"/>
    <col min="2826" max="2826" width="5" style="1" customWidth="1"/>
    <col min="2827" max="2827" width="8" style="1" customWidth="1"/>
    <col min="2828" max="2828" width="7.5703125" style="1" customWidth="1"/>
    <col min="2829" max="2830" width="10.28515625" style="1" bestFit="1" customWidth="1"/>
    <col min="2831" max="3072" width="9.140625" style="1"/>
    <col min="3073" max="3073" width="4.85546875" style="1" customWidth="1"/>
    <col min="3074" max="3074" width="19.140625" style="1" customWidth="1"/>
    <col min="3075" max="3075" width="5.5703125" style="1" customWidth="1"/>
    <col min="3076" max="3076" width="23.85546875" style="1" customWidth="1"/>
    <col min="3077" max="3077" width="8.42578125" style="1" customWidth="1"/>
    <col min="3078" max="3078" width="8.28515625" style="1" customWidth="1"/>
    <col min="3079" max="3079" width="16.42578125" style="1" customWidth="1"/>
    <col min="3080" max="3080" width="3.7109375" style="1" customWidth="1"/>
    <col min="3081" max="3081" width="3.85546875" style="1" customWidth="1"/>
    <col min="3082" max="3082" width="5" style="1" customWidth="1"/>
    <col min="3083" max="3083" width="8" style="1" customWidth="1"/>
    <col min="3084" max="3084" width="7.5703125" style="1" customWidth="1"/>
    <col min="3085" max="3086" width="10.28515625" style="1" bestFit="1" customWidth="1"/>
    <col min="3087" max="3328" width="9.140625" style="1"/>
    <col min="3329" max="3329" width="4.85546875" style="1" customWidth="1"/>
    <col min="3330" max="3330" width="19.140625" style="1" customWidth="1"/>
    <col min="3331" max="3331" width="5.5703125" style="1" customWidth="1"/>
    <col min="3332" max="3332" width="23.85546875" style="1" customWidth="1"/>
    <col min="3333" max="3333" width="8.42578125" style="1" customWidth="1"/>
    <col min="3334" max="3334" width="8.28515625" style="1" customWidth="1"/>
    <col min="3335" max="3335" width="16.42578125" style="1" customWidth="1"/>
    <col min="3336" max="3336" width="3.7109375" style="1" customWidth="1"/>
    <col min="3337" max="3337" width="3.85546875" style="1" customWidth="1"/>
    <col min="3338" max="3338" width="5" style="1" customWidth="1"/>
    <col min="3339" max="3339" width="8" style="1" customWidth="1"/>
    <col min="3340" max="3340" width="7.5703125" style="1" customWidth="1"/>
    <col min="3341" max="3342" width="10.28515625" style="1" bestFit="1" customWidth="1"/>
    <col min="3343" max="3584" width="9.140625" style="1"/>
    <col min="3585" max="3585" width="4.85546875" style="1" customWidth="1"/>
    <col min="3586" max="3586" width="19.140625" style="1" customWidth="1"/>
    <col min="3587" max="3587" width="5.5703125" style="1" customWidth="1"/>
    <col min="3588" max="3588" width="23.85546875" style="1" customWidth="1"/>
    <col min="3589" max="3589" width="8.42578125" style="1" customWidth="1"/>
    <col min="3590" max="3590" width="8.28515625" style="1" customWidth="1"/>
    <col min="3591" max="3591" width="16.42578125" style="1" customWidth="1"/>
    <col min="3592" max="3592" width="3.7109375" style="1" customWidth="1"/>
    <col min="3593" max="3593" width="3.85546875" style="1" customWidth="1"/>
    <col min="3594" max="3594" width="5" style="1" customWidth="1"/>
    <col min="3595" max="3595" width="8" style="1" customWidth="1"/>
    <col min="3596" max="3596" width="7.5703125" style="1" customWidth="1"/>
    <col min="3597" max="3598" width="10.28515625" style="1" bestFit="1" customWidth="1"/>
    <col min="3599" max="3840" width="9.140625" style="1"/>
    <col min="3841" max="3841" width="4.85546875" style="1" customWidth="1"/>
    <col min="3842" max="3842" width="19.140625" style="1" customWidth="1"/>
    <col min="3843" max="3843" width="5.5703125" style="1" customWidth="1"/>
    <col min="3844" max="3844" width="23.85546875" style="1" customWidth="1"/>
    <col min="3845" max="3845" width="8.42578125" style="1" customWidth="1"/>
    <col min="3846" max="3846" width="8.28515625" style="1" customWidth="1"/>
    <col min="3847" max="3847" width="16.42578125" style="1" customWidth="1"/>
    <col min="3848" max="3848" width="3.7109375" style="1" customWidth="1"/>
    <col min="3849" max="3849" width="3.85546875" style="1" customWidth="1"/>
    <col min="3850" max="3850" width="5" style="1" customWidth="1"/>
    <col min="3851" max="3851" width="8" style="1" customWidth="1"/>
    <col min="3852" max="3852" width="7.5703125" style="1" customWidth="1"/>
    <col min="3853" max="3854" width="10.28515625" style="1" bestFit="1" customWidth="1"/>
    <col min="3855" max="4096" width="9.140625" style="1"/>
    <col min="4097" max="4097" width="4.85546875" style="1" customWidth="1"/>
    <col min="4098" max="4098" width="19.140625" style="1" customWidth="1"/>
    <col min="4099" max="4099" width="5.5703125" style="1" customWidth="1"/>
    <col min="4100" max="4100" width="23.85546875" style="1" customWidth="1"/>
    <col min="4101" max="4101" width="8.42578125" style="1" customWidth="1"/>
    <col min="4102" max="4102" width="8.28515625" style="1" customWidth="1"/>
    <col min="4103" max="4103" width="16.42578125" style="1" customWidth="1"/>
    <col min="4104" max="4104" width="3.7109375" style="1" customWidth="1"/>
    <col min="4105" max="4105" width="3.85546875" style="1" customWidth="1"/>
    <col min="4106" max="4106" width="5" style="1" customWidth="1"/>
    <col min="4107" max="4107" width="8" style="1" customWidth="1"/>
    <col min="4108" max="4108" width="7.5703125" style="1" customWidth="1"/>
    <col min="4109" max="4110" width="10.28515625" style="1" bestFit="1" customWidth="1"/>
    <col min="4111" max="4352" width="9.140625" style="1"/>
    <col min="4353" max="4353" width="4.85546875" style="1" customWidth="1"/>
    <col min="4354" max="4354" width="19.140625" style="1" customWidth="1"/>
    <col min="4355" max="4355" width="5.5703125" style="1" customWidth="1"/>
    <col min="4356" max="4356" width="23.85546875" style="1" customWidth="1"/>
    <col min="4357" max="4357" width="8.42578125" style="1" customWidth="1"/>
    <col min="4358" max="4358" width="8.28515625" style="1" customWidth="1"/>
    <col min="4359" max="4359" width="16.42578125" style="1" customWidth="1"/>
    <col min="4360" max="4360" width="3.7109375" style="1" customWidth="1"/>
    <col min="4361" max="4361" width="3.85546875" style="1" customWidth="1"/>
    <col min="4362" max="4362" width="5" style="1" customWidth="1"/>
    <col min="4363" max="4363" width="8" style="1" customWidth="1"/>
    <col min="4364" max="4364" width="7.5703125" style="1" customWidth="1"/>
    <col min="4365" max="4366" width="10.28515625" style="1" bestFit="1" customWidth="1"/>
    <col min="4367" max="4608" width="9.140625" style="1"/>
    <col min="4609" max="4609" width="4.85546875" style="1" customWidth="1"/>
    <col min="4610" max="4610" width="19.140625" style="1" customWidth="1"/>
    <col min="4611" max="4611" width="5.5703125" style="1" customWidth="1"/>
    <col min="4612" max="4612" width="23.85546875" style="1" customWidth="1"/>
    <col min="4613" max="4613" width="8.42578125" style="1" customWidth="1"/>
    <col min="4614" max="4614" width="8.28515625" style="1" customWidth="1"/>
    <col min="4615" max="4615" width="16.42578125" style="1" customWidth="1"/>
    <col min="4616" max="4616" width="3.7109375" style="1" customWidth="1"/>
    <col min="4617" max="4617" width="3.85546875" style="1" customWidth="1"/>
    <col min="4618" max="4618" width="5" style="1" customWidth="1"/>
    <col min="4619" max="4619" width="8" style="1" customWidth="1"/>
    <col min="4620" max="4620" width="7.5703125" style="1" customWidth="1"/>
    <col min="4621" max="4622" width="10.28515625" style="1" bestFit="1" customWidth="1"/>
    <col min="4623" max="4864" width="9.140625" style="1"/>
    <col min="4865" max="4865" width="4.85546875" style="1" customWidth="1"/>
    <col min="4866" max="4866" width="19.140625" style="1" customWidth="1"/>
    <col min="4867" max="4867" width="5.5703125" style="1" customWidth="1"/>
    <col min="4868" max="4868" width="23.85546875" style="1" customWidth="1"/>
    <col min="4869" max="4869" width="8.42578125" style="1" customWidth="1"/>
    <col min="4870" max="4870" width="8.28515625" style="1" customWidth="1"/>
    <col min="4871" max="4871" width="16.42578125" style="1" customWidth="1"/>
    <col min="4872" max="4872" width="3.7109375" style="1" customWidth="1"/>
    <col min="4873" max="4873" width="3.85546875" style="1" customWidth="1"/>
    <col min="4874" max="4874" width="5" style="1" customWidth="1"/>
    <col min="4875" max="4875" width="8" style="1" customWidth="1"/>
    <col min="4876" max="4876" width="7.5703125" style="1" customWidth="1"/>
    <col min="4877" max="4878" width="10.28515625" style="1" bestFit="1" customWidth="1"/>
    <col min="4879" max="5120" width="9.140625" style="1"/>
    <col min="5121" max="5121" width="4.85546875" style="1" customWidth="1"/>
    <col min="5122" max="5122" width="19.140625" style="1" customWidth="1"/>
    <col min="5123" max="5123" width="5.5703125" style="1" customWidth="1"/>
    <col min="5124" max="5124" width="23.85546875" style="1" customWidth="1"/>
    <col min="5125" max="5125" width="8.42578125" style="1" customWidth="1"/>
    <col min="5126" max="5126" width="8.28515625" style="1" customWidth="1"/>
    <col min="5127" max="5127" width="16.42578125" style="1" customWidth="1"/>
    <col min="5128" max="5128" width="3.7109375" style="1" customWidth="1"/>
    <col min="5129" max="5129" width="3.85546875" style="1" customWidth="1"/>
    <col min="5130" max="5130" width="5" style="1" customWidth="1"/>
    <col min="5131" max="5131" width="8" style="1" customWidth="1"/>
    <col min="5132" max="5132" width="7.5703125" style="1" customWidth="1"/>
    <col min="5133" max="5134" width="10.28515625" style="1" bestFit="1" customWidth="1"/>
    <col min="5135" max="5376" width="9.140625" style="1"/>
    <col min="5377" max="5377" width="4.85546875" style="1" customWidth="1"/>
    <col min="5378" max="5378" width="19.140625" style="1" customWidth="1"/>
    <col min="5379" max="5379" width="5.5703125" style="1" customWidth="1"/>
    <col min="5380" max="5380" width="23.85546875" style="1" customWidth="1"/>
    <col min="5381" max="5381" width="8.42578125" style="1" customWidth="1"/>
    <col min="5382" max="5382" width="8.28515625" style="1" customWidth="1"/>
    <col min="5383" max="5383" width="16.42578125" style="1" customWidth="1"/>
    <col min="5384" max="5384" width="3.7109375" style="1" customWidth="1"/>
    <col min="5385" max="5385" width="3.85546875" style="1" customWidth="1"/>
    <col min="5386" max="5386" width="5" style="1" customWidth="1"/>
    <col min="5387" max="5387" width="8" style="1" customWidth="1"/>
    <col min="5388" max="5388" width="7.5703125" style="1" customWidth="1"/>
    <col min="5389" max="5390" width="10.28515625" style="1" bestFit="1" customWidth="1"/>
    <col min="5391" max="5632" width="9.140625" style="1"/>
    <col min="5633" max="5633" width="4.85546875" style="1" customWidth="1"/>
    <col min="5634" max="5634" width="19.140625" style="1" customWidth="1"/>
    <col min="5635" max="5635" width="5.5703125" style="1" customWidth="1"/>
    <col min="5636" max="5636" width="23.85546875" style="1" customWidth="1"/>
    <col min="5637" max="5637" width="8.42578125" style="1" customWidth="1"/>
    <col min="5638" max="5638" width="8.28515625" style="1" customWidth="1"/>
    <col min="5639" max="5639" width="16.42578125" style="1" customWidth="1"/>
    <col min="5640" max="5640" width="3.7109375" style="1" customWidth="1"/>
    <col min="5641" max="5641" width="3.85546875" style="1" customWidth="1"/>
    <col min="5642" max="5642" width="5" style="1" customWidth="1"/>
    <col min="5643" max="5643" width="8" style="1" customWidth="1"/>
    <col min="5644" max="5644" width="7.5703125" style="1" customWidth="1"/>
    <col min="5645" max="5646" width="10.28515625" style="1" bestFit="1" customWidth="1"/>
    <col min="5647" max="5888" width="9.140625" style="1"/>
    <col min="5889" max="5889" width="4.85546875" style="1" customWidth="1"/>
    <col min="5890" max="5890" width="19.140625" style="1" customWidth="1"/>
    <col min="5891" max="5891" width="5.5703125" style="1" customWidth="1"/>
    <col min="5892" max="5892" width="23.85546875" style="1" customWidth="1"/>
    <col min="5893" max="5893" width="8.42578125" style="1" customWidth="1"/>
    <col min="5894" max="5894" width="8.28515625" style="1" customWidth="1"/>
    <col min="5895" max="5895" width="16.42578125" style="1" customWidth="1"/>
    <col min="5896" max="5896" width="3.7109375" style="1" customWidth="1"/>
    <col min="5897" max="5897" width="3.85546875" style="1" customWidth="1"/>
    <col min="5898" max="5898" width="5" style="1" customWidth="1"/>
    <col min="5899" max="5899" width="8" style="1" customWidth="1"/>
    <col min="5900" max="5900" width="7.5703125" style="1" customWidth="1"/>
    <col min="5901" max="5902" width="10.28515625" style="1" bestFit="1" customWidth="1"/>
    <col min="5903" max="6144" width="9.140625" style="1"/>
    <col min="6145" max="6145" width="4.85546875" style="1" customWidth="1"/>
    <col min="6146" max="6146" width="19.140625" style="1" customWidth="1"/>
    <col min="6147" max="6147" width="5.5703125" style="1" customWidth="1"/>
    <col min="6148" max="6148" width="23.85546875" style="1" customWidth="1"/>
    <col min="6149" max="6149" width="8.42578125" style="1" customWidth="1"/>
    <col min="6150" max="6150" width="8.28515625" style="1" customWidth="1"/>
    <col min="6151" max="6151" width="16.42578125" style="1" customWidth="1"/>
    <col min="6152" max="6152" width="3.7109375" style="1" customWidth="1"/>
    <col min="6153" max="6153" width="3.85546875" style="1" customWidth="1"/>
    <col min="6154" max="6154" width="5" style="1" customWidth="1"/>
    <col min="6155" max="6155" width="8" style="1" customWidth="1"/>
    <col min="6156" max="6156" width="7.5703125" style="1" customWidth="1"/>
    <col min="6157" max="6158" width="10.28515625" style="1" bestFit="1" customWidth="1"/>
    <col min="6159" max="6400" width="9.140625" style="1"/>
    <col min="6401" max="6401" width="4.85546875" style="1" customWidth="1"/>
    <col min="6402" max="6402" width="19.140625" style="1" customWidth="1"/>
    <col min="6403" max="6403" width="5.5703125" style="1" customWidth="1"/>
    <col min="6404" max="6404" width="23.85546875" style="1" customWidth="1"/>
    <col min="6405" max="6405" width="8.42578125" style="1" customWidth="1"/>
    <col min="6406" max="6406" width="8.28515625" style="1" customWidth="1"/>
    <col min="6407" max="6407" width="16.42578125" style="1" customWidth="1"/>
    <col min="6408" max="6408" width="3.7109375" style="1" customWidth="1"/>
    <col min="6409" max="6409" width="3.85546875" style="1" customWidth="1"/>
    <col min="6410" max="6410" width="5" style="1" customWidth="1"/>
    <col min="6411" max="6411" width="8" style="1" customWidth="1"/>
    <col min="6412" max="6412" width="7.5703125" style="1" customWidth="1"/>
    <col min="6413" max="6414" width="10.28515625" style="1" bestFit="1" customWidth="1"/>
    <col min="6415" max="6656" width="9.140625" style="1"/>
    <col min="6657" max="6657" width="4.85546875" style="1" customWidth="1"/>
    <col min="6658" max="6658" width="19.140625" style="1" customWidth="1"/>
    <col min="6659" max="6659" width="5.5703125" style="1" customWidth="1"/>
    <col min="6660" max="6660" width="23.85546875" style="1" customWidth="1"/>
    <col min="6661" max="6661" width="8.42578125" style="1" customWidth="1"/>
    <col min="6662" max="6662" width="8.28515625" style="1" customWidth="1"/>
    <col min="6663" max="6663" width="16.42578125" style="1" customWidth="1"/>
    <col min="6664" max="6664" width="3.7109375" style="1" customWidth="1"/>
    <col min="6665" max="6665" width="3.85546875" style="1" customWidth="1"/>
    <col min="6666" max="6666" width="5" style="1" customWidth="1"/>
    <col min="6667" max="6667" width="8" style="1" customWidth="1"/>
    <col min="6668" max="6668" width="7.5703125" style="1" customWidth="1"/>
    <col min="6669" max="6670" width="10.28515625" style="1" bestFit="1" customWidth="1"/>
    <col min="6671" max="6912" width="9.140625" style="1"/>
    <col min="6913" max="6913" width="4.85546875" style="1" customWidth="1"/>
    <col min="6914" max="6914" width="19.140625" style="1" customWidth="1"/>
    <col min="6915" max="6915" width="5.5703125" style="1" customWidth="1"/>
    <col min="6916" max="6916" width="23.85546875" style="1" customWidth="1"/>
    <col min="6917" max="6917" width="8.42578125" style="1" customWidth="1"/>
    <col min="6918" max="6918" width="8.28515625" style="1" customWidth="1"/>
    <col min="6919" max="6919" width="16.42578125" style="1" customWidth="1"/>
    <col min="6920" max="6920" width="3.7109375" style="1" customWidth="1"/>
    <col min="6921" max="6921" width="3.85546875" style="1" customWidth="1"/>
    <col min="6922" max="6922" width="5" style="1" customWidth="1"/>
    <col min="6923" max="6923" width="8" style="1" customWidth="1"/>
    <col min="6924" max="6924" width="7.5703125" style="1" customWidth="1"/>
    <col min="6925" max="6926" width="10.28515625" style="1" bestFit="1" customWidth="1"/>
    <col min="6927" max="7168" width="9.140625" style="1"/>
    <col min="7169" max="7169" width="4.85546875" style="1" customWidth="1"/>
    <col min="7170" max="7170" width="19.140625" style="1" customWidth="1"/>
    <col min="7171" max="7171" width="5.5703125" style="1" customWidth="1"/>
    <col min="7172" max="7172" width="23.85546875" style="1" customWidth="1"/>
    <col min="7173" max="7173" width="8.42578125" style="1" customWidth="1"/>
    <col min="7174" max="7174" width="8.28515625" style="1" customWidth="1"/>
    <col min="7175" max="7175" width="16.42578125" style="1" customWidth="1"/>
    <col min="7176" max="7176" width="3.7109375" style="1" customWidth="1"/>
    <col min="7177" max="7177" width="3.85546875" style="1" customWidth="1"/>
    <col min="7178" max="7178" width="5" style="1" customWidth="1"/>
    <col min="7179" max="7179" width="8" style="1" customWidth="1"/>
    <col min="7180" max="7180" width="7.5703125" style="1" customWidth="1"/>
    <col min="7181" max="7182" width="10.28515625" style="1" bestFit="1" customWidth="1"/>
    <col min="7183" max="7424" width="9.140625" style="1"/>
    <col min="7425" max="7425" width="4.85546875" style="1" customWidth="1"/>
    <col min="7426" max="7426" width="19.140625" style="1" customWidth="1"/>
    <col min="7427" max="7427" width="5.5703125" style="1" customWidth="1"/>
    <col min="7428" max="7428" width="23.85546875" style="1" customWidth="1"/>
    <col min="7429" max="7429" width="8.42578125" style="1" customWidth="1"/>
    <col min="7430" max="7430" width="8.28515625" style="1" customWidth="1"/>
    <col min="7431" max="7431" width="16.42578125" style="1" customWidth="1"/>
    <col min="7432" max="7432" width="3.7109375" style="1" customWidth="1"/>
    <col min="7433" max="7433" width="3.85546875" style="1" customWidth="1"/>
    <col min="7434" max="7434" width="5" style="1" customWidth="1"/>
    <col min="7435" max="7435" width="8" style="1" customWidth="1"/>
    <col min="7436" max="7436" width="7.5703125" style="1" customWidth="1"/>
    <col min="7437" max="7438" width="10.28515625" style="1" bestFit="1" customWidth="1"/>
    <col min="7439" max="7680" width="9.140625" style="1"/>
    <col min="7681" max="7681" width="4.85546875" style="1" customWidth="1"/>
    <col min="7682" max="7682" width="19.140625" style="1" customWidth="1"/>
    <col min="7683" max="7683" width="5.5703125" style="1" customWidth="1"/>
    <col min="7684" max="7684" width="23.85546875" style="1" customWidth="1"/>
    <col min="7685" max="7685" width="8.42578125" style="1" customWidth="1"/>
    <col min="7686" max="7686" width="8.28515625" style="1" customWidth="1"/>
    <col min="7687" max="7687" width="16.42578125" style="1" customWidth="1"/>
    <col min="7688" max="7688" width="3.7109375" style="1" customWidth="1"/>
    <col min="7689" max="7689" width="3.85546875" style="1" customWidth="1"/>
    <col min="7690" max="7690" width="5" style="1" customWidth="1"/>
    <col min="7691" max="7691" width="8" style="1" customWidth="1"/>
    <col min="7692" max="7692" width="7.5703125" style="1" customWidth="1"/>
    <col min="7693" max="7694" width="10.28515625" style="1" bestFit="1" customWidth="1"/>
    <col min="7695" max="7936" width="9.140625" style="1"/>
    <col min="7937" max="7937" width="4.85546875" style="1" customWidth="1"/>
    <col min="7938" max="7938" width="19.140625" style="1" customWidth="1"/>
    <col min="7939" max="7939" width="5.5703125" style="1" customWidth="1"/>
    <col min="7940" max="7940" width="23.85546875" style="1" customWidth="1"/>
    <col min="7941" max="7941" width="8.42578125" style="1" customWidth="1"/>
    <col min="7942" max="7942" width="8.28515625" style="1" customWidth="1"/>
    <col min="7943" max="7943" width="16.42578125" style="1" customWidth="1"/>
    <col min="7944" max="7944" width="3.7109375" style="1" customWidth="1"/>
    <col min="7945" max="7945" width="3.85546875" style="1" customWidth="1"/>
    <col min="7946" max="7946" width="5" style="1" customWidth="1"/>
    <col min="7947" max="7947" width="8" style="1" customWidth="1"/>
    <col min="7948" max="7948" width="7.5703125" style="1" customWidth="1"/>
    <col min="7949" max="7950" width="10.28515625" style="1" bestFit="1" customWidth="1"/>
    <col min="7951" max="8192" width="9.140625" style="1"/>
    <col min="8193" max="8193" width="4.85546875" style="1" customWidth="1"/>
    <col min="8194" max="8194" width="19.140625" style="1" customWidth="1"/>
    <col min="8195" max="8195" width="5.5703125" style="1" customWidth="1"/>
    <col min="8196" max="8196" width="23.85546875" style="1" customWidth="1"/>
    <col min="8197" max="8197" width="8.42578125" style="1" customWidth="1"/>
    <col min="8198" max="8198" width="8.28515625" style="1" customWidth="1"/>
    <col min="8199" max="8199" width="16.42578125" style="1" customWidth="1"/>
    <col min="8200" max="8200" width="3.7109375" style="1" customWidth="1"/>
    <col min="8201" max="8201" width="3.85546875" style="1" customWidth="1"/>
    <col min="8202" max="8202" width="5" style="1" customWidth="1"/>
    <col min="8203" max="8203" width="8" style="1" customWidth="1"/>
    <col min="8204" max="8204" width="7.5703125" style="1" customWidth="1"/>
    <col min="8205" max="8206" width="10.28515625" style="1" bestFit="1" customWidth="1"/>
    <col min="8207" max="8448" width="9.140625" style="1"/>
    <col min="8449" max="8449" width="4.85546875" style="1" customWidth="1"/>
    <col min="8450" max="8450" width="19.140625" style="1" customWidth="1"/>
    <col min="8451" max="8451" width="5.5703125" style="1" customWidth="1"/>
    <col min="8452" max="8452" width="23.85546875" style="1" customWidth="1"/>
    <col min="8453" max="8453" width="8.42578125" style="1" customWidth="1"/>
    <col min="8454" max="8454" width="8.28515625" style="1" customWidth="1"/>
    <col min="8455" max="8455" width="16.42578125" style="1" customWidth="1"/>
    <col min="8456" max="8456" width="3.7109375" style="1" customWidth="1"/>
    <col min="8457" max="8457" width="3.85546875" style="1" customWidth="1"/>
    <col min="8458" max="8458" width="5" style="1" customWidth="1"/>
    <col min="8459" max="8459" width="8" style="1" customWidth="1"/>
    <col min="8460" max="8460" width="7.5703125" style="1" customWidth="1"/>
    <col min="8461" max="8462" width="10.28515625" style="1" bestFit="1" customWidth="1"/>
    <col min="8463" max="8704" width="9.140625" style="1"/>
    <col min="8705" max="8705" width="4.85546875" style="1" customWidth="1"/>
    <col min="8706" max="8706" width="19.140625" style="1" customWidth="1"/>
    <col min="8707" max="8707" width="5.5703125" style="1" customWidth="1"/>
    <col min="8708" max="8708" width="23.85546875" style="1" customWidth="1"/>
    <col min="8709" max="8709" width="8.42578125" style="1" customWidth="1"/>
    <col min="8710" max="8710" width="8.28515625" style="1" customWidth="1"/>
    <col min="8711" max="8711" width="16.42578125" style="1" customWidth="1"/>
    <col min="8712" max="8712" width="3.7109375" style="1" customWidth="1"/>
    <col min="8713" max="8713" width="3.85546875" style="1" customWidth="1"/>
    <col min="8714" max="8714" width="5" style="1" customWidth="1"/>
    <col min="8715" max="8715" width="8" style="1" customWidth="1"/>
    <col min="8716" max="8716" width="7.5703125" style="1" customWidth="1"/>
    <col min="8717" max="8718" width="10.28515625" style="1" bestFit="1" customWidth="1"/>
    <col min="8719" max="8960" width="9.140625" style="1"/>
    <col min="8961" max="8961" width="4.85546875" style="1" customWidth="1"/>
    <col min="8962" max="8962" width="19.140625" style="1" customWidth="1"/>
    <col min="8963" max="8963" width="5.5703125" style="1" customWidth="1"/>
    <col min="8964" max="8964" width="23.85546875" style="1" customWidth="1"/>
    <col min="8965" max="8965" width="8.42578125" style="1" customWidth="1"/>
    <col min="8966" max="8966" width="8.28515625" style="1" customWidth="1"/>
    <col min="8967" max="8967" width="16.42578125" style="1" customWidth="1"/>
    <col min="8968" max="8968" width="3.7109375" style="1" customWidth="1"/>
    <col min="8969" max="8969" width="3.85546875" style="1" customWidth="1"/>
    <col min="8970" max="8970" width="5" style="1" customWidth="1"/>
    <col min="8971" max="8971" width="8" style="1" customWidth="1"/>
    <col min="8972" max="8972" width="7.5703125" style="1" customWidth="1"/>
    <col min="8973" max="8974" width="10.28515625" style="1" bestFit="1" customWidth="1"/>
    <col min="8975" max="9216" width="9.140625" style="1"/>
    <col min="9217" max="9217" width="4.85546875" style="1" customWidth="1"/>
    <col min="9218" max="9218" width="19.140625" style="1" customWidth="1"/>
    <col min="9219" max="9219" width="5.5703125" style="1" customWidth="1"/>
    <col min="9220" max="9220" width="23.85546875" style="1" customWidth="1"/>
    <col min="9221" max="9221" width="8.42578125" style="1" customWidth="1"/>
    <col min="9222" max="9222" width="8.28515625" style="1" customWidth="1"/>
    <col min="9223" max="9223" width="16.42578125" style="1" customWidth="1"/>
    <col min="9224" max="9224" width="3.7109375" style="1" customWidth="1"/>
    <col min="9225" max="9225" width="3.85546875" style="1" customWidth="1"/>
    <col min="9226" max="9226" width="5" style="1" customWidth="1"/>
    <col min="9227" max="9227" width="8" style="1" customWidth="1"/>
    <col min="9228" max="9228" width="7.5703125" style="1" customWidth="1"/>
    <col min="9229" max="9230" width="10.28515625" style="1" bestFit="1" customWidth="1"/>
    <col min="9231" max="9472" width="9.140625" style="1"/>
    <col min="9473" max="9473" width="4.85546875" style="1" customWidth="1"/>
    <col min="9474" max="9474" width="19.140625" style="1" customWidth="1"/>
    <col min="9475" max="9475" width="5.5703125" style="1" customWidth="1"/>
    <col min="9476" max="9476" width="23.85546875" style="1" customWidth="1"/>
    <col min="9477" max="9477" width="8.42578125" style="1" customWidth="1"/>
    <col min="9478" max="9478" width="8.28515625" style="1" customWidth="1"/>
    <col min="9479" max="9479" width="16.42578125" style="1" customWidth="1"/>
    <col min="9480" max="9480" width="3.7109375" style="1" customWidth="1"/>
    <col min="9481" max="9481" width="3.85546875" style="1" customWidth="1"/>
    <col min="9482" max="9482" width="5" style="1" customWidth="1"/>
    <col min="9483" max="9483" width="8" style="1" customWidth="1"/>
    <col min="9484" max="9484" width="7.5703125" style="1" customWidth="1"/>
    <col min="9485" max="9486" width="10.28515625" style="1" bestFit="1" customWidth="1"/>
    <col min="9487" max="9728" width="9.140625" style="1"/>
    <col min="9729" max="9729" width="4.85546875" style="1" customWidth="1"/>
    <col min="9730" max="9730" width="19.140625" style="1" customWidth="1"/>
    <col min="9731" max="9731" width="5.5703125" style="1" customWidth="1"/>
    <col min="9732" max="9732" width="23.85546875" style="1" customWidth="1"/>
    <col min="9733" max="9733" width="8.42578125" style="1" customWidth="1"/>
    <col min="9734" max="9734" width="8.28515625" style="1" customWidth="1"/>
    <col min="9735" max="9735" width="16.42578125" style="1" customWidth="1"/>
    <col min="9736" max="9736" width="3.7109375" style="1" customWidth="1"/>
    <col min="9737" max="9737" width="3.85546875" style="1" customWidth="1"/>
    <col min="9738" max="9738" width="5" style="1" customWidth="1"/>
    <col min="9739" max="9739" width="8" style="1" customWidth="1"/>
    <col min="9740" max="9740" width="7.5703125" style="1" customWidth="1"/>
    <col min="9741" max="9742" width="10.28515625" style="1" bestFit="1" customWidth="1"/>
    <col min="9743" max="9984" width="9.140625" style="1"/>
    <col min="9985" max="9985" width="4.85546875" style="1" customWidth="1"/>
    <col min="9986" max="9986" width="19.140625" style="1" customWidth="1"/>
    <col min="9987" max="9987" width="5.5703125" style="1" customWidth="1"/>
    <col min="9988" max="9988" width="23.85546875" style="1" customWidth="1"/>
    <col min="9989" max="9989" width="8.42578125" style="1" customWidth="1"/>
    <col min="9990" max="9990" width="8.28515625" style="1" customWidth="1"/>
    <col min="9991" max="9991" width="16.42578125" style="1" customWidth="1"/>
    <col min="9992" max="9992" width="3.7109375" style="1" customWidth="1"/>
    <col min="9993" max="9993" width="3.85546875" style="1" customWidth="1"/>
    <col min="9994" max="9994" width="5" style="1" customWidth="1"/>
    <col min="9995" max="9995" width="8" style="1" customWidth="1"/>
    <col min="9996" max="9996" width="7.5703125" style="1" customWidth="1"/>
    <col min="9997" max="9998" width="10.28515625" style="1" bestFit="1" customWidth="1"/>
    <col min="9999" max="10240" width="9.140625" style="1"/>
    <col min="10241" max="10241" width="4.85546875" style="1" customWidth="1"/>
    <col min="10242" max="10242" width="19.140625" style="1" customWidth="1"/>
    <col min="10243" max="10243" width="5.5703125" style="1" customWidth="1"/>
    <col min="10244" max="10244" width="23.85546875" style="1" customWidth="1"/>
    <col min="10245" max="10245" width="8.42578125" style="1" customWidth="1"/>
    <col min="10246" max="10246" width="8.28515625" style="1" customWidth="1"/>
    <col min="10247" max="10247" width="16.42578125" style="1" customWidth="1"/>
    <col min="10248" max="10248" width="3.7109375" style="1" customWidth="1"/>
    <col min="10249" max="10249" width="3.85546875" style="1" customWidth="1"/>
    <col min="10250" max="10250" width="5" style="1" customWidth="1"/>
    <col min="10251" max="10251" width="8" style="1" customWidth="1"/>
    <col min="10252" max="10252" width="7.5703125" style="1" customWidth="1"/>
    <col min="10253" max="10254" width="10.28515625" style="1" bestFit="1" customWidth="1"/>
    <col min="10255" max="10496" width="9.140625" style="1"/>
    <col min="10497" max="10497" width="4.85546875" style="1" customWidth="1"/>
    <col min="10498" max="10498" width="19.140625" style="1" customWidth="1"/>
    <col min="10499" max="10499" width="5.5703125" style="1" customWidth="1"/>
    <col min="10500" max="10500" width="23.85546875" style="1" customWidth="1"/>
    <col min="10501" max="10501" width="8.42578125" style="1" customWidth="1"/>
    <col min="10502" max="10502" width="8.28515625" style="1" customWidth="1"/>
    <col min="10503" max="10503" width="16.42578125" style="1" customWidth="1"/>
    <col min="10504" max="10504" width="3.7109375" style="1" customWidth="1"/>
    <col min="10505" max="10505" width="3.85546875" style="1" customWidth="1"/>
    <col min="10506" max="10506" width="5" style="1" customWidth="1"/>
    <col min="10507" max="10507" width="8" style="1" customWidth="1"/>
    <col min="10508" max="10508" width="7.5703125" style="1" customWidth="1"/>
    <col min="10509" max="10510" width="10.28515625" style="1" bestFit="1" customWidth="1"/>
    <col min="10511" max="10752" width="9.140625" style="1"/>
    <col min="10753" max="10753" width="4.85546875" style="1" customWidth="1"/>
    <col min="10754" max="10754" width="19.140625" style="1" customWidth="1"/>
    <col min="10755" max="10755" width="5.5703125" style="1" customWidth="1"/>
    <col min="10756" max="10756" width="23.85546875" style="1" customWidth="1"/>
    <col min="10757" max="10757" width="8.42578125" style="1" customWidth="1"/>
    <col min="10758" max="10758" width="8.28515625" style="1" customWidth="1"/>
    <col min="10759" max="10759" width="16.42578125" style="1" customWidth="1"/>
    <col min="10760" max="10760" width="3.7109375" style="1" customWidth="1"/>
    <col min="10761" max="10761" width="3.85546875" style="1" customWidth="1"/>
    <col min="10762" max="10762" width="5" style="1" customWidth="1"/>
    <col min="10763" max="10763" width="8" style="1" customWidth="1"/>
    <col min="10764" max="10764" width="7.5703125" style="1" customWidth="1"/>
    <col min="10765" max="10766" width="10.28515625" style="1" bestFit="1" customWidth="1"/>
    <col min="10767" max="11008" width="9.140625" style="1"/>
    <col min="11009" max="11009" width="4.85546875" style="1" customWidth="1"/>
    <col min="11010" max="11010" width="19.140625" style="1" customWidth="1"/>
    <col min="11011" max="11011" width="5.5703125" style="1" customWidth="1"/>
    <col min="11012" max="11012" width="23.85546875" style="1" customWidth="1"/>
    <col min="11013" max="11013" width="8.42578125" style="1" customWidth="1"/>
    <col min="11014" max="11014" width="8.28515625" style="1" customWidth="1"/>
    <col min="11015" max="11015" width="16.42578125" style="1" customWidth="1"/>
    <col min="11016" max="11016" width="3.7109375" style="1" customWidth="1"/>
    <col min="11017" max="11017" width="3.85546875" style="1" customWidth="1"/>
    <col min="11018" max="11018" width="5" style="1" customWidth="1"/>
    <col min="11019" max="11019" width="8" style="1" customWidth="1"/>
    <col min="11020" max="11020" width="7.5703125" style="1" customWidth="1"/>
    <col min="11021" max="11022" width="10.28515625" style="1" bestFit="1" customWidth="1"/>
    <col min="11023" max="11264" width="9.140625" style="1"/>
    <col min="11265" max="11265" width="4.85546875" style="1" customWidth="1"/>
    <col min="11266" max="11266" width="19.140625" style="1" customWidth="1"/>
    <col min="11267" max="11267" width="5.5703125" style="1" customWidth="1"/>
    <col min="11268" max="11268" width="23.85546875" style="1" customWidth="1"/>
    <col min="11269" max="11269" width="8.42578125" style="1" customWidth="1"/>
    <col min="11270" max="11270" width="8.28515625" style="1" customWidth="1"/>
    <col min="11271" max="11271" width="16.42578125" style="1" customWidth="1"/>
    <col min="11272" max="11272" width="3.7109375" style="1" customWidth="1"/>
    <col min="11273" max="11273" width="3.85546875" style="1" customWidth="1"/>
    <col min="11274" max="11274" width="5" style="1" customWidth="1"/>
    <col min="11275" max="11275" width="8" style="1" customWidth="1"/>
    <col min="11276" max="11276" width="7.5703125" style="1" customWidth="1"/>
    <col min="11277" max="11278" width="10.28515625" style="1" bestFit="1" customWidth="1"/>
    <col min="11279" max="11520" width="9.140625" style="1"/>
    <col min="11521" max="11521" width="4.85546875" style="1" customWidth="1"/>
    <col min="11522" max="11522" width="19.140625" style="1" customWidth="1"/>
    <col min="11523" max="11523" width="5.5703125" style="1" customWidth="1"/>
    <col min="11524" max="11524" width="23.85546875" style="1" customWidth="1"/>
    <col min="11525" max="11525" width="8.42578125" style="1" customWidth="1"/>
    <col min="11526" max="11526" width="8.28515625" style="1" customWidth="1"/>
    <col min="11527" max="11527" width="16.42578125" style="1" customWidth="1"/>
    <col min="11528" max="11528" width="3.7109375" style="1" customWidth="1"/>
    <col min="11529" max="11529" width="3.85546875" style="1" customWidth="1"/>
    <col min="11530" max="11530" width="5" style="1" customWidth="1"/>
    <col min="11531" max="11531" width="8" style="1" customWidth="1"/>
    <col min="11532" max="11532" width="7.5703125" style="1" customWidth="1"/>
    <col min="11533" max="11534" width="10.28515625" style="1" bestFit="1" customWidth="1"/>
    <col min="11535" max="11776" width="9.140625" style="1"/>
    <col min="11777" max="11777" width="4.85546875" style="1" customWidth="1"/>
    <col min="11778" max="11778" width="19.140625" style="1" customWidth="1"/>
    <col min="11779" max="11779" width="5.5703125" style="1" customWidth="1"/>
    <col min="11780" max="11780" width="23.85546875" style="1" customWidth="1"/>
    <col min="11781" max="11781" width="8.42578125" style="1" customWidth="1"/>
    <col min="11782" max="11782" width="8.28515625" style="1" customWidth="1"/>
    <col min="11783" max="11783" width="16.42578125" style="1" customWidth="1"/>
    <col min="11784" max="11784" width="3.7109375" style="1" customWidth="1"/>
    <col min="11785" max="11785" width="3.85546875" style="1" customWidth="1"/>
    <col min="11786" max="11786" width="5" style="1" customWidth="1"/>
    <col min="11787" max="11787" width="8" style="1" customWidth="1"/>
    <col min="11788" max="11788" width="7.5703125" style="1" customWidth="1"/>
    <col min="11789" max="11790" width="10.28515625" style="1" bestFit="1" customWidth="1"/>
    <col min="11791" max="12032" width="9.140625" style="1"/>
    <col min="12033" max="12033" width="4.85546875" style="1" customWidth="1"/>
    <col min="12034" max="12034" width="19.140625" style="1" customWidth="1"/>
    <col min="12035" max="12035" width="5.5703125" style="1" customWidth="1"/>
    <col min="12036" max="12036" width="23.85546875" style="1" customWidth="1"/>
    <col min="12037" max="12037" width="8.42578125" style="1" customWidth="1"/>
    <col min="12038" max="12038" width="8.28515625" style="1" customWidth="1"/>
    <col min="12039" max="12039" width="16.42578125" style="1" customWidth="1"/>
    <col min="12040" max="12040" width="3.7109375" style="1" customWidth="1"/>
    <col min="12041" max="12041" width="3.85546875" style="1" customWidth="1"/>
    <col min="12042" max="12042" width="5" style="1" customWidth="1"/>
    <col min="12043" max="12043" width="8" style="1" customWidth="1"/>
    <col min="12044" max="12044" width="7.5703125" style="1" customWidth="1"/>
    <col min="12045" max="12046" width="10.28515625" style="1" bestFit="1" customWidth="1"/>
    <col min="12047" max="12288" width="9.140625" style="1"/>
    <col min="12289" max="12289" width="4.85546875" style="1" customWidth="1"/>
    <col min="12290" max="12290" width="19.140625" style="1" customWidth="1"/>
    <col min="12291" max="12291" width="5.5703125" style="1" customWidth="1"/>
    <col min="12292" max="12292" width="23.85546875" style="1" customWidth="1"/>
    <col min="12293" max="12293" width="8.42578125" style="1" customWidth="1"/>
    <col min="12294" max="12294" width="8.28515625" style="1" customWidth="1"/>
    <col min="12295" max="12295" width="16.42578125" style="1" customWidth="1"/>
    <col min="12296" max="12296" width="3.7109375" style="1" customWidth="1"/>
    <col min="12297" max="12297" width="3.85546875" style="1" customWidth="1"/>
    <col min="12298" max="12298" width="5" style="1" customWidth="1"/>
    <col min="12299" max="12299" width="8" style="1" customWidth="1"/>
    <col min="12300" max="12300" width="7.5703125" style="1" customWidth="1"/>
    <col min="12301" max="12302" width="10.28515625" style="1" bestFit="1" customWidth="1"/>
    <col min="12303" max="12544" width="9.140625" style="1"/>
    <col min="12545" max="12545" width="4.85546875" style="1" customWidth="1"/>
    <col min="12546" max="12546" width="19.140625" style="1" customWidth="1"/>
    <col min="12547" max="12547" width="5.5703125" style="1" customWidth="1"/>
    <col min="12548" max="12548" width="23.85546875" style="1" customWidth="1"/>
    <col min="12549" max="12549" width="8.42578125" style="1" customWidth="1"/>
    <col min="12550" max="12550" width="8.28515625" style="1" customWidth="1"/>
    <col min="12551" max="12551" width="16.42578125" style="1" customWidth="1"/>
    <col min="12552" max="12552" width="3.7109375" style="1" customWidth="1"/>
    <col min="12553" max="12553" width="3.85546875" style="1" customWidth="1"/>
    <col min="12554" max="12554" width="5" style="1" customWidth="1"/>
    <col min="12555" max="12555" width="8" style="1" customWidth="1"/>
    <col min="12556" max="12556" width="7.5703125" style="1" customWidth="1"/>
    <col min="12557" max="12558" width="10.28515625" style="1" bestFit="1" customWidth="1"/>
    <col min="12559" max="12800" width="9.140625" style="1"/>
    <col min="12801" max="12801" width="4.85546875" style="1" customWidth="1"/>
    <col min="12802" max="12802" width="19.140625" style="1" customWidth="1"/>
    <col min="12803" max="12803" width="5.5703125" style="1" customWidth="1"/>
    <col min="12804" max="12804" width="23.85546875" style="1" customWidth="1"/>
    <col min="12805" max="12805" width="8.42578125" style="1" customWidth="1"/>
    <col min="12806" max="12806" width="8.28515625" style="1" customWidth="1"/>
    <col min="12807" max="12807" width="16.42578125" style="1" customWidth="1"/>
    <col min="12808" max="12808" width="3.7109375" style="1" customWidth="1"/>
    <col min="12809" max="12809" width="3.85546875" style="1" customWidth="1"/>
    <col min="12810" max="12810" width="5" style="1" customWidth="1"/>
    <col min="12811" max="12811" width="8" style="1" customWidth="1"/>
    <col min="12812" max="12812" width="7.5703125" style="1" customWidth="1"/>
    <col min="12813" max="12814" width="10.28515625" style="1" bestFit="1" customWidth="1"/>
    <col min="12815" max="13056" width="9.140625" style="1"/>
    <col min="13057" max="13057" width="4.85546875" style="1" customWidth="1"/>
    <col min="13058" max="13058" width="19.140625" style="1" customWidth="1"/>
    <col min="13059" max="13059" width="5.5703125" style="1" customWidth="1"/>
    <col min="13060" max="13060" width="23.85546875" style="1" customWidth="1"/>
    <col min="13061" max="13061" width="8.42578125" style="1" customWidth="1"/>
    <col min="13062" max="13062" width="8.28515625" style="1" customWidth="1"/>
    <col min="13063" max="13063" width="16.42578125" style="1" customWidth="1"/>
    <col min="13064" max="13064" width="3.7109375" style="1" customWidth="1"/>
    <col min="13065" max="13065" width="3.85546875" style="1" customWidth="1"/>
    <col min="13066" max="13066" width="5" style="1" customWidth="1"/>
    <col min="13067" max="13067" width="8" style="1" customWidth="1"/>
    <col min="13068" max="13068" width="7.5703125" style="1" customWidth="1"/>
    <col min="13069" max="13070" width="10.28515625" style="1" bestFit="1" customWidth="1"/>
    <col min="13071" max="13312" width="9.140625" style="1"/>
    <col min="13313" max="13313" width="4.85546875" style="1" customWidth="1"/>
    <col min="13314" max="13314" width="19.140625" style="1" customWidth="1"/>
    <col min="13315" max="13315" width="5.5703125" style="1" customWidth="1"/>
    <col min="13316" max="13316" width="23.85546875" style="1" customWidth="1"/>
    <col min="13317" max="13317" width="8.42578125" style="1" customWidth="1"/>
    <col min="13318" max="13318" width="8.28515625" style="1" customWidth="1"/>
    <col min="13319" max="13319" width="16.42578125" style="1" customWidth="1"/>
    <col min="13320" max="13320" width="3.7109375" style="1" customWidth="1"/>
    <col min="13321" max="13321" width="3.85546875" style="1" customWidth="1"/>
    <col min="13322" max="13322" width="5" style="1" customWidth="1"/>
    <col min="13323" max="13323" width="8" style="1" customWidth="1"/>
    <col min="13324" max="13324" width="7.5703125" style="1" customWidth="1"/>
    <col min="13325" max="13326" width="10.28515625" style="1" bestFit="1" customWidth="1"/>
    <col min="13327" max="13568" width="9.140625" style="1"/>
    <col min="13569" max="13569" width="4.85546875" style="1" customWidth="1"/>
    <col min="13570" max="13570" width="19.140625" style="1" customWidth="1"/>
    <col min="13571" max="13571" width="5.5703125" style="1" customWidth="1"/>
    <col min="13572" max="13572" width="23.85546875" style="1" customWidth="1"/>
    <col min="13573" max="13573" width="8.42578125" style="1" customWidth="1"/>
    <col min="13574" max="13574" width="8.28515625" style="1" customWidth="1"/>
    <col min="13575" max="13575" width="16.42578125" style="1" customWidth="1"/>
    <col min="13576" max="13576" width="3.7109375" style="1" customWidth="1"/>
    <col min="13577" max="13577" width="3.85546875" style="1" customWidth="1"/>
    <col min="13578" max="13578" width="5" style="1" customWidth="1"/>
    <col min="13579" max="13579" width="8" style="1" customWidth="1"/>
    <col min="13580" max="13580" width="7.5703125" style="1" customWidth="1"/>
    <col min="13581" max="13582" width="10.28515625" style="1" bestFit="1" customWidth="1"/>
    <col min="13583" max="13824" width="9.140625" style="1"/>
    <col min="13825" max="13825" width="4.85546875" style="1" customWidth="1"/>
    <col min="13826" max="13826" width="19.140625" style="1" customWidth="1"/>
    <col min="13827" max="13827" width="5.5703125" style="1" customWidth="1"/>
    <col min="13828" max="13828" width="23.85546875" style="1" customWidth="1"/>
    <col min="13829" max="13829" width="8.42578125" style="1" customWidth="1"/>
    <col min="13830" max="13830" width="8.28515625" style="1" customWidth="1"/>
    <col min="13831" max="13831" width="16.42578125" style="1" customWidth="1"/>
    <col min="13832" max="13832" width="3.7109375" style="1" customWidth="1"/>
    <col min="13833" max="13833" width="3.85546875" style="1" customWidth="1"/>
    <col min="13834" max="13834" width="5" style="1" customWidth="1"/>
    <col min="13835" max="13835" width="8" style="1" customWidth="1"/>
    <col min="13836" max="13836" width="7.5703125" style="1" customWidth="1"/>
    <col min="13837" max="13838" width="10.28515625" style="1" bestFit="1" customWidth="1"/>
    <col min="13839" max="14080" width="9.140625" style="1"/>
    <col min="14081" max="14081" width="4.85546875" style="1" customWidth="1"/>
    <col min="14082" max="14082" width="19.140625" style="1" customWidth="1"/>
    <col min="14083" max="14083" width="5.5703125" style="1" customWidth="1"/>
    <col min="14084" max="14084" width="23.85546875" style="1" customWidth="1"/>
    <col min="14085" max="14085" width="8.42578125" style="1" customWidth="1"/>
    <col min="14086" max="14086" width="8.28515625" style="1" customWidth="1"/>
    <col min="14087" max="14087" width="16.42578125" style="1" customWidth="1"/>
    <col min="14088" max="14088" width="3.7109375" style="1" customWidth="1"/>
    <col min="14089" max="14089" width="3.85546875" style="1" customWidth="1"/>
    <col min="14090" max="14090" width="5" style="1" customWidth="1"/>
    <col min="14091" max="14091" width="8" style="1" customWidth="1"/>
    <col min="14092" max="14092" width="7.5703125" style="1" customWidth="1"/>
    <col min="14093" max="14094" width="10.28515625" style="1" bestFit="1" customWidth="1"/>
    <col min="14095" max="14336" width="9.140625" style="1"/>
    <col min="14337" max="14337" width="4.85546875" style="1" customWidth="1"/>
    <col min="14338" max="14338" width="19.140625" style="1" customWidth="1"/>
    <col min="14339" max="14339" width="5.5703125" style="1" customWidth="1"/>
    <col min="14340" max="14340" width="23.85546875" style="1" customWidth="1"/>
    <col min="14341" max="14341" width="8.42578125" style="1" customWidth="1"/>
    <col min="14342" max="14342" width="8.28515625" style="1" customWidth="1"/>
    <col min="14343" max="14343" width="16.42578125" style="1" customWidth="1"/>
    <col min="14344" max="14344" width="3.7109375" style="1" customWidth="1"/>
    <col min="14345" max="14345" width="3.85546875" style="1" customWidth="1"/>
    <col min="14346" max="14346" width="5" style="1" customWidth="1"/>
    <col min="14347" max="14347" width="8" style="1" customWidth="1"/>
    <col min="14348" max="14348" width="7.5703125" style="1" customWidth="1"/>
    <col min="14349" max="14350" width="10.28515625" style="1" bestFit="1" customWidth="1"/>
    <col min="14351" max="14592" width="9.140625" style="1"/>
    <col min="14593" max="14593" width="4.85546875" style="1" customWidth="1"/>
    <col min="14594" max="14594" width="19.140625" style="1" customWidth="1"/>
    <col min="14595" max="14595" width="5.5703125" style="1" customWidth="1"/>
    <col min="14596" max="14596" width="23.85546875" style="1" customWidth="1"/>
    <col min="14597" max="14597" width="8.42578125" style="1" customWidth="1"/>
    <col min="14598" max="14598" width="8.28515625" style="1" customWidth="1"/>
    <col min="14599" max="14599" width="16.42578125" style="1" customWidth="1"/>
    <col min="14600" max="14600" width="3.7109375" style="1" customWidth="1"/>
    <col min="14601" max="14601" width="3.85546875" style="1" customWidth="1"/>
    <col min="14602" max="14602" width="5" style="1" customWidth="1"/>
    <col min="14603" max="14603" width="8" style="1" customWidth="1"/>
    <col min="14604" max="14604" width="7.5703125" style="1" customWidth="1"/>
    <col min="14605" max="14606" width="10.28515625" style="1" bestFit="1" customWidth="1"/>
    <col min="14607" max="14848" width="9.140625" style="1"/>
    <col min="14849" max="14849" width="4.85546875" style="1" customWidth="1"/>
    <col min="14850" max="14850" width="19.140625" style="1" customWidth="1"/>
    <col min="14851" max="14851" width="5.5703125" style="1" customWidth="1"/>
    <col min="14852" max="14852" width="23.85546875" style="1" customWidth="1"/>
    <col min="14853" max="14853" width="8.42578125" style="1" customWidth="1"/>
    <col min="14854" max="14854" width="8.28515625" style="1" customWidth="1"/>
    <col min="14855" max="14855" width="16.42578125" style="1" customWidth="1"/>
    <col min="14856" max="14856" width="3.7109375" style="1" customWidth="1"/>
    <col min="14857" max="14857" width="3.85546875" style="1" customWidth="1"/>
    <col min="14858" max="14858" width="5" style="1" customWidth="1"/>
    <col min="14859" max="14859" width="8" style="1" customWidth="1"/>
    <col min="14860" max="14860" width="7.5703125" style="1" customWidth="1"/>
    <col min="14861" max="14862" width="10.28515625" style="1" bestFit="1" customWidth="1"/>
    <col min="14863" max="15104" width="9.140625" style="1"/>
    <col min="15105" max="15105" width="4.85546875" style="1" customWidth="1"/>
    <col min="15106" max="15106" width="19.140625" style="1" customWidth="1"/>
    <col min="15107" max="15107" width="5.5703125" style="1" customWidth="1"/>
    <col min="15108" max="15108" width="23.85546875" style="1" customWidth="1"/>
    <col min="15109" max="15109" width="8.42578125" style="1" customWidth="1"/>
    <col min="15110" max="15110" width="8.28515625" style="1" customWidth="1"/>
    <col min="15111" max="15111" width="16.42578125" style="1" customWidth="1"/>
    <col min="15112" max="15112" width="3.7109375" style="1" customWidth="1"/>
    <col min="15113" max="15113" width="3.85546875" style="1" customWidth="1"/>
    <col min="15114" max="15114" width="5" style="1" customWidth="1"/>
    <col min="15115" max="15115" width="8" style="1" customWidth="1"/>
    <col min="15116" max="15116" width="7.5703125" style="1" customWidth="1"/>
    <col min="15117" max="15118" width="10.28515625" style="1" bestFit="1" customWidth="1"/>
    <col min="15119" max="15360" width="9.140625" style="1"/>
    <col min="15361" max="15361" width="4.85546875" style="1" customWidth="1"/>
    <col min="15362" max="15362" width="19.140625" style="1" customWidth="1"/>
    <col min="15363" max="15363" width="5.5703125" style="1" customWidth="1"/>
    <col min="15364" max="15364" width="23.85546875" style="1" customWidth="1"/>
    <col min="15365" max="15365" width="8.42578125" style="1" customWidth="1"/>
    <col min="15366" max="15366" width="8.28515625" style="1" customWidth="1"/>
    <col min="15367" max="15367" width="16.42578125" style="1" customWidth="1"/>
    <col min="15368" max="15368" width="3.7109375" style="1" customWidth="1"/>
    <col min="15369" max="15369" width="3.85546875" style="1" customWidth="1"/>
    <col min="15370" max="15370" width="5" style="1" customWidth="1"/>
    <col min="15371" max="15371" width="8" style="1" customWidth="1"/>
    <col min="15372" max="15372" width="7.5703125" style="1" customWidth="1"/>
    <col min="15373" max="15374" width="10.28515625" style="1" bestFit="1" customWidth="1"/>
    <col min="15375" max="15616" width="9.140625" style="1"/>
    <col min="15617" max="15617" width="4.85546875" style="1" customWidth="1"/>
    <col min="15618" max="15618" width="19.140625" style="1" customWidth="1"/>
    <col min="15619" max="15619" width="5.5703125" style="1" customWidth="1"/>
    <col min="15620" max="15620" width="23.85546875" style="1" customWidth="1"/>
    <col min="15621" max="15621" width="8.42578125" style="1" customWidth="1"/>
    <col min="15622" max="15622" width="8.28515625" style="1" customWidth="1"/>
    <col min="15623" max="15623" width="16.42578125" style="1" customWidth="1"/>
    <col min="15624" max="15624" width="3.7109375" style="1" customWidth="1"/>
    <col min="15625" max="15625" width="3.85546875" style="1" customWidth="1"/>
    <col min="15626" max="15626" width="5" style="1" customWidth="1"/>
    <col min="15627" max="15627" width="8" style="1" customWidth="1"/>
    <col min="15628" max="15628" width="7.5703125" style="1" customWidth="1"/>
    <col min="15629" max="15630" width="10.28515625" style="1" bestFit="1" customWidth="1"/>
    <col min="15631" max="15872" width="9.140625" style="1"/>
    <col min="15873" max="15873" width="4.85546875" style="1" customWidth="1"/>
    <col min="15874" max="15874" width="19.140625" style="1" customWidth="1"/>
    <col min="15875" max="15875" width="5.5703125" style="1" customWidth="1"/>
    <col min="15876" max="15876" width="23.85546875" style="1" customWidth="1"/>
    <col min="15877" max="15877" width="8.42578125" style="1" customWidth="1"/>
    <col min="15878" max="15878" width="8.28515625" style="1" customWidth="1"/>
    <col min="15879" max="15879" width="16.42578125" style="1" customWidth="1"/>
    <col min="15880" max="15880" width="3.7109375" style="1" customWidth="1"/>
    <col min="15881" max="15881" width="3.85546875" style="1" customWidth="1"/>
    <col min="15882" max="15882" width="5" style="1" customWidth="1"/>
    <col min="15883" max="15883" width="8" style="1" customWidth="1"/>
    <col min="15884" max="15884" width="7.5703125" style="1" customWidth="1"/>
    <col min="15885" max="15886" width="10.28515625" style="1" bestFit="1" customWidth="1"/>
    <col min="15887" max="16128" width="9.140625" style="1"/>
    <col min="16129" max="16129" width="4.85546875" style="1" customWidth="1"/>
    <col min="16130" max="16130" width="19.140625" style="1" customWidth="1"/>
    <col min="16131" max="16131" width="5.5703125" style="1" customWidth="1"/>
    <col min="16132" max="16132" width="23.85546875" style="1" customWidth="1"/>
    <col min="16133" max="16133" width="8.42578125" style="1" customWidth="1"/>
    <col min="16134" max="16134" width="8.28515625" style="1" customWidth="1"/>
    <col min="16135" max="16135" width="16.42578125" style="1" customWidth="1"/>
    <col min="16136" max="16136" width="3.7109375" style="1" customWidth="1"/>
    <col min="16137" max="16137" width="3.85546875" style="1" customWidth="1"/>
    <col min="16138" max="16138" width="5" style="1" customWidth="1"/>
    <col min="16139" max="16139" width="8" style="1" customWidth="1"/>
    <col min="16140" max="16140" width="7.5703125" style="1" customWidth="1"/>
    <col min="16141" max="16142" width="10.28515625" style="1" bestFit="1" customWidth="1"/>
    <col min="16143" max="16384" width="9.140625" style="1"/>
  </cols>
  <sheetData>
    <row r="1" spans="1:18" s="866" customFormat="1" ht="15" x14ac:dyDescent="0.25"/>
    <row r="2" spans="1:18" s="866" customFormat="1" ht="15" x14ac:dyDescent="0.25"/>
    <row r="3" spans="1:18" s="866" customFormat="1" ht="15" x14ac:dyDescent="0.25"/>
    <row r="4" spans="1:18" s="866" customFormat="1" ht="15" x14ac:dyDescent="0.25"/>
    <row r="5" spans="1:18" s="866" customFormat="1" ht="15" x14ac:dyDescent="0.25"/>
    <row r="6" spans="1:18" s="866" customFormat="1" ht="15" x14ac:dyDescent="0.25"/>
    <row r="7" spans="1:18" s="866" customFormat="1" ht="15.75" thickBot="1" x14ac:dyDescent="0.3"/>
    <row r="8" spans="1:18" s="48" customFormat="1" ht="18.75" thickTop="1" x14ac:dyDescent="0.25">
      <c r="A8" s="867" t="s">
        <v>18</v>
      </c>
      <c r="B8" s="868"/>
      <c r="C8" s="868"/>
      <c r="D8" s="868"/>
      <c r="E8" s="868"/>
      <c r="F8" s="868"/>
      <c r="G8" s="868"/>
      <c r="H8" s="868"/>
      <c r="I8" s="868"/>
      <c r="J8" s="868"/>
      <c r="K8" s="868"/>
      <c r="L8" s="868"/>
      <c r="M8" s="868"/>
      <c r="N8" s="869"/>
    </row>
    <row r="9" spans="1:18" s="48" customFormat="1" ht="17.25" x14ac:dyDescent="0.25">
      <c r="A9" s="49" t="s">
        <v>13</v>
      </c>
      <c r="B9" s="50" t="s">
        <v>19</v>
      </c>
      <c r="C9" s="51" t="s">
        <v>20</v>
      </c>
      <c r="D9" s="51" t="s">
        <v>21</v>
      </c>
      <c r="E9" s="51" t="s">
        <v>22</v>
      </c>
      <c r="F9" s="51" t="s">
        <v>23</v>
      </c>
      <c r="G9" s="51" t="s">
        <v>24</v>
      </c>
      <c r="H9" s="51" t="s">
        <v>96</v>
      </c>
      <c r="I9" s="51" t="s">
        <v>26</v>
      </c>
      <c r="J9" s="51" t="s">
        <v>27</v>
      </c>
      <c r="K9" s="870" t="s">
        <v>28</v>
      </c>
      <c r="L9" s="871"/>
      <c r="M9" s="51" t="s">
        <v>29</v>
      </c>
      <c r="N9" s="52" t="s">
        <v>30</v>
      </c>
    </row>
    <row r="10" spans="1:18" s="783" customFormat="1" ht="26.25" customHeight="1" x14ac:dyDescent="0.25">
      <c r="A10" s="91">
        <v>1</v>
      </c>
      <c r="B10" s="295" t="s">
        <v>579</v>
      </c>
      <c r="C10" s="890" t="s">
        <v>31</v>
      </c>
      <c r="D10" s="549" t="s">
        <v>580</v>
      </c>
      <c r="E10" s="788">
        <f>12+24+12</f>
        <v>48</v>
      </c>
      <c r="F10" s="55">
        <v>8</v>
      </c>
      <c r="G10" s="56">
        <f>E10*F10</f>
        <v>384</v>
      </c>
      <c r="H10" s="788" t="s">
        <v>102</v>
      </c>
      <c r="I10" s="788">
        <v>3</v>
      </c>
      <c r="J10" s="788">
        <v>10</v>
      </c>
      <c r="K10" s="948" t="s">
        <v>118</v>
      </c>
      <c r="L10" s="949"/>
      <c r="M10" s="786">
        <v>41755</v>
      </c>
      <c r="N10" s="787"/>
      <c r="Q10" s="432"/>
      <c r="R10" s="582"/>
    </row>
    <row r="11" spans="1:18" s="783" customFormat="1" ht="26.25" customHeight="1" x14ac:dyDescent="0.25">
      <c r="A11" s="93"/>
      <c r="B11" s="296"/>
      <c r="C11" s="891"/>
      <c r="D11" s="549"/>
      <c r="E11" s="80"/>
      <c r="F11" s="55"/>
      <c r="G11" s="56">
        <f t="shared" ref="G11:G14" si="0">E11*F11</f>
        <v>0</v>
      </c>
      <c r="H11" s="80"/>
      <c r="I11" s="80"/>
      <c r="J11" s="80"/>
      <c r="K11" s="948"/>
      <c r="L11" s="949"/>
      <c r="M11" s="786"/>
      <c r="N11" s="84"/>
    </row>
    <row r="12" spans="1:18" s="783" customFormat="1" ht="26.25" customHeight="1" x14ac:dyDescent="0.25">
      <c r="A12" s="93"/>
      <c r="B12" s="296"/>
      <c r="C12" s="891"/>
      <c r="D12" s="549"/>
      <c r="E12" s="80"/>
      <c r="F12" s="55"/>
      <c r="G12" s="56">
        <f t="shared" si="0"/>
        <v>0</v>
      </c>
      <c r="H12" s="80"/>
      <c r="I12" s="80"/>
      <c r="J12" s="80"/>
      <c r="K12" s="876"/>
      <c r="L12" s="877"/>
      <c r="M12" s="786"/>
      <c r="N12" s="84"/>
    </row>
    <row r="13" spans="1:18" s="783" customFormat="1" ht="26.25" customHeight="1" x14ac:dyDescent="0.25">
      <c r="A13" s="93"/>
      <c r="B13" s="296"/>
      <c r="C13" s="891"/>
      <c r="D13" s="77"/>
      <c r="E13" s="80"/>
      <c r="F13" s="55"/>
      <c r="G13" s="56">
        <f t="shared" si="0"/>
        <v>0</v>
      </c>
      <c r="H13" s="80"/>
      <c r="I13" s="80"/>
      <c r="J13" s="80"/>
      <c r="K13" s="181"/>
      <c r="L13" s="182"/>
      <c r="M13" s="94"/>
      <c r="N13" s="84"/>
    </row>
    <row r="14" spans="1:18" s="783" customFormat="1" ht="26.25" customHeight="1" x14ac:dyDescent="0.25">
      <c r="A14" s="93"/>
      <c r="B14" s="296"/>
      <c r="C14" s="891"/>
      <c r="D14" s="77"/>
      <c r="E14" s="80"/>
      <c r="F14" s="55"/>
      <c r="G14" s="56">
        <f t="shared" si="0"/>
        <v>0</v>
      </c>
      <c r="H14" s="80"/>
      <c r="I14" s="80"/>
      <c r="J14" s="80"/>
      <c r="K14" s="181"/>
      <c r="L14" s="182"/>
      <c r="M14" s="94"/>
      <c r="N14" s="84"/>
    </row>
    <row r="15" spans="1:18" s="783" customFormat="1" ht="26.25" customHeight="1" x14ac:dyDescent="0.25">
      <c r="A15" s="93"/>
      <c r="B15" s="297"/>
      <c r="C15" s="891"/>
      <c r="D15" s="77"/>
      <c r="E15" s="80"/>
      <c r="F15" s="55"/>
      <c r="G15" s="56">
        <f>E15*F15</f>
        <v>0</v>
      </c>
      <c r="H15" s="80"/>
      <c r="I15" s="80"/>
      <c r="J15" s="80"/>
      <c r="K15" s="876"/>
      <c r="L15" s="877"/>
      <c r="M15" s="94"/>
      <c r="N15" s="84"/>
    </row>
    <row r="16" spans="1:18" s="783" customFormat="1" ht="26.25" customHeight="1" x14ac:dyDescent="0.25">
      <c r="A16" s="925" t="s">
        <v>11</v>
      </c>
      <c r="B16" s="926"/>
      <c r="C16" s="926"/>
      <c r="D16" s="926"/>
      <c r="E16" s="790">
        <f>SUM(E10:E15)</f>
        <v>48</v>
      </c>
      <c r="F16" s="76"/>
      <c r="G16" s="56"/>
      <c r="H16" s="789"/>
      <c r="I16" s="789"/>
      <c r="J16" s="789"/>
      <c r="K16" s="876"/>
      <c r="L16" s="877"/>
      <c r="M16" s="789"/>
      <c r="N16" s="63"/>
    </row>
    <row r="17" spans="1:14" s="783" customFormat="1" ht="26.25" customHeight="1" x14ac:dyDescent="0.25">
      <c r="A17" s="927" t="s">
        <v>24</v>
      </c>
      <c r="B17" s="928"/>
      <c r="C17" s="928"/>
      <c r="D17" s="928"/>
      <c r="E17" s="928"/>
      <c r="F17" s="928"/>
      <c r="G17" s="64">
        <f>SUM(G10:G15)</f>
        <v>384</v>
      </c>
      <c r="H17" s="791"/>
      <c r="I17" s="791"/>
      <c r="J17" s="791"/>
      <c r="K17" s="859"/>
      <c r="L17" s="860"/>
      <c r="M17" s="791"/>
      <c r="N17" s="66"/>
    </row>
    <row r="18" spans="1:14" s="48" customFormat="1" ht="26.25" customHeight="1" x14ac:dyDescent="0.25">
      <c r="A18" s="929" t="s">
        <v>32</v>
      </c>
      <c r="B18" s="930"/>
      <c r="C18" s="930"/>
      <c r="D18" s="930"/>
      <c r="E18" s="930"/>
      <c r="F18" s="930"/>
      <c r="G18" s="900"/>
      <c r="H18" s="67"/>
      <c r="I18" s="954" t="s">
        <v>415</v>
      </c>
      <c r="J18" s="954"/>
      <c r="K18" s="954"/>
      <c r="L18" s="955"/>
      <c r="M18" s="955"/>
      <c r="N18" s="956"/>
    </row>
    <row r="19" spans="1:14" s="48" customFormat="1" ht="22.5" customHeight="1" thickBot="1" x14ac:dyDescent="0.3">
      <c r="A19" s="72" t="s">
        <v>5</v>
      </c>
      <c r="B19" s="71" t="s">
        <v>33</v>
      </c>
      <c r="C19" s="857" t="s">
        <v>21</v>
      </c>
      <c r="D19" s="858"/>
      <c r="E19" s="857" t="s">
        <v>34</v>
      </c>
      <c r="F19" s="858"/>
      <c r="G19" s="71" t="s">
        <v>0</v>
      </c>
      <c r="H19" s="71" t="s">
        <v>25</v>
      </c>
      <c r="I19" s="71" t="s">
        <v>26</v>
      </c>
      <c r="J19" s="71" t="s">
        <v>27</v>
      </c>
      <c r="K19" s="863" t="s">
        <v>28</v>
      </c>
      <c r="L19" s="857"/>
      <c r="M19" s="1064"/>
      <c r="N19" s="902"/>
    </row>
    <row r="20" spans="1:14" s="785" customFormat="1" ht="26.25" customHeight="1" x14ac:dyDescent="0.25">
      <c r="A20" s="922" t="s">
        <v>35</v>
      </c>
      <c r="B20" s="923"/>
      <c r="C20" s="923"/>
      <c r="D20" s="923"/>
      <c r="E20" s="923"/>
      <c r="F20" s="923"/>
      <c r="G20" s="162">
        <f>G17</f>
        <v>384</v>
      </c>
      <c r="H20" s="163"/>
      <c r="I20" s="163"/>
      <c r="J20" s="163"/>
      <c r="K20" s="163"/>
      <c r="L20" s="163"/>
      <c r="M20" s="163"/>
      <c r="N20" s="164"/>
    </row>
    <row r="21" spans="1:14" s="785" customFormat="1" ht="26.25" customHeight="1" x14ac:dyDescent="0.25">
      <c r="A21" s="165"/>
      <c r="B21" s="11"/>
      <c r="C21" s="1040"/>
      <c r="D21" s="1041"/>
      <c r="E21" s="918"/>
      <c r="F21" s="918"/>
      <c r="G21" s="167">
        <f>G20-E21</f>
        <v>384</v>
      </c>
      <c r="H21" s="784"/>
      <c r="I21" s="784"/>
      <c r="J21" s="784"/>
      <c r="K21" s="784"/>
      <c r="L21" s="784"/>
      <c r="M21" s="784"/>
      <c r="N21" s="168"/>
    </row>
    <row r="22" spans="1:14" s="785" customFormat="1" ht="26.25" customHeight="1" x14ac:dyDescent="0.25">
      <c r="A22" s="165"/>
      <c r="B22" s="11"/>
      <c r="C22" s="924"/>
      <c r="D22" s="924"/>
      <c r="E22" s="918"/>
      <c r="F22" s="918"/>
      <c r="G22" s="167">
        <f>G21-E22</f>
        <v>384</v>
      </c>
      <c r="H22" s="784"/>
      <c r="I22" s="784"/>
      <c r="J22" s="784"/>
      <c r="K22" s="784"/>
      <c r="L22" s="784"/>
      <c r="M22" s="784"/>
      <c r="N22" s="168"/>
    </row>
    <row r="23" spans="1:14" s="785" customFormat="1" ht="26.25" customHeight="1" x14ac:dyDescent="0.25">
      <c r="A23" s="170"/>
      <c r="B23" s="166"/>
      <c r="C23" s="924"/>
      <c r="D23" s="924"/>
      <c r="E23" s="918"/>
      <c r="F23" s="918"/>
      <c r="G23" s="167">
        <f t="shared" ref="G23:G24" si="1">G22-E23</f>
        <v>384</v>
      </c>
      <c r="H23" s="784"/>
      <c r="I23" s="784"/>
      <c r="J23" s="784"/>
      <c r="K23" s="784"/>
      <c r="L23" s="784"/>
      <c r="M23" s="784"/>
      <c r="N23" s="168"/>
    </row>
    <row r="24" spans="1:14" s="785" customFormat="1" ht="26.25" customHeight="1" x14ac:dyDescent="0.25">
      <c r="A24" s="170"/>
      <c r="B24" s="166"/>
      <c r="C24" s="924"/>
      <c r="D24" s="924"/>
      <c r="E24" s="918"/>
      <c r="F24" s="918"/>
      <c r="G24" s="167">
        <f t="shared" si="1"/>
        <v>384</v>
      </c>
      <c r="H24" s="784"/>
      <c r="I24" s="784"/>
      <c r="J24" s="784"/>
      <c r="K24" s="784"/>
      <c r="L24" s="784"/>
      <c r="M24" s="784"/>
      <c r="N24" s="168"/>
    </row>
    <row r="25" spans="1:14" s="785" customFormat="1" ht="26.25" customHeight="1" x14ac:dyDescent="0.25">
      <c r="A25" s="169"/>
      <c r="B25" s="166"/>
      <c r="C25" s="945"/>
      <c r="D25" s="945"/>
      <c r="E25" s="919"/>
      <c r="F25" s="919"/>
      <c r="G25" s="167">
        <f>G24-E25</f>
        <v>384</v>
      </c>
      <c r="H25" s="784"/>
      <c r="I25" s="784"/>
      <c r="J25" s="784"/>
      <c r="K25" s="784"/>
      <c r="L25" s="784"/>
      <c r="M25" s="784"/>
      <c r="N25" s="168"/>
    </row>
    <row r="26" spans="1:14" s="23" customFormat="1" ht="26.25" customHeight="1" thickBot="1" x14ac:dyDescent="0.3">
      <c r="A26" s="914" t="s">
        <v>36</v>
      </c>
      <c r="B26" s="915"/>
      <c r="C26" s="915"/>
      <c r="D26" s="915"/>
      <c r="E26" s="916">
        <f>SUM(E21:F25)</f>
        <v>0</v>
      </c>
      <c r="F26" s="917"/>
      <c r="G26" s="171"/>
      <c r="H26" s="172"/>
      <c r="I26" s="172"/>
      <c r="J26" s="172"/>
      <c r="K26" s="172"/>
      <c r="L26" s="172"/>
      <c r="M26" s="172"/>
      <c r="N26" s="173"/>
    </row>
    <row r="27" spans="1:14" s="785" customFormat="1" ht="26.25" customHeight="1" thickTop="1" x14ac:dyDescent="0.25">
      <c r="A27" s="24"/>
      <c r="E27" s="844"/>
      <c r="F27" s="844"/>
    </row>
    <row r="28" spans="1:14" s="785" customFormat="1" ht="26.25" customHeight="1" x14ac:dyDescent="0.3">
      <c r="A28" s="25" t="s">
        <v>41</v>
      </c>
      <c r="B28" s="25"/>
      <c r="C28" s="25"/>
      <c r="D28" s="25" t="s">
        <v>81</v>
      </c>
      <c r="E28" s="25"/>
      <c r="F28" s="26"/>
      <c r="G28" s="25" t="s">
        <v>38</v>
      </c>
      <c r="H28" s="25"/>
      <c r="I28" s="25"/>
      <c r="J28" s="25"/>
      <c r="K28" s="25"/>
      <c r="L28" s="25" t="s">
        <v>39</v>
      </c>
      <c r="M28" s="28"/>
      <c r="N28" s="26"/>
    </row>
    <row r="29" spans="1:14" s="785" customFormat="1" ht="26.25" customHeight="1" x14ac:dyDescent="0.3">
      <c r="A29" s="25"/>
      <c r="B29" s="25"/>
      <c r="C29" s="25"/>
      <c r="D29" s="25"/>
      <c r="E29" s="25"/>
      <c r="F29" s="26"/>
      <c r="G29" s="25"/>
      <c r="H29" s="25"/>
      <c r="I29" s="25"/>
      <c r="J29" s="25"/>
      <c r="K29" s="25"/>
      <c r="L29" s="25"/>
      <c r="M29" s="28"/>
      <c r="N29" s="26"/>
    </row>
    <row r="30" spans="1:14" s="785" customFormat="1" ht="26.25" customHeight="1" x14ac:dyDescent="0.3">
      <c r="A30" s="25"/>
      <c r="B30" s="25"/>
      <c r="C30" s="25"/>
      <c r="D30" s="25"/>
      <c r="E30" s="25"/>
      <c r="F30" s="26"/>
      <c r="G30" s="25"/>
      <c r="H30" s="25"/>
      <c r="I30" s="25"/>
      <c r="J30" s="25"/>
      <c r="K30" s="25"/>
      <c r="L30" s="25"/>
      <c r="M30" s="28"/>
      <c r="N30" s="26"/>
    </row>
    <row r="31" spans="1:14" s="785" customFormat="1" ht="26.25" customHeight="1" x14ac:dyDescent="0.3">
      <c r="A31" s="25"/>
      <c r="B31" s="25"/>
      <c r="C31" s="25"/>
      <c r="D31" s="25"/>
      <c r="E31" s="25"/>
      <c r="F31" s="26"/>
      <c r="G31" s="25"/>
      <c r="H31" s="25"/>
      <c r="I31" s="25"/>
      <c r="J31" s="25"/>
      <c r="K31" s="25"/>
      <c r="L31" s="25"/>
      <c r="M31" s="28"/>
      <c r="N31" s="26"/>
    </row>
    <row r="32" spans="1:14" s="785" customFormat="1" ht="26.25" customHeight="1" x14ac:dyDescent="0.3">
      <c r="A32" s="29"/>
      <c r="B32" s="25"/>
      <c r="C32" s="25"/>
      <c r="D32" s="29"/>
      <c r="E32" s="29"/>
      <c r="F32" s="26"/>
      <c r="G32" s="29"/>
      <c r="H32" s="25"/>
      <c r="I32" s="25"/>
      <c r="J32" s="25"/>
      <c r="K32" s="25"/>
      <c r="L32" s="27"/>
      <c r="M32" s="28"/>
      <c r="N32" s="26"/>
    </row>
    <row r="33" spans="1:14" s="30" customFormat="1" ht="17.25" x14ac:dyDescent="0.3">
      <c r="A33" s="25" t="s">
        <v>48</v>
      </c>
      <c r="B33" s="25"/>
      <c r="C33" s="25" t="s">
        <v>80</v>
      </c>
      <c r="D33" s="25"/>
      <c r="G33" s="25" t="str">
        <f>B10</f>
        <v>Kum Unique</v>
      </c>
      <c r="H33" s="25"/>
      <c r="I33" s="25"/>
      <c r="J33" s="25"/>
      <c r="K33" s="829" t="s">
        <v>90</v>
      </c>
      <c r="L33" s="829"/>
      <c r="M33" s="829"/>
      <c r="N33" s="829"/>
    </row>
    <row r="34" spans="1:14" s="30" customFormat="1" ht="16.5" x14ac:dyDescent="0.3">
      <c r="A34" s="32"/>
    </row>
    <row r="35" spans="1:14" s="30" customFormat="1" ht="16.5" x14ac:dyDescent="0.3">
      <c r="A35" s="32"/>
    </row>
    <row r="36" spans="1:14" s="30" customFormat="1" ht="16.5" x14ac:dyDescent="0.3">
      <c r="A36" s="32"/>
    </row>
    <row r="37" spans="1:14" s="30" customFormat="1" ht="16.5" x14ac:dyDescent="0.3">
      <c r="A37" s="32"/>
    </row>
    <row r="38" spans="1:14" s="30" customFormat="1" ht="16.5" x14ac:dyDescent="0.3">
      <c r="A38" s="32"/>
    </row>
    <row r="39" spans="1:14" s="30" customFormat="1" ht="16.5" x14ac:dyDescent="0.3">
      <c r="A39" s="32"/>
    </row>
    <row r="40" spans="1:14" s="30" customFormat="1" ht="16.5" x14ac:dyDescent="0.3">
      <c r="A40" s="32"/>
    </row>
    <row r="41" spans="1:14" s="30" customFormat="1" ht="16.5" x14ac:dyDescent="0.3">
      <c r="A41" s="32"/>
    </row>
    <row r="42" spans="1:14" s="30" customFormat="1" ht="16.5" x14ac:dyDescent="0.3">
      <c r="A42" s="32"/>
    </row>
  </sheetData>
  <mergeCells count="34">
    <mergeCell ref="K33:N33"/>
    <mergeCell ref="C22:D22"/>
    <mergeCell ref="E22:F22"/>
    <mergeCell ref="C23:D23"/>
    <mergeCell ref="E23:F23"/>
    <mergeCell ref="C24:D24"/>
    <mergeCell ref="E24:F24"/>
    <mergeCell ref="C25:D25"/>
    <mergeCell ref="E25:F25"/>
    <mergeCell ref="A26:D26"/>
    <mergeCell ref="E26:F26"/>
    <mergeCell ref="E27:F27"/>
    <mergeCell ref="C21:D21"/>
    <mergeCell ref="E21:F21"/>
    <mergeCell ref="A16:D16"/>
    <mergeCell ref="K16:L16"/>
    <mergeCell ref="A17:F17"/>
    <mergeCell ref="K17:L17"/>
    <mergeCell ref="A18:G18"/>
    <mergeCell ref="I18:K18"/>
    <mergeCell ref="L18:N18"/>
    <mergeCell ref="C19:D19"/>
    <mergeCell ref="E19:F19"/>
    <mergeCell ref="K19:L19"/>
    <mergeCell ref="M19:N19"/>
    <mergeCell ref="A20:F20"/>
    <mergeCell ref="A1:XFD7"/>
    <mergeCell ref="A8:N8"/>
    <mergeCell ref="K9:L9"/>
    <mergeCell ref="C10:C15"/>
    <mergeCell ref="K10:L10"/>
    <mergeCell ref="K11:L11"/>
    <mergeCell ref="K12:L12"/>
    <mergeCell ref="K15:L15"/>
  </mergeCells>
  <printOptions horizontalCentered="1"/>
  <pageMargins left="0.25" right="0.25" top="0.5" bottom="0.25" header="0.5" footer="0.5"/>
  <pageSetup scale="70" orientation="portrait" verticalDpi="300" r:id="rId1"/>
  <headerFooter alignWithMargins="0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23"/>
  <sheetViews>
    <sheetView topLeftCell="A13" workbookViewId="0">
      <selection activeCell="C31" sqref="C31"/>
    </sheetView>
  </sheetViews>
  <sheetFormatPr defaultRowHeight="15" x14ac:dyDescent="0.25"/>
  <cols>
    <col min="2" max="2" width="18.7109375" customWidth="1"/>
    <col min="3" max="3" width="15.5703125" customWidth="1"/>
    <col min="4" max="4" width="11.42578125" customWidth="1"/>
    <col min="5" max="5" width="9.140625" customWidth="1"/>
    <col min="6" max="6" width="10" bestFit="1" customWidth="1"/>
    <col min="7" max="7" width="10.5703125" bestFit="1" customWidth="1"/>
  </cols>
  <sheetData>
    <row r="3" spans="1:7" x14ac:dyDescent="0.25">
      <c r="A3" s="1069" t="s">
        <v>331</v>
      </c>
      <c r="B3" s="1069"/>
      <c r="C3" s="1069"/>
      <c r="D3" s="1069"/>
      <c r="E3" s="1069"/>
      <c r="F3" s="1069"/>
      <c r="G3" s="1069"/>
    </row>
    <row r="4" spans="1:7" x14ac:dyDescent="0.25">
      <c r="A4" s="1070" t="s">
        <v>332</v>
      </c>
      <c r="B4" s="1070"/>
      <c r="C4" s="1070"/>
      <c r="D4" s="1070"/>
      <c r="E4" s="1070"/>
      <c r="F4" s="1070"/>
      <c r="G4" s="1070"/>
    </row>
    <row r="7" spans="1:7" x14ac:dyDescent="0.25">
      <c r="A7" s="1071" t="s">
        <v>324</v>
      </c>
      <c r="B7" s="1071" t="s">
        <v>325</v>
      </c>
      <c r="C7" s="1071" t="s">
        <v>326</v>
      </c>
      <c r="D7" s="1071"/>
      <c r="E7" s="1071"/>
      <c r="F7" s="499" t="s">
        <v>327</v>
      </c>
      <c r="G7" s="653" t="s">
        <v>327</v>
      </c>
    </row>
    <row r="8" spans="1:7" x14ac:dyDescent="0.25">
      <c r="A8" s="1071"/>
      <c r="B8" s="1071"/>
      <c r="C8" s="500" t="s">
        <v>328</v>
      </c>
      <c r="D8" s="499" t="s">
        <v>10</v>
      </c>
      <c r="E8" s="500" t="s">
        <v>329</v>
      </c>
      <c r="F8" s="500" t="s">
        <v>330</v>
      </c>
      <c r="G8" s="653"/>
    </row>
    <row r="9" spans="1:7" x14ac:dyDescent="0.25">
      <c r="A9" s="501">
        <v>1</v>
      </c>
      <c r="B9" s="505" t="s">
        <v>333</v>
      </c>
      <c r="C9" s="502">
        <v>2000</v>
      </c>
      <c r="D9" s="503">
        <v>0.02</v>
      </c>
      <c r="E9" s="502">
        <f t="shared" ref="E9:E11" si="0">C9*D9</f>
        <v>40</v>
      </c>
      <c r="F9" s="502">
        <f t="shared" ref="F9:F10" si="1">E9</f>
        <v>40</v>
      </c>
      <c r="G9" s="502">
        <v>40</v>
      </c>
    </row>
    <row r="10" spans="1:7" x14ac:dyDescent="0.25">
      <c r="A10" s="504">
        <v>2</v>
      </c>
      <c r="B10" s="505" t="s">
        <v>334</v>
      </c>
      <c r="C10" s="502">
        <v>2000</v>
      </c>
      <c r="D10" s="503">
        <v>0.02</v>
      </c>
      <c r="E10" s="502">
        <f t="shared" si="0"/>
        <v>40</v>
      </c>
      <c r="F10" s="502">
        <f t="shared" si="1"/>
        <v>40</v>
      </c>
      <c r="G10" s="502">
        <v>40</v>
      </c>
    </row>
    <row r="11" spans="1:7" x14ac:dyDescent="0.25">
      <c r="A11" s="504">
        <v>3</v>
      </c>
      <c r="B11" s="505" t="s">
        <v>461</v>
      </c>
      <c r="C11" s="502">
        <v>2000</v>
      </c>
      <c r="D11" s="503">
        <v>0.02</v>
      </c>
      <c r="E11" s="502">
        <f t="shared" si="0"/>
        <v>40</v>
      </c>
      <c r="F11" s="502">
        <v>2040</v>
      </c>
      <c r="G11" s="502">
        <v>2040</v>
      </c>
    </row>
    <row r="12" spans="1:7" x14ac:dyDescent="0.25">
      <c r="A12" s="504"/>
      <c r="B12" s="505"/>
      <c r="C12" s="502"/>
      <c r="D12" s="503"/>
      <c r="E12" s="502"/>
      <c r="F12" s="502"/>
      <c r="G12" s="502"/>
    </row>
    <row r="13" spans="1:7" x14ac:dyDescent="0.25">
      <c r="A13" s="504"/>
      <c r="B13" s="505"/>
      <c r="C13" s="502"/>
      <c r="D13" s="503"/>
      <c r="E13" s="502"/>
      <c r="F13" s="502"/>
      <c r="G13" s="660"/>
    </row>
    <row r="14" spans="1:7" ht="15.75" thickBot="1" x14ac:dyDescent="0.3">
      <c r="A14" s="655"/>
      <c r="B14" s="661" t="s">
        <v>140</v>
      </c>
      <c r="C14" s="656"/>
      <c r="D14" s="657"/>
      <c r="E14" s="656">
        <f>SUM(E9:E13)</f>
        <v>120</v>
      </c>
      <c r="F14" s="656">
        <f>SUM(F9:F13)</f>
        <v>2120</v>
      </c>
      <c r="G14" s="656">
        <f>SUM(G9:G13)</f>
        <v>2120</v>
      </c>
    </row>
    <row r="15" spans="1:7" x14ac:dyDescent="0.25">
      <c r="G15" s="654"/>
    </row>
    <row r="16" spans="1:7" x14ac:dyDescent="0.25">
      <c r="B16" t="s">
        <v>41</v>
      </c>
      <c r="E16" s="1072" t="s">
        <v>460</v>
      </c>
      <c r="F16" s="1072"/>
    </row>
    <row r="17" spans="2:7" x14ac:dyDescent="0.25">
      <c r="E17" s="658"/>
      <c r="F17" s="658"/>
    </row>
    <row r="21" spans="2:7" x14ac:dyDescent="0.25">
      <c r="B21" s="1068" t="s">
        <v>458</v>
      </c>
      <c r="C21" s="1068"/>
      <c r="E21" s="1068" t="s">
        <v>459</v>
      </c>
      <c r="F21" s="1068"/>
      <c r="G21" s="1068"/>
    </row>
    <row r="22" spans="2:7" x14ac:dyDescent="0.25">
      <c r="B22" s="1068" t="s">
        <v>462</v>
      </c>
      <c r="C22" s="1068"/>
      <c r="E22" s="1068" t="s">
        <v>462</v>
      </c>
      <c r="F22" s="1068"/>
      <c r="G22" s="1068"/>
    </row>
    <row r="23" spans="2:7" x14ac:dyDescent="0.25">
      <c r="E23" s="659"/>
      <c r="F23" s="659"/>
      <c r="G23" s="659"/>
    </row>
  </sheetData>
  <mergeCells count="10">
    <mergeCell ref="B22:C22"/>
    <mergeCell ref="B21:C21"/>
    <mergeCell ref="E21:G21"/>
    <mergeCell ref="A3:G3"/>
    <mergeCell ref="A4:G4"/>
    <mergeCell ref="E22:G22"/>
    <mergeCell ref="A7:A8"/>
    <mergeCell ref="B7:B8"/>
    <mergeCell ref="C7:E7"/>
    <mergeCell ref="E16:F16"/>
  </mergeCells>
  <pageMargins left="0.7" right="0.7" top="0.75" bottom="0.75" header="0.3" footer="0.3"/>
  <pageSetup paperSize="9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21"/>
  <sheetViews>
    <sheetView topLeftCell="A13" workbookViewId="0">
      <selection activeCell="I15" sqref="I15"/>
    </sheetView>
  </sheetViews>
  <sheetFormatPr defaultRowHeight="15" x14ac:dyDescent="0.25"/>
  <cols>
    <col min="2" max="2" width="18.7109375" customWidth="1"/>
    <col min="3" max="3" width="15.5703125" customWidth="1"/>
    <col min="4" max="4" width="11.42578125" customWidth="1"/>
    <col min="5" max="5" width="9.140625" customWidth="1"/>
    <col min="6" max="6" width="10" bestFit="1" customWidth="1"/>
    <col min="7" max="7" width="10.5703125" bestFit="1" customWidth="1"/>
  </cols>
  <sheetData>
    <row r="3" spans="1:7" x14ac:dyDescent="0.25">
      <c r="A3" s="1069" t="s">
        <v>473</v>
      </c>
      <c r="B3" s="1069"/>
      <c r="C3" s="1069"/>
      <c r="D3" s="1069"/>
      <c r="E3" s="1069"/>
      <c r="F3" s="1069"/>
      <c r="G3" s="1069"/>
    </row>
    <row r="4" spans="1:7" x14ac:dyDescent="0.25">
      <c r="A4" s="1070" t="s">
        <v>332</v>
      </c>
      <c r="B4" s="1070"/>
      <c r="C4" s="1070"/>
      <c r="D4" s="1070"/>
      <c r="E4" s="1070"/>
      <c r="F4" s="1070"/>
      <c r="G4" s="1070"/>
    </row>
    <row r="7" spans="1:7" x14ac:dyDescent="0.25">
      <c r="A7" s="1071" t="s">
        <v>324</v>
      </c>
      <c r="B7" s="1071" t="s">
        <v>325</v>
      </c>
      <c r="C7" s="1071" t="s">
        <v>326</v>
      </c>
      <c r="D7" s="1071"/>
      <c r="E7" s="1071"/>
      <c r="F7" s="499" t="s">
        <v>327</v>
      </c>
      <c r="G7" s="653" t="s">
        <v>327</v>
      </c>
    </row>
    <row r="8" spans="1:7" x14ac:dyDescent="0.25">
      <c r="A8" s="1071"/>
      <c r="B8" s="1071"/>
      <c r="C8" s="674" t="s">
        <v>328</v>
      </c>
      <c r="D8" s="499" t="s">
        <v>10</v>
      </c>
      <c r="E8" s="674" t="s">
        <v>329</v>
      </c>
      <c r="F8" s="674" t="s">
        <v>330</v>
      </c>
      <c r="G8" s="653"/>
    </row>
    <row r="9" spans="1:7" x14ac:dyDescent="0.25">
      <c r="A9" s="501">
        <v>1</v>
      </c>
      <c r="B9" s="505" t="s">
        <v>474</v>
      </c>
      <c r="C9" s="502">
        <v>2000</v>
      </c>
      <c r="D9" s="503">
        <v>0.02</v>
      </c>
      <c r="E9" s="502">
        <f t="shared" ref="E9:E11" si="0">C9*D9</f>
        <v>40</v>
      </c>
      <c r="F9" s="502">
        <v>0</v>
      </c>
      <c r="G9" s="502">
        <v>0</v>
      </c>
    </row>
    <row r="10" spans="1:7" x14ac:dyDescent="0.25">
      <c r="A10" s="504">
        <v>2</v>
      </c>
      <c r="B10" s="505" t="s">
        <v>475</v>
      </c>
      <c r="C10" s="502">
        <v>2000</v>
      </c>
      <c r="D10" s="503">
        <v>0.02</v>
      </c>
      <c r="E10" s="502">
        <f t="shared" si="0"/>
        <v>40</v>
      </c>
      <c r="F10" s="502">
        <v>40</v>
      </c>
      <c r="G10" s="502">
        <v>40</v>
      </c>
    </row>
    <row r="11" spans="1:7" x14ac:dyDescent="0.25">
      <c r="A11" s="501">
        <v>3</v>
      </c>
      <c r="B11" s="505" t="s">
        <v>476</v>
      </c>
      <c r="C11" s="502">
        <v>2000</v>
      </c>
      <c r="D11" s="503">
        <v>0.02</v>
      </c>
      <c r="E11" s="502">
        <f t="shared" si="0"/>
        <v>40</v>
      </c>
      <c r="F11" s="502">
        <v>2040</v>
      </c>
      <c r="G11" s="502">
        <v>2040</v>
      </c>
    </row>
    <row r="12" spans="1:7" ht="15.75" thickBot="1" x14ac:dyDescent="0.3">
      <c r="A12" s="655"/>
      <c r="B12" s="661" t="s">
        <v>140</v>
      </c>
      <c r="C12" s="656"/>
      <c r="D12" s="656"/>
      <c r="E12" s="676">
        <f>SUM(E9:E11)</f>
        <v>120</v>
      </c>
      <c r="F12" s="656">
        <f>SUM(F9:F11)</f>
        <v>2080</v>
      </c>
      <c r="G12" s="656">
        <f>SUM(G9:G11)</f>
        <v>2080</v>
      </c>
    </row>
    <row r="13" spans="1:7" x14ac:dyDescent="0.25">
      <c r="G13" s="654"/>
    </row>
    <row r="14" spans="1:7" x14ac:dyDescent="0.25">
      <c r="B14" t="s">
        <v>41</v>
      </c>
      <c r="E14" s="1072" t="s">
        <v>460</v>
      </c>
      <c r="F14" s="1072"/>
    </row>
    <row r="15" spans="1:7" x14ac:dyDescent="0.25">
      <c r="E15" s="675"/>
      <c r="F15" s="675"/>
    </row>
    <row r="19" spans="2:7" x14ac:dyDescent="0.25">
      <c r="B19" s="1068" t="s">
        <v>458</v>
      </c>
      <c r="C19" s="1068"/>
      <c r="E19" s="1068" t="s">
        <v>459</v>
      </c>
      <c r="F19" s="1068"/>
      <c r="G19" s="1068"/>
    </row>
    <row r="20" spans="2:7" x14ac:dyDescent="0.25">
      <c r="B20" s="1068" t="s">
        <v>462</v>
      </c>
      <c r="C20" s="1068"/>
      <c r="E20" s="1068" t="s">
        <v>462</v>
      </c>
      <c r="F20" s="1068"/>
      <c r="G20" s="1068"/>
    </row>
    <row r="21" spans="2:7" x14ac:dyDescent="0.25">
      <c r="E21" s="673"/>
      <c r="F21" s="673"/>
      <c r="G21" s="673"/>
    </row>
  </sheetData>
  <mergeCells count="10">
    <mergeCell ref="B19:C19"/>
    <mergeCell ref="E19:G19"/>
    <mergeCell ref="B20:C20"/>
    <mergeCell ref="E20:G20"/>
    <mergeCell ref="A3:G3"/>
    <mergeCell ref="A4:G4"/>
    <mergeCell ref="A7:A8"/>
    <mergeCell ref="B7:B8"/>
    <mergeCell ref="C7:E7"/>
    <mergeCell ref="E14:F14"/>
  </mergeCells>
  <pageMargins left="0.7" right="0.7" top="0.75" bottom="0.75" header="0.3" footer="0.3"/>
  <pageSetup paperSize="9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86</vt:i4>
      </vt:variant>
      <vt:variant>
        <vt:lpstr>Named Ranges</vt:lpstr>
      </vt:variant>
      <vt:variant>
        <vt:i4>1</vt:i4>
      </vt:variant>
    </vt:vector>
  </HeadingPairs>
  <TitlesOfParts>
    <vt:vector size="87" baseType="lpstr">
      <vt:lpstr>Sumary 2012-2013</vt:lpstr>
      <vt:lpstr>Summary2013-2014</vt:lpstr>
      <vt:lpstr>Son Visoth</vt:lpstr>
      <vt:lpstr>Marinas Emilyn</vt:lpstr>
      <vt:lpstr>Tonn Saroth</vt:lpstr>
      <vt:lpstr>Pol Sarith</vt:lpstr>
      <vt:lpstr>Ham Hak (MBA)</vt:lpstr>
      <vt:lpstr>Beng Heng </vt:lpstr>
      <vt:lpstr>Kuch Sokheang</vt:lpstr>
      <vt:lpstr>Sim Bunsong</vt:lpstr>
      <vt:lpstr>Sen Sareth</vt:lpstr>
      <vt:lpstr>Katam Sonavan</vt:lpstr>
      <vt:lpstr>Oem Sary</vt:lpstr>
      <vt:lpstr>Soy Sareth</vt:lpstr>
      <vt:lpstr>Lim Heng </vt:lpstr>
      <vt:lpstr>Teap Solin</vt:lpstr>
      <vt:lpstr>Ang Assaravuth</vt:lpstr>
      <vt:lpstr>Chea Bunthan</vt:lpstr>
      <vt:lpstr>Thim Tharith</vt:lpstr>
      <vt:lpstr>Tek Vannara(MBA)</vt:lpstr>
      <vt:lpstr>Sen Sareth (GEP)</vt:lpstr>
      <vt:lpstr>Pascal (GEP)</vt:lpstr>
      <vt:lpstr>Jerry (GEP)</vt:lpstr>
      <vt:lpstr>Shon Run (GEP) </vt:lpstr>
      <vt:lpstr>Srun Sarak(University)</vt:lpstr>
      <vt:lpstr>Dy Chanpiseth</vt:lpstr>
      <vt:lpstr>Shon Run(University)</vt:lpstr>
      <vt:lpstr>Pascal Uiversity</vt:lpstr>
      <vt:lpstr>Jerry University</vt:lpstr>
      <vt:lpstr>Neang Bunthea</vt:lpstr>
      <vt:lpstr>Te Kim lin</vt:lpstr>
      <vt:lpstr>Chan Senvichit(University) </vt:lpstr>
      <vt:lpstr>Som Bony</vt:lpstr>
      <vt:lpstr>Sam Sen</vt:lpstr>
      <vt:lpstr>Leang Sophanna</vt:lpstr>
      <vt:lpstr>Chea Cheurn</vt:lpstr>
      <vt:lpstr>Sam Chamreoun</vt:lpstr>
      <vt:lpstr>Neang Sovat</vt:lpstr>
      <vt:lpstr>Chuon Kosal</vt:lpstr>
      <vt:lpstr>Moeun Tola</vt:lpstr>
      <vt:lpstr>Raymond Leo</vt:lpstr>
      <vt:lpstr>Kong Nimol(MBA)</vt:lpstr>
      <vt:lpstr>Hak Hon</vt:lpstr>
      <vt:lpstr>Chhay Theng</vt:lpstr>
      <vt:lpstr>Phoung Pheakdey</vt:lpstr>
      <vt:lpstr>Houen Sopheang </vt:lpstr>
      <vt:lpstr>Tith Bun chhoeun</vt:lpstr>
      <vt:lpstr>Kong Nimol(University)</vt:lpstr>
      <vt:lpstr>Sim Chandoeun</vt:lpstr>
      <vt:lpstr>Lim Bunheng</vt:lpstr>
      <vt:lpstr>Say Savuth</vt:lpstr>
      <vt:lpstr>San You(MBA)</vt:lpstr>
      <vt:lpstr>Nget chandara</vt:lpstr>
      <vt:lpstr>Sok Chheang</vt:lpstr>
      <vt:lpstr>Nget Kimsan</vt:lpstr>
      <vt:lpstr>Lam Socheat</vt:lpstr>
      <vt:lpstr>Phou Sok</vt:lpstr>
      <vt:lpstr>Hing Sophanarith</vt:lpstr>
      <vt:lpstr>Ler Kimheng</vt:lpstr>
      <vt:lpstr>Ham Hak</vt:lpstr>
      <vt:lpstr>Chea Haing Y</vt:lpstr>
      <vt:lpstr>Long Phanith</vt:lpstr>
      <vt:lpstr>Veun Thy</vt:lpstr>
      <vt:lpstr>No Phearak</vt:lpstr>
      <vt:lpstr>Sok Lika</vt:lpstr>
      <vt:lpstr>Sou Sontara</vt:lpstr>
      <vt:lpstr>Soun Serey</vt:lpstr>
      <vt:lpstr>Mok Phoeurn</vt:lpstr>
      <vt:lpstr>Carl Curran</vt:lpstr>
      <vt:lpstr>Heng Seitha</vt:lpstr>
      <vt:lpstr>Eam Bunthoeun</vt:lpstr>
      <vt:lpstr>Oeu Samath</vt:lpstr>
      <vt:lpstr>Pol Mony</vt:lpstr>
      <vt:lpstr>Seng Theara</vt:lpstr>
      <vt:lpstr>Khim Kemara</vt:lpstr>
      <vt:lpstr>Yuth Kongyu</vt:lpstr>
      <vt:lpstr>Ngoun Sopeap</vt:lpstr>
      <vt:lpstr>Thath Sovanarith</vt:lpstr>
      <vt:lpstr>Leang Sophanna(MBA)</vt:lpstr>
      <vt:lpstr>Tek Veansa(MBA)</vt:lpstr>
      <vt:lpstr>Dorn Phorsanith.</vt:lpstr>
      <vt:lpstr>Kum Unique</vt:lpstr>
      <vt:lpstr>Loan Boramy</vt:lpstr>
      <vt:lpstr>H.E Uk Savy</vt:lpstr>
      <vt:lpstr>Sheet3</vt:lpstr>
      <vt:lpstr>Sheet1</vt:lpstr>
      <vt:lpstr>'Sumary 2012-2013'!Print_Area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SIYAN</dc:creator>
  <cp:lastModifiedBy>Sophea OU</cp:lastModifiedBy>
  <cp:lastPrinted>2014-06-26T02:33:30Z</cp:lastPrinted>
  <dcterms:created xsi:type="dcterms:W3CDTF">2011-06-06T03:33:31Z</dcterms:created>
  <dcterms:modified xsi:type="dcterms:W3CDTF">2014-10-28T09:18:06Z</dcterms:modified>
</cp:coreProperties>
</file>