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D70E931-DF6B-4537-90C6-112FE1E29133}" xr6:coauthVersionLast="47" xr6:coauthVersionMax="47" xr10:uidLastSave="{00000000-0000-0000-0000-000000000000}"/>
  <bookViews>
    <workbookView xWindow="-108" yWindow="-108" windowWidth="23256" windowHeight="12456" activeTab="6" xr2:uid="{5C70FC2D-130A-48A5-9749-71189F4EED61}"/>
  </bookViews>
  <sheets>
    <sheet name="06-nov" sheetId="2" r:id="rId1"/>
    <sheet name="04-nov" sheetId="1" r:id="rId2"/>
    <sheet name="05-nov" sheetId="3" r:id="rId3"/>
    <sheet name="07-nov" sheetId="4" r:id="rId4"/>
    <sheet name="Sheet1" sheetId="5" r:id="rId5"/>
    <sheet name="21-nov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7" l="1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5" i="6"/>
  <c r="C4" i="6"/>
  <c r="C6" i="6"/>
  <c r="C3" i="6"/>
  <c r="G44" i="5"/>
  <c r="F44" i="5"/>
  <c r="E44" i="5"/>
  <c r="D44" i="5"/>
  <c r="G43" i="5"/>
  <c r="F43" i="5"/>
  <c r="E43" i="5"/>
  <c r="D43" i="5"/>
  <c r="G42" i="5"/>
  <c r="F42" i="5"/>
  <c r="E42" i="5"/>
  <c r="D42" i="5"/>
  <c r="G41" i="5"/>
  <c r="F41" i="5"/>
  <c r="E41" i="5"/>
  <c r="D41" i="5"/>
  <c r="G40" i="5"/>
  <c r="F40" i="5"/>
  <c r="E40" i="5"/>
  <c r="D40" i="5"/>
  <c r="G39" i="5"/>
  <c r="F39" i="5"/>
  <c r="E39" i="5"/>
  <c r="D39" i="5"/>
  <c r="G38" i="5"/>
  <c r="F38" i="5"/>
  <c r="E38" i="5"/>
  <c r="D38" i="5"/>
  <c r="G37" i="5"/>
  <c r="F37" i="5"/>
  <c r="E37" i="5"/>
  <c r="D37" i="5"/>
  <c r="G36" i="5"/>
  <c r="F36" i="5"/>
  <c r="E36" i="5"/>
  <c r="D36" i="5"/>
  <c r="F35" i="5"/>
  <c r="E35" i="5"/>
  <c r="D35" i="5"/>
  <c r="G34" i="5"/>
  <c r="F34" i="5"/>
  <c r="E34" i="5"/>
  <c r="D34" i="5"/>
  <c r="G33" i="5"/>
  <c r="F33" i="5"/>
  <c r="E33" i="5"/>
  <c r="D33" i="5"/>
  <c r="D32" i="5"/>
  <c r="G32" i="5"/>
  <c r="F32" i="5"/>
  <c r="E32" i="5"/>
  <c r="G31" i="5"/>
  <c r="F31" i="5"/>
  <c r="E31" i="5"/>
  <c r="D31" i="5"/>
  <c r="G30" i="5"/>
  <c r="F30" i="5"/>
  <c r="G28" i="5"/>
  <c r="F28" i="5"/>
  <c r="E28" i="5"/>
  <c r="D28" i="5"/>
  <c r="G27" i="5"/>
  <c r="F27" i="5"/>
  <c r="E27" i="5"/>
  <c r="E30" i="5"/>
  <c r="D30" i="5"/>
  <c r="G29" i="5"/>
  <c r="F29" i="5"/>
  <c r="E29" i="5"/>
  <c r="D29" i="5"/>
  <c r="D27" i="5"/>
  <c r="G26" i="5"/>
  <c r="F26" i="5"/>
  <c r="E26" i="5"/>
  <c r="D26" i="5"/>
  <c r="G25" i="5"/>
  <c r="F25" i="5"/>
  <c r="E25" i="5"/>
  <c r="D25" i="5"/>
  <c r="G24" i="5"/>
  <c r="F24" i="5"/>
  <c r="E24" i="5"/>
  <c r="D24" i="5"/>
  <c r="G23" i="5"/>
  <c r="F23" i="5"/>
  <c r="E23" i="5"/>
  <c r="D23" i="5"/>
  <c r="G22" i="5"/>
  <c r="F22" i="5"/>
  <c r="E22" i="5"/>
  <c r="D22" i="5"/>
  <c r="G21" i="5"/>
  <c r="F21" i="5"/>
  <c r="E21" i="5"/>
  <c r="D21" i="5"/>
  <c r="G20" i="5"/>
  <c r="F20" i="5"/>
  <c r="E20" i="5"/>
  <c r="G9" i="5"/>
  <c r="D20" i="5"/>
  <c r="G19" i="5"/>
  <c r="F19" i="5"/>
  <c r="E19" i="5"/>
  <c r="D19" i="5"/>
  <c r="G18" i="5"/>
  <c r="F18" i="5"/>
  <c r="E18" i="5"/>
  <c r="D18" i="5"/>
  <c r="G17" i="5"/>
  <c r="F17" i="5"/>
  <c r="E17" i="5"/>
  <c r="D17" i="5"/>
  <c r="G16" i="5"/>
  <c r="F16" i="5"/>
  <c r="E16" i="5"/>
  <c r="D16" i="5"/>
  <c r="G15" i="5"/>
  <c r="F15" i="5"/>
  <c r="E15" i="5"/>
  <c r="D15" i="5"/>
  <c r="G14" i="5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10" i="5"/>
  <c r="F10" i="5"/>
  <c r="E10" i="5"/>
  <c r="D10" i="5"/>
  <c r="F9" i="5"/>
  <c r="E9" i="5"/>
  <c r="D9" i="5"/>
  <c r="G8" i="5"/>
  <c r="F8" i="5"/>
  <c r="E8" i="5"/>
  <c r="D8" i="5"/>
  <c r="G7" i="5"/>
  <c r="F7" i="5"/>
  <c r="E7" i="5"/>
  <c r="D7" i="5"/>
  <c r="G6" i="5"/>
  <c r="F6" i="5"/>
  <c r="E6" i="5"/>
  <c r="D6" i="5"/>
  <c r="G5" i="5"/>
  <c r="F5" i="5"/>
  <c r="E5" i="5"/>
  <c r="D5" i="5"/>
  <c r="G4" i="5"/>
  <c r="F4" i="5"/>
  <c r="E4" i="5"/>
  <c r="D4" i="5"/>
  <c r="G3" i="5"/>
  <c r="F3" i="5"/>
  <c r="E3" i="5"/>
  <c r="D3" i="5"/>
  <c r="G2" i="5"/>
  <c r="F2" i="5"/>
  <c r="E2" i="5"/>
  <c r="D2" i="5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E39" i="4"/>
  <c r="D41" i="4"/>
  <c r="G40" i="4"/>
  <c r="F40" i="4"/>
  <c r="E40" i="4"/>
  <c r="D40" i="4"/>
  <c r="G39" i="4"/>
  <c r="F39" i="4"/>
  <c r="D39" i="4"/>
  <c r="G38" i="4"/>
  <c r="E38" i="4"/>
  <c r="D38" i="4"/>
  <c r="G37" i="4"/>
  <c r="F37" i="4"/>
  <c r="E37" i="4"/>
  <c r="D37" i="4"/>
  <c r="G36" i="4"/>
  <c r="F36" i="4"/>
  <c r="E36" i="4"/>
  <c r="D36" i="4"/>
  <c r="G35" i="4"/>
  <c r="F35" i="4"/>
  <c r="F34" i="4"/>
  <c r="E35" i="4"/>
  <c r="D35" i="4"/>
  <c r="G34" i="4"/>
  <c r="E34" i="4"/>
  <c r="D34" i="4"/>
  <c r="G33" i="4"/>
  <c r="F33" i="4"/>
  <c r="E33" i="4"/>
  <c r="D33" i="4"/>
  <c r="G32" i="4"/>
  <c r="F32" i="4"/>
  <c r="E32" i="4"/>
  <c r="D32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E13" i="4"/>
  <c r="G13" i="4"/>
  <c r="F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44" i="2"/>
  <c r="F44" i="2"/>
  <c r="D44" i="2"/>
  <c r="C44" i="2"/>
  <c r="G43" i="2"/>
  <c r="F43" i="2"/>
  <c r="D43" i="2"/>
  <c r="C43" i="2"/>
  <c r="G42" i="2"/>
  <c r="F42" i="2"/>
  <c r="D42" i="2"/>
  <c r="C42" i="2"/>
  <c r="G40" i="2"/>
  <c r="G41" i="2"/>
  <c r="F41" i="2"/>
  <c r="D41" i="2"/>
  <c r="C41" i="2"/>
  <c r="F40" i="2"/>
  <c r="D40" i="2"/>
  <c r="C40" i="2"/>
  <c r="G39" i="2"/>
  <c r="F39" i="2"/>
  <c r="D39" i="2"/>
  <c r="C39" i="2"/>
  <c r="G38" i="2"/>
  <c r="F38" i="2"/>
  <c r="D38" i="2"/>
  <c r="C38" i="2"/>
  <c r="G37" i="2"/>
  <c r="F37" i="2"/>
  <c r="D37" i="2"/>
  <c r="C37" i="2"/>
  <c r="G36" i="2"/>
  <c r="F36" i="2"/>
  <c r="D36" i="2"/>
  <c r="C36" i="2"/>
  <c r="G35" i="2"/>
  <c r="F35" i="2"/>
  <c r="D35" i="2"/>
  <c r="C35" i="2"/>
  <c r="G34" i="2"/>
  <c r="F34" i="2"/>
  <c r="D34" i="2"/>
  <c r="C34" i="2"/>
  <c r="F33" i="2"/>
  <c r="G33" i="2"/>
  <c r="D33" i="2"/>
  <c r="C33" i="2"/>
  <c r="G32" i="2"/>
  <c r="F32" i="2"/>
  <c r="D32" i="2"/>
  <c r="C32" i="2"/>
  <c r="G31" i="2"/>
  <c r="F31" i="2"/>
  <c r="D31" i="2"/>
  <c r="C31" i="2"/>
  <c r="G30" i="2"/>
  <c r="F30" i="2"/>
  <c r="D30" i="2"/>
  <c r="C30" i="2"/>
  <c r="G29" i="2"/>
  <c r="F29" i="2"/>
  <c r="D29" i="2"/>
  <c r="C29" i="2"/>
  <c r="G28" i="2"/>
  <c r="F28" i="2"/>
  <c r="D28" i="2"/>
  <c r="C28" i="2"/>
  <c r="G27" i="2"/>
  <c r="F27" i="2"/>
  <c r="D27" i="2"/>
  <c r="C27" i="2"/>
  <c r="G26" i="2"/>
  <c r="F26" i="2"/>
  <c r="D26" i="2"/>
  <c r="C26" i="2"/>
  <c r="G25" i="2"/>
  <c r="F25" i="2"/>
  <c r="D25" i="2"/>
  <c r="G24" i="2"/>
  <c r="F24" i="2"/>
  <c r="D24" i="2"/>
  <c r="C24" i="2"/>
  <c r="G23" i="2"/>
  <c r="F23" i="2"/>
  <c r="D23" i="2"/>
  <c r="C23" i="2"/>
  <c r="G22" i="2"/>
  <c r="F22" i="2"/>
  <c r="D22" i="2"/>
  <c r="C22" i="2"/>
  <c r="G21" i="2"/>
  <c r="F21" i="2"/>
  <c r="D21" i="2"/>
  <c r="C21" i="2"/>
  <c r="G20" i="2"/>
  <c r="F20" i="2"/>
  <c r="D20" i="2"/>
  <c r="C20" i="2"/>
  <c r="G19" i="2"/>
  <c r="F19" i="2"/>
  <c r="D19" i="2"/>
  <c r="C19" i="2"/>
  <c r="G18" i="2"/>
  <c r="F18" i="2"/>
  <c r="D18" i="2"/>
  <c r="C18" i="2"/>
  <c r="G17" i="2"/>
  <c r="F17" i="2"/>
  <c r="D17" i="2"/>
  <c r="F13" i="2"/>
  <c r="C17" i="2"/>
  <c r="G16" i="2"/>
  <c r="F16" i="2"/>
  <c r="D16" i="2"/>
  <c r="C16" i="2"/>
  <c r="G15" i="2"/>
  <c r="F15" i="2"/>
  <c r="D15" i="2"/>
  <c r="C15" i="2"/>
  <c r="G14" i="2"/>
  <c r="F14" i="2"/>
  <c r="D14" i="2"/>
  <c r="C14" i="2"/>
  <c r="G13" i="2"/>
  <c r="D13" i="2"/>
  <c r="C13" i="2"/>
  <c r="G12" i="2"/>
  <c r="F12" i="2"/>
  <c r="D12" i="2"/>
  <c r="C12" i="2"/>
  <c r="G11" i="2"/>
  <c r="F11" i="2"/>
  <c r="D11" i="2"/>
  <c r="C11" i="2"/>
  <c r="G10" i="2"/>
  <c r="F10" i="2"/>
  <c r="D10" i="2"/>
  <c r="C10" i="2"/>
  <c r="G9" i="2"/>
  <c r="F9" i="2"/>
  <c r="D9" i="2"/>
  <c r="C9" i="2"/>
  <c r="G8" i="2"/>
  <c r="F8" i="2"/>
  <c r="D8" i="2"/>
  <c r="C8" i="2"/>
  <c r="G7" i="2"/>
  <c r="F7" i="2"/>
  <c r="D7" i="2"/>
  <c r="C7" i="2"/>
  <c r="G6" i="2"/>
  <c r="F6" i="2"/>
  <c r="D6" i="2"/>
  <c r="C6" i="2"/>
  <c r="G5" i="2"/>
  <c r="F5" i="2"/>
  <c r="D5" i="2"/>
  <c r="C5" i="2"/>
  <c r="G4" i="2"/>
  <c r="F4" i="2"/>
  <c r="D4" i="2"/>
  <c r="C4" i="2"/>
  <c r="G3" i="2"/>
  <c r="F3" i="2"/>
  <c r="D3" i="2"/>
  <c r="C3" i="2"/>
  <c r="G42" i="3"/>
  <c r="F42" i="3"/>
  <c r="E42" i="3"/>
  <c r="D42" i="3"/>
  <c r="G41" i="3"/>
  <c r="F41" i="3"/>
  <c r="E41" i="3"/>
  <c r="D41" i="3"/>
  <c r="G40" i="3"/>
  <c r="F40" i="3"/>
  <c r="E40" i="3"/>
  <c r="D40" i="3"/>
  <c r="G39" i="3"/>
  <c r="F39" i="3"/>
  <c r="E39" i="3"/>
  <c r="D39" i="3"/>
  <c r="G38" i="3"/>
  <c r="F38" i="3"/>
  <c r="E38" i="3"/>
  <c r="D38" i="3"/>
  <c r="G37" i="3"/>
  <c r="F37" i="3"/>
  <c r="E37" i="3"/>
  <c r="D37" i="3"/>
  <c r="G36" i="3"/>
  <c r="F36" i="3"/>
  <c r="E36" i="3"/>
  <c r="D36" i="3"/>
  <c r="G35" i="3"/>
  <c r="F35" i="3"/>
  <c r="E35" i="3"/>
  <c r="D35" i="3"/>
  <c r="G34" i="3"/>
  <c r="F34" i="3"/>
  <c r="E34" i="3"/>
  <c r="D34" i="3"/>
  <c r="G33" i="3"/>
  <c r="F33" i="3"/>
  <c r="E33" i="3"/>
  <c r="D33" i="3"/>
  <c r="G32" i="3"/>
  <c r="F32" i="3"/>
  <c r="E32" i="3"/>
  <c r="D32" i="3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G45" i="1"/>
  <c r="F45" i="1"/>
  <c r="D45" i="1"/>
  <c r="C45" i="1"/>
  <c r="G44" i="1"/>
  <c r="F44" i="1"/>
  <c r="D44" i="1"/>
  <c r="C44" i="1"/>
  <c r="G43" i="1"/>
  <c r="F43" i="1"/>
  <c r="D43" i="1"/>
  <c r="C43" i="1"/>
  <c r="G42" i="1"/>
  <c r="F42" i="1"/>
  <c r="D42" i="1"/>
  <c r="C42" i="1"/>
  <c r="G41" i="1"/>
  <c r="F41" i="1"/>
  <c r="D41" i="1"/>
  <c r="C41" i="1"/>
  <c r="G40" i="1"/>
  <c r="F40" i="1"/>
  <c r="D40" i="1"/>
  <c r="C40" i="1"/>
  <c r="G39" i="1"/>
  <c r="F39" i="1"/>
  <c r="D39" i="1"/>
  <c r="C39" i="1"/>
  <c r="G38" i="1"/>
  <c r="F38" i="1"/>
  <c r="D38" i="1"/>
  <c r="C38" i="1"/>
  <c r="G37" i="1"/>
  <c r="F37" i="1"/>
  <c r="D37" i="1"/>
  <c r="C37" i="1"/>
  <c r="G36" i="1"/>
  <c r="F36" i="1"/>
  <c r="D36" i="1"/>
  <c r="C36" i="1"/>
  <c r="G35" i="1"/>
  <c r="F35" i="1"/>
  <c r="D35" i="1"/>
  <c r="C35" i="1"/>
  <c r="G34" i="1"/>
  <c r="F34" i="1"/>
  <c r="D34" i="1"/>
  <c r="C34" i="1"/>
  <c r="G33" i="1"/>
  <c r="F33" i="1"/>
  <c r="D33" i="1"/>
  <c r="G32" i="1"/>
  <c r="F32" i="1"/>
  <c r="D32" i="1"/>
  <c r="C32" i="1"/>
  <c r="G31" i="1"/>
  <c r="F31" i="1"/>
  <c r="D31" i="1"/>
  <c r="C31" i="1"/>
  <c r="G30" i="1"/>
  <c r="F30" i="1"/>
  <c r="D30" i="1"/>
  <c r="C30" i="1"/>
  <c r="G29" i="1"/>
  <c r="F29" i="1"/>
  <c r="D29" i="1"/>
  <c r="C29" i="1"/>
  <c r="G28" i="1"/>
  <c r="F28" i="1"/>
  <c r="D28" i="1"/>
  <c r="C28" i="1"/>
  <c r="G27" i="1"/>
  <c r="F27" i="1"/>
  <c r="D27" i="1"/>
  <c r="C27" i="1"/>
  <c r="G26" i="1"/>
  <c r="F26" i="1"/>
  <c r="D26" i="1"/>
  <c r="C26" i="1"/>
  <c r="G25" i="1"/>
  <c r="F25" i="1"/>
  <c r="D25" i="1"/>
  <c r="C25" i="1"/>
  <c r="D21" i="1"/>
  <c r="G24" i="1"/>
  <c r="F24" i="1"/>
  <c r="D24" i="1"/>
  <c r="C24" i="1"/>
  <c r="G22" i="1"/>
  <c r="F22" i="1"/>
  <c r="D22" i="1"/>
  <c r="C22" i="1"/>
  <c r="G21" i="1"/>
  <c r="F21" i="1"/>
  <c r="C21" i="1"/>
  <c r="G20" i="1"/>
  <c r="F20" i="1"/>
  <c r="D20" i="1"/>
  <c r="C20" i="1"/>
  <c r="G19" i="1"/>
  <c r="F19" i="1"/>
  <c r="D19" i="1"/>
  <c r="C19" i="1"/>
  <c r="G18" i="1"/>
  <c r="F18" i="1"/>
  <c r="D18" i="1"/>
  <c r="C18" i="1"/>
  <c r="G17" i="1"/>
  <c r="F17" i="1"/>
  <c r="D17" i="1"/>
  <c r="G16" i="1"/>
  <c r="F16" i="1"/>
  <c r="G15" i="1"/>
  <c r="F15" i="1"/>
  <c r="G14" i="1"/>
  <c r="F14" i="1"/>
  <c r="G12" i="1"/>
  <c r="F12" i="1"/>
  <c r="G11" i="1"/>
  <c r="F11" i="1"/>
  <c r="G9" i="1"/>
  <c r="F9" i="1"/>
  <c r="G8" i="1"/>
  <c r="F8" i="1"/>
  <c r="G7" i="1"/>
  <c r="F7" i="1"/>
  <c r="G6" i="1"/>
  <c r="F6" i="1"/>
  <c r="G5" i="1"/>
  <c r="F5" i="1"/>
  <c r="G3" i="1"/>
  <c r="F3" i="1"/>
</calcChain>
</file>

<file path=xl/sharedStrings.xml><?xml version="1.0" encoding="utf-8"?>
<sst xmlns="http://schemas.openxmlformats.org/spreadsheetml/2006/main" count="951" uniqueCount="331">
  <si>
    <t>time</t>
  </si>
  <si>
    <t>candle</t>
  </si>
  <si>
    <t>opening price</t>
  </si>
  <si>
    <t>expected points</t>
  </si>
  <si>
    <t>pointslow</t>
  </si>
  <si>
    <t>points high</t>
  </si>
  <si>
    <t>reached price</t>
  </si>
  <si>
    <t>9.20 am</t>
  </si>
  <si>
    <t>red</t>
  </si>
  <si>
    <t>yes24,064.40</t>
  </si>
  <si>
    <t>9.25 am</t>
  </si>
  <si>
    <t>9.30 am</t>
  </si>
  <si>
    <t>green</t>
  </si>
  <si>
    <t>no24,064.40</t>
  </si>
  <si>
    <t>9.35 am</t>
  </si>
  <si>
    <t>9.40 am</t>
  </si>
  <si>
    <t>ye24,069.75</t>
  </si>
  <si>
    <t>9.45 am</t>
  </si>
  <si>
    <t>yes24,025.90</t>
  </si>
  <si>
    <t>9.50 am</t>
  </si>
  <si>
    <t>yes24,063.95</t>
  </si>
  <si>
    <t>9.55 am</t>
  </si>
  <si>
    <t>10.00 am</t>
  </si>
  <si>
    <t>yes24,,009.70</t>
  </si>
  <si>
    <t>10.05 am</t>
  </si>
  <si>
    <t>yes23,991.40</t>
  </si>
  <si>
    <t>10.10 am</t>
  </si>
  <si>
    <t>10.15 am</t>
  </si>
  <si>
    <t>yes23,972.30</t>
  </si>
  <si>
    <t>10.20am</t>
  </si>
  <si>
    <t>yes23,984.60</t>
  </si>
  <si>
    <t>10.25 am</t>
  </si>
  <si>
    <t>10.30 am</t>
  </si>
  <si>
    <t xml:space="preserve">10.35 am </t>
  </si>
  <si>
    <t>10.40 am</t>
  </si>
  <si>
    <t>10.45 am</t>
  </si>
  <si>
    <t>10.50 am</t>
  </si>
  <si>
    <t>10.55 am</t>
  </si>
  <si>
    <t>11.05 am</t>
  </si>
  <si>
    <t>11.10 am</t>
  </si>
  <si>
    <t>11.15 am</t>
  </si>
  <si>
    <t>11.20 am</t>
  </si>
  <si>
    <t>11.25 am</t>
  </si>
  <si>
    <t>11.30 am</t>
  </si>
  <si>
    <t>11.35 am</t>
  </si>
  <si>
    <t>11.40 am</t>
  </si>
  <si>
    <t>11.45 am</t>
  </si>
  <si>
    <t>11.50am</t>
  </si>
  <si>
    <t>11.55 am</t>
  </si>
  <si>
    <t>12:00:pm</t>
  </si>
  <si>
    <t>12.05pm</t>
  </si>
  <si>
    <t>12.10 pm</t>
  </si>
  <si>
    <t>12.15 pm</t>
  </si>
  <si>
    <t>12.20pm</t>
  </si>
  <si>
    <t>12.25 pm</t>
  </si>
  <si>
    <t>12.30 pm</t>
  </si>
  <si>
    <t>12.35 pm</t>
  </si>
  <si>
    <t>12.40 pm</t>
  </si>
  <si>
    <t>12.45 pm</t>
  </si>
  <si>
    <t>12.50 pm</t>
  </si>
  <si>
    <t>12.55 pm</t>
  </si>
  <si>
    <t>yes23,975.65</t>
  </si>
  <si>
    <t>yes23,934.35</t>
  </si>
  <si>
    <t>yes23,936.40</t>
  </si>
  <si>
    <t>yes23,919.10</t>
  </si>
  <si>
    <t>yes23,924.30</t>
  </si>
  <si>
    <t>yes23,925.10</t>
  </si>
  <si>
    <t>yes23,914.15</t>
  </si>
  <si>
    <t>yes23,884.60</t>
  </si>
  <si>
    <t>yes855.85</t>
  </si>
  <si>
    <t>yes23,850.90</t>
  </si>
  <si>
    <t>yes23,847.25</t>
  </si>
  <si>
    <t>yes23,836.05</t>
  </si>
  <si>
    <t>yes23,863.00</t>
  </si>
  <si>
    <t>yes23,868.45</t>
  </si>
  <si>
    <t>yes23,861.60</t>
  </si>
  <si>
    <t>yes23,868.70</t>
  </si>
  <si>
    <t>no23,871.90</t>
  </si>
  <si>
    <t>yes23,866.35</t>
  </si>
  <si>
    <t>yes23,887.54</t>
  </si>
  <si>
    <t>yes23,946.45</t>
  </si>
  <si>
    <t>yes23,927.25</t>
  </si>
  <si>
    <t>n23,918.85</t>
  </si>
  <si>
    <t>no23,918.85</t>
  </si>
  <si>
    <t>yes23,887.65</t>
  </si>
  <si>
    <t>no23,885.65</t>
  </si>
  <si>
    <t>no23,885.85</t>
  </si>
  <si>
    <t>no23,882.45</t>
  </si>
  <si>
    <t>yes23,886.05</t>
  </si>
  <si>
    <t>points low</t>
  </si>
  <si>
    <t>RED</t>
  </si>
  <si>
    <t>YES24,006.10</t>
  </si>
  <si>
    <t>YES23,983.40</t>
  </si>
  <si>
    <t>GREEN</t>
  </si>
  <si>
    <t>YES23,991.20</t>
  </si>
  <si>
    <t>YES23,967.15</t>
  </si>
  <si>
    <t>NO23,958.45</t>
  </si>
  <si>
    <t>YES23,938.20</t>
  </si>
  <si>
    <t>NO23,953.75</t>
  </si>
  <si>
    <t>YES23,998.60</t>
  </si>
  <si>
    <t>YES23,990.25</t>
  </si>
  <si>
    <t>YES23,980.65</t>
  </si>
  <si>
    <t>YES23,951.60</t>
  </si>
  <si>
    <t>YES23,969.40</t>
  </si>
  <si>
    <t>YES24,022.15</t>
  </si>
  <si>
    <t>YES23,974.90</t>
  </si>
  <si>
    <t>YES23,953.60</t>
  </si>
  <si>
    <t>YES23,968.65</t>
  </si>
  <si>
    <t>YES23,988.20</t>
  </si>
  <si>
    <t>YES23,979.75</t>
  </si>
  <si>
    <t>NO23,982.75</t>
  </si>
  <si>
    <t>YES23,974.50</t>
  </si>
  <si>
    <t>YES23,982.55</t>
  </si>
  <si>
    <t>NO23,974.90</t>
  </si>
  <si>
    <t>YES23,973.70</t>
  </si>
  <si>
    <t>YES23,946.80</t>
  </si>
  <si>
    <t>NO23,930.65</t>
  </si>
  <si>
    <t>YES23,934.40</t>
  </si>
  <si>
    <t>YES23,897.85</t>
  </si>
  <si>
    <t>YES23,866.30</t>
  </si>
  <si>
    <t>YRS23,865.25</t>
  </si>
  <si>
    <t>YRS23,864.55</t>
  </si>
  <si>
    <t>YES23,862.25</t>
  </si>
  <si>
    <t>YES23,887.70</t>
  </si>
  <si>
    <t>YES23,892.50</t>
  </si>
  <si>
    <t>YES23,874.55</t>
  </si>
  <si>
    <t>YES23,892.90</t>
  </si>
  <si>
    <t>YES23,857.05</t>
  </si>
  <si>
    <t>YES23,879.70</t>
  </si>
  <si>
    <t>YES23,887.95</t>
  </si>
  <si>
    <t>YES23,906.75</t>
  </si>
  <si>
    <t>YES23,908.30</t>
  </si>
  <si>
    <t>yes24,625.25</t>
  </si>
  <si>
    <t>yes24,343.85</t>
  </si>
  <si>
    <t>yes24,326.40</t>
  </si>
  <si>
    <t>yes24,336.75</t>
  </si>
  <si>
    <t>yes24,346.40</t>
  </si>
  <si>
    <t>yes24,346.75</t>
  </si>
  <si>
    <t>points hihg</t>
  </si>
  <si>
    <t>yes24,359.75</t>
  </si>
  <si>
    <t>yes24,355.80</t>
  </si>
  <si>
    <t>yes24,401.20</t>
  </si>
  <si>
    <t>yes24,404.90</t>
  </si>
  <si>
    <t>yes24,379.25</t>
  </si>
  <si>
    <t>yes24,375.20</t>
  </si>
  <si>
    <t>no24,366.30</t>
  </si>
  <si>
    <t>yes24,324.80</t>
  </si>
  <si>
    <t>yes24,313.00</t>
  </si>
  <si>
    <t>yes24,328.95</t>
  </si>
  <si>
    <t>yes24,299.45</t>
  </si>
  <si>
    <t>yes24,304.80</t>
  </si>
  <si>
    <t>yes24,347.40</t>
  </si>
  <si>
    <t>yes24,361.20</t>
  </si>
  <si>
    <t>no24,352.90</t>
  </si>
  <si>
    <t>no24,369.05</t>
  </si>
  <si>
    <t>no24,356.15</t>
  </si>
  <si>
    <t>yes24,366.15</t>
  </si>
  <si>
    <t>no24,366.55</t>
  </si>
  <si>
    <t>no24,361.95</t>
  </si>
  <si>
    <t>yes24,889.15</t>
  </si>
  <si>
    <t>yes24,381.75</t>
  </si>
  <si>
    <t>yes24,391.75</t>
  </si>
  <si>
    <t>yes24,393.20</t>
  </si>
  <si>
    <t>yes24,425,.30</t>
  </si>
  <si>
    <t>yes24,435.90</t>
  </si>
  <si>
    <t>yes24,439.75</t>
  </si>
  <si>
    <t>yes24,431.05</t>
  </si>
  <si>
    <t>no24,423.25</t>
  </si>
  <si>
    <t>yes24,415.45</t>
  </si>
  <si>
    <t>yes24,410.40</t>
  </si>
  <si>
    <t>yes24,426.50</t>
  </si>
  <si>
    <t>yes24,435.15</t>
  </si>
  <si>
    <t>no24,440.65</t>
  </si>
  <si>
    <t>no24,422.05</t>
  </si>
  <si>
    <t>yes24,419.55</t>
  </si>
  <si>
    <t>\</t>
  </si>
  <si>
    <t>y24,395.60</t>
  </si>
  <si>
    <t>yes24,345.15</t>
  </si>
  <si>
    <t>no24,360.50</t>
  </si>
  <si>
    <t>yes24,360.50</t>
  </si>
  <si>
    <t>yes24,339.10</t>
  </si>
  <si>
    <t>yes24,365.35</t>
  </si>
  <si>
    <t>yes24,367.95</t>
  </si>
  <si>
    <t>yes24,340.25</t>
  </si>
  <si>
    <t>yes24,279.15</t>
  </si>
  <si>
    <t>yes24,219.20</t>
  </si>
  <si>
    <t>yes24,223.25</t>
  </si>
  <si>
    <t>no24,221.40</t>
  </si>
  <si>
    <t>yes24,218.70</t>
  </si>
  <si>
    <t>yes24,230.60</t>
  </si>
  <si>
    <t>yes24,195.20</t>
  </si>
  <si>
    <t>yes24,187.75</t>
  </si>
  <si>
    <t>yes24,200.50</t>
  </si>
  <si>
    <t>yes24,206.10</t>
  </si>
  <si>
    <t>yes24,206.95</t>
  </si>
  <si>
    <t>yes24,232.45</t>
  </si>
  <si>
    <t>yes24,253.30</t>
  </si>
  <si>
    <t>yes24,239.30</t>
  </si>
  <si>
    <t>yes24,223.05</t>
  </si>
  <si>
    <t>yes24,233.35</t>
  </si>
  <si>
    <t>yes24,194.90</t>
  </si>
  <si>
    <t>no24,206.20</t>
  </si>
  <si>
    <t>no24,21616.20</t>
  </si>
  <si>
    <t>yes24,217.45</t>
  </si>
  <si>
    <t>yes24,218.90</t>
  </si>
  <si>
    <t>no24,218.20</t>
  </si>
  <si>
    <t>yes24,209.70</t>
  </si>
  <si>
    <t>no24,212.15</t>
  </si>
  <si>
    <t>yes24,198.35</t>
  </si>
  <si>
    <t>yes24,207.55</t>
  </si>
  <si>
    <t>yes24,197.35</t>
  </si>
  <si>
    <t>no24,197.05</t>
  </si>
  <si>
    <t>yes24,218.10</t>
  </si>
  <si>
    <t>yes24,221.85</t>
  </si>
  <si>
    <t>no24,22.05</t>
  </si>
  <si>
    <t>yes24,219.80</t>
  </si>
  <si>
    <t>yes24,230.75</t>
  </si>
  <si>
    <t>yes24,064.25</t>
  </si>
  <si>
    <t>yes 24,143.95</t>
  </si>
  <si>
    <t>yes24,143.95</t>
  </si>
  <si>
    <t>no24,125.15</t>
  </si>
  <si>
    <t>yes24,145.70</t>
  </si>
  <si>
    <t>yes24,171.90</t>
  </si>
  <si>
    <t>no24,160.15</t>
  </si>
  <si>
    <t>yes24,159.15</t>
  </si>
  <si>
    <t>yes 24,135.30</t>
  </si>
  <si>
    <t>yes24,146.50</t>
  </si>
  <si>
    <t>yes24,123.15</t>
  </si>
  <si>
    <t>yes24,114.90</t>
  </si>
  <si>
    <t>yes 24,157.05</t>
  </si>
  <si>
    <t>yes 24,223.85</t>
  </si>
  <si>
    <t>no24,129.90</t>
  </si>
  <si>
    <t>yes24,251.35</t>
  </si>
  <si>
    <t>no24,234.30</t>
  </si>
  <si>
    <t>yes24,241.85</t>
  </si>
  <si>
    <t>yes 24,273.20</t>
  </si>
  <si>
    <t>yes24,273.20</t>
  </si>
  <si>
    <t>yes 24,309.65</t>
  </si>
  <si>
    <t>yes24,317.75</t>
  </si>
  <si>
    <t>yes 24,311.30</t>
  </si>
  <si>
    <t>yes24,315.95</t>
  </si>
  <si>
    <t>yes24,311.05</t>
  </si>
  <si>
    <t>yes24,311.70</t>
  </si>
  <si>
    <t>no24,311.05</t>
  </si>
  <si>
    <t>yes24,331.70</t>
  </si>
  <si>
    <t>yes24,314.20</t>
  </si>
  <si>
    <t>yes 24,299.60</t>
  </si>
  <si>
    <t>yes24,287.95</t>
  </si>
  <si>
    <t>yes24,280.75</t>
  </si>
  <si>
    <t>yes24,257.45</t>
  </si>
  <si>
    <t>yes24,253.60</t>
  </si>
  <si>
    <t>no24,235.00</t>
  </si>
  <si>
    <t>yes24,235.00</t>
  </si>
  <si>
    <t>yes24,229.00</t>
  </si>
  <si>
    <t>no24,228.40</t>
  </si>
  <si>
    <t>yes 24,243.80</t>
  </si>
  <si>
    <t>yes24,244.45</t>
  </si>
  <si>
    <t>no24,234.25</t>
  </si>
  <si>
    <t>12.50pm</t>
  </si>
  <si>
    <t>no23,372.05</t>
  </si>
  <si>
    <t>grren</t>
  </si>
  <si>
    <t>yes23,379.50</t>
  </si>
  <si>
    <t>y23,312.05</t>
  </si>
  <si>
    <t>no23,283.60</t>
  </si>
  <si>
    <t>yes23,321.60</t>
  </si>
  <si>
    <t>no23,296.95</t>
  </si>
  <si>
    <t>yes23,310.75</t>
  </si>
  <si>
    <t>yes,23,318.05</t>
  </si>
  <si>
    <t>no23,345.80</t>
  </si>
  <si>
    <t>yes23,326.55</t>
  </si>
  <si>
    <t>yes23,308.75</t>
  </si>
  <si>
    <t>yes23,316.30</t>
  </si>
  <si>
    <t>yes23,339.80</t>
  </si>
  <si>
    <t>no23,327.40</t>
  </si>
  <si>
    <t>no23,319.60</t>
  </si>
  <si>
    <t>yes23,312.00</t>
  </si>
  <si>
    <t>yes23,313.25</t>
  </si>
  <si>
    <t>no23,33145</t>
  </si>
  <si>
    <t>yes23,333.80</t>
  </si>
  <si>
    <t>yes23,323.95</t>
  </si>
  <si>
    <t>yes23,335.05</t>
  </si>
  <si>
    <t>yes23,331.55</t>
  </si>
  <si>
    <t>yes23,335.55</t>
  </si>
  <si>
    <t>yes23,337.75</t>
  </si>
  <si>
    <t>yes23,332.10</t>
  </si>
  <si>
    <t>yes23,342.20</t>
  </si>
  <si>
    <t>yes23,334.60</t>
  </si>
  <si>
    <t>yes23,340.15</t>
  </si>
  <si>
    <t>yes23,344.05</t>
  </si>
  <si>
    <t>no23,350.90</t>
  </si>
  <si>
    <t>yes23,350.90</t>
  </si>
  <si>
    <t>yes23,361.05</t>
  </si>
  <si>
    <t>yes23,342.25</t>
  </si>
  <si>
    <t>yes23,355.10</t>
  </si>
  <si>
    <t>yes23,349.85</t>
  </si>
  <si>
    <t>yes23,347.40</t>
  </si>
  <si>
    <t>yes23,352.00</t>
  </si>
  <si>
    <t>yes23,350.75</t>
  </si>
  <si>
    <t>yes23,341.55</t>
  </si>
  <si>
    <t>yes23,352.50</t>
  </si>
  <si>
    <t>yes23,344.35</t>
  </si>
  <si>
    <t>yes23,339.35</t>
  </si>
  <si>
    <t>yes23,499.50</t>
  </si>
  <si>
    <t>yes23,508.35</t>
  </si>
  <si>
    <t>yes23,506.80</t>
  </si>
  <si>
    <t>no23,437.20</t>
  </si>
  <si>
    <t>yes23,463.75</t>
  </si>
  <si>
    <t>yes23,439.10</t>
  </si>
  <si>
    <t>yes23,455.05</t>
  </si>
  <si>
    <t>yes23,500.05</t>
  </si>
  <si>
    <t>yes23,562.95</t>
  </si>
  <si>
    <t>yes23,590.45</t>
  </si>
  <si>
    <t>yes23,575.50</t>
  </si>
  <si>
    <t>yes23,573.75</t>
  </si>
  <si>
    <t>yes23,534.90</t>
  </si>
  <si>
    <t>no23,551.40</t>
  </si>
  <si>
    <t>yes23,547.55</t>
  </si>
  <si>
    <t>yes23,556.90</t>
  </si>
  <si>
    <t>yes23,523.30</t>
  </si>
  <si>
    <t>yes23,474.65</t>
  </si>
  <si>
    <t>yes23,515.95</t>
  </si>
  <si>
    <t>yes23,532.05</t>
  </si>
  <si>
    <t>yes23,540.95</t>
  </si>
  <si>
    <t>yes23,528.05</t>
  </si>
  <si>
    <t>yes23,537.50</t>
  </si>
  <si>
    <t>yes23,525.45</t>
  </si>
  <si>
    <t>yes23,509.95</t>
  </si>
  <si>
    <t>no23,524.75</t>
  </si>
  <si>
    <t>yes23,529.55</t>
  </si>
  <si>
    <t>yes23,5665.55</t>
  </si>
  <si>
    <t>yes23,557.20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</si>
</sst>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06F6-44FF-48C6-83D0-96F37D9B4927}">
  <dimension ref="A1:H44"/>
  <sheetViews>
    <sheetView topLeftCell="A36" workbookViewId="0">
      <selection activeCell="B45" sqref="B45"/>
    </sheetView>
  </sheetViews>
  <sheetFormatPr defaultRowHeight="14.4" x14ac:dyDescent="0.3"/>
  <cols>
    <col min="2" max="2" width="14.5546875" customWidth="1"/>
    <col min="3" max="3" width="19.44140625" customWidth="1"/>
    <col min="4" max="4" width="20.33203125" customWidth="1"/>
    <col min="5" max="5" width="2.88671875" customWidth="1"/>
    <col min="6" max="6" width="17.88671875" customWidth="1"/>
    <col min="7" max="7" width="32.88671875" customWidth="1"/>
    <col min="8" max="8" width="19.5546875" customWidth="1"/>
  </cols>
  <sheetData>
    <row r="1" spans="1:8" ht="21" x14ac:dyDescent="0.5">
      <c r="A1" s="1" t="s">
        <v>0</v>
      </c>
      <c r="B1" s="2" t="s">
        <v>1</v>
      </c>
      <c r="C1" s="2" t="s">
        <v>2</v>
      </c>
      <c r="D1" s="2" t="s">
        <v>3</v>
      </c>
      <c r="G1" s="2" t="s">
        <v>138</v>
      </c>
      <c r="H1" s="2" t="s">
        <v>6</v>
      </c>
    </row>
    <row r="2" spans="1:8" ht="21" x14ac:dyDescent="0.5">
      <c r="A2" s="1"/>
      <c r="B2" s="2"/>
    </row>
    <row r="3" spans="1:8" x14ac:dyDescent="0.3">
      <c r="A3" t="s">
        <v>7</v>
      </c>
      <c r="B3" t="s">
        <v>12</v>
      </c>
      <c r="C3">
        <f>24263.6</f>
        <v>24263.599999999999</v>
      </c>
      <c r="D3">
        <f>24265.2</f>
        <v>24265.200000000001</v>
      </c>
      <c r="F3">
        <f>60+30</f>
        <v>90</v>
      </c>
      <c r="G3">
        <f>60+5</f>
        <v>65</v>
      </c>
      <c r="H3" t="s">
        <v>132</v>
      </c>
    </row>
    <row r="4" spans="1:8" x14ac:dyDescent="0.3">
      <c r="A4" t="s">
        <v>10</v>
      </c>
      <c r="B4" t="s">
        <v>12</v>
      </c>
      <c r="C4">
        <f>24264.2</f>
        <v>24264.2</v>
      </c>
      <c r="D4">
        <f>24343.85</f>
        <v>24343.85</v>
      </c>
      <c r="F4">
        <f>20+80</f>
        <v>100</v>
      </c>
      <c r="G4">
        <f>20+70</f>
        <v>90</v>
      </c>
      <c r="H4" t="s">
        <v>133</v>
      </c>
    </row>
    <row r="5" spans="1:8" x14ac:dyDescent="0.3">
      <c r="A5" t="s">
        <v>11</v>
      </c>
      <c r="B5" t="s">
        <v>8</v>
      </c>
      <c r="C5">
        <f>24346.45</f>
        <v>24346.45</v>
      </c>
      <c r="D5">
        <f>24326.4</f>
        <v>24326.400000000001</v>
      </c>
      <c r="F5">
        <f>45+95</f>
        <v>140</v>
      </c>
      <c r="G5">
        <f>54+75</f>
        <v>129</v>
      </c>
      <c r="H5" t="s">
        <v>134</v>
      </c>
    </row>
    <row r="6" spans="1:8" x14ac:dyDescent="0.3">
      <c r="A6" t="s">
        <v>14</v>
      </c>
      <c r="B6" t="s">
        <v>8</v>
      </c>
      <c r="C6">
        <f>23327.3</f>
        <v>23327.3</v>
      </c>
      <c r="D6">
        <f>24336.75</f>
        <v>24336.75</v>
      </c>
      <c r="F6">
        <f>30+80</f>
        <v>110</v>
      </c>
      <c r="G6">
        <f>30+15</f>
        <v>45</v>
      </c>
      <c r="H6" t="s">
        <v>135</v>
      </c>
    </row>
    <row r="7" spans="1:8" x14ac:dyDescent="0.3">
      <c r="A7" t="s">
        <v>15</v>
      </c>
      <c r="B7" t="s">
        <v>12</v>
      </c>
      <c r="C7">
        <f>24336.6</f>
        <v>24336.6</v>
      </c>
      <c r="D7">
        <f>24340.4</f>
        <v>24340.400000000001</v>
      </c>
      <c r="F7">
        <f>60+75</f>
        <v>135</v>
      </c>
      <c r="G7">
        <f>60+70</f>
        <v>130</v>
      </c>
      <c r="H7" t="s">
        <v>136</v>
      </c>
    </row>
    <row r="8" spans="1:8" x14ac:dyDescent="0.3">
      <c r="A8" t="s">
        <v>17</v>
      </c>
      <c r="B8" t="s">
        <v>12</v>
      </c>
      <c r="C8">
        <f>24346.75</f>
        <v>24346.75</v>
      </c>
      <c r="D8">
        <f>24384.8</f>
        <v>24384.799999999999</v>
      </c>
      <c r="F8">
        <f>75+75</f>
        <v>150</v>
      </c>
      <c r="G8">
        <f>75+50</f>
        <v>125</v>
      </c>
      <c r="H8" t="s">
        <v>137</v>
      </c>
    </row>
    <row r="9" spans="1:8" x14ac:dyDescent="0.3">
      <c r="A9" t="s">
        <v>19</v>
      </c>
      <c r="B9" t="s">
        <v>8</v>
      </c>
      <c r="C9">
        <f>24386.4</f>
        <v>24386.400000000001</v>
      </c>
      <c r="D9">
        <f>24359.7</f>
        <v>24359.7</v>
      </c>
      <c r="F9">
        <f>40+95</f>
        <v>135</v>
      </c>
      <c r="G9">
        <f>40+20</f>
        <v>60</v>
      </c>
      <c r="H9" t="s">
        <v>139</v>
      </c>
    </row>
    <row r="10" spans="1:8" x14ac:dyDescent="0.3">
      <c r="A10" t="s">
        <v>21</v>
      </c>
      <c r="B10" t="s">
        <v>8</v>
      </c>
      <c r="C10">
        <f>24356.15</f>
        <v>24356.15</v>
      </c>
      <c r="D10">
        <f>24350.8</f>
        <v>24350.799999999999</v>
      </c>
      <c r="F10">
        <f>15+10</f>
        <v>25</v>
      </c>
      <c r="G10">
        <f>15+65</f>
        <v>80</v>
      </c>
      <c r="H10" t="s">
        <v>140</v>
      </c>
    </row>
    <row r="11" spans="1:8" x14ac:dyDescent="0.3">
      <c r="A11" t="s">
        <v>22</v>
      </c>
      <c r="B11" t="s">
        <v>12</v>
      </c>
      <c r="C11">
        <f>24354.9</f>
        <v>24354.9</v>
      </c>
      <c r="D11">
        <f>24401.2</f>
        <v>24401.200000000001</v>
      </c>
      <c r="F11">
        <f>90+50</f>
        <v>140</v>
      </c>
      <c r="G11">
        <f>90+90</f>
        <v>180</v>
      </c>
      <c r="H11" t="s">
        <v>141</v>
      </c>
    </row>
    <row r="12" spans="1:8" x14ac:dyDescent="0.3">
      <c r="A12" t="s">
        <v>24</v>
      </c>
      <c r="B12" t="s">
        <v>12</v>
      </c>
      <c r="C12">
        <f>24400.75</f>
        <v>24400.75</v>
      </c>
      <c r="D12">
        <f>24405.9</f>
        <v>24405.9</v>
      </c>
      <c r="F12">
        <f>75+5</f>
        <v>80</v>
      </c>
      <c r="G12">
        <f>75+15</f>
        <v>90</v>
      </c>
      <c r="H12" t="s">
        <v>142</v>
      </c>
    </row>
    <row r="13" spans="1:8" x14ac:dyDescent="0.3">
      <c r="A13" t="s">
        <v>26</v>
      </c>
      <c r="B13" t="s">
        <v>8</v>
      </c>
      <c r="C13">
        <f>24394.75</f>
        <v>24394.75</v>
      </c>
      <c r="D13">
        <f>24379.2</f>
        <v>24379.200000000001</v>
      </c>
      <c r="F13">
        <f>75+65</f>
        <v>140</v>
      </c>
      <c r="G13">
        <f>75+15</f>
        <v>90</v>
      </c>
      <c r="H13" t="s">
        <v>143</v>
      </c>
    </row>
    <row r="14" spans="1:8" x14ac:dyDescent="0.3">
      <c r="A14" t="s">
        <v>27</v>
      </c>
      <c r="B14" t="s">
        <v>8</v>
      </c>
      <c r="C14">
        <f>24379.9</f>
        <v>24379.9</v>
      </c>
      <c r="D14">
        <f>24379.9</f>
        <v>24379.9</v>
      </c>
      <c r="F14">
        <f>90+55</f>
        <v>145</v>
      </c>
      <c r="G14">
        <f>90+65</f>
        <v>155</v>
      </c>
      <c r="H14" t="s">
        <v>144</v>
      </c>
    </row>
    <row r="15" spans="1:8" x14ac:dyDescent="0.3">
      <c r="A15" t="s">
        <v>29</v>
      </c>
      <c r="B15" t="s">
        <v>12</v>
      </c>
      <c r="C15">
        <f>23376.5</f>
        <v>23376.5</v>
      </c>
      <c r="D15">
        <f>2436625</f>
        <v>2436625</v>
      </c>
      <c r="F15">
        <f>50+35</f>
        <v>85</v>
      </c>
      <c r="G15">
        <f>50+40</f>
        <v>90</v>
      </c>
      <c r="H15" t="s">
        <v>145</v>
      </c>
    </row>
    <row r="16" spans="1:8" x14ac:dyDescent="0.3">
      <c r="A16" t="s">
        <v>31</v>
      </c>
      <c r="B16" t="s">
        <v>8</v>
      </c>
      <c r="C16">
        <f>24366.45</f>
        <v>24366.45</v>
      </c>
      <c r="D16">
        <f>2432380</f>
        <v>2432380</v>
      </c>
      <c r="F16">
        <f>45+75</f>
        <v>120</v>
      </c>
      <c r="G16">
        <f>45+70</f>
        <v>115</v>
      </c>
      <c r="H16" t="s">
        <v>146</v>
      </c>
    </row>
    <row r="17" spans="1:8" x14ac:dyDescent="0.3">
      <c r="A17" t="s">
        <v>32</v>
      </c>
      <c r="B17" t="s">
        <v>8</v>
      </c>
      <c r="C17">
        <f>24324.45</f>
        <v>24324.45</v>
      </c>
      <c r="D17">
        <f>24313.1</f>
        <v>24313.1</v>
      </c>
      <c r="F17">
        <f>45+45</f>
        <v>90</v>
      </c>
      <c r="G17">
        <f>45+25</f>
        <v>70</v>
      </c>
      <c r="H17" t="s">
        <v>147</v>
      </c>
    </row>
    <row r="18" spans="1:8" x14ac:dyDescent="0.3">
      <c r="A18" t="s">
        <v>33</v>
      </c>
      <c r="B18" t="s">
        <v>12</v>
      </c>
      <c r="C18">
        <f>24306.35</f>
        <v>24306.35</v>
      </c>
      <c r="D18">
        <f>24328.9</f>
        <v>24328.9</v>
      </c>
      <c r="F18">
        <f>35+65</f>
        <v>100</v>
      </c>
      <c r="G18">
        <f>35+20</f>
        <v>55</v>
      </c>
      <c r="H18" t="s">
        <v>148</v>
      </c>
    </row>
    <row r="19" spans="1:8" x14ac:dyDescent="0.3">
      <c r="A19" t="s">
        <v>34</v>
      </c>
      <c r="B19" t="s">
        <v>8</v>
      </c>
      <c r="C19">
        <f>24328.55</f>
        <v>24328.55</v>
      </c>
      <c r="D19">
        <f>24299.4</f>
        <v>24299.4</v>
      </c>
      <c r="F19">
        <f>55+25</f>
        <v>80</v>
      </c>
      <c r="G19">
        <f>55+15</f>
        <v>70</v>
      </c>
      <c r="H19" t="s">
        <v>149</v>
      </c>
    </row>
    <row r="20" spans="1:8" x14ac:dyDescent="0.3">
      <c r="A20" t="s">
        <v>35</v>
      </c>
      <c r="B20" t="s">
        <v>12</v>
      </c>
      <c r="C20">
        <f>24298.45</f>
        <v>24298.45</v>
      </c>
      <c r="D20">
        <f>24304.8</f>
        <v>24304.799999999999</v>
      </c>
      <c r="F20">
        <f>45+70</f>
        <v>115</v>
      </c>
      <c r="G20">
        <f>45+10</f>
        <v>55</v>
      </c>
      <c r="H20" t="s">
        <v>150</v>
      </c>
    </row>
    <row r="21" spans="1:8" x14ac:dyDescent="0.3">
      <c r="A21" t="s">
        <v>36</v>
      </c>
      <c r="B21" t="s">
        <v>12</v>
      </c>
      <c r="C21">
        <f>24303.8</f>
        <v>24303.8</v>
      </c>
      <c r="D21">
        <f>24347.7</f>
        <v>24347.7</v>
      </c>
      <c r="F21">
        <f>80+35</f>
        <v>115</v>
      </c>
      <c r="G21">
        <f>80+40</f>
        <v>120</v>
      </c>
      <c r="H21" t="s">
        <v>151</v>
      </c>
    </row>
    <row r="22" spans="1:8" x14ac:dyDescent="0.3">
      <c r="A22" t="s">
        <v>37</v>
      </c>
      <c r="B22" t="s">
        <v>12</v>
      </c>
      <c r="C22">
        <f>24346.3</f>
        <v>24346.3</v>
      </c>
      <c r="D22">
        <f>24361.15</f>
        <v>24361.15</v>
      </c>
      <c r="F22">
        <f>30+30</f>
        <v>60</v>
      </c>
      <c r="G22">
        <f>30+50</f>
        <v>80</v>
      </c>
      <c r="H22" t="s">
        <v>152</v>
      </c>
    </row>
    <row r="23" spans="1:8" x14ac:dyDescent="0.3">
      <c r="A23" s="5">
        <v>0.45833333333333331</v>
      </c>
      <c r="B23" t="s">
        <v>12</v>
      </c>
      <c r="C23">
        <f>24361.1</f>
        <v>24361.1</v>
      </c>
      <c r="D23">
        <f>24350.9</f>
        <v>24350.9</v>
      </c>
      <c r="F23">
        <f>10+30</f>
        <v>40</v>
      </c>
      <c r="G23">
        <f>10+25</f>
        <v>35</v>
      </c>
      <c r="H23" t="s">
        <v>153</v>
      </c>
    </row>
    <row r="24" spans="1:8" x14ac:dyDescent="0.3">
      <c r="A24" t="s">
        <v>38</v>
      </c>
      <c r="B24" t="s">
        <v>8</v>
      </c>
      <c r="C24">
        <f>24351.6</f>
        <v>24351.599999999999</v>
      </c>
      <c r="D24">
        <f>24356.4</f>
        <v>24356.400000000001</v>
      </c>
      <c r="F24">
        <f>60+85</f>
        <v>145</v>
      </c>
      <c r="G24">
        <f>60+55</f>
        <v>115</v>
      </c>
      <c r="H24" t="s">
        <v>154</v>
      </c>
    </row>
    <row r="25" spans="1:8" x14ac:dyDescent="0.3">
      <c r="A25" t="s">
        <v>39</v>
      </c>
      <c r="B25" t="s">
        <v>12</v>
      </c>
      <c r="C25" s="3">
        <v>24356.55</v>
      </c>
      <c r="D25">
        <f>24369.05</f>
        <v>24369.05</v>
      </c>
      <c r="F25">
        <f>55+85</f>
        <v>140</v>
      </c>
      <c r="G25">
        <f>55+55</f>
        <v>110</v>
      </c>
      <c r="H25" t="s">
        <v>155</v>
      </c>
    </row>
    <row r="26" spans="1:8" x14ac:dyDescent="0.3">
      <c r="A26" t="s">
        <v>40</v>
      </c>
      <c r="B26" t="s">
        <v>12</v>
      </c>
      <c r="C26">
        <f>24356.55</f>
        <v>24356.55</v>
      </c>
      <c r="D26">
        <f>24369.05</f>
        <v>24369.05</v>
      </c>
      <c r="F26">
        <f>55+85</f>
        <v>140</v>
      </c>
      <c r="G26">
        <f>55+55</f>
        <v>110</v>
      </c>
      <c r="H26" t="s">
        <v>156</v>
      </c>
    </row>
    <row r="27" spans="1:8" x14ac:dyDescent="0.3">
      <c r="A27" t="s">
        <v>41</v>
      </c>
      <c r="B27" t="s">
        <v>8</v>
      </c>
      <c r="C27">
        <f>24355.8</f>
        <v>24355.8</v>
      </c>
      <c r="D27">
        <f>24361.45</f>
        <v>24361.45</v>
      </c>
      <c r="F27">
        <f>80+55</f>
        <v>135</v>
      </c>
      <c r="G27">
        <f>80+90</f>
        <v>170</v>
      </c>
      <c r="H27" t="s">
        <v>157</v>
      </c>
    </row>
    <row r="28" spans="1:8" x14ac:dyDescent="0.3">
      <c r="A28" t="s">
        <v>42</v>
      </c>
      <c r="B28" t="s">
        <v>12</v>
      </c>
      <c r="C28">
        <f>24365.9</f>
        <v>24365.9</v>
      </c>
      <c r="D28">
        <f>24361.95</f>
        <v>24361.95</v>
      </c>
      <c r="F28">
        <f>90+5</f>
        <v>95</v>
      </c>
      <c r="G28">
        <f>90+35</f>
        <v>125</v>
      </c>
      <c r="H28" t="s">
        <v>158</v>
      </c>
    </row>
    <row r="29" spans="1:8" x14ac:dyDescent="0.3">
      <c r="A29" t="s">
        <v>43</v>
      </c>
      <c r="B29" t="s">
        <v>12</v>
      </c>
      <c r="C29">
        <f>24362.05</f>
        <v>24362.05</v>
      </c>
      <c r="D29">
        <f>24362.05</f>
        <v>24362.05</v>
      </c>
      <c r="F29">
        <f>5+5</f>
        <v>10</v>
      </c>
      <c r="G29">
        <f>5+30</f>
        <v>35</v>
      </c>
      <c r="H29" t="s">
        <v>159</v>
      </c>
    </row>
    <row r="30" spans="1:8" x14ac:dyDescent="0.3">
      <c r="A30" t="s">
        <v>44</v>
      </c>
      <c r="B30" t="s">
        <v>8</v>
      </c>
      <c r="C30">
        <f>24388.75</f>
        <v>24388.75</v>
      </c>
      <c r="D30">
        <f>24380.75</f>
        <v>24380.75</v>
      </c>
      <c r="F30">
        <f>75+15</f>
        <v>90</v>
      </c>
      <c r="G30">
        <f>75+35</f>
        <v>110</v>
      </c>
      <c r="H30" t="s">
        <v>160</v>
      </c>
    </row>
    <row r="31" spans="1:8" x14ac:dyDescent="0.3">
      <c r="A31" t="s">
        <v>45</v>
      </c>
      <c r="B31" t="s">
        <v>12</v>
      </c>
      <c r="C31">
        <f>24381.8</f>
        <v>24381.8</v>
      </c>
      <c r="D31">
        <f>24381.8</f>
        <v>24381.8</v>
      </c>
      <c r="F31">
        <f>80+40</f>
        <v>120</v>
      </c>
      <c r="G31">
        <f>80+30</f>
        <v>110</v>
      </c>
      <c r="H31" t="s">
        <v>161</v>
      </c>
    </row>
    <row r="32" spans="1:8" x14ac:dyDescent="0.3">
      <c r="A32" t="s">
        <v>46</v>
      </c>
      <c r="B32" t="s">
        <v>12</v>
      </c>
      <c r="C32">
        <f>24391.9</f>
        <v>24391.9</v>
      </c>
      <c r="D32">
        <f>24393</f>
        <v>24393</v>
      </c>
      <c r="F32">
        <f>90+30</f>
        <v>120</v>
      </c>
      <c r="G32">
        <f>90+30</f>
        <v>120</v>
      </c>
      <c r="H32" t="s">
        <v>162</v>
      </c>
    </row>
    <row r="33" spans="1:8" x14ac:dyDescent="0.3">
      <c r="A33" t="s">
        <v>47</v>
      </c>
      <c r="B33" t="s">
        <v>12</v>
      </c>
      <c r="C33">
        <f>24393.65</f>
        <v>24393.65</v>
      </c>
      <c r="D33">
        <f>24430.3</f>
        <v>24430.3</v>
      </c>
      <c r="F33">
        <f>65+65</f>
        <v>130</v>
      </c>
      <c r="G33">
        <f>65+65</f>
        <v>130</v>
      </c>
      <c r="H33" t="s">
        <v>163</v>
      </c>
    </row>
    <row r="34" spans="1:8" x14ac:dyDescent="0.3">
      <c r="A34" t="s">
        <v>48</v>
      </c>
      <c r="B34" t="s">
        <v>12</v>
      </c>
      <c r="C34">
        <f>2442465</f>
        <v>2442465</v>
      </c>
      <c r="D34">
        <f>24424.65</f>
        <v>24424.65</v>
      </c>
      <c r="F34">
        <f>65+55</f>
        <v>120</v>
      </c>
      <c r="G34">
        <f>65+95</f>
        <v>160</v>
      </c>
      <c r="H34" t="s">
        <v>164</v>
      </c>
    </row>
    <row r="35" spans="1:8" x14ac:dyDescent="0.3">
      <c r="A35" s="5" t="s">
        <v>49</v>
      </c>
      <c r="B35" t="s">
        <v>12</v>
      </c>
      <c r="C35">
        <f>24436.85</f>
        <v>24436.85</v>
      </c>
      <c r="D35">
        <f>24439.7</f>
        <v>24439.7</v>
      </c>
      <c r="F35">
        <f>85+5</f>
        <v>90</v>
      </c>
      <c r="G35">
        <f>85+35</f>
        <v>120</v>
      </c>
      <c r="H35" t="s">
        <v>165</v>
      </c>
    </row>
    <row r="36" spans="1:8" x14ac:dyDescent="0.3">
      <c r="A36" t="s">
        <v>50</v>
      </c>
      <c r="B36" t="s">
        <v>8</v>
      </c>
      <c r="C36">
        <f>24438.8</f>
        <v>24438.799999999999</v>
      </c>
      <c r="D36">
        <f>24434.05</f>
        <v>24434.05</v>
      </c>
      <c r="F36">
        <f>80+0</f>
        <v>80</v>
      </c>
      <c r="G36">
        <f>80+35</f>
        <v>115</v>
      </c>
      <c r="H36" t="s">
        <v>166</v>
      </c>
    </row>
    <row r="37" spans="1:8" x14ac:dyDescent="0.3">
      <c r="A37" t="s">
        <v>51</v>
      </c>
      <c r="B37" t="s">
        <v>12</v>
      </c>
      <c r="C37">
        <f>24431</f>
        <v>24431</v>
      </c>
      <c r="D37">
        <f>24423.2</f>
        <v>24423.200000000001</v>
      </c>
      <c r="F37">
        <f>0+55</f>
        <v>55</v>
      </c>
      <c r="G37">
        <f>0+5</f>
        <v>5</v>
      </c>
      <c r="H37" t="s">
        <v>167</v>
      </c>
    </row>
    <row r="38" spans="1:8" x14ac:dyDescent="0.3">
      <c r="A38" t="s">
        <v>52</v>
      </c>
      <c r="B38" t="s">
        <v>8</v>
      </c>
      <c r="C38">
        <f>24422.45</f>
        <v>24422.45</v>
      </c>
      <c r="D38">
        <f>24415.4</f>
        <v>24415.4</v>
      </c>
      <c r="F38">
        <f>45+35</f>
        <v>80</v>
      </c>
      <c r="G38">
        <f>45+85</f>
        <v>130</v>
      </c>
      <c r="H38" t="s">
        <v>168</v>
      </c>
    </row>
    <row r="39" spans="1:8" x14ac:dyDescent="0.3">
      <c r="A39" t="s">
        <v>53</v>
      </c>
      <c r="B39" t="s">
        <v>8</v>
      </c>
      <c r="C39">
        <f>24414.65</f>
        <v>24414.65</v>
      </c>
      <c r="D39">
        <f>24410.4</f>
        <v>24410.400000000001</v>
      </c>
      <c r="F39">
        <f>65+0</f>
        <v>65</v>
      </c>
      <c r="G39">
        <f>65+10</f>
        <v>75</v>
      </c>
      <c r="H39" t="s">
        <v>169</v>
      </c>
    </row>
    <row r="40" spans="1:8" x14ac:dyDescent="0.3">
      <c r="A40" t="s">
        <v>54</v>
      </c>
      <c r="B40" t="s">
        <v>12</v>
      </c>
      <c r="C40">
        <f>24409.6</f>
        <v>24409.599999999999</v>
      </c>
      <c r="D40">
        <f>24420.5</f>
        <v>24420.5</v>
      </c>
      <c r="F40">
        <f>60+10</f>
        <v>70</v>
      </c>
      <c r="G40">
        <f>60+75</f>
        <v>135</v>
      </c>
      <c r="H40" t="s">
        <v>170</v>
      </c>
    </row>
    <row r="41" spans="1:8" x14ac:dyDescent="0.3">
      <c r="A41" t="s">
        <v>55</v>
      </c>
      <c r="B41" t="s">
        <v>12</v>
      </c>
      <c r="C41">
        <f>24426</f>
        <v>24426</v>
      </c>
      <c r="D41">
        <f>24435.15</f>
        <v>24435.15</v>
      </c>
      <c r="F41">
        <f>0+0</f>
        <v>0</v>
      </c>
      <c r="G41">
        <f>0+45</f>
        <v>45</v>
      </c>
      <c r="H41" t="s">
        <v>171</v>
      </c>
    </row>
    <row r="42" spans="1:8" x14ac:dyDescent="0.3">
      <c r="A42" t="s">
        <v>56</v>
      </c>
      <c r="B42" t="s">
        <v>8</v>
      </c>
      <c r="C42">
        <f>2443535</f>
        <v>2443535</v>
      </c>
      <c r="D42">
        <f>24440.65</f>
        <v>24440.65</v>
      </c>
      <c r="F42">
        <f>35+60</f>
        <v>95</v>
      </c>
      <c r="G42">
        <f>35+50</f>
        <v>85</v>
      </c>
      <c r="H42" t="s">
        <v>172</v>
      </c>
    </row>
    <row r="43" spans="1:8" x14ac:dyDescent="0.3">
      <c r="A43" t="s">
        <v>57</v>
      </c>
      <c r="B43" t="s">
        <v>12</v>
      </c>
      <c r="C43">
        <f>24440.45</f>
        <v>24440.45</v>
      </c>
      <c r="D43">
        <f>24425.01</f>
        <v>24425.01</v>
      </c>
      <c r="F43">
        <f>45+95</f>
        <v>140</v>
      </c>
      <c r="G43">
        <f>45+95</f>
        <v>140</v>
      </c>
      <c r="H43" t="s">
        <v>173</v>
      </c>
    </row>
    <row r="44" spans="1:8" x14ac:dyDescent="0.3">
      <c r="A44" t="s">
        <v>58</v>
      </c>
      <c r="B44" t="s">
        <v>8</v>
      </c>
      <c r="C44">
        <f>24421.85</f>
        <v>24421.85</v>
      </c>
      <c r="D44">
        <f>24419.5</f>
        <v>24419.5</v>
      </c>
      <c r="F44">
        <f>85+85</f>
        <v>170</v>
      </c>
      <c r="G44">
        <f>85+40</f>
        <v>125</v>
      </c>
      <c r="H44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D314-AAAA-4BAB-A62A-778D3D591097}">
  <dimension ref="A1:H46"/>
  <sheetViews>
    <sheetView zoomScaleNormal="100" workbookViewId="0">
      <selection activeCell="B2" sqref="B2"/>
    </sheetView>
  </sheetViews>
  <sheetFormatPr defaultRowHeight="14.4" x14ac:dyDescent="0.3"/>
  <cols>
    <col min="1" max="1" width="12.77734375" customWidth="1"/>
    <col min="2" max="2" width="19.6640625" customWidth="1"/>
    <col min="3" max="3" width="28.21875" customWidth="1"/>
    <col min="4" max="4" width="33.109375" customWidth="1"/>
    <col min="5" max="5" width="3" customWidth="1"/>
    <col min="6" max="6" width="26" customWidth="1"/>
    <col min="7" max="7" width="29.77734375" customWidth="1"/>
    <col min="9" max="9" width="13.44140625" customWidth="1"/>
  </cols>
  <sheetData>
    <row r="1" spans="1:8" ht="21" x14ac:dyDescent="0.5">
      <c r="B1" s="1"/>
      <c r="C1" s="2"/>
      <c r="D1" s="2"/>
      <c r="F1" s="2"/>
      <c r="G1" s="2"/>
      <c r="H1" s="2"/>
    </row>
    <row r="2" spans="1:8" ht="21" x14ac:dyDescent="0.5">
      <c r="A2" s="1" t="s">
        <v>0</v>
      </c>
      <c r="B2" s="2" t="s">
        <v>1</v>
      </c>
      <c r="C2" s="2" t="s">
        <v>2</v>
      </c>
      <c r="D2" s="2" t="s">
        <v>3</v>
      </c>
      <c r="F2" s="2" t="s">
        <v>4</v>
      </c>
      <c r="G2" s="2" t="s">
        <v>5</v>
      </c>
      <c r="H2" s="2" t="s">
        <v>6</v>
      </c>
    </row>
    <row r="3" spans="1:8" x14ac:dyDescent="0.3">
      <c r="A3" t="s">
        <v>7</v>
      </c>
      <c r="B3" t="s">
        <v>8</v>
      </c>
      <c r="C3" s="3">
        <v>24315.75</v>
      </c>
      <c r="D3">
        <v>-24064.400000000001</v>
      </c>
      <c r="F3">
        <f>10+90</f>
        <v>100</v>
      </c>
      <c r="G3">
        <f>10+0</f>
        <v>10</v>
      </c>
      <c r="H3" t="s">
        <v>9</v>
      </c>
    </row>
    <row r="4" spans="1:8" x14ac:dyDescent="0.3">
      <c r="A4" t="s">
        <v>10</v>
      </c>
      <c r="B4" t="s">
        <v>8</v>
      </c>
      <c r="C4" s="4">
        <v>24084.1</v>
      </c>
      <c r="D4">
        <v>-24076.65</v>
      </c>
      <c r="F4">
        <v>15</v>
      </c>
      <c r="G4">
        <v>84</v>
      </c>
      <c r="H4" t="s">
        <v>9</v>
      </c>
    </row>
    <row r="5" spans="1:8" x14ac:dyDescent="0.3">
      <c r="A5" t="s">
        <v>11</v>
      </c>
      <c r="B5" t="s">
        <v>12</v>
      </c>
      <c r="C5" s="3">
        <v>24073.599999999999</v>
      </c>
      <c r="D5">
        <v>-24064.400000000001</v>
      </c>
      <c r="F5">
        <f>60+15</f>
        <v>75</v>
      </c>
      <c r="G5">
        <f>60+65</f>
        <v>125</v>
      </c>
      <c r="H5" t="s">
        <v>13</v>
      </c>
    </row>
    <row r="6" spans="1:8" x14ac:dyDescent="0.3">
      <c r="A6" t="s">
        <v>14</v>
      </c>
      <c r="B6" t="s">
        <v>12</v>
      </c>
      <c r="C6" s="3">
        <v>24064.5</v>
      </c>
      <c r="D6">
        <v>-24080.75</v>
      </c>
      <c r="F6">
        <f>50+15</f>
        <v>65</v>
      </c>
      <c r="G6">
        <f>50+90</f>
        <v>140</v>
      </c>
      <c r="H6" t="s">
        <v>9</v>
      </c>
    </row>
    <row r="7" spans="1:8" x14ac:dyDescent="0.3">
      <c r="A7" t="s">
        <v>15</v>
      </c>
      <c r="B7" t="s">
        <v>8</v>
      </c>
      <c r="C7" s="3">
        <v>24080.1</v>
      </c>
      <c r="D7">
        <v>-24069.75</v>
      </c>
      <c r="F7">
        <f>10+65</f>
        <v>75</v>
      </c>
      <c r="G7">
        <f>10+5</f>
        <v>15</v>
      </c>
      <c r="H7" t="s">
        <v>16</v>
      </c>
    </row>
    <row r="8" spans="1:8" x14ac:dyDescent="0.3">
      <c r="A8" t="s">
        <v>17</v>
      </c>
      <c r="B8" t="s">
        <v>12</v>
      </c>
      <c r="C8" s="3">
        <v>24067.5</v>
      </c>
      <c r="D8">
        <v>-24025.9</v>
      </c>
      <c r="F8">
        <f>50+60</f>
        <v>110</v>
      </c>
      <c r="G8">
        <f>50+95</f>
        <v>145</v>
      </c>
      <c r="H8" t="s">
        <v>18</v>
      </c>
    </row>
    <row r="9" spans="1:8" x14ac:dyDescent="0.3">
      <c r="A9" t="s">
        <v>19</v>
      </c>
      <c r="B9" t="s">
        <v>12</v>
      </c>
      <c r="C9" s="3">
        <v>24026.85</v>
      </c>
      <c r="D9">
        <v>-24063.95</v>
      </c>
      <c r="F9">
        <f>85+60</f>
        <v>145</v>
      </c>
      <c r="G9">
        <f>85+30</f>
        <v>115</v>
      </c>
      <c r="H9" t="s">
        <v>20</v>
      </c>
    </row>
    <row r="10" spans="1:8" x14ac:dyDescent="0.3">
      <c r="A10" t="s">
        <v>21</v>
      </c>
      <c r="B10" t="s">
        <v>12</v>
      </c>
      <c r="C10" s="3">
        <v>24026.85</v>
      </c>
      <c r="D10">
        <v>-24063.95</v>
      </c>
      <c r="F10">
        <v>145</v>
      </c>
      <c r="G10">
        <v>115</v>
      </c>
      <c r="H10" t="s">
        <v>20</v>
      </c>
    </row>
    <row r="11" spans="1:8" x14ac:dyDescent="0.3">
      <c r="A11" t="s">
        <v>22</v>
      </c>
      <c r="B11" t="s">
        <v>8</v>
      </c>
      <c r="C11" s="3">
        <v>24061.7</v>
      </c>
      <c r="D11">
        <v>-24016.799999999999</v>
      </c>
      <c r="F11">
        <f>70+35</f>
        <v>105</v>
      </c>
      <c r="G11">
        <f>70+25</f>
        <v>95</v>
      </c>
      <c r="H11" t="s">
        <v>23</v>
      </c>
    </row>
    <row r="12" spans="1:8" x14ac:dyDescent="0.3">
      <c r="A12" t="s">
        <v>24</v>
      </c>
      <c r="B12" t="s">
        <v>8</v>
      </c>
      <c r="C12" s="3">
        <v>24009.3</v>
      </c>
      <c r="D12">
        <v>-23996.6</v>
      </c>
      <c r="F12">
        <f>30+80</f>
        <v>110</v>
      </c>
      <c r="G12">
        <f>30+15</f>
        <v>45</v>
      </c>
      <c r="H12" t="s">
        <v>25</v>
      </c>
    </row>
    <row r="13" spans="1:8" x14ac:dyDescent="0.3">
      <c r="A13" t="s">
        <v>26</v>
      </c>
      <c r="B13" t="s">
        <v>8</v>
      </c>
      <c r="C13" s="3">
        <v>23990.25</v>
      </c>
      <c r="D13">
        <v>-23991.4</v>
      </c>
      <c r="F13">
        <v>110</v>
      </c>
      <c r="G13">
        <v>45</v>
      </c>
      <c r="H13" t="s">
        <v>25</v>
      </c>
    </row>
    <row r="14" spans="1:8" x14ac:dyDescent="0.3">
      <c r="A14" t="s">
        <v>27</v>
      </c>
      <c r="B14" t="s">
        <v>8</v>
      </c>
      <c r="C14" s="3">
        <v>23990.25</v>
      </c>
      <c r="D14">
        <v>-23972.3</v>
      </c>
      <c r="F14">
        <f>25+95</f>
        <v>120</v>
      </c>
      <c r="G14">
        <f>25+50</f>
        <v>75</v>
      </c>
      <c r="H14" t="s">
        <v>28</v>
      </c>
    </row>
    <row r="15" spans="1:8" x14ac:dyDescent="0.3">
      <c r="A15" t="s">
        <v>29</v>
      </c>
      <c r="B15" t="s">
        <v>12</v>
      </c>
      <c r="C15" s="3">
        <v>23971.95</v>
      </c>
      <c r="D15">
        <v>-23973.5</v>
      </c>
      <c r="E15">
        <v>23</v>
      </c>
      <c r="F15">
        <f>95+30</f>
        <v>125</v>
      </c>
      <c r="G15">
        <f>95+15</f>
        <v>110</v>
      </c>
      <c r="H15" t="s">
        <v>30</v>
      </c>
    </row>
    <row r="16" spans="1:8" x14ac:dyDescent="0.3">
      <c r="A16" t="s">
        <v>31</v>
      </c>
      <c r="B16" t="s">
        <v>8</v>
      </c>
      <c r="C16" s="3">
        <v>23984.25</v>
      </c>
      <c r="D16">
        <v>-23975.65</v>
      </c>
      <c r="F16">
        <f>25+20</f>
        <v>45</v>
      </c>
      <c r="G16">
        <f>25+80</f>
        <v>105</v>
      </c>
      <c r="H16" t="s">
        <v>61</v>
      </c>
    </row>
    <row r="17" spans="1:8" x14ac:dyDescent="0.3">
      <c r="A17" t="s">
        <v>32</v>
      </c>
      <c r="B17" t="s">
        <v>8</v>
      </c>
      <c r="C17" s="3">
        <v>-23975.4</v>
      </c>
      <c r="D17">
        <f>23975.9</f>
        <v>23975.9</v>
      </c>
      <c r="F17">
        <f>40+95</f>
        <v>135</v>
      </c>
      <c r="G17">
        <f>40+40</f>
        <v>80</v>
      </c>
      <c r="H17" t="s">
        <v>62</v>
      </c>
    </row>
    <row r="18" spans="1:8" x14ac:dyDescent="0.3">
      <c r="A18" t="s">
        <v>33</v>
      </c>
      <c r="B18" t="s">
        <v>12</v>
      </c>
      <c r="C18">
        <f>23934.5</f>
        <v>23934.5</v>
      </c>
      <c r="D18">
        <f>23936.4</f>
        <v>23936.400000000001</v>
      </c>
      <c r="F18">
        <f>50+24</f>
        <v>74</v>
      </c>
      <c r="G18">
        <f>50+25</f>
        <v>75</v>
      </c>
      <c r="H18" t="s">
        <v>63</v>
      </c>
    </row>
    <row r="19" spans="1:8" x14ac:dyDescent="0.3">
      <c r="A19" t="s">
        <v>34</v>
      </c>
      <c r="B19" t="s">
        <v>8</v>
      </c>
      <c r="C19">
        <f>23936.65</f>
        <v>23936.65</v>
      </c>
      <c r="D19">
        <f>23919.1</f>
        <v>23919.1</v>
      </c>
      <c r="F19">
        <f>65+65</f>
        <v>130</v>
      </c>
      <c r="G19">
        <f>65+50</f>
        <v>115</v>
      </c>
      <c r="H19" t="s">
        <v>64</v>
      </c>
    </row>
    <row r="20" spans="1:8" x14ac:dyDescent="0.3">
      <c r="A20" t="s">
        <v>35</v>
      </c>
      <c r="B20" t="s">
        <v>12</v>
      </c>
      <c r="C20">
        <f>23919.25</f>
        <v>23919.25</v>
      </c>
      <c r="D20">
        <f>23923.85</f>
        <v>23923.85</v>
      </c>
      <c r="F20">
        <f>25+5</f>
        <v>30</v>
      </c>
      <c r="G20">
        <f>25+80</f>
        <v>105</v>
      </c>
      <c r="H20" t="s">
        <v>65</v>
      </c>
    </row>
    <row r="21" spans="1:8" x14ac:dyDescent="0.3">
      <c r="A21" t="s">
        <v>36</v>
      </c>
      <c r="B21" t="s">
        <v>12</v>
      </c>
      <c r="C21">
        <f>23923.85</f>
        <v>23923.85</v>
      </c>
      <c r="D21">
        <f>23925.1</f>
        <v>23925.1</v>
      </c>
      <c r="F21">
        <f>85+95</f>
        <v>180</v>
      </c>
      <c r="G21">
        <f>85+20</f>
        <v>105</v>
      </c>
      <c r="H21" t="s">
        <v>66</v>
      </c>
    </row>
    <row r="22" spans="1:8" x14ac:dyDescent="0.3">
      <c r="A22" t="s">
        <v>37</v>
      </c>
      <c r="B22" t="s">
        <v>8</v>
      </c>
      <c r="C22">
        <f>23925.35</f>
        <v>23925.35</v>
      </c>
      <c r="D22">
        <f>23914.15</f>
        <v>23914.15</v>
      </c>
      <c r="F22">
        <f>35+15</f>
        <v>50</v>
      </c>
      <c r="G22">
        <f>35+40</f>
        <v>75</v>
      </c>
      <c r="H22" t="s">
        <v>67</v>
      </c>
    </row>
    <row r="23" spans="1:8" x14ac:dyDescent="0.3">
      <c r="A23" s="5">
        <v>0.45833333333333331</v>
      </c>
    </row>
    <row r="24" spans="1:8" x14ac:dyDescent="0.3">
      <c r="A24" t="s">
        <v>38</v>
      </c>
      <c r="B24" t="s">
        <v>8</v>
      </c>
      <c r="C24">
        <f>23913.4</f>
        <v>23913.4</v>
      </c>
      <c r="D24">
        <f>23884.6</f>
        <v>23884.6</v>
      </c>
      <c r="F24">
        <f>40+70</f>
        <v>110</v>
      </c>
      <c r="G24">
        <f>40+40</f>
        <v>80</v>
      </c>
      <c r="H24" t="s">
        <v>68</v>
      </c>
    </row>
    <row r="25" spans="1:8" x14ac:dyDescent="0.3">
      <c r="A25" t="s">
        <v>39</v>
      </c>
      <c r="B25" t="s">
        <v>8</v>
      </c>
      <c r="C25">
        <f>23885.15</f>
        <v>23885.15</v>
      </c>
      <c r="D25">
        <f>23855.85</f>
        <v>23855.85</v>
      </c>
      <c r="F25">
        <f>15+60</f>
        <v>75</v>
      </c>
      <c r="G25">
        <f>15+25</f>
        <v>40</v>
      </c>
      <c r="H25" t="s">
        <v>69</v>
      </c>
    </row>
    <row r="26" spans="1:8" x14ac:dyDescent="0.3">
      <c r="A26" t="s">
        <v>40</v>
      </c>
      <c r="B26" t="s">
        <v>8</v>
      </c>
      <c r="C26">
        <f>23854.45</f>
        <v>23854.45</v>
      </c>
      <c r="D26">
        <f>23850.9</f>
        <v>23850.9</v>
      </c>
      <c r="F26">
        <f>45+25</f>
        <v>70</v>
      </c>
      <c r="G26">
        <f>45+15</f>
        <v>60</v>
      </c>
      <c r="H26" t="s">
        <v>70</v>
      </c>
    </row>
    <row r="27" spans="1:8" x14ac:dyDescent="0.3">
      <c r="A27" t="s">
        <v>41</v>
      </c>
      <c r="B27" t="s">
        <v>8</v>
      </c>
      <c r="C27">
        <f>23849.8</f>
        <v>23849.8</v>
      </c>
      <c r="D27">
        <f>23846.3</f>
        <v>23846.3</v>
      </c>
      <c r="F27">
        <f>80+5</f>
        <v>85</v>
      </c>
      <c r="G27">
        <f>80+5</f>
        <v>85</v>
      </c>
      <c r="H27" t="s">
        <v>71</v>
      </c>
    </row>
    <row r="28" spans="1:8" x14ac:dyDescent="0.3">
      <c r="A28" t="s">
        <v>42</v>
      </c>
      <c r="B28" t="s">
        <v>8</v>
      </c>
      <c r="C28">
        <f>23846.9</f>
        <v>23846.9</v>
      </c>
      <c r="D28">
        <f>23836.05</f>
        <v>23836.05</v>
      </c>
      <c r="F28">
        <f>90+15</f>
        <v>105</v>
      </c>
      <c r="G28">
        <f>90+90</f>
        <v>180</v>
      </c>
      <c r="H28" t="s">
        <v>72</v>
      </c>
    </row>
    <row r="29" spans="1:8" x14ac:dyDescent="0.3">
      <c r="A29" t="s">
        <v>43</v>
      </c>
      <c r="B29" t="s">
        <v>12</v>
      </c>
      <c r="C29">
        <f>23836.35</f>
        <v>23836.35</v>
      </c>
      <c r="D29">
        <f>23863.05</f>
        <v>23863.05</v>
      </c>
      <c r="F29">
        <f>35+95</f>
        <v>130</v>
      </c>
      <c r="G29">
        <f>35+55</f>
        <v>90</v>
      </c>
      <c r="H29" t="s">
        <v>73</v>
      </c>
    </row>
    <row r="30" spans="1:8" x14ac:dyDescent="0.3">
      <c r="A30" t="s">
        <v>44</v>
      </c>
      <c r="B30" t="s">
        <v>12</v>
      </c>
      <c r="C30">
        <f>23863.75</f>
        <v>23863.75</v>
      </c>
      <c r="D30">
        <f>23868.4</f>
        <v>23868.400000000001</v>
      </c>
      <c r="F30">
        <f>75+60</f>
        <v>135</v>
      </c>
      <c r="G30">
        <f>75+10</f>
        <v>85</v>
      </c>
      <c r="H30" t="s">
        <v>74</v>
      </c>
    </row>
    <row r="31" spans="1:8" x14ac:dyDescent="0.3">
      <c r="A31" t="s">
        <v>45</v>
      </c>
      <c r="B31" t="s">
        <v>8</v>
      </c>
      <c r="C31">
        <f>23868.95</f>
        <v>23868.95</v>
      </c>
      <c r="D31">
        <f>23861.65</f>
        <v>23861.65</v>
      </c>
      <c r="F31">
        <f>95+10</f>
        <v>105</v>
      </c>
      <c r="G31">
        <f>95+90</f>
        <v>185</v>
      </c>
      <c r="H31" t="s">
        <v>75</v>
      </c>
    </row>
    <row r="32" spans="1:8" x14ac:dyDescent="0.3">
      <c r="A32" t="s">
        <v>46</v>
      </c>
      <c r="B32" t="s">
        <v>12</v>
      </c>
      <c r="C32">
        <f>23863.45</f>
        <v>23863.45</v>
      </c>
      <c r="D32">
        <f>23868.7</f>
        <v>23868.7</v>
      </c>
      <c r="F32">
        <f>45+0</f>
        <v>45</v>
      </c>
      <c r="G32">
        <f>45+20</f>
        <v>65</v>
      </c>
      <c r="H32" t="s">
        <v>76</v>
      </c>
    </row>
    <row r="33" spans="1:8" x14ac:dyDescent="0.3">
      <c r="A33" t="s">
        <v>47</v>
      </c>
      <c r="B33" t="s">
        <v>8</v>
      </c>
      <c r="C33">
        <v>23868.75</v>
      </c>
      <c r="D33">
        <f>23850.15</f>
        <v>23850.15</v>
      </c>
      <c r="F33">
        <f>75+15</f>
        <v>90</v>
      </c>
      <c r="G33">
        <f>75+35</f>
        <v>110</v>
      </c>
      <c r="H33" t="s">
        <v>77</v>
      </c>
    </row>
    <row r="34" spans="1:8" x14ac:dyDescent="0.3">
      <c r="A34" t="s">
        <v>48</v>
      </c>
      <c r="B34" t="s">
        <v>12</v>
      </c>
      <c r="C34">
        <f>23871.55</f>
        <v>23871.55</v>
      </c>
      <c r="D34">
        <f>23860.1</f>
        <v>23860.1</v>
      </c>
      <c r="F34">
        <f>55+85</f>
        <v>140</v>
      </c>
      <c r="G34">
        <f>55+55</f>
        <v>110</v>
      </c>
      <c r="H34" t="s">
        <v>77</v>
      </c>
    </row>
    <row r="35" spans="1:8" x14ac:dyDescent="0.3">
      <c r="A35" s="5" t="s">
        <v>49</v>
      </c>
      <c r="B35" t="s">
        <v>12</v>
      </c>
      <c r="C35">
        <f>238600.05</f>
        <v>238600.05</v>
      </c>
      <c r="D35">
        <f>23866.35</f>
        <v>23866.35</v>
      </c>
      <c r="F35">
        <f>5+45</f>
        <v>50</v>
      </c>
      <c r="G35">
        <f>5+10</f>
        <v>15</v>
      </c>
      <c r="H35" t="s">
        <v>78</v>
      </c>
    </row>
    <row r="36" spans="1:8" x14ac:dyDescent="0.3">
      <c r="A36" t="s">
        <v>50</v>
      </c>
      <c r="B36" t="s">
        <v>12</v>
      </c>
      <c r="C36">
        <f>23866.05</f>
        <v>23866.05</v>
      </c>
      <c r="D36">
        <f>23887.45</f>
        <v>23887.45</v>
      </c>
      <c r="F36">
        <f>5+90</f>
        <v>95</v>
      </c>
      <c r="G36">
        <f>5+60</f>
        <v>65</v>
      </c>
      <c r="H36" t="s">
        <v>79</v>
      </c>
    </row>
    <row r="37" spans="1:8" x14ac:dyDescent="0.3">
      <c r="A37" t="s">
        <v>51</v>
      </c>
      <c r="B37" t="s">
        <v>12</v>
      </c>
      <c r="C37">
        <f>23888.3</f>
        <v>23888.3</v>
      </c>
      <c r="D37">
        <f>23946.45</f>
        <v>23946.45</v>
      </c>
      <c r="F37">
        <f>30+30</f>
        <v>60</v>
      </c>
      <c r="G37">
        <f>30+1</f>
        <v>31</v>
      </c>
      <c r="H37" t="s">
        <v>80</v>
      </c>
    </row>
    <row r="38" spans="1:8" x14ac:dyDescent="0.3">
      <c r="A38" t="s">
        <v>52</v>
      </c>
      <c r="B38" t="s">
        <v>8</v>
      </c>
      <c r="C38">
        <f>23946.15</f>
        <v>23946.15</v>
      </c>
      <c r="D38">
        <f>23927.25</f>
        <v>23927.25</v>
      </c>
      <c r="F38">
        <f>15+65</f>
        <v>80</v>
      </c>
      <c r="G38">
        <f>15+85</f>
        <v>100</v>
      </c>
      <c r="H38" t="s">
        <v>81</v>
      </c>
    </row>
    <row r="39" spans="1:8" x14ac:dyDescent="0.3">
      <c r="A39" t="s">
        <v>53</v>
      </c>
      <c r="B39" t="s">
        <v>12</v>
      </c>
      <c r="C39">
        <f>23927.2</f>
        <v>23927.200000000001</v>
      </c>
      <c r="D39">
        <f>23923.65</f>
        <v>23923.65</v>
      </c>
      <c r="F39">
        <f>20+25</f>
        <v>45</v>
      </c>
      <c r="G39">
        <f>20+45</f>
        <v>65</v>
      </c>
      <c r="H39" t="s">
        <v>82</v>
      </c>
    </row>
    <row r="40" spans="1:8" x14ac:dyDescent="0.3">
      <c r="A40" t="s">
        <v>54</v>
      </c>
      <c r="B40" t="s">
        <v>12</v>
      </c>
      <c r="C40">
        <f>23918.65</f>
        <v>23918.65</v>
      </c>
      <c r="D40">
        <f>23906.85</f>
        <v>23906.85</v>
      </c>
      <c r="F40">
        <f>10+5</f>
        <v>15</v>
      </c>
      <c r="G40">
        <f>10+30</f>
        <v>40</v>
      </c>
      <c r="H40" t="s">
        <v>83</v>
      </c>
    </row>
    <row r="41" spans="1:8" x14ac:dyDescent="0.3">
      <c r="A41" t="s">
        <v>55</v>
      </c>
      <c r="B41" t="s">
        <v>8</v>
      </c>
      <c r="C41">
        <f>23918.65</f>
        <v>23918.65</v>
      </c>
      <c r="D41">
        <f>23887.6</f>
        <v>23887.599999999999</v>
      </c>
      <c r="F41">
        <f>65+90</f>
        <v>155</v>
      </c>
      <c r="G41">
        <f>65+40</f>
        <v>105</v>
      </c>
      <c r="H41" t="s">
        <v>84</v>
      </c>
    </row>
    <row r="42" spans="1:8" x14ac:dyDescent="0.3">
      <c r="A42" t="s">
        <v>56</v>
      </c>
      <c r="B42" t="s">
        <v>12</v>
      </c>
      <c r="C42">
        <f>23887</f>
        <v>23887</v>
      </c>
      <c r="D42">
        <f>23883.8</f>
        <v>23883.8</v>
      </c>
      <c r="F42">
        <f>7+75</f>
        <v>82</v>
      </c>
      <c r="G42">
        <f>7+10</f>
        <v>17</v>
      </c>
      <c r="H42" t="s">
        <v>85</v>
      </c>
    </row>
    <row r="43" spans="1:8" x14ac:dyDescent="0.3">
      <c r="A43" t="s">
        <v>57</v>
      </c>
      <c r="B43" t="s">
        <v>8</v>
      </c>
      <c r="C43">
        <f>23884.4</f>
        <v>23884.400000000001</v>
      </c>
      <c r="D43">
        <f>23885.85</f>
        <v>23885.85</v>
      </c>
      <c r="F43">
        <f>40+60</f>
        <v>100</v>
      </c>
      <c r="G43">
        <f>40+9</f>
        <v>49</v>
      </c>
      <c r="H43" t="s">
        <v>86</v>
      </c>
    </row>
    <row r="44" spans="1:8" x14ac:dyDescent="0.3">
      <c r="A44" t="s">
        <v>58</v>
      </c>
      <c r="B44" t="s">
        <v>12</v>
      </c>
      <c r="C44">
        <f>23886.1</f>
        <v>23886.1</v>
      </c>
      <c r="D44">
        <f>23894.9</f>
        <v>23894.9</v>
      </c>
      <c r="F44">
        <f>10+90</f>
        <v>100</v>
      </c>
      <c r="G44">
        <f>10+5</f>
        <v>15</v>
      </c>
      <c r="H44" t="s">
        <v>87</v>
      </c>
    </row>
    <row r="45" spans="1:8" x14ac:dyDescent="0.3">
      <c r="A45" t="s">
        <v>59</v>
      </c>
      <c r="B45" t="s">
        <v>12</v>
      </c>
      <c r="C45">
        <f>23881.9</f>
        <v>23881.9</v>
      </c>
      <c r="D45">
        <f>23883.35</f>
        <v>23883.35</v>
      </c>
      <c r="F45">
        <f>90+50</f>
        <v>140</v>
      </c>
      <c r="G45">
        <f>90+45</f>
        <v>135</v>
      </c>
      <c r="H45" t="s">
        <v>88</v>
      </c>
    </row>
    <row r="46" spans="1:8" x14ac:dyDescent="0.3">
      <c r="A46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64AD-1274-46CF-B38A-5F50F33ED073}">
  <dimension ref="A1:I42"/>
  <sheetViews>
    <sheetView workbookViewId="0">
      <selection activeCell="C9" sqref="C9"/>
    </sheetView>
  </sheetViews>
  <sheetFormatPr defaultRowHeight="14.4" x14ac:dyDescent="0.3"/>
  <cols>
    <col min="3" max="3" width="17.6640625" customWidth="1"/>
    <col min="4" max="4" width="22" customWidth="1"/>
    <col min="5" max="5" width="25.77734375" customWidth="1"/>
    <col min="6" max="6" width="28.6640625" customWidth="1"/>
    <col min="7" max="7" width="21.77734375" customWidth="1"/>
    <col min="8" max="9" width="37.109375" customWidth="1"/>
  </cols>
  <sheetData>
    <row r="1" spans="1:9" ht="21" x14ac:dyDescent="0.5">
      <c r="A1" s="1" t="s">
        <v>0</v>
      </c>
      <c r="C1" t="s">
        <v>1</v>
      </c>
      <c r="D1" s="2" t="s">
        <v>2</v>
      </c>
      <c r="E1" s="2" t="s">
        <v>3</v>
      </c>
      <c r="F1" s="2" t="s">
        <v>5</v>
      </c>
      <c r="G1" s="2" t="s">
        <v>89</v>
      </c>
      <c r="H1" s="2" t="s">
        <v>6</v>
      </c>
      <c r="I1" s="2"/>
    </row>
    <row r="2" spans="1:9" x14ac:dyDescent="0.3">
      <c r="A2" t="s">
        <v>7</v>
      </c>
      <c r="C2" t="s">
        <v>90</v>
      </c>
      <c r="D2">
        <f>24023.85</f>
        <v>24023.85</v>
      </c>
      <c r="E2">
        <f>23992.8</f>
        <v>23992.799999999999</v>
      </c>
      <c r="F2">
        <f>85+85</f>
        <v>170</v>
      </c>
      <c r="G2">
        <f>85+40</f>
        <v>125</v>
      </c>
      <c r="H2" t="s">
        <v>91</v>
      </c>
    </row>
    <row r="3" spans="1:9" x14ac:dyDescent="0.3">
      <c r="A3" t="s">
        <v>10</v>
      </c>
      <c r="C3" t="s">
        <v>90</v>
      </c>
      <c r="D3">
        <f>24006.95</f>
        <v>24006.95</v>
      </c>
      <c r="E3">
        <f>23983.4</f>
        <v>23983.4</v>
      </c>
      <c r="F3">
        <f>95+25</f>
        <v>120</v>
      </c>
      <c r="G3">
        <f>95+40</f>
        <v>135</v>
      </c>
      <c r="H3" t="s">
        <v>92</v>
      </c>
    </row>
    <row r="4" spans="1:9" x14ac:dyDescent="0.3">
      <c r="A4" t="s">
        <v>11</v>
      </c>
      <c r="C4" t="s">
        <v>93</v>
      </c>
      <c r="D4">
        <f>23983.7</f>
        <v>23983.7</v>
      </c>
      <c r="E4">
        <f>23991.2</f>
        <v>23991.200000000001</v>
      </c>
      <c r="F4">
        <f>70+15</f>
        <v>85</v>
      </c>
      <c r="G4">
        <f>70+5</f>
        <v>75</v>
      </c>
      <c r="H4" t="s">
        <v>94</v>
      </c>
    </row>
    <row r="5" spans="1:9" x14ac:dyDescent="0.3">
      <c r="A5" t="s">
        <v>14</v>
      </c>
      <c r="C5" t="s">
        <v>90</v>
      </c>
      <c r="D5">
        <f>23990</f>
        <v>23990</v>
      </c>
      <c r="E5">
        <f>23974.3</f>
        <v>23974.3</v>
      </c>
      <c r="F5">
        <f>0+45</f>
        <v>45</v>
      </c>
      <c r="G5">
        <f>0+85</f>
        <v>85</v>
      </c>
      <c r="H5" t="s">
        <v>95</v>
      </c>
    </row>
    <row r="6" spans="1:9" x14ac:dyDescent="0.3">
      <c r="A6" t="s">
        <v>15</v>
      </c>
      <c r="C6" t="s">
        <v>93</v>
      </c>
      <c r="D6">
        <f>23967.1</f>
        <v>23967.1</v>
      </c>
      <c r="E6">
        <f>23958.4</f>
        <v>23958.400000000001</v>
      </c>
      <c r="F6">
        <f>10+5</f>
        <v>15</v>
      </c>
      <c r="G6">
        <f>10+50</f>
        <v>60</v>
      </c>
      <c r="H6" t="s">
        <v>96</v>
      </c>
    </row>
    <row r="7" spans="1:9" x14ac:dyDescent="0.3">
      <c r="A7" t="s">
        <v>17</v>
      </c>
      <c r="C7" t="s">
        <v>90</v>
      </c>
      <c r="D7">
        <f>23958.65</f>
        <v>23958.65</v>
      </c>
      <c r="E7">
        <f>23958.4</f>
        <v>23958.400000000001</v>
      </c>
      <c r="F7">
        <f>10+5</f>
        <v>15</v>
      </c>
      <c r="G7">
        <f>65+40</f>
        <v>105</v>
      </c>
      <c r="H7" t="s">
        <v>97</v>
      </c>
    </row>
    <row r="8" spans="1:9" x14ac:dyDescent="0.3">
      <c r="A8" t="s">
        <v>19</v>
      </c>
      <c r="C8" t="s">
        <v>90</v>
      </c>
      <c r="D8">
        <f>23938.65</f>
        <v>23938.65</v>
      </c>
      <c r="E8">
        <f>23953.7</f>
        <v>23953.7</v>
      </c>
      <c r="F8">
        <f>65+15</f>
        <v>80</v>
      </c>
      <c r="G8">
        <f>65+60</f>
        <v>125</v>
      </c>
      <c r="H8" t="s">
        <v>98</v>
      </c>
    </row>
    <row r="9" spans="1:9" x14ac:dyDescent="0.3">
      <c r="A9" t="s">
        <v>21</v>
      </c>
      <c r="C9" t="s">
        <v>93</v>
      </c>
      <c r="D9">
        <f>23953.85</f>
        <v>23953.85</v>
      </c>
      <c r="E9">
        <f>23998.55</f>
        <v>23998.55</v>
      </c>
      <c r="F9">
        <f>85+90</f>
        <v>175</v>
      </c>
      <c r="G9">
        <f>85+35</f>
        <v>120</v>
      </c>
      <c r="H9" t="s">
        <v>99</v>
      </c>
    </row>
    <row r="10" spans="1:9" x14ac:dyDescent="0.3">
      <c r="A10" t="s">
        <v>22</v>
      </c>
      <c r="C10" t="s">
        <v>90</v>
      </c>
      <c r="D10">
        <f>23998.7</f>
        <v>23998.7</v>
      </c>
      <c r="E10">
        <f>23990.25</f>
        <v>23990.25</v>
      </c>
      <c r="F10">
        <f>70+10</f>
        <v>80</v>
      </c>
      <c r="G10">
        <f>70+30</f>
        <v>100</v>
      </c>
      <c r="H10" t="s">
        <v>100</v>
      </c>
    </row>
    <row r="11" spans="1:9" x14ac:dyDescent="0.3">
      <c r="A11" t="s">
        <v>24</v>
      </c>
      <c r="C11" t="s">
        <v>90</v>
      </c>
      <c r="D11">
        <f>23989.1</f>
        <v>23989.1</v>
      </c>
      <c r="E11">
        <f>23989.1</f>
        <v>23989.1</v>
      </c>
      <c r="F11">
        <f>10+95</f>
        <v>105</v>
      </c>
      <c r="G11">
        <f>10+85</f>
        <v>95</v>
      </c>
      <c r="H11" t="s">
        <v>101</v>
      </c>
    </row>
    <row r="12" spans="1:9" x14ac:dyDescent="0.3">
      <c r="A12" t="s">
        <v>26</v>
      </c>
      <c r="C12" t="s">
        <v>90</v>
      </c>
      <c r="D12">
        <v>23989</v>
      </c>
      <c r="E12">
        <v>23989.1</v>
      </c>
      <c r="F12">
        <v>105</v>
      </c>
      <c r="G12">
        <v>95</v>
      </c>
      <c r="H12" t="s">
        <v>101</v>
      </c>
    </row>
    <row r="13" spans="1:9" x14ac:dyDescent="0.3">
      <c r="A13" t="s">
        <v>27</v>
      </c>
      <c r="C13" t="s">
        <v>90</v>
      </c>
      <c r="D13">
        <f>2381.05</f>
        <v>2381.0500000000002</v>
      </c>
      <c r="E13">
        <f>23969.7</f>
        <v>23969.7</v>
      </c>
      <c r="F13">
        <f>205+50</f>
        <v>255</v>
      </c>
      <c r="G13">
        <f>95+35</f>
        <v>130</v>
      </c>
      <c r="H13" t="s">
        <v>102</v>
      </c>
    </row>
    <row r="14" spans="1:9" x14ac:dyDescent="0.3">
      <c r="A14" t="s">
        <v>29</v>
      </c>
      <c r="C14" t="s">
        <v>93</v>
      </c>
      <c r="D14">
        <f>23952.65</f>
        <v>23952.65</v>
      </c>
      <c r="E14">
        <f>2396040</f>
        <v>2396040</v>
      </c>
      <c r="F14">
        <f>65+50</f>
        <v>115</v>
      </c>
      <c r="G14">
        <f>65+65</f>
        <v>130</v>
      </c>
      <c r="H14" t="s">
        <v>103</v>
      </c>
    </row>
    <row r="15" spans="1:9" x14ac:dyDescent="0.3">
      <c r="A15" t="s">
        <v>31</v>
      </c>
      <c r="C15" t="s">
        <v>93</v>
      </c>
      <c r="D15">
        <f>23969.7</f>
        <v>23969.7</v>
      </c>
      <c r="E15">
        <f>24022.15</f>
        <v>24022.15</v>
      </c>
      <c r="F15">
        <f>70+20</f>
        <v>90</v>
      </c>
      <c r="G15">
        <f>70+60</f>
        <v>130</v>
      </c>
      <c r="H15" t="s">
        <v>104</v>
      </c>
    </row>
    <row r="16" spans="1:9" x14ac:dyDescent="0.3">
      <c r="A16" t="s">
        <v>32</v>
      </c>
      <c r="C16" t="s">
        <v>90</v>
      </c>
      <c r="D16">
        <f>24022.9</f>
        <v>24022.9</v>
      </c>
      <c r="E16">
        <f>23974.85</f>
        <v>23974.85</v>
      </c>
      <c r="F16">
        <f>90+10</f>
        <v>100</v>
      </c>
      <c r="G16">
        <f>90+95</f>
        <v>185</v>
      </c>
      <c r="H16" t="s">
        <v>105</v>
      </c>
    </row>
    <row r="17" spans="1:8" x14ac:dyDescent="0.3">
      <c r="A17" t="s">
        <v>33</v>
      </c>
      <c r="C17" t="s">
        <v>90</v>
      </c>
      <c r="D17">
        <f>23974.1</f>
        <v>23974.1</v>
      </c>
      <c r="E17">
        <f>23953.6</f>
        <v>23953.599999999999</v>
      </c>
      <c r="F17">
        <f>10+40</f>
        <v>50</v>
      </c>
      <c r="G17">
        <f>10+85</f>
        <v>95</v>
      </c>
      <c r="H17" t="s">
        <v>106</v>
      </c>
    </row>
    <row r="18" spans="1:8" x14ac:dyDescent="0.3">
      <c r="A18" t="s">
        <v>34</v>
      </c>
      <c r="C18" t="s">
        <v>93</v>
      </c>
      <c r="D18">
        <f>23953.79</f>
        <v>23953.79</v>
      </c>
      <c r="E18">
        <f>23968.6</f>
        <v>23968.6</v>
      </c>
      <c r="F18">
        <v>75</v>
      </c>
      <c r="G18">
        <v>140</v>
      </c>
      <c r="H18" t="s">
        <v>107</v>
      </c>
    </row>
    <row r="19" spans="1:8" x14ac:dyDescent="0.3">
      <c r="A19" t="s">
        <v>35</v>
      </c>
      <c r="C19" t="s">
        <v>93</v>
      </c>
      <c r="D19">
        <f>23981.7</f>
        <v>23981.7</v>
      </c>
      <c r="E19">
        <f>23980.15</f>
        <v>23980.15</v>
      </c>
      <c r="F19">
        <f>95+25</f>
        <v>120</v>
      </c>
      <c r="G19">
        <f>95+50</f>
        <v>145</v>
      </c>
      <c r="H19" t="s">
        <v>108</v>
      </c>
    </row>
    <row r="20" spans="1:8" x14ac:dyDescent="0.3">
      <c r="A20" t="s">
        <v>36</v>
      </c>
      <c r="C20" t="s">
        <v>90</v>
      </c>
      <c r="D20">
        <f>23988.5</f>
        <v>23988.5</v>
      </c>
      <c r="E20">
        <f>23979.75</f>
        <v>23979.75</v>
      </c>
      <c r="F20">
        <f>50+25</f>
        <v>75</v>
      </c>
      <c r="G20">
        <f>50+40</f>
        <v>90</v>
      </c>
      <c r="H20" t="s">
        <v>109</v>
      </c>
    </row>
    <row r="21" spans="1:8" x14ac:dyDescent="0.3">
      <c r="A21" t="s">
        <v>37</v>
      </c>
      <c r="C21" t="s">
        <v>90</v>
      </c>
      <c r="D21">
        <f>2397920</f>
        <v>2397920</v>
      </c>
      <c r="E21">
        <f>23982.75</f>
        <v>23982.75</v>
      </c>
      <c r="F21">
        <f>20+85</f>
        <v>105</v>
      </c>
      <c r="G21">
        <f>20+20</f>
        <v>40</v>
      </c>
      <c r="H21" t="s">
        <v>110</v>
      </c>
    </row>
    <row r="22" spans="1:8" x14ac:dyDescent="0.3">
      <c r="A22" s="5">
        <v>0.45833333333333331</v>
      </c>
      <c r="C22" t="s">
        <v>90</v>
      </c>
      <c r="D22">
        <f>23982.5</f>
        <v>23982.5</v>
      </c>
      <c r="E22">
        <f>23971.5</f>
        <v>23971.5</v>
      </c>
      <c r="F22">
        <f>50+10</f>
        <v>60</v>
      </c>
      <c r="G22">
        <f>50+50</f>
        <v>100</v>
      </c>
      <c r="H22" s="3" t="s">
        <v>113</v>
      </c>
    </row>
    <row r="23" spans="1:8" x14ac:dyDescent="0.3">
      <c r="A23" t="s">
        <v>38</v>
      </c>
      <c r="C23" t="s">
        <v>90</v>
      </c>
      <c r="D23">
        <f>23971.85</f>
        <v>23971.85</v>
      </c>
      <c r="E23">
        <f>23974.5</f>
        <v>23974.5</v>
      </c>
      <c r="F23">
        <f>85+80</f>
        <v>165</v>
      </c>
      <c r="G23">
        <f>85+50</f>
        <v>135</v>
      </c>
      <c r="H23" t="s">
        <v>111</v>
      </c>
    </row>
    <row r="24" spans="1:8" x14ac:dyDescent="0.3">
      <c r="A24" t="s">
        <v>39</v>
      </c>
      <c r="C24" t="s">
        <v>93</v>
      </c>
      <c r="D24">
        <f>23974.7</f>
        <v>23974.7</v>
      </c>
      <c r="E24">
        <f>2398250</f>
        <v>2398250</v>
      </c>
      <c r="F24">
        <f>70+90</f>
        <v>160</v>
      </c>
      <c r="G24">
        <f>70+80</f>
        <v>150</v>
      </c>
      <c r="H24" t="s">
        <v>112</v>
      </c>
    </row>
    <row r="25" spans="1:8" x14ac:dyDescent="0.3">
      <c r="A25" t="s">
        <v>40</v>
      </c>
      <c r="C25" t="s">
        <v>90</v>
      </c>
      <c r="D25">
        <f>23981.95</f>
        <v>23981.95</v>
      </c>
      <c r="E25">
        <f>23973.7</f>
        <v>23973.7</v>
      </c>
      <c r="F25">
        <f>95+85</f>
        <v>180</v>
      </c>
      <c r="G25">
        <f>95+25</f>
        <v>120</v>
      </c>
      <c r="H25" t="s">
        <v>114</v>
      </c>
    </row>
    <row r="26" spans="1:8" x14ac:dyDescent="0.3">
      <c r="A26" t="s">
        <v>41</v>
      </c>
      <c r="C26" t="s">
        <v>90</v>
      </c>
      <c r="D26">
        <f>23971.95</f>
        <v>23971.95</v>
      </c>
      <c r="E26">
        <f>23946.85</f>
        <v>23946.85</v>
      </c>
      <c r="F26">
        <f>95+25</f>
        <v>120</v>
      </c>
      <c r="G26">
        <f>95+5</f>
        <v>100</v>
      </c>
      <c r="H26" t="s">
        <v>115</v>
      </c>
    </row>
    <row r="27" spans="1:8" x14ac:dyDescent="0.3">
      <c r="A27" t="s">
        <v>42</v>
      </c>
      <c r="C27" t="s">
        <v>93</v>
      </c>
      <c r="D27">
        <f>23947.8</f>
        <v>23947.8</v>
      </c>
      <c r="E27">
        <f>23930.65</f>
        <v>23930.65</v>
      </c>
      <c r="F27">
        <f>80+60</f>
        <v>140</v>
      </c>
      <c r="G27">
        <f>80+65</f>
        <v>145</v>
      </c>
      <c r="H27" t="s">
        <v>116</v>
      </c>
    </row>
    <row r="28" spans="1:8" x14ac:dyDescent="0.3">
      <c r="A28" t="s">
        <v>43</v>
      </c>
      <c r="C28" t="s">
        <v>93</v>
      </c>
      <c r="D28">
        <f>23931.5</f>
        <v>23931.5</v>
      </c>
      <c r="E28">
        <f>23931.5</f>
        <v>23931.5</v>
      </c>
      <c r="F28">
        <f>50+60</f>
        <v>110</v>
      </c>
      <c r="G28">
        <f>50+20</f>
        <v>70</v>
      </c>
      <c r="H28" t="s">
        <v>117</v>
      </c>
    </row>
    <row r="29" spans="1:8" x14ac:dyDescent="0.3">
      <c r="A29" t="s">
        <v>44</v>
      </c>
      <c r="C29" t="s">
        <v>90</v>
      </c>
      <c r="D29">
        <f>23934.3</f>
        <v>23934.3</v>
      </c>
      <c r="E29">
        <f>23897.85</f>
        <v>23897.85</v>
      </c>
      <c r="F29">
        <f>30+0</f>
        <v>30</v>
      </c>
      <c r="G29">
        <f>30+30</f>
        <v>60</v>
      </c>
      <c r="H29" t="s">
        <v>118</v>
      </c>
    </row>
    <row r="30" spans="1:8" x14ac:dyDescent="0.3">
      <c r="A30" t="s">
        <v>45</v>
      </c>
      <c r="C30" t="s">
        <v>90</v>
      </c>
      <c r="D30">
        <f>23898.45</f>
        <v>23898.45</v>
      </c>
      <c r="E30">
        <f>23866.3</f>
        <v>23866.3</v>
      </c>
      <c r="F30">
        <f>45+5</f>
        <v>50</v>
      </c>
      <c r="G30">
        <f>45+80</f>
        <v>125</v>
      </c>
      <c r="H30" t="s">
        <v>119</v>
      </c>
    </row>
    <row r="31" spans="1:8" x14ac:dyDescent="0.3">
      <c r="A31" t="s">
        <v>46</v>
      </c>
      <c r="C31" t="s">
        <v>93</v>
      </c>
      <c r="D31">
        <f>23867.35</f>
        <v>23867.35</v>
      </c>
      <c r="E31">
        <f>23865.2</f>
        <v>23865.200000000001</v>
      </c>
      <c r="F31">
        <f>35+85</f>
        <v>120</v>
      </c>
      <c r="G31">
        <f>85+20</f>
        <v>105</v>
      </c>
      <c r="H31" t="s">
        <v>120</v>
      </c>
    </row>
    <row r="32" spans="1:8" x14ac:dyDescent="0.3">
      <c r="A32" t="s">
        <v>47</v>
      </c>
      <c r="C32" t="s">
        <v>90</v>
      </c>
      <c r="D32">
        <f>23865.4</f>
        <v>23865.4</v>
      </c>
      <c r="E32">
        <f>23864.5</f>
        <v>23864.5</v>
      </c>
      <c r="F32">
        <f>40+75</f>
        <v>115</v>
      </c>
      <c r="G32">
        <f>40+30</f>
        <v>70</v>
      </c>
      <c r="H32" t="s">
        <v>121</v>
      </c>
    </row>
    <row r="33" spans="1:8" x14ac:dyDescent="0.3">
      <c r="A33" t="s">
        <v>48</v>
      </c>
      <c r="C33" t="s">
        <v>90</v>
      </c>
      <c r="D33" s="3">
        <f>23863.7</f>
        <v>23863.7</v>
      </c>
      <c r="E33">
        <f>23862.75</f>
        <v>23862.75</v>
      </c>
      <c r="F33">
        <f>70+15</f>
        <v>85</v>
      </c>
      <c r="G33">
        <f>70+75</f>
        <v>145</v>
      </c>
      <c r="H33" t="s">
        <v>122</v>
      </c>
    </row>
    <row r="34" spans="1:8" x14ac:dyDescent="0.3">
      <c r="A34" s="5" t="s">
        <v>49</v>
      </c>
      <c r="C34" t="s">
        <v>90</v>
      </c>
      <c r="D34">
        <f>23863.05</f>
        <v>23863.05</v>
      </c>
      <c r="E34">
        <f>23887.75</f>
        <v>23887.75</v>
      </c>
      <c r="F34">
        <f>5+75</f>
        <v>80</v>
      </c>
      <c r="G34">
        <f>5+75</f>
        <v>80</v>
      </c>
      <c r="H34" t="s">
        <v>123</v>
      </c>
    </row>
    <row r="35" spans="1:8" x14ac:dyDescent="0.3">
      <c r="A35" t="s">
        <v>50</v>
      </c>
      <c r="C35" t="s">
        <v>93</v>
      </c>
      <c r="D35">
        <f>23887.65</f>
        <v>23887.65</v>
      </c>
      <c r="E35">
        <f>23892.45</f>
        <v>23892.45</v>
      </c>
      <c r="F35">
        <f>65+70</f>
        <v>135</v>
      </c>
      <c r="G35">
        <f>65+45</f>
        <v>110</v>
      </c>
      <c r="H35" t="s">
        <v>124</v>
      </c>
    </row>
    <row r="36" spans="1:8" x14ac:dyDescent="0.3">
      <c r="A36" t="s">
        <v>51</v>
      </c>
      <c r="C36" t="s">
        <v>90</v>
      </c>
      <c r="D36">
        <f>23892.15</f>
        <v>23892.15</v>
      </c>
      <c r="E36">
        <f>23874.5</f>
        <v>23874.5</v>
      </c>
      <c r="F36">
        <f>15+10</f>
        <v>25</v>
      </c>
      <c r="G36">
        <f>15+20</f>
        <v>35</v>
      </c>
      <c r="H36" t="s">
        <v>125</v>
      </c>
    </row>
    <row r="37" spans="1:8" x14ac:dyDescent="0.3">
      <c r="A37" t="s">
        <v>52</v>
      </c>
      <c r="C37" t="s">
        <v>93</v>
      </c>
      <c r="D37">
        <f>23892.15</f>
        <v>23892.15</v>
      </c>
      <c r="E37">
        <f>23892.9</f>
        <v>23892.9</v>
      </c>
      <c r="F37">
        <f>50+85</f>
        <v>135</v>
      </c>
      <c r="G37">
        <f>50+75</f>
        <v>125</v>
      </c>
      <c r="H37" t="s">
        <v>126</v>
      </c>
    </row>
    <row r="38" spans="1:8" x14ac:dyDescent="0.3">
      <c r="A38" t="s">
        <v>53</v>
      </c>
      <c r="C38" t="s">
        <v>90</v>
      </c>
      <c r="D38">
        <f>23893</f>
        <v>23893</v>
      </c>
      <c r="E38">
        <f>23857.1</f>
        <v>23857.1</v>
      </c>
      <c r="F38">
        <f>0+0</f>
        <v>0</v>
      </c>
      <c r="G38">
        <f>0+85</f>
        <v>85</v>
      </c>
      <c r="H38" t="s">
        <v>127</v>
      </c>
    </row>
    <row r="39" spans="1:8" x14ac:dyDescent="0.3">
      <c r="A39" t="s">
        <v>54</v>
      </c>
      <c r="C39" t="s">
        <v>93</v>
      </c>
      <c r="D39">
        <f>23855.6</f>
        <v>23855.599999999999</v>
      </c>
      <c r="E39">
        <f>23879.65</f>
        <v>23879.65</v>
      </c>
      <c r="F39">
        <f>60+30</f>
        <v>90</v>
      </c>
      <c r="G39">
        <f>60+45</f>
        <v>105</v>
      </c>
      <c r="H39" t="s">
        <v>128</v>
      </c>
    </row>
    <row r="40" spans="1:8" x14ac:dyDescent="0.3">
      <c r="A40" t="s">
        <v>55</v>
      </c>
      <c r="C40" t="s">
        <v>93</v>
      </c>
      <c r="D40">
        <f>23879.35</f>
        <v>23879.35</v>
      </c>
      <c r="E40">
        <f>23887.95</f>
        <v>23887.95</v>
      </c>
      <c r="F40">
        <f>35+95</f>
        <v>130</v>
      </c>
      <c r="G40">
        <f>35+75</f>
        <v>110</v>
      </c>
      <c r="H40" t="s">
        <v>129</v>
      </c>
    </row>
    <row r="41" spans="1:8" x14ac:dyDescent="0.3">
      <c r="A41" t="s">
        <v>56</v>
      </c>
      <c r="C41" t="s">
        <v>93</v>
      </c>
      <c r="D41">
        <f>23889.1</f>
        <v>23889.1</v>
      </c>
      <c r="E41">
        <f>23905.7</f>
        <v>23905.7</v>
      </c>
      <c r="F41">
        <f>10+5</f>
        <v>15</v>
      </c>
      <c r="G41">
        <f>10+65</f>
        <v>75</v>
      </c>
      <c r="H41" t="s">
        <v>130</v>
      </c>
    </row>
    <row r="42" spans="1:8" x14ac:dyDescent="0.3">
      <c r="A42" t="s">
        <v>57</v>
      </c>
      <c r="C42" t="s">
        <v>93</v>
      </c>
      <c r="D42">
        <f>23906.65</f>
        <v>23906.65</v>
      </c>
      <c r="E42">
        <f>23899.45</f>
        <v>23899.45</v>
      </c>
      <c r="F42">
        <f>65+60</f>
        <v>125</v>
      </c>
      <c r="G42">
        <f>65+85</f>
        <v>150</v>
      </c>
      <c r="H42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BFC9-6D5C-4A42-8058-1863264BFC98}">
  <dimension ref="A1:I44"/>
  <sheetViews>
    <sheetView workbookViewId="0">
      <selection activeCell="C1" sqref="C1:L2"/>
    </sheetView>
  </sheetViews>
  <sheetFormatPr defaultRowHeight="14.4" x14ac:dyDescent="0.3"/>
  <cols>
    <col min="1" max="1" width="8.77734375" customWidth="1"/>
    <col min="2" max="2" width="8.88671875" hidden="1" customWidth="1"/>
    <col min="3" max="3" width="12.88671875" customWidth="1"/>
    <col min="4" max="4" width="23.21875" customWidth="1"/>
    <col min="5" max="5" width="25.21875" customWidth="1"/>
    <col min="6" max="6" width="19.6640625" customWidth="1"/>
    <col min="7" max="7" width="19.44140625" customWidth="1"/>
    <col min="8" max="8" width="19.88671875" customWidth="1"/>
  </cols>
  <sheetData>
    <row r="1" spans="1:9" ht="21" x14ac:dyDescent="0.5">
      <c r="A1" s="1" t="s">
        <v>0</v>
      </c>
      <c r="C1" t="s">
        <v>1</v>
      </c>
      <c r="D1" s="2" t="s">
        <v>2</v>
      </c>
      <c r="E1" s="2" t="s">
        <v>3</v>
      </c>
      <c r="F1" s="2" t="s">
        <v>5</v>
      </c>
      <c r="G1" s="2" t="s">
        <v>89</v>
      </c>
      <c r="H1" s="2" t="s">
        <v>6</v>
      </c>
      <c r="I1" s="2"/>
    </row>
    <row r="2" spans="1:9" ht="17.399999999999999" x14ac:dyDescent="0.45">
      <c r="A2" s="1" t="s">
        <v>175</v>
      </c>
    </row>
    <row r="3" spans="1:9" x14ac:dyDescent="0.3">
      <c r="A3" t="s">
        <v>7</v>
      </c>
      <c r="C3" t="s">
        <v>8</v>
      </c>
      <c r="D3">
        <f>24454.55</f>
        <v>24454.55</v>
      </c>
      <c r="E3">
        <f>24395.5</f>
        <v>24395.5</v>
      </c>
      <c r="F3">
        <f>55+90</f>
        <v>145</v>
      </c>
      <c r="G3">
        <f>55+25</f>
        <v>80</v>
      </c>
      <c r="H3" t="s">
        <v>176</v>
      </c>
    </row>
    <row r="4" spans="1:9" x14ac:dyDescent="0.3">
      <c r="A4" t="s">
        <v>10</v>
      </c>
      <c r="C4" t="s">
        <v>8</v>
      </c>
      <c r="D4">
        <f>24397.1</f>
        <v>24397.1</v>
      </c>
      <c r="E4">
        <f>24350.1</f>
        <v>24350.1</v>
      </c>
      <c r="F4">
        <f>10+10</f>
        <v>20</v>
      </c>
      <c r="G4">
        <f>10+85</f>
        <v>95</v>
      </c>
      <c r="H4" t="s">
        <v>177</v>
      </c>
    </row>
    <row r="5" spans="1:9" x14ac:dyDescent="0.3">
      <c r="A5" t="s">
        <v>11</v>
      </c>
      <c r="C5" t="s">
        <v>8</v>
      </c>
      <c r="D5">
        <f>24353.7</f>
        <v>24353.7</v>
      </c>
      <c r="E5">
        <f>24360.55</f>
        <v>24360.55</v>
      </c>
      <c r="F5">
        <f>70+10</f>
        <v>80</v>
      </c>
      <c r="G5">
        <f>70+40</f>
        <v>110</v>
      </c>
      <c r="H5" t="s">
        <v>178</v>
      </c>
    </row>
    <row r="6" spans="1:9" x14ac:dyDescent="0.3">
      <c r="A6" t="s">
        <v>14</v>
      </c>
      <c r="C6" t="s">
        <v>12</v>
      </c>
      <c r="D6">
        <f>24353.7</f>
        <v>24353.7</v>
      </c>
      <c r="E6">
        <f>24360.5</f>
        <v>24360.5</v>
      </c>
      <c r="F6">
        <f>70+10</f>
        <v>80</v>
      </c>
      <c r="G6">
        <f>70+40</f>
        <v>110</v>
      </c>
      <c r="H6" t="s">
        <v>179</v>
      </c>
    </row>
    <row r="7" spans="1:9" x14ac:dyDescent="0.3">
      <c r="A7" t="s">
        <v>15</v>
      </c>
      <c r="C7" t="s">
        <v>8</v>
      </c>
      <c r="D7">
        <f>24361.2</f>
        <v>24361.200000000001</v>
      </c>
      <c r="E7">
        <f>24339.15</f>
        <v>24339.15</v>
      </c>
      <c r="F7">
        <f>20+25</f>
        <v>45</v>
      </c>
      <c r="G7">
        <f>20+65</f>
        <v>85</v>
      </c>
      <c r="H7" t="s">
        <v>180</v>
      </c>
    </row>
    <row r="8" spans="1:9" x14ac:dyDescent="0.3">
      <c r="A8" t="s">
        <v>17</v>
      </c>
      <c r="C8" t="s">
        <v>12</v>
      </c>
      <c r="D8">
        <f>24341.2</f>
        <v>24341.200000000001</v>
      </c>
      <c r="E8">
        <f>24341.3</f>
        <v>24341.3</v>
      </c>
      <c r="F8">
        <f>20+75</f>
        <v>95</v>
      </c>
      <c r="G8">
        <f>20+40</f>
        <v>60</v>
      </c>
      <c r="H8" t="s">
        <v>181</v>
      </c>
    </row>
    <row r="9" spans="1:9" x14ac:dyDescent="0.3">
      <c r="A9" t="s">
        <v>19</v>
      </c>
      <c r="C9" t="s">
        <v>12</v>
      </c>
      <c r="D9">
        <f>24363.15</f>
        <v>24363.15</v>
      </c>
      <c r="E9">
        <f>24368.9</f>
        <v>24368.9</v>
      </c>
      <c r="F9">
        <f>15+25</f>
        <v>40</v>
      </c>
      <c r="G9">
        <f>15+40</f>
        <v>55</v>
      </c>
      <c r="H9" t="s">
        <v>182</v>
      </c>
    </row>
    <row r="10" spans="1:9" x14ac:dyDescent="0.3">
      <c r="A10" t="s">
        <v>21</v>
      </c>
      <c r="C10" t="s">
        <v>8</v>
      </c>
      <c r="D10">
        <f>24366.95</f>
        <v>24366.95</v>
      </c>
      <c r="E10">
        <f>24340.25</f>
        <v>24340.25</v>
      </c>
      <c r="F10">
        <f>95+95</f>
        <v>190</v>
      </c>
      <c r="G10">
        <f>95+40</f>
        <v>135</v>
      </c>
      <c r="H10" t="s">
        <v>183</v>
      </c>
    </row>
    <row r="11" spans="1:9" x14ac:dyDescent="0.3">
      <c r="A11" t="s">
        <v>22</v>
      </c>
      <c r="C11" t="s">
        <v>8</v>
      </c>
      <c r="D11">
        <f>24339.4</f>
        <v>24339.4</v>
      </c>
      <c r="E11">
        <f>24275.15</f>
        <v>24275.15</v>
      </c>
      <c r="F11">
        <f>40+40</f>
        <v>80</v>
      </c>
      <c r="G11">
        <f>40+90</f>
        <v>130</v>
      </c>
      <c r="H11" t="s">
        <v>184</v>
      </c>
    </row>
    <row r="12" spans="1:9" x14ac:dyDescent="0.3">
      <c r="A12" t="s">
        <v>24</v>
      </c>
      <c r="C12" t="s">
        <v>8</v>
      </c>
      <c r="D12">
        <f>24279.8</f>
        <v>24279.8</v>
      </c>
      <c r="E12">
        <f>24219.2</f>
        <v>24219.200000000001</v>
      </c>
      <c r="F12">
        <f>80+25</f>
        <v>105</v>
      </c>
      <c r="G12">
        <f>80+65</f>
        <v>145</v>
      </c>
      <c r="H12" t="s">
        <v>185</v>
      </c>
    </row>
    <row r="13" spans="1:9" x14ac:dyDescent="0.3">
      <c r="A13" t="s">
        <v>26</v>
      </c>
      <c r="C13" t="s">
        <v>12</v>
      </c>
      <c r="D13" s="3">
        <f>24220.95</f>
        <v>24220.95</v>
      </c>
      <c r="E13">
        <f>24223.25</f>
        <v>24223.25</v>
      </c>
      <c r="F13">
        <f>95+0</f>
        <v>95</v>
      </c>
      <c r="G13">
        <f>95+20</f>
        <v>115</v>
      </c>
      <c r="H13" t="s">
        <v>186</v>
      </c>
    </row>
    <row r="14" spans="1:9" x14ac:dyDescent="0.3">
      <c r="A14" t="s">
        <v>27</v>
      </c>
      <c r="C14" t="s">
        <v>12</v>
      </c>
      <c r="D14">
        <f>24223.7</f>
        <v>24223.7</v>
      </c>
      <c r="E14">
        <f>24223.4</f>
        <v>24223.4</v>
      </c>
      <c r="F14">
        <f>70+15</f>
        <v>85</v>
      </c>
      <c r="G14">
        <f>70+55</f>
        <v>125</v>
      </c>
      <c r="H14" t="s">
        <v>187</v>
      </c>
    </row>
    <row r="15" spans="1:9" x14ac:dyDescent="0.3">
      <c r="A15" t="s">
        <v>29</v>
      </c>
      <c r="C15" t="s">
        <v>8</v>
      </c>
      <c r="D15">
        <f>24221.75</f>
        <v>24221.75</v>
      </c>
      <c r="E15">
        <f>24218.7</f>
        <v>24218.7</v>
      </c>
      <c r="F15">
        <f>75+45</f>
        <v>120</v>
      </c>
      <c r="G15">
        <f>75+40</f>
        <v>115</v>
      </c>
      <c r="H15" t="s">
        <v>188</v>
      </c>
    </row>
    <row r="16" spans="1:9" x14ac:dyDescent="0.3">
      <c r="A16" t="s">
        <v>31</v>
      </c>
      <c r="C16" t="s">
        <v>12</v>
      </c>
      <c r="D16">
        <f>24218.9</f>
        <v>24218.9</v>
      </c>
      <c r="E16">
        <f>24230.6</f>
        <v>24230.6</v>
      </c>
      <c r="F16">
        <f>90+65</f>
        <v>155</v>
      </c>
      <c r="G16">
        <f>90+15</f>
        <v>105</v>
      </c>
      <c r="H16" t="s">
        <v>189</v>
      </c>
    </row>
    <row r="17" spans="1:8" x14ac:dyDescent="0.3">
      <c r="A17" t="s">
        <v>32</v>
      </c>
      <c r="C17" t="s">
        <v>8</v>
      </c>
      <c r="D17">
        <f>24230.1</f>
        <v>24230.1</v>
      </c>
      <c r="E17">
        <f>24295.2</f>
        <v>24295.200000000001</v>
      </c>
      <c r="F17">
        <f>10+10</f>
        <v>20</v>
      </c>
      <c r="G17">
        <f>10+45</f>
        <v>55</v>
      </c>
      <c r="H17" t="s">
        <v>190</v>
      </c>
    </row>
    <row r="18" spans="1:8" x14ac:dyDescent="0.3">
      <c r="A18" t="s">
        <v>33</v>
      </c>
      <c r="C18" t="s">
        <v>8</v>
      </c>
      <c r="D18">
        <f>24195.15</f>
        <v>24195.15</v>
      </c>
      <c r="E18">
        <f>24180.7</f>
        <v>24180.7</v>
      </c>
      <c r="F18">
        <f>15+15</f>
        <v>30</v>
      </c>
      <c r="G18">
        <f>15+95</f>
        <v>110</v>
      </c>
      <c r="H18" t="s">
        <v>191</v>
      </c>
    </row>
    <row r="19" spans="1:8" x14ac:dyDescent="0.3">
      <c r="A19" t="s">
        <v>34</v>
      </c>
      <c r="C19" t="s">
        <v>12</v>
      </c>
      <c r="D19">
        <f>24187.15</f>
        <v>24187.15</v>
      </c>
      <c r="E19">
        <f>24200.5</f>
        <v>24200.5</v>
      </c>
      <c r="F19">
        <f>15+80</f>
        <v>95</v>
      </c>
      <c r="G19">
        <f>15+35</f>
        <v>50</v>
      </c>
      <c r="H19" t="s">
        <v>192</v>
      </c>
    </row>
    <row r="20" spans="1:8" x14ac:dyDescent="0.3">
      <c r="A20" t="s">
        <v>35</v>
      </c>
      <c r="C20" t="s">
        <v>12</v>
      </c>
      <c r="D20">
        <f>24199.3</f>
        <v>24199.3</v>
      </c>
      <c r="E20">
        <f>24206.1</f>
        <v>24206.1</v>
      </c>
      <c r="F20">
        <f>30+0</f>
        <v>30</v>
      </c>
      <c r="G20">
        <f>30+5</f>
        <v>35</v>
      </c>
      <c r="H20" t="s">
        <v>193</v>
      </c>
    </row>
    <row r="21" spans="1:8" x14ac:dyDescent="0.3">
      <c r="A21" t="s">
        <v>36</v>
      </c>
      <c r="C21" t="s">
        <v>12</v>
      </c>
      <c r="D21">
        <f>24206.6</f>
        <v>24206.6</v>
      </c>
      <c r="E21">
        <f>24206.6</f>
        <v>24206.6</v>
      </c>
      <c r="F21">
        <f>60+0</f>
        <v>60</v>
      </c>
      <c r="G21">
        <f>60+30</f>
        <v>90</v>
      </c>
      <c r="H21" t="s">
        <v>194</v>
      </c>
    </row>
    <row r="22" spans="1:8" x14ac:dyDescent="0.3">
      <c r="A22" t="s">
        <v>37</v>
      </c>
      <c r="C22" t="s">
        <v>12</v>
      </c>
      <c r="D22">
        <f>24207.05</f>
        <v>24207.05</v>
      </c>
      <c r="E22">
        <f>24234.4</f>
        <v>24234.400000000001</v>
      </c>
      <c r="F22">
        <f>5+45</f>
        <v>50</v>
      </c>
      <c r="G22">
        <f>5+80</f>
        <v>85</v>
      </c>
      <c r="H22" t="s">
        <v>195</v>
      </c>
    </row>
    <row r="23" spans="1:8" x14ac:dyDescent="0.3">
      <c r="A23" s="5">
        <v>0.45833333333333331</v>
      </c>
      <c r="C23" t="s">
        <v>12</v>
      </c>
      <c r="D23">
        <f>24232.05</f>
        <v>24232.05</v>
      </c>
      <c r="E23">
        <f>24254.3</f>
        <v>24254.3</v>
      </c>
      <c r="F23">
        <f>5+60</f>
        <v>65</v>
      </c>
      <c r="G23">
        <f>5+25</f>
        <v>30</v>
      </c>
      <c r="H23" t="s">
        <v>196</v>
      </c>
    </row>
    <row r="24" spans="1:8" x14ac:dyDescent="0.3">
      <c r="A24" t="s">
        <v>38</v>
      </c>
      <c r="C24" t="s">
        <v>8</v>
      </c>
      <c r="D24">
        <f>24252.7</f>
        <v>24252.7</v>
      </c>
      <c r="E24">
        <f>24239.34</f>
        <v>24239.34</v>
      </c>
      <c r="F24">
        <f>70+35</f>
        <v>105</v>
      </c>
      <c r="G24">
        <f>70+60</f>
        <v>130</v>
      </c>
      <c r="H24" t="s">
        <v>197</v>
      </c>
    </row>
    <row r="25" spans="1:8" x14ac:dyDescent="0.3">
      <c r="A25" t="s">
        <v>39</v>
      </c>
      <c r="C25" t="s">
        <v>8</v>
      </c>
      <c r="D25">
        <f>24239.1</f>
        <v>24239.1</v>
      </c>
      <c r="E25">
        <f>24223.06</f>
        <v>24223.06</v>
      </c>
      <c r="F25">
        <f>10+60</f>
        <v>70</v>
      </c>
      <c r="G25">
        <f>10+75</f>
        <v>85</v>
      </c>
      <c r="H25" t="s">
        <v>198</v>
      </c>
    </row>
    <row r="26" spans="1:8" x14ac:dyDescent="0.3">
      <c r="A26" t="s">
        <v>40</v>
      </c>
      <c r="C26" t="s">
        <v>12</v>
      </c>
      <c r="D26">
        <f>2422.1</f>
        <v>2422.1</v>
      </c>
      <c r="E26">
        <f>24233.3</f>
        <v>24233.3</v>
      </c>
      <c r="F26">
        <f>10+25</f>
        <v>35</v>
      </c>
      <c r="G26">
        <f>10+25</f>
        <v>35</v>
      </c>
      <c r="H26" t="s">
        <v>199</v>
      </c>
    </row>
    <row r="27" spans="1:8" x14ac:dyDescent="0.3">
      <c r="A27" t="s">
        <v>41</v>
      </c>
      <c r="C27" t="s">
        <v>8</v>
      </c>
      <c r="D27">
        <f>24233.29</f>
        <v>24233.29</v>
      </c>
      <c r="E27">
        <f>24193.9</f>
        <v>24193.9</v>
      </c>
      <c r="F27">
        <f>20+20</f>
        <v>40</v>
      </c>
      <c r="G27">
        <f>20+5</f>
        <v>25</v>
      </c>
      <c r="H27" t="s">
        <v>200</v>
      </c>
    </row>
    <row r="28" spans="1:8" x14ac:dyDescent="0.3">
      <c r="A28" t="s">
        <v>42</v>
      </c>
      <c r="C28" t="s">
        <v>8</v>
      </c>
      <c r="D28">
        <f>24233.2</f>
        <v>24233.200000000001</v>
      </c>
      <c r="E28">
        <f>24206.2</f>
        <v>24206.2</v>
      </c>
      <c r="F28">
        <f>15+85</f>
        <v>100</v>
      </c>
      <c r="G28">
        <f>15+30</f>
        <v>45</v>
      </c>
      <c r="H28" t="s">
        <v>201</v>
      </c>
    </row>
    <row r="29" spans="1:8" x14ac:dyDescent="0.3">
      <c r="A29" t="s">
        <v>43</v>
      </c>
      <c r="C29" t="s">
        <v>8</v>
      </c>
      <c r="D29">
        <f>24205.8</f>
        <v>24205.8</v>
      </c>
      <c r="E29">
        <f>24216.2</f>
        <v>24216.2</v>
      </c>
      <c r="F29">
        <f>80+30</f>
        <v>110</v>
      </c>
      <c r="G29">
        <f>80+95</f>
        <v>175</v>
      </c>
      <c r="H29" t="s">
        <v>202</v>
      </c>
    </row>
    <row r="30" spans="1:8" x14ac:dyDescent="0.3">
      <c r="A30" t="s">
        <v>44</v>
      </c>
      <c r="C30" t="s">
        <v>12</v>
      </c>
      <c r="D30">
        <f>24215.8</f>
        <v>24215.8</v>
      </c>
      <c r="E30">
        <f>24217.4</f>
        <v>24217.4</v>
      </c>
      <c r="F30">
        <f>80+5</f>
        <v>85</v>
      </c>
      <c r="G30">
        <f>80+25</f>
        <v>105</v>
      </c>
      <c r="H30" t="s">
        <v>203</v>
      </c>
    </row>
    <row r="31" spans="1:8" x14ac:dyDescent="0.3">
      <c r="A31" t="s">
        <v>45</v>
      </c>
      <c r="C31" t="s">
        <v>12</v>
      </c>
      <c r="D31">
        <f>24215.8</f>
        <v>24215.8</v>
      </c>
      <c r="E31">
        <v>24217.5</v>
      </c>
      <c r="F31">
        <v>40</v>
      </c>
      <c r="G31">
        <v>100</v>
      </c>
      <c r="H31" t="s">
        <v>200</v>
      </c>
    </row>
    <row r="32" spans="1:8" x14ac:dyDescent="0.3">
      <c r="A32" t="s">
        <v>46</v>
      </c>
      <c r="C32" t="s">
        <v>12</v>
      </c>
      <c r="D32">
        <f>24215.8</f>
        <v>24215.8</v>
      </c>
      <c r="E32">
        <f>24218.9</f>
        <v>24218.9</v>
      </c>
      <c r="F32">
        <f>70+70</f>
        <v>140</v>
      </c>
      <c r="G32">
        <f>70+15</f>
        <v>85</v>
      </c>
      <c r="H32" t="s">
        <v>204</v>
      </c>
    </row>
    <row r="33" spans="1:8" x14ac:dyDescent="0.3">
      <c r="A33" t="s">
        <v>47</v>
      </c>
      <c r="C33" t="s">
        <v>12</v>
      </c>
      <c r="D33">
        <f>24219.2</f>
        <v>24219.200000000001</v>
      </c>
      <c r="E33">
        <f>24219.2</f>
        <v>24219.200000000001</v>
      </c>
      <c r="F33">
        <f>20+65</f>
        <v>85</v>
      </c>
      <c r="G33">
        <f>65+40</f>
        <v>105</v>
      </c>
      <c r="H33" t="s">
        <v>205</v>
      </c>
    </row>
    <row r="34" spans="1:8" x14ac:dyDescent="0.3">
      <c r="A34" t="s">
        <v>48</v>
      </c>
      <c r="C34" t="s">
        <v>8</v>
      </c>
      <c r="D34">
        <f>24217.75</f>
        <v>24217.75</v>
      </c>
      <c r="E34">
        <f>24208.7</f>
        <v>24208.7</v>
      </c>
      <c r="F34">
        <f>85+40</f>
        <v>125</v>
      </c>
      <c r="G34">
        <f>75+50</f>
        <v>125</v>
      </c>
      <c r="H34" t="s">
        <v>206</v>
      </c>
    </row>
    <row r="35" spans="1:8" x14ac:dyDescent="0.3">
      <c r="A35" s="5" t="s">
        <v>49</v>
      </c>
      <c r="C35" t="s">
        <v>8</v>
      </c>
      <c r="D35">
        <f>24209.85</f>
        <v>24209.85</v>
      </c>
      <c r="E35">
        <f>24212.15</f>
        <v>24212.15</v>
      </c>
      <c r="F35">
        <f>85+40</f>
        <v>125</v>
      </c>
      <c r="G35">
        <f>85+55</f>
        <v>140</v>
      </c>
      <c r="H35" t="s">
        <v>207</v>
      </c>
    </row>
    <row r="36" spans="1:8" x14ac:dyDescent="0.3">
      <c r="A36" t="s">
        <v>50</v>
      </c>
      <c r="C36" t="s">
        <v>8</v>
      </c>
      <c r="D36">
        <f>24205.6</f>
        <v>24205.599999999999</v>
      </c>
      <c r="E36">
        <f>24198.35</f>
        <v>24198.35</v>
      </c>
      <c r="F36">
        <f>60+10</f>
        <v>70</v>
      </c>
      <c r="G36">
        <f>60+50</f>
        <v>110</v>
      </c>
      <c r="H36" t="s">
        <v>208</v>
      </c>
    </row>
    <row r="37" spans="1:8" x14ac:dyDescent="0.3">
      <c r="A37" t="s">
        <v>51</v>
      </c>
      <c r="C37" t="s">
        <v>12</v>
      </c>
      <c r="D37">
        <f>24198.15</f>
        <v>24198.15</v>
      </c>
      <c r="E37">
        <f>24198.16</f>
        <v>24198.16</v>
      </c>
      <c r="F37">
        <f>15+0</f>
        <v>15</v>
      </c>
      <c r="G37">
        <f>15+15</f>
        <v>30</v>
      </c>
      <c r="H37" t="s">
        <v>209</v>
      </c>
    </row>
    <row r="38" spans="1:8" x14ac:dyDescent="0.3">
      <c r="A38" t="s">
        <v>52</v>
      </c>
      <c r="C38" t="s">
        <v>8</v>
      </c>
      <c r="D38">
        <f>24208</f>
        <v>24208</v>
      </c>
      <c r="E38">
        <f>24190.34</f>
        <v>24190.34</v>
      </c>
      <c r="F38">
        <v>40</v>
      </c>
      <c r="G38">
        <f>0+0</f>
        <v>0</v>
      </c>
      <c r="H38" t="s">
        <v>210</v>
      </c>
    </row>
    <row r="39" spans="1:8" x14ac:dyDescent="0.3">
      <c r="A39" t="s">
        <v>53</v>
      </c>
      <c r="C39" t="s">
        <v>12</v>
      </c>
      <c r="D39">
        <f>24198.85</f>
        <v>24198.85</v>
      </c>
      <c r="E39">
        <f>24190.07</f>
        <v>24190.07</v>
      </c>
      <c r="F39">
        <f>85+30</f>
        <v>115</v>
      </c>
      <c r="G39">
        <f>85+20</f>
        <v>105</v>
      </c>
      <c r="H39" t="s">
        <v>211</v>
      </c>
    </row>
    <row r="40" spans="1:8" x14ac:dyDescent="0.3">
      <c r="A40" t="s">
        <v>54</v>
      </c>
      <c r="C40" t="s">
        <v>12</v>
      </c>
      <c r="D40">
        <f>24197.55</f>
        <v>24197.55</v>
      </c>
      <c r="E40">
        <f>24215.1</f>
        <v>24215.1</v>
      </c>
      <c r="F40">
        <f>55+0</f>
        <v>55</v>
      </c>
      <c r="G40">
        <f>55+65</f>
        <v>120</v>
      </c>
      <c r="H40" t="s">
        <v>212</v>
      </c>
    </row>
    <row r="41" spans="1:8" x14ac:dyDescent="0.3">
      <c r="A41" t="s">
        <v>55</v>
      </c>
      <c r="C41" t="s">
        <v>12</v>
      </c>
      <c r="D41">
        <f>24218.25</f>
        <v>24218.25</v>
      </c>
      <c r="E41">
        <f>24223.8</f>
        <v>24223.8</v>
      </c>
      <c r="F41">
        <f>25+15</f>
        <v>40</v>
      </c>
      <c r="G41">
        <f>25+25</f>
        <v>50</v>
      </c>
      <c r="H41" t="s">
        <v>213</v>
      </c>
    </row>
    <row r="42" spans="1:8" x14ac:dyDescent="0.3">
      <c r="A42" t="s">
        <v>56</v>
      </c>
      <c r="C42" t="s">
        <v>12</v>
      </c>
      <c r="D42">
        <f>2422.05</f>
        <v>2422.0500000000002</v>
      </c>
      <c r="E42">
        <f>24231.8</f>
        <v>24231.8</v>
      </c>
      <c r="F42">
        <f>15+20</f>
        <v>35</v>
      </c>
      <c r="G42">
        <f>5+50</f>
        <v>55</v>
      </c>
      <c r="H42" t="s">
        <v>214</v>
      </c>
    </row>
    <row r="43" spans="1:8" x14ac:dyDescent="0.3">
      <c r="A43" t="s">
        <v>57</v>
      </c>
      <c r="C43" t="s">
        <v>12</v>
      </c>
      <c r="D43">
        <f>24216.15</f>
        <v>24216.15</v>
      </c>
      <c r="E43">
        <f>24219.75</f>
        <v>24219.75</v>
      </c>
      <c r="F43">
        <f>15+60</f>
        <v>75</v>
      </c>
      <c r="G43">
        <f>15+70</f>
        <v>85</v>
      </c>
      <c r="H43" t="s">
        <v>215</v>
      </c>
    </row>
    <row r="44" spans="1:8" x14ac:dyDescent="0.3">
      <c r="A44" t="s">
        <v>58</v>
      </c>
      <c r="C44" t="s">
        <v>12</v>
      </c>
      <c r="D44">
        <f>24221</f>
        <v>24221</v>
      </c>
      <c r="E44">
        <f>24230.7</f>
        <v>24230.7</v>
      </c>
      <c r="F44">
        <f>0+85</f>
        <v>85</v>
      </c>
      <c r="G44">
        <f>0+85</f>
        <v>85</v>
      </c>
      <c r="H44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CA59-B56B-4A97-9202-0298119198D4}">
  <dimension ref="A1:I44"/>
  <sheetViews>
    <sheetView topLeftCell="A41" workbookViewId="0">
      <selection sqref="A1:A63"/>
    </sheetView>
  </sheetViews>
  <sheetFormatPr defaultRowHeight="14.4" x14ac:dyDescent="0.3"/>
  <cols>
    <col min="4" max="4" width="29" customWidth="1"/>
    <col min="5" max="5" width="19.21875" customWidth="1"/>
    <col min="6" max="6" width="17.44140625" customWidth="1"/>
    <col min="7" max="7" width="22" customWidth="1"/>
    <col min="8" max="8" width="31.77734375" customWidth="1"/>
  </cols>
  <sheetData>
    <row r="1" spans="1:9" ht="21" x14ac:dyDescent="0.5">
      <c r="A1" s="1" t="s">
        <v>0</v>
      </c>
      <c r="C1" t="s">
        <v>1</v>
      </c>
      <c r="D1" s="2" t="s">
        <v>2</v>
      </c>
      <c r="E1" s="2" t="s">
        <v>3</v>
      </c>
      <c r="F1" s="2" t="s">
        <v>5</v>
      </c>
      <c r="G1" s="2" t="s">
        <v>89</v>
      </c>
      <c r="H1" s="2" t="s">
        <v>6</v>
      </c>
      <c r="I1" s="2"/>
    </row>
    <row r="2" spans="1:9" x14ac:dyDescent="0.3">
      <c r="A2" t="s">
        <v>7</v>
      </c>
      <c r="C2" t="s">
        <v>12</v>
      </c>
      <c r="D2">
        <f>24060</f>
        <v>24060</v>
      </c>
      <c r="E2">
        <f>24064.25</f>
        <v>24064.25</v>
      </c>
      <c r="F2">
        <f>0+52</f>
        <v>52</v>
      </c>
      <c r="G2">
        <f>0+50</f>
        <v>50</v>
      </c>
      <c r="H2" t="s">
        <v>217</v>
      </c>
    </row>
    <row r="3" spans="1:9" x14ac:dyDescent="0.3">
      <c r="A3" t="s">
        <v>10</v>
      </c>
      <c r="C3" t="s">
        <v>12</v>
      </c>
      <c r="D3">
        <f>24098.65</f>
        <v>24098.65</v>
      </c>
      <c r="E3">
        <f>24143.95</f>
        <v>24143.95</v>
      </c>
      <c r="F3">
        <f>65+60</f>
        <v>125</v>
      </c>
      <c r="G3">
        <f>65+55</f>
        <v>120</v>
      </c>
      <c r="H3" t="s">
        <v>218</v>
      </c>
    </row>
    <row r="4" spans="1:9" x14ac:dyDescent="0.3">
      <c r="A4" t="s">
        <v>11</v>
      </c>
      <c r="C4" t="s">
        <v>12</v>
      </c>
      <c r="D4">
        <f>24098.65</f>
        <v>24098.65</v>
      </c>
      <c r="E4">
        <f>24141.9</f>
        <v>24141.9</v>
      </c>
      <c r="F4">
        <f>65+60</f>
        <v>125</v>
      </c>
      <c r="G4">
        <f>65+30</f>
        <v>95</v>
      </c>
      <c r="H4" t="s">
        <v>219</v>
      </c>
    </row>
    <row r="5" spans="1:9" x14ac:dyDescent="0.3">
      <c r="A5" t="s">
        <v>14</v>
      </c>
      <c r="C5" t="s">
        <v>12</v>
      </c>
      <c r="D5">
        <f>24144.55</f>
        <v>24144.55</v>
      </c>
      <c r="E5">
        <f>24124.1</f>
        <v>24124.1</v>
      </c>
      <c r="F5">
        <f>55+45</f>
        <v>100</v>
      </c>
      <c r="G5">
        <f>55+80</f>
        <v>135</v>
      </c>
      <c r="H5" t="s">
        <v>220</v>
      </c>
    </row>
    <row r="6" spans="1:9" x14ac:dyDescent="0.3">
      <c r="A6" t="s">
        <v>15</v>
      </c>
      <c r="C6" t="s">
        <v>12</v>
      </c>
      <c r="D6">
        <f>24124.85</f>
        <v>24124.85</v>
      </c>
      <c r="E6">
        <f>24140.7</f>
        <v>24140.7</v>
      </c>
      <c r="F6">
        <f>85+95</f>
        <v>180</v>
      </c>
      <c r="G6">
        <f>85+35</f>
        <v>120</v>
      </c>
      <c r="H6" t="s">
        <v>221</v>
      </c>
    </row>
    <row r="7" spans="1:9" x14ac:dyDescent="0.3">
      <c r="A7" t="s">
        <v>17</v>
      </c>
      <c r="C7" t="s">
        <v>12</v>
      </c>
      <c r="D7">
        <f>24144.4</f>
        <v>24144.400000000001</v>
      </c>
      <c r="E7">
        <f>24170.9</f>
        <v>24170.9</v>
      </c>
      <c r="F7">
        <f>40+70</f>
        <v>110</v>
      </c>
      <c r="G7">
        <f>40+70</f>
        <v>110</v>
      </c>
      <c r="H7" s="3" t="s">
        <v>222</v>
      </c>
    </row>
    <row r="8" spans="1:9" x14ac:dyDescent="0.3">
      <c r="A8" t="s">
        <v>19</v>
      </c>
      <c r="C8" t="s">
        <v>12</v>
      </c>
      <c r="D8">
        <f>24171.75</f>
        <v>24171.75</v>
      </c>
      <c r="E8">
        <f>24171.15</f>
        <v>24171.15</v>
      </c>
      <c r="F8">
        <f>75+80</f>
        <v>155</v>
      </c>
      <c r="G8">
        <f>75+90</f>
        <v>165</v>
      </c>
      <c r="H8" t="s">
        <v>223</v>
      </c>
    </row>
    <row r="9" spans="1:9" x14ac:dyDescent="0.3">
      <c r="A9" t="s">
        <v>21</v>
      </c>
      <c r="C9" t="s">
        <v>8</v>
      </c>
      <c r="D9">
        <f>24159.85</f>
        <v>24159.85</v>
      </c>
      <c r="E9">
        <f>24150.1</f>
        <v>24150.1</v>
      </c>
      <c r="F9">
        <f>85+70</f>
        <v>155</v>
      </c>
      <c r="G9">
        <f>85+30</f>
        <v>115</v>
      </c>
      <c r="H9" t="s">
        <v>224</v>
      </c>
    </row>
    <row r="10" spans="1:9" x14ac:dyDescent="0.3">
      <c r="A10" t="s">
        <v>22</v>
      </c>
      <c r="C10" t="s">
        <v>8</v>
      </c>
      <c r="D10">
        <f>24158.9</f>
        <v>24158.9</v>
      </c>
      <c r="E10">
        <f>2414140</f>
        <v>2414140</v>
      </c>
      <c r="F10">
        <f>90+95</f>
        <v>185</v>
      </c>
      <c r="G10">
        <f>90+80</f>
        <v>170</v>
      </c>
      <c r="H10" t="s">
        <v>225</v>
      </c>
    </row>
    <row r="11" spans="1:9" x14ac:dyDescent="0.3">
      <c r="A11" t="s">
        <v>24</v>
      </c>
      <c r="C11" t="s">
        <v>12</v>
      </c>
      <c r="D11">
        <f>24135.55</f>
        <v>24135.55</v>
      </c>
      <c r="E11">
        <f>24140.95</f>
        <v>24140.95</v>
      </c>
      <c r="F11">
        <f>55+50</f>
        <v>105</v>
      </c>
      <c r="G11">
        <f>55+50</f>
        <v>105</v>
      </c>
      <c r="H11" t="s">
        <v>226</v>
      </c>
    </row>
    <row r="12" spans="1:9" x14ac:dyDescent="0.3">
      <c r="A12" t="s">
        <v>26</v>
      </c>
      <c r="C12" t="s">
        <v>8</v>
      </c>
      <c r="D12" s="3">
        <f>24145.1</f>
        <v>24145.1</v>
      </c>
      <c r="E12">
        <f>24146.05</f>
        <v>24146.05</v>
      </c>
      <c r="F12">
        <f>10+5</f>
        <v>15</v>
      </c>
      <c r="G12">
        <f>10+50</f>
        <v>60</v>
      </c>
      <c r="H12" t="s">
        <v>227</v>
      </c>
    </row>
    <row r="13" spans="1:9" x14ac:dyDescent="0.3">
      <c r="A13" t="s">
        <v>27</v>
      </c>
      <c r="C13" t="s">
        <v>8</v>
      </c>
      <c r="D13">
        <f>24122.95</f>
        <v>24122.95</v>
      </c>
      <c r="E13">
        <f>24123.65</f>
        <v>24123.65</v>
      </c>
      <c r="F13">
        <f>95+90</f>
        <v>185</v>
      </c>
      <c r="G13">
        <f>95+80</f>
        <v>175</v>
      </c>
      <c r="H13" t="s">
        <v>228</v>
      </c>
    </row>
    <row r="14" spans="1:9" x14ac:dyDescent="0.3">
      <c r="A14" t="s">
        <v>29</v>
      </c>
      <c r="C14" t="s">
        <v>12</v>
      </c>
      <c r="D14">
        <f>24114.65</f>
        <v>24114.65</v>
      </c>
      <c r="E14">
        <f>24139.75</f>
        <v>24139.75</v>
      </c>
      <c r="F14">
        <f>65+5</f>
        <v>70</v>
      </c>
      <c r="G14">
        <f>65+60</f>
        <v>125</v>
      </c>
      <c r="H14" t="s">
        <v>229</v>
      </c>
    </row>
    <row r="15" spans="1:9" x14ac:dyDescent="0.3">
      <c r="A15" t="s">
        <v>31</v>
      </c>
      <c r="C15" t="s">
        <v>12</v>
      </c>
      <c r="D15">
        <f>24166.9</f>
        <v>24166.9</v>
      </c>
      <c r="E15">
        <f>24157.35</f>
        <v>24157.35</v>
      </c>
      <c r="F15">
        <f>35+85</f>
        <v>120</v>
      </c>
      <c r="G15">
        <f>35+10</f>
        <v>45</v>
      </c>
      <c r="H15" t="s">
        <v>230</v>
      </c>
    </row>
    <row r="16" spans="1:9" x14ac:dyDescent="0.3">
      <c r="A16" t="s">
        <v>32</v>
      </c>
      <c r="C16" t="s">
        <v>12</v>
      </c>
      <c r="D16">
        <f>24225.15</f>
        <v>24225.15</v>
      </c>
      <c r="E16">
        <f>24239.15</f>
        <v>24239.15</v>
      </c>
      <c r="F16">
        <f>25+30</f>
        <v>55</v>
      </c>
      <c r="G16">
        <f>15+0</f>
        <v>15</v>
      </c>
      <c r="H16" t="s">
        <v>231</v>
      </c>
    </row>
    <row r="17" spans="1:8" x14ac:dyDescent="0.3">
      <c r="A17" t="s">
        <v>33</v>
      </c>
      <c r="C17" t="s">
        <v>12</v>
      </c>
      <c r="D17">
        <f>24242.65</f>
        <v>24242.65</v>
      </c>
      <c r="E17" s="3">
        <f>24239.45</f>
        <v>24239.45</v>
      </c>
      <c r="F17">
        <f>50+20</f>
        <v>70</v>
      </c>
      <c r="G17">
        <f>50+45</f>
        <v>95</v>
      </c>
      <c r="H17" t="s">
        <v>232</v>
      </c>
    </row>
    <row r="18" spans="1:8" x14ac:dyDescent="0.3">
      <c r="A18" t="s">
        <v>34</v>
      </c>
      <c r="C18" t="s">
        <v>12</v>
      </c>
      <c r="D18">
        <f>24252.2</f>
        <v>24252.2</v>
      </c>
      <c r="E18">
        <f>24239.45</f>
        <v>24239.45</v>
      </c>
      <c r="F18">
        <f>20+65</f>
        <v>85</v>
      </c>
      <c r="G18">
        <f>20+15</f>
        <v>35</v>
      </c>
      <c r="H18" t="s">
        <v>233</v>
      </c>
    </row>
    <row r="19" spans="1:8" x14ac:dyDescent="0.3">
      <c r="A19" t="s">
        <v>35</v>
      </c>
      <c r="C19" t="s">
        <v>12</v>
      </c>
      <c r="D19">
        <f>24234.85</f>
        <v>24234.85</v>
      </c>
      <c r="E19">
        <f>24239.6</f>
        <v>24239.599999999999</v>
      </c>
      <c r="F19">
        <f>85+20</f>
        <v>105</v>
      </c>
      <c r="G19">
        <f>85+70</f>
        <v>155</v>
      </c>
      <c r="H19" t="s">
        <v>234</v>
      </c>
    </row>
    <row r="20" spans="1:8" x14ac:dyDescent="0.3">
      <c r="A20" t="s">
        <v>36</v>
      </c>
      <c r="C20" t="s">
        <v>12</v>
      </c>
      <c r="D20">
        <f>24241.5</f>
        <v>24241.5</v>
      </c>
      <c r="E20">
        <f>24264.7</f>
        <v>24264.7</v>
      </c>
      <c r="F20">
        <f>50+80</f>
        <v>130</v>
      </c>
      <c r="G20">
        <f>50+30</f>
        <v>80</v>
      </c>
      <c r="H20" t="s">
        <v>235</v>
      </c>
    </row>
    <row r="21" spans="1:8" x14ac:dyDescent="0.3">
      <c r="A21" t="s">
        <v>37</v>
      </c>
      <c r="C21" t="s">
        <v>12</v>
      </c>
      <c r="D21">
        <f>24272.45</f>
        <v>24272.45</v>
      </c>
      <c r="E21">
        <f>24265.3</f>
        <v>24265.3</v>
      </c>
      <c r="F21">
        <f>30+55</f>
        <v>85</v>
      </c>
      <c r="G21">
        <f>30+65</f>
        <v>95</v>
      </c>
      <c r="H21" t="s">
        <v>236</v>
      </c>
    </row>
    <row r="22" spans="1:8" x14ac:dyDescent="0.3">
      <c r="A22" s="5">
        <v>0.45833333333333331</v>
      </c>
      <c r="C22" t="s">
        <v>12</v>
      </c>
      <c r="D22">
        <f>24272.45</f>
        <v>24272.45</v>
      </c>
      <c r="E22">
        <f>24278</f>
        <v>24278</v>
      </c>
      <c r="F22">
        <f>45+25</f>
        <v>70</v>
      </c>
      <c r="G22">
        <f>50+45</f>
        <v>95</v>
      </c>
      <c r="H22" t="s">
        <v>237</v>
      </c>
    </row>
    <row r="23" spans="1:8" x14ac:dyDescent="0.3">
      <c r="A23" t="s">
        <v>38</v>
      </c>
      <c r="C23" t="s">
        <v>12</v>
      </c>
      <c r="D23">
        <f>24309.35</f>
        <v>24309.35</v>
      </c>
      <c r="E23">
        <f>24313.2</f>
        <v>24313.200000000001</v>
      </c>
      <c r="F23">
        <f>35+5</f>
        <v>40</v>
      </c>
      <c r="G23">
        <f>35+25</f>
        <v>60</v>
      </c>
      <c r="H23" t="s">
        <v>238</v>
      </c>
    </row>
    <row r="24" spans="1:8" x14ac:dyDescent="0.3">
      <c r="A24" t="s">
        <v>39</v>
      </c>
      <c r="C24" t="s">
        <v>8</v>
      </c>
      <c r="D24">
        <f>24317.95</f>
        <v>24317.95</v>
      </c>
      <c r="E24">
        <f>24317.65</f>
        <v>24317.65</v>
      </c>
      <c r="F24">
        <f>70+85</f>
        <v>155</v>
      </c>
      <c r="G24">
        <f>70+55</f>
        <v>125</v>
      </c>
      <c r="H24" t="s">
        <v>239</v>
      </c>
    </row>
    <row r="25" spans="1:8" x14ac:dyDescent="0.3">
      <c r="A25" t="s">
        <v>40</v>
      </c>
      <c r="C25" t="s">
        <v>12</v>
      </c>
      <c r="D25">
        <f>24311.7</f>
        <v>24311.7</v>
      </c>
      <c r="E25">
        <f>24315.1</f>
        <v>24315.1</v>
      </c>
      <c r="F25">
        <f>70+55</f>
        <v>125</v>
      </c>
      <c r="G25">
        <f>70+55</f>
        <v>125</v>
      </c>
      <c r="H25" t="s">
        <v>240</v>
      </c>
    </row>
    <row r="26" spans="1:8" x14ac:dyDescent="0.3">
      <c r="A26" t="s">
        <v>41</v>
      </c>
      <c r="C26" t="s">
        <v>8</v>
      </c>
      <c r="D26">
        <f>24316.3</f>
        <v>24316.3</v>
      </c>
      <c r="E26">
        <f>24311.05</f>
        <v>24311.05</v>
      </c>
      <c r="F26">
        <f>30+20</f>
        <v>50</v>
      </c>
      <c r="G26">
        <f>30+20</f>
        <v>50</v>
      </c>
      <c r="H26" t="s">
        <v>241</v>
      </c>
    </row>
    <row r="27" spans="1:8" x14ac:dyDescent="0.3">
      <c r="A27" t="s">
        <v>42</v>
      </c>
      <c r="C27" t="s">
        <v>12</v>
      </c>
      <c r="D27">
        <f>24311.7</f>
        <v>24311.7</v>
      </c>
      <c r="E27">
        <f>24311.7</f>
        <v>24311.7</v>
      </c>
      <c r="F27">
        <f>30+20</f>
        <v>50</v>
      </c>
      <c r="G27">
        <f>30+65</f>
        <v>95</v>
      </c>
      <c r="H27" t="s">
        <v>243</v>
      </c>
    </row>
    <row r="28" spans="1:8" x14ac:dyDescent="0.3">
      <c r="A28" t="s">
        <v>43</v>
      </c>
      <c r="C28" t="s">
        <v>12</v>
      </c>
      <c r="D28">
        <f>24311.7</f>
        <v>24311.7</v>
      </c>
      <c r="E28">
        <f>24331.7</f>
        <v>24331.7</v>
      </c>
      <c r="F28">
        <f>70+80</f>
        <v>150</v>
      </c>
      <c r="G28">
        <f>70+70</f>
        <v>140</v>
      </c>
      <c r="H28" t="s">
        <v>244</v>
      </c>
    </row>
    <row r="29" spans="1:8" x14ac:dyDescent="0.3">
      <c r="A29" t="s">
        <v>44</v>
      </c>
      <c r="C29" t="s">
        <v>12</v>
      </c>
      <c r="D29">
        <f>24311.7</f>
        <v>24311.7</v>
      </c>
      <c r="E29">
        <f>24331.7</f>
        <v>24331.7</v>
      </c>
      <c r="F29">
        <f>70+80</f>
        <v>150</v>
      </c>
      <c r="G29">
        <f>70+35</f>
        <v>105</v>
      </c>
      <c r="H29" t="s">
        <v>242</v>
      </c>
    </row>
    <row r="30" spans="1:8" x14ac:dyDescent="0.3">
      <c r="A30" t="s">
        <v>45</v>
      </c>
      <c r="C30" t="s">
        <v>8</v>
      </c>
      <c r="D30">
        <f>24331.9</f>
        <v>24331.9</v>
      </c>
      <c r="E30">
        <f>24317.55</f>
        <v>24317.55</v>
      </c>
      <c r="F30">
        <f>90+55</f>
        <v>145</v>
      </c>
      <c r="G30">
        <f>90+90</f>
        <v>180</v>
      </c>
      <c r="H30" t="s">
        <v>245</v>
      </c>
    </row>
    <row r="31" spans="1:8" x14ac:dyDescent="0.3">
      <c r="A31" t="s">
        <v>46</v>
      </c>
      <c r="C31" t="s">
        <v>8</v>
      </c>
      <c r="D31">
        <f>24331.9</f>
        <v>24331.9</v>
      </c>
      <c r="E31">
        <f>24314.1</f>
        <v>24314.1</v>
      </c>
      <c r="F31">
        <f>90+90</f>
        <v>180</v>
      </c>
      <c r="G31">
        <f>90+90</f>
        <v>180</v>
      </c>
      <c r="H31" t="s">
        <v>245</v>
      </c>
    </row>
    <row r="32" spans="1:8" x14ac:dyDescent="0.3">
      <c r="A32" t="s">
        <v>47</v>
      </c>
      <c r="C32" t="s">
        <v>8</v>
      </c>
      <c r="D32">
        <f>24300.15</f>
        <v>24300.15</v>
      </c>
      <c r="E32">
        <f>24299.6</f>
        <v>24299.599999999999</v>
      </c>
      <c r="F32">
        <f>25+25</f>
        <v>50</v>
      </c>
      <c r="G32">
        <f>25+30</f>
        <v>55</v>
      </c>
      <c r="H32" t="s">
        <v>246</v>
      </c>
    </row>
    <row r="33" spans="1:8" x14ac:dyDescent="0.3">
      <c r="A33" t="s">
        <v>48</v>
      </c>
      <c r="C33" t="s">
        <v>8</v>
      </c>
      <c r="D33">
        <f>24300.15</f>
        <v>24300.15</v>
      </c>
      <c r="E33">
        <f>24290.55</f>
        <v>24290.55</v>
      </c>
      <c r="F33">
        <f>15+85</f>
        <v>100</v>
      </c>
      <c r="G33">
        <f>15+85</f>
        <v>100</v>
      </c>
      <c r="H33" t="s">
        <v>247</v>
      </c>
    </row>
    <row r="34" spans="1:8" x14ac:dyDescent="0.3">
      <c r="A34" s="5" t="s">
        <v>49</v>
      </c>
      <c r="C34" t="s">
        <v>8</v>
      </c>
      <c r="D34">
        <f>24288</f>
        <v>24288</v>
      </c>
      <c r="E34">
        <f>24287.95</f>
        <v>24287.95</v>
      </c>
      <c r="F34">
        <f>15+85</f>
        <v>100</v>
      </c>
      <c r="G34">
        <f>15+70</f>
        <v>85</v>
      </c>
      <c r="H34" t="s">
        <v>247</v>
      </c>
    </row>
    <row r="35" spans="1:8" x14ac:dyDescent="0.3">
      <c r="A35" t="s">
        <v>50</v>
      </c>
      <c r="C35" t="s">
        <v>8</v>
      </c>
      <c r="D35">
        <f>24279.9</f>
        <v>24279.9</v>
      </c>
      <c r="E35">
        <f>24274.15</f>
        <v>24274.15</v>
      </c>
      <c r="F35">
        <f>0+40</f>
        <v>40</v>
      </c>
      <c r="G35">
        <v>15</v>
      </c>
      <c r="H35" t="s">
        <v>248</v>
      </c>
    </row>
    <row r="36" spans="1:8" x14ac:dyDescent="0.3">
      <c r="A36" t="s">
        <v>51</v>
      </c>
      <c r="C36" t="s">
        <v>8</v>
      </c>
      <c r="D36">
        <f>24279.9</f>
        <v>24279.9</v>
      </c>
      <c r="E36">
        <f>24257.45</f>
        <v>24257.45</v>
      </c>
      <c r="F36">
        <f>90+40</f>
        <v>130</v>
      </c>
      <c r="G36">
        <f>90+45</f>
        <v>135</v>
      </c>
      <c r="H36" t="s">
        <v>249</v>
      </c>
    </row>
    <row r="37" spans="1:8" x14ac:dyDescent="0.3">
      <c r="A37" t="s">
        <v>52</v>
      </c>
      <c r="C37" t="s">
        <v>8</v>
      </c>
      <c r="D37">
        <f>24256.9</f>
        <v>24256.9</v>
      </c>
      <c r="E37">
        <f>24254.75</f>
        <v>24254.75</v>
      </c>
      <c r="F37">
        <f>90+0</f>
        <v>90</v>
      </c>
      <c r="G37">
        <f>0+0</f>
        <v>0</v>
      </c>
      <c r="H37" t="s">
        <v>250</v>
      </c>
    </row>
    <row r="38" spans="1:8" x14ac:dyDescent="0.3">
      <c r="A38" t="s">
        <v>53</v>
      </c>
      <c r="C38" t="s">
        <v>12</v>
      </c>
      <c r="D38">
        <f>24253.7</f>
        <v>24253.7</v>
      </c>
      <c r="E38">
        <f>24243.8</f>
        <v>24243.8</v>
      </c>
      <c r="F38">
        <f>70+15</f>
        <v>85</v>
      </c>
      <c r="G38">
        <f>70+5</f>
        <v>75</v>
      </c>
      <c r="H38" t="s">
        <v>251</v>
      </c>
    </row>
    <row r="39" spans="1:8" x14ac:dyDescent="0.3">
      <c r="A39" t="s">
        <v>54</v>
      </c>
      <c r="C39" t="s">
        <v>12</v>
      </c>
      <c r="D39">
        <f>24235.25</f>
        <v>24235.25</v>
      </c>
      <c r="E39">
        <f>24235</f>
        <v>24235</v>
      </c>
      <c r="F39">
        <f>70+15</f>
        <v>85</v>
      </c>
      <c r="G39">
        <f>70+5</f>
        <v>75</v>
      </c>
      <c r="H39" t="s">
        <v>252</v>
      </c>
    </row>
    <row r="40" spans="1:8" x14ac:dyDescent="0.3">
      <c r="A40" t="s">
        <v>55</v>
      </c>
      <c r="C40" t="s">
        <v>12</v>
      </c>
      <c r="D40">
        <f>24235.25</f>
        <v>24235.25</v>
      </c>
      <c r="E40">
        <f>24217.15</f>
        <v>24217.15</v>
      </c>
      <c r="F40">
        <f>85+75</f>
        <v>160</v>
      </c>
      <c r="G40">
        <f>85+75</f>
        <v>160</v>
      </c>
      <c r="H40" t="s">
        <v>253</v>
      </c>
    </row>
    <row r="41" spans="1:8" x14ac:dyDescent="0.3">
      <c r="A41" t="s">
        <v>56</v>
      </c>
      <c r="C41" t="s">
        <v>12</v>
      </c>
      <c r="D41">
        <f>24228.3</f>
        <v>24228.3</v>
      </c>
      <c r="E41">
        <f>24235.8</f>
        <v>24235.8</v>
      </c>
      <c r="F41">
        <f>30+80</f>
        <v>110</v>
      </c>
      <c r="G41">
        <f>30+40</f>
        <v>70</v>
      </c>
      <c r="H41" t="s">
        <v>254</v>
      </c>
    </row>
    <row r="42" spans="1:8" x14ac:dyDescent="0.3">
      <c r="A42" t="s">
        <v>57</v>
      </c>
      <c r="C42" t="s">
        <v>12</v>
      </c>
      <c r="D42">
        <f>24229.9</f>
        <v>24229.9</v>
      </c>
      <c r="E42">
        <f>24239.4</f>
        <v>24239.4</v>
      </c>
      <c r="F42">
        <f>90+50</f>
        <v>140</v>
      </c>
      <c r="G42">
        <f>90+75</f>
        <v>165</v>
      </c>
      <c r="H42" t="s">
        <v>255</v>
      </c>
    </row>
    <row r="43" spans="1:8" x14ac:dyDescent="0.3">
      <c r="A43" t="s">
        <v>58</v>
      </c>
      <c r="C43" t="s">
        <v>12</v>
      </c>
      <c r="D43">
        <f>24243.9</f>
        <v>24243.9</v>
      </c>
      <c r="E43">
        <f>24243.55</f>
        <v>24243.55</v>
      </c>
      <c r="F43">
        <f>90+40</f>
        <v>130</v>
      </c>
      <c r="G43">
        <f>90+80</f>
        <v>170</v>
      </c>
      <c r="H43" t="s">
        <v>256</v>
      </c>
    </row>
    <row r="44" spans="1:8" x14ac:dyDescent="0.3">
      <c r="A44" t="s">
        <v>258</v>
      </c>
      <c r="C44" t="s">
        <v>12</v>
      </c>
      <c r="D44">
        <f>24244.35</f>
        <v>24244.35</v>
      </c>
      <c r="E44">
        <f>24253.45</f>
        <v>24253.45</v>
      </c>
      <c r="F44">
        <f>35+95</f>
        <v>130</v>
      </c>
      <c r="G44">
        <f>35+25</f>
        <v>60</v>
      </c>
      <c r="H44" t="s">
        <v>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B8FA-F456-4FB3-9C1E-08342C45B298}">
  <dimension ref="A2:H45"/>
  <sheetViews>
    <sheetView topLeftCell="A38" zoomScale="111" workbookViewId="0">
      <selection activeCell="G45" sqref="G45"/>
    </sheetView>
  </sheetViews>
  <sheetFormatPr defaultRowHeight="14.4" x14ac:dyDescent="0.3"/>
  <cols>
    <col min="2" max="2" width="9.88671875" customWidth="1"/>
    <col min="3" max="3" width="26" customWidth="1"/>
    <col min="4" max="4" width="23.44140625" customWidth="1"/>
    <col min="5" max="5" width="24.6640625" customWidth="1"/>
    <col min="6" max="6" width="27" customWidth="1"/>
    <col min="7" max="7" width="20.109375" customWidth="1"/>
  </cols>
  <sheetData>
    <row r="2" spans="1:8" ht="21" x14ac:dyDescent="0.5">
      <c r="A2" s="1" t="s">
        <v>0</v>
      </c>
      <c r="B2" t="s">
        <v>1</v>
      </c>
      <c r="C2" s="2" t="s">
        <v>2</v>
      </c>
      <c r="D2" s="2" t="s">
        <v>3</v>
      </c>
      <c r="E2" s="2" t="s">
        <v>5</v>
      </c>
      <c r="F2" s="2" t="s">
        <v>89</v>
      </c>
      <c r="G2" s="2" t="s">
        <v>6</v>
      </c>
      <c r="H2" s="2"/>
    </row>
    <row r="3" spans="1:8" x14ac:dyDescent="0.3">
      <c r="A3" t="s">
        <v>7</v>
      </c>
      <c r="B3" t="s">
        <v>8</v>
      </c>
      <c r="C3">
        <f>23373</f>
        <v>23373</v>
      </c>
      <c r="D3">
        <v>3</v>
      </c>
      <c r="E3">
        <v>65</v>
      </c>
      <c r="F3">
        <v>15</v>
      </c>
      <c r="G3" t="s">
        <v>259</v>
      </c>
    </row>
    <row r="4" spans="1:8" x14ac:dyDescent="0.3">
      <c r="A4" t="s">
        <v>10</v>
      </c>
      <c r="B4" t="s">
        <v>260</v>
      </c>
      <c r="C4">
        <f>23371</f>
        <v>23371</v>
      </c>
      <c r="D4">
        <v>50</v>
      </c>
      <c r="E4">
        <v>70</v>
      </c>
      <c r="F4">
        <v>20</v>
      </c>
      <c r="G4" s="3" t="s">
        <v>261</v>
      </c>
    </row>
    <row r="5" spans="1:8" x14ac:dyDescent="0.3">
      <c r="A5" t="s">
        <v>11</v>
      </c>
      <c r="B5" t="s">
        <v>8</v>
      </c>
      <c r="C5" s="4">
        <f>23380</f>
        <v>23380</v>
      </c>
      <c r="D5">
        <v>10</v>
      </c>
      <c r="E5">
        <v>75</v>
      </c>
      <c r="F5">
        <v>40</v>
      </c>
      <c r="G5" t="s">
        <v>262</v>
      </c>
    </row>
    <row r="6" spans="1:8" x14ac:dyDescent="0.3">
      <c r="A6" t="s">
        <v>14</v>
      </c>
      <c r="B6" t="s">
        <v>260</v>
      </c>
      <c r="C6">
        <f>23312</f>
        <v>23312</v>
      </c>
      <c r="D6">
        <v>80</v>
      </c>
      <c r="E6">
        <v>55</v>
      </c>
      <c r="F6">
        <v>0</v>
      </c>
      <c r="G6" t="s">
        <v>263</v>
      </c>
    </row>
    <row r="7" spans="1:8" x14ac:dyDescent="0.3">
      <c r="A7" t="s">
        <v>15</v>
      </c>
      <c r="B7" t="s">
        <v>260</v>
      </c>
      <c r="C7">
        <f>23282</f>
        <v>23282</v>
      </c>
      <c r="D7">
        <v>55</v>
      </c>
      <c r="E7">
        <v>35</v>
      </c>
      <c r="F7">
        <v>15</v>
      </c>
      <c r="G7" t="s">
        <v>264</v>
      </c>
    </row>
    <row r="8" spans="1:8" x14ac:dyDescent="0.3">
      <c r="A8" t="s">
        <v>17</v>
      </c>
      <c r="B8" t="s">
        <v>260</v>
      </c>
      <c r="C8">
        <f>23321</f>
        <v>23321</v>
      </c>
      <c r="D8">
        <v>65</v>
      </c>
      <c r="E8">
        <v>0</v>
      </c>
      <c r="F8">
        <v>20</v>
      </c>
      <c r="G8" t="s">
        <v>265</v>
      </c>
    </row>
    <row r="9" spans="1:8" x14ac:dyDescent="0.3">
      <c r="A9" t="s">
        <v>19</v>
      </c>
      <c r="B9" t="s">
        <v>260</v>
      </c>
      <c r="C9">
        <f>23298</f>
        <v>23298</v>
      </c>
      <c r="D9">
        <v>90</v>
      </c>
      <c r="E9">
        <v>10</v>
      </c>
      <c r="F9">
        <v>10</v>
      </c>
      <c r="G9" t="s">
        <v>266</v>
      </c>
    </row>
    <row r="10" spans="1:8" x14ac:dyDescent="0.3">
      <c r="A10" t="s">
        <v>21</v>
      </c>
      <c r="B10" t="s">
        <v>260</v>
      </c>
      <c r="C10">
        <f>23310</f>
        <v>23310</v>
      </c>
      <c r="D10">
        <v>2</v>
      </c>
      <c r="E10">
        <v>40</v>
      </c>
      <c r="F10">
        <v>60</v>
      </c>
      <c r="G10" t="s">
        <v>267</v>
      </c>
    </row>
    <row r="11" spans="1:8" x14ac:dyDescent="0.3">
      <c r="A11" t="s">
        <v>22</v>
      </c>
      <c r="B11" t="s">
        <v>8</v>
      </c>
      <c r="C11">
        <f>23317</f>
        <v>23317</v>
      </c>
      <c r="D11">
        <v>70</v>
      </c>
      <c r="E11">
        <v>10</v>
      </c>
      <c r="F11">
        <v>70</v>
      </c>
      <c r="G11" t="s">
        <v>268</v>
      </c>
    </row>
    <row r="12" spans="1:8" x14ac:dyDescent="0.3">
      <c r="A12" t="s">
        <v>24</v>
      </c>
      <c r="B12" t="s">
        <v>8</v>
      </c>
      <c r="C12">
        <f>23345</f>
        <v>23345</v>
      </c>
      <c r="D12">
        <v>50</v>
      </c>
      <c r="E12">
        <v>50</v>
      </c>
      <c r="F12">
        <v>80</v>
      </c>
      <c r="G12" t="s">
        <v>269</v>
      </c>
    </row>
    <row r="13" spans="1:8" x14ac:dyDescent="0.3">
      <c r="A13" t="s">
        <v>26</v>
      </c>
      <c r="B13" t="s">
        <v>8</v>
      </c>
      <c r="C13">
        <f>23326</f>
        <v>23326</v>
      </c>
      <c r="D13">
        <v>60</v>
      </c>
      <c r="E13">
        <v>15</v>
      </c>
      <c r="F13">
        <v>15</v>
      </c>
      <c r="G13" t="s">
        <v>270</v>
      </c>
    </row>
    <row r="14" spans="1:8" x14ac:dyDescent="0.3">
      <c r="A14" t="s">
        <v>27</v>
      </c>
      <c r="B14" t="s">
        <v>260</v>
      </c>
      <c r="C14">
        <f>23308</f>
        <v>23308</v>
      </c>
      <c r="D14">
        <v>25</v>
      </c>
      <c r="E14">
        <v>35</v>
      </c>
      <c r="F14">
        <v>35</v>
      </c>
      <c r="G14" t="s">
        <v>271</v>
      </c>
    </row>
    <row r="15" spans="1:8" x14ac:dyDescent="0.3">
      <c r="A15" t="s">
        <v>29</v>
      </c>
      <c r="B15" t="s">
        <v>260</v>
      </c>
      <c r="C15">
        <f>23314</f>
        <v>23314</v>
      </c>
      <c r="D15">
        <v>70</v>
      </c>
      <c r="E15">
        <v>60</v>
      </c>
      <c r="F15">
        <v>30</v>
      </c>
      <c r="G15" t="s">
        <v>272</v>
      </c>
    </row>
    <row r="16" spans="1:8" x14ac:dyDescent="0.3">
      <c r="A16" t="s">
        <v>31</v>
      </c>
      <c r="B16" t="s">
        <v>260</v>
      </c>
      <c r="C16">
        <f>23339</f>
        <v>23339</v>
      </c>
      <c r="D16">
        <v>55</v>
      </c>
      <c r="E16">
        <v>45</v>
      </c>
      <c r="F16">
        <v>55</v>
      </c>
      <c r="G16" t="s">
        <v>273</v>
      </c>
    </row>
    <row r="17" spans="1:7" x14ac:dyDescent="0.3">
      <c r="A17" t="s">
        <v>32</v>
      </c>
      <c r="B17" t="s">
        <v>260</v>
      </c>
      <c r="C17">
        <f>23327</f>
        <v>23327</v>
      </c>
      <c r="D17">
        <v>50</v>
      </c>
      <c r="E17">
        <v>15</v>
      </c>
      <c r="F17">
        <v>40</v>
      </c>
      <c r="G17" t="s">
        <v>274</v>
      </c>
    </row>
    <row r="18" spans="1:7" x14ac:dyDescent="0.3">
      <c r="A18" t="s">
        <v>33</v>
      </c>
      <c r="B18" t="s">
        <v>8</v>
      </c>
      <c r="C18">
        <f>23320</f>
        <v>23320</v>
      </c>
      <c r="D18">
        <v>0</v>
      </c>
      <c r="E18">
        <v>60</v>
      </c>
      <c r="F18">
        <v>70</v>
      </c>
      <c r="G18" t="s">
        <v>275</v>
      </c>
    </row>
    <row r="19" spans="1:7" x14ac:dyDescent="0.3">
      <c r="A19" t="s">
        <v>34</v>
      </c>
      <c r="B19" t="s">
        <v>260</v>
      </c>
      <c r="C19">
        <f>23312</f>
        <v>23312</v>
      </c>
      <c r="D19">
        <v>55</v>
      </c>
      <c r="E19">
        <v>65</v>
      </c>
      <c r="F19">
        <v>50</v>
      </c>
      <c r="G19" t="s">
        <v>276</v>
      </c>
    </row>
    <row r="20" spans="1:7" x14ac:dyDescent="0.3">
      <c r="A20" t="s">
        <v>35</v>
      </c>
      <c r="B20" t="s">
        <v>8</v>
      </c>
      <c r="C20">
        <f>23313</f>
        <v>23313</v>
      </c>
      <c r="D20">
        <v>45</v>
      </c>
      <c r="E20">
        <v>75</v>
      </c>
      <c r="F20">
        <v>95</v>
      </c>
      <c r="G20" t="s">
        <v>277</v>
      </c>
    </row>
    <row r="21" spans="1:7" x14ac:dyDescent="0.3">
      <c r="A21" t="s">
        <v>36</v>
      </c>
      <c r="B21" t="s">
        <v>260</v>
      </c>
      <c r="C21">
        <f>23319</f>
        <v>23319</v>
      </c>
      <c r="D21">
        <v>85</v>
      </c>
      <c r="E21">
        <v>90</v>
      </c>
      <c r="F21">
        <v>25</v>
      </c>
      <c r="G21" t="s">
        <v>278</v>
      </c>
    </row>
    <row r="22" spans="1:7" x14ac:dyDescent="0.3">
      <c r="A22" t="s">
        <v>37</v>
      </c>
      <c r="B22" t="s">
        <v>8</v>
      </c>
      <c r="C22">
        <f>23333</f>
        <v>23333</v>
      </c>
      <c r="D22">
        <v>90</v>
      </c>
      <c r="E22">
        <v>50</v>
      </c>
      <c r="F22">
        <v>85</v>
      </c>
      <c r="G22" t="s">
        <v>279</v>
      </c>
    </row>
    <row r="23" spans="1:7" x14ac:dyDescent="0.3">
      <c r="A23" s="5">
        <v>0.45833333333333331</v>
      </c>
      <c r="B23" t="s">
        <v>260</v>
      </c>
      <c r="C23">
        <f>23322</f>
        <v>23322</v>
      </c>
      <c r="D23">
        <v>4</v>
      </c>
      <c r="E23">
        <v>10</v>
      </c>
      <c r="F23">
        <v>20</v>
      </c>
      <c r="G23" t="s">
        <v>280</v>
      </c>
    </row>
    <row r="24" spans="1:7" x14ac:dyDescent="0.3">
      <c r="A24" t="s">
        <v>38</v>
      </c>
      <c r="B24" t="s">
        <v>8</v>
      </c>
      <c r="C24">
        <f>23335</f>
        <v>23335</v>
      </c>
      <c r="D24">
        <v>50</v>
      </c>
      <c r="E24">
        <v>90</v>
      </c>
      <c r="F24">
        <v>95</v>
      </c>
      <c r="G24" t="s">
        <v>281</v>
      </c>
    </row>
    <row r="25" spans="1:7" x14ac:dyDescent="0.3">
      <c r="A25" t="s">
        <v>39</v>
      </c>
      <c r="B25" t="s">
        <v>260</v>
      </c>
      <c r="C25">
        <f>23330</f>
        <v>23330</v>
      </c>
      <c r="D25">
        <v>50</v>
      </c>
      <c r="E25">
        <v>60</v>
      </c>
      <c r="F25">
        <v>95</v>
      </c>
      <c r="G25" t="s">
        <v>282</v>
      </c>
    </row>
    <row r="26" spans="1:7" x14ac:dyDescent="0.3">
      <c r="A26" t="s">
        <v>40</v>
      </c>
      <c r="B26" t="s">
        <v>260</v>
      </c>
      <c r="C26">
        <f>23334</f>
        <v>23334</v>
      </c>
      <c r="D26">
        <v>70</v>
      </c>
      <c r="E26">
        <v>15</v>
      </c>
      <c r="F26">
        <v>15</v>
      </c>
      <c r="G26" t="s">
        <v>283</v>
      </c>
    </row>
    <row r="27" spans="1:7" x14ac:dyDescent="0.3">
      <c r="A27" t="s">
        <v>41</v>
      </c>
      <c r="B27" t="s">
        <v>8</v>
      </c>
      <c r="C27">
        <f>23337</f>
        <v>23337</v>
      </c>
      <c r="D27">
        <v>5</v>
      </c>
      <c r="E27">
        <v>5</v>
      </c>
      <c r="F27">
        <v>10</v>
      </c>
      <c r="G27" t="s">
        <v>284</v>
      </c>
    </row>
    <row r="28" spans="1:7" x14ac:dyDescent="0.3">
      <c r="A28" t="s">
        <v>42</v>
      </c>
      <c r="B28" t="s">
        <v>260</v>
      </c>
      <c r="C28">
        <f>23331</f>
        <v>23331</v>
      </c>
      <c r="D28">
        <v>25</v>
      </c>
      <c r="E28">
        <v>55</v>
      </c>
      <c r="F28">
        <v>60</v>
      </c>
      <c r="G28" t="s">
        <v>285</v>
      </c>
    </row>
    <row r="29" spans="1:7" x14ac:dyDescent="0.3">
      <c r="A29" t="s">
        <v>43</v>
      </c>
      <c r="B29" t="s">
        <v>8</v>
      </c>
      <c r="C29">
        <f>23342</f>
        <v>23342</v>
      </c>
      <c r="D29">
        <v>50</v>
      </c>
      <c r="E29">
        <v>30</v>
      </c>
      <c r="F29">
        <v>40</v>
      </c>
      <c r="G29" t="s">
        <v>298</v>
      </c>
    </row>
    <row r="30" spans="1:7" x14ac:dyDescent="0.3">
      <c r="A30" t="s">
        <v>44</v>
      </c>
      <c r="B30" t="s">
        <v>8</v>
      </c>
      <c r="C30">
        <f>23339</f>
        <v>23339</v>
      </c>
      <c r="D30">
        <v>70</v>
      </c>
      <c r="E30">
        <v>25</v>
      </c>
      <c r="F30">
        <v>30</v>
      </c>
      <c r="G30" t="s">
        <v>286</v>
      </c>
    </row>
    <row r="31" spans="1:7" x14ac:dyDescent="0.3">
      <c r="A31" t="s">
        <v>45</v>
      </c>
      <c r="B31" t="s">
        <v>260</v>
      </c>
      <c r="C31">
        <f>23335</f>
        <v>23335</v>
      </c>
      <c r="D31">
        <v>70</v>
      </c>
      <c r="E31">
        <v>70</v>
      </c>
      <c r="F31">
        <v>95</v>
      </c>
      <c r="G31" t="s">
        <v>287</v>
      </c>
    </row>
    <row r="32" spans="1:7" x14ac:dyDescent="0.3">
      <c r="A32" t="s">
        <v>46</v>
      </c>
      <c r="B32" t="s">
        <v>260</v>
      </c>
      <c r="C32">
        <f>23339</f>
        <v>23339</v>
      </c>
      <c r="D32">
        <v>3</v>
      </c>
      <c r="E32">
        <v>70</v>
      </c>
      <c r="F32">
        <v>30</v>
      </c>
      <c r="G32" t="s">
        <v>288</v>
      </c>
    </row>
    <row r="33" spans="1:7" x14ac:dyDescent="0.3">
      <c r="A33" t="s">
        <v>47</v>
      </c>
      <c r="B33" t="s">
        <v>8</v>
      </c>
      <c r="C33">
        <f>23344</f>
        <v>23344</v>
      </c>
      <c r="D33">
        <v>25</v>
      </c>
      <c r="E33">
        <v>80</v>
      </c>
      <c r="F33">
        <v>20</v>
      </c>
      <c r="G33" t="s">
        <v>289</v>
      </c>
    </row>
    <row r="34" spans="1:7" x14ac:dyDescent="0.3">
      <c r="A34" t="s">
        <v>48</v>
      </c>
      <c r="B34" t="s">
        <v>260</v>
      </c>
      <c r="C34">
        <f>23345</f>
        <v>23345</v>
      </c>
      <c r="D34">
        <v>85</v>
      </c>
      <c r="E34">
        <v>20</v>
      </c>
      <c r="F34">
        <v>70</v>
      </c>
      <c r="G34" t="s">
        <v>290</v>
      </c>
    </row>
    <row r="35" spans="1:7" x14ac:dyDescent="0.3">
      <c r="A35" s="5" t="s">
        <v>49</v>
      </c>
      <c r="B35" t="s">
        <v>260</v>
      </c>
      <c r="C35">
        <f>23351</f>
        <v>23351</v>
      </c>
      <c r="D35">
        <v>10</v>
      </c>
      <c r="E35">
        <v>10</v>
      </c>
      <c r="F35">
        <v>90</v>
      </c>
      <c r="G35" t="s">
        <v>291</v>
      </c>
    </row>
    <row r="36" spans="1:7" x14ac:dyDescent="0.3">
      <c r="A36" t="s">
        <v>50</v>
      </c>
      <c r="B36" t="s">
        <v>8</v>
      </c>
      <c r="C36">
        <f>23360</f>
        <v>23360</v>
      </c>
      <c r="D36">
        <v>80</v>
      </c>
      <c r="E36">
        <v>55</v>
      </c>
      <c r="F36">
        <v>0</v>
      </c>
      <c r="G36" t="s">
        <v>292</v>
      </c>
    </row>
    <row r="37" spans="1:7" x14ac:dyDescent="0.3">
      <c r="A37" t="s">
        <v>51</v>
      </c>
      <c r="B37" t="s">
        <v>260</v>
      </c>
      <c r="C37">
        <f>23341</f>
        <v>23341</v>
      </c>
      <c r="D37">
        <v>70</v>
      </c>
      <c r="E37">
        <v>30</v>
      </c>
      <c r="F37">
        <v>0</v>
      </c>
      <c r="G37" t="s">
        <v>297</v>
      </c>
    </row>
    <row r="38" spans="1:7" x14ac:dyDescent="0.3">
      <c r="A38" t="s">
        <v>52</v>
      </c>
      <c r="B38" t="s">
        <v>260</v>
      </c>
      <c r="C38">
        <f>23350</f>
        <v>23350</v>
      </c>
      <c r="D38">
        <v>20</v>
      </c>
      <c r="E38">
        <v>80</v>
      </c>
      <c r="F38">
        <v>95</v>
      </c>
      <c r="G38" t="s">
        <v>293</v>
      </c>
    </row>
    <row r="39" spans="1:7" x14ac:dyDescent="0.3">
      <c r="A39" t="s">
        <v>53</v>
      </c>
      <c r="B39" t="s">
        <v>8</v>
      </c>
      <c r="C39">
        <f>23353</f>
        <v>23353</v>
      </c>
      <c r="D39">
        <v>80</v>
      </c>
      <c r="E39">
        <v>45</v>
      </c>
      <c r="F39">
        <v>55</v>
      </c>
      <c r="G39" t="s">
        <v>294</v>
      </c>
    </row>
    <row r="40" spans="1:7" x14ac:dyDescent="0.3">
      <c r="A40" t="s">
        <v>54</v>
      </c>
      <c r="B40" t="s">
        <v>260</v>
      </c>
      <c r="C40">
        <f>23350</f>
        <v>23350</v>
      </c>
      <c r="D40">
        <v>10</v>
      </c>
      <c r="E40">
        <v>75</v>
      </c>
      <c r="F40">
        <v>0</v>
      </c>
      <c r="G40" t="s">
        <v>296</v>
      </c>
    </row>
    <row r="41" spans="1:7" x14ac:dyDescent="0.3">
      <c r="A41" t="s">
        <v>55</v>
      </c>
      <c r="B41" t="s">
        <v>8</v>
      </c>
      <c r="C41">
        <f>23352</f>
        <v>23352</v>
      </c>
      <c r="D41">
        <v>55</v>
      </c>
      <c r="E41">
        <v>55</v>
      </c>
      <c r="F41">
        <v>40</v>
      </c>
      <c r="G41" t="s">
        <v>295</v>
      </c>
    </row>
    <row r="42" spans="1:7" x14ac:dyDescent="0.3">
      <c r="A42" t="s">
        <v>56</v>
      </c>
      <c r="B42" t="s">
        <v>260</v>
      </c>
      <c r="C42">
        <f>24347</f>
        <v>24347</v>
      </c>
      <c r="D42">
        <v>40</v>
      </c>
      <c r="E42">
        <v>10</v>
      </c>
      <c r="F42">
        <v>70</v>
      </c>
      <c r="G42" t="s">
        <v>299</v>
      </c>
    </row>
    <row r="43" spans="1:7" x14ac:dyDescent="0.3">
      <c r="A43" t="s">
        <v>57</v>
      </c>
      <c r="B43" t="s">
        <v>8</v>
      </c>
      <c r="C43">
        <f>23352</f>
        <v>23352</v>
      </c>
      <c r="D43">
        <v>30</v>
      </c>
      <c r="E43">
        <v>5</v>
      </c>
      <c r="F43">
        <v>55</v>
      </c>
      <c r="G43" t="s">
        <v>300</v>
      </c>
    </row>
    <row r="44" spans="1:7" x14ac:dyDescent="0.3">
      <c r="A44" t="s">
        <v>58</v>
      </c>
      <c r="B44" t="s">
        <v>260</v>
      </c>
      <c r="C44">
        <f>23344</f>
        <v>23344</v>
      </c>
      <c r="D44">
        <v>60</v>
      </c>
      <c r="E44">
        <v>45</v>
      </c>
      <c r="F44">
        <v>45</v>
      </c>
      <c r="G44" t="s">
        <v>301</v>
      </c>
    </row>
    <row r="45" spans="1:7" x14ac:dyDescent="0.3">
      <c r="A45" t="s">
        <v>258</v>
      </c>
      <c r="B45" t="s">
        <v>8</v>
      </c>
      <c r="C45">
        <f>23341</f>
        <v>23341</v>
      </c>
      <c r="D45">
        <v>30</v>
      </c>
      <c r="E45">
        <v>45</v>
      </c>
      <c r="F45">
        <v>40</v>
      </c>
      <c r="G45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976A-7BC3-4FA2-95DC-40C334A36920}">
  <dimension ref="A2:I46"/>
  <sheetViews>
    <sheetView tabSelected="1" topLeftCell="C19" workbookViewId="0">
      <selection activeCell="E33" sqref="E33"/>
    </sheetView>
  </sheetViews>
  <sheetFormatPr defaultRowHeight="14.4" x14ac:dyDescent="0.3"/>
  <cols>
    <col min="1" max="1" width="8.88671875" hidden="1" customWidth="1"/>
    <col min="2" max="2" width="17.77734375" hidden="1" customWidth="1"/>
    <col min="3" max="3" width="9.5546875" customWidth="1"/>
    <col min="4" max="4" width="12.77734375" customWidth="1"/>
    <col min="5" max="5" width="20.88671875" customWidth="1"/>
    <col min="6" max="6" width="18.21875" customWidth="1"/>
    <col min="7" max="7" width="20.44140625" customWidth="1"/>
    <col min="8" max="8" width="29" customWidth="1"/>
    <col min="9" max="9" width="19.77734375" customWidth="1"/>
  </cols>
  <sheetData>
    <row r="2" spans="1:9" ht="21" x14ac:dyDescent="0.5">
      <c r="A2" s="1" t="s">
        <v>0</v>
      </c>
      <c r="B2" s="1" t="s">
        <v>0</v>
      </c>
      <c r="C2" s="1" t="s">
        <v>0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89</v>
      </c>
      <c r="I2" s="2" t="s">
        <v>6</v>
      </c>
    </row>
    <row r="3" spans="1:9" x14ac:dyDescent="0.3">
      <c r="A3" t="s">
        <v>7</v>
      </c>
      <c r="C3" t="s">
        <v>7</v>
      </c>
      <c r="D3" t="s">
        <v>93</v>
      </c>
      <c r="E3">
        <f>23420</f>
        <v>23420</v>
      </c>
      <c r="F3">
        <v>40</v>
      </c>
      <c r="G3">
        <v>80</v>
      </c>
      <c r="H3">
        <v>80</v>
      </c>
      <c r="I3" t="s">
        <v>302</v>
      </c>
    </row>
    <row r="4" spans="1:9" x14ac:dyDescent="0.3">
      <c r="A4" t="s">
        <v>10</v>
      </c>
      <c r="C4" t="s">
        <v>10</v>
      </c>
      <c r="D4" t="s">
        <v>93</v>
      </c>
      <c r="E4">
        <f>23499</f>
        <v>23499</v>
      </c>
      <c r="F4">
        <v>30</v>
      </c>
      <c r="G4">
        <v>70</v>
      </c>
      <c r="H4">
        <v>25</v>
      </c>
      <c r="I4" t="s">
        <v>303</v>
      </c>
    </row>
    <row r="5" spans="1:9" x14ac:dyDescent="0.3">
      <c r="A5" t="s">
        <v>11</v>
      </c>
      <c r="C5" t="s">
        <v>11</v>
      </c>
      <c r="D5" t="s">
        <v>8</v>
      </c>
      <c r="E5">
        <f>23508</f>
        <v>23508</v>
      </c>
      <c r="F5">
        <v>80</v>
      </c>
      <c r="G5">
        <v>10</v>
      </c>
      <c r="H5">
        <v>45</v>
      </c>
      <c r="I5" t="s">
        <v>304</v>
      </c>
    </row>
    <row r="6" spans="1:9" x14ac:dyDescent="0.3">
      <c r="A6" t="s">
        <v>14</v>
      </c>
      <c r="C6" t="s">
        <v>14</v>
      </c>
      <c r="D6" t="s">
        <v>93</v>
      </c>
      <c r="E6">
        <f>23506</f>
        <v>23506</v>
      </c>
      <c r="F6">
        <v>10</v>
      </c>
      <c r="G6">
        <v>35</v>
      </c>
      <c r="H6">
        <v>60</v>
      </c>
      <c r="I6" t="s">
        <v>305</v>
      </c>
    </row>
    <row r="7" spans="1:9" x14ac:dyDescent="0.3">
      <c r="A7" t="s">
        <v>15</v>
      </c>
      <c r="C7" t="s">
        <v>15</v>
      </c>
      <c r="D7" t="s">
        <v>93</v>
      </c>
      <c r="E7">
        <f>23436</f>
        <v>23436</v>
      </c>
      <c r="F7">
        <v>70</v>
      </c>
      <c r="G7">
        <v>70</v>
      </c>
      <c r="H7">
        <v>30</v>
      </c>
      <c r="I7" t="s">
        <v>306</v>
      </c>
    </row>
    <row r="8" spans="1:9" x14ac:dyDescent="0.3">
      <c r="A8" t="s">
        <v>17</v>
      </c>
      <c r="C8" t="s">
        <v>17</v>
      </c>
      <c r="D8" t="s">
        <v>8</v>
      </c>
      <c r="E8">
        <f>23461</f>
        <v>23461</v>
      </c>
      <c r="F8">
        <v>20</v>
      </c>
      <c r="G8">
        <v>90</v>
      </c>
      <c r="H8">
        <v>15</v>
      </c>
      <c r="I8" t="s">
        <v>307</v>
      </c>
    </row>
    <row r="9" spans="1:9" x14ac:dyDescent="0.3">
      <c r="A9" t="s">
        <v>19</v>
      </c>
      <c r="C9" t="s">
        <v>19</v>
      </c>
      <c r="D9" t="s">
        <v>93</v>
      </c>
      <c r="E9">
        <f>23440</f>
        <v>23440</v>
      </c>
      <c r="F9">
        <v>10</v>
      </c>
      <c r="G9">
        <v>40</v>
      </c>
      <c r="H9">
        <v>40</v>
      </c>
      <c r="I9" t="s">
        <v>308</v>
      </c>
    </row>
    <row r="10" spans="1:9" x14ac:dyDescent="0.3">
      <c r="A10" t="s">
        <v>21</v>
      </c>
      <c r="C10" t="s">
        <v>21</v>
      </c>
      <c r="D10" t="s">
        <v>93</v>
      </c>
      <c r="E10">
        <f>23455</f>
        <v>23455</v>
      </c>
      <c r="F10">
        <v>20</v>
      </c>
      <c r="G10">
        <v>20</v>
      </c>
      <c r="H10">
        <v>85</v>
      </c>
      <c r="I10" t="s">
        <v>309</v>
      </c>
    </row>
    <row r="11" spans="1:9" x14ac:dyDescent="0.3">
      <c r="A11" t="s">
        <v>22</v>
      </c>
      <c r="C11" t="s">
        <v>22</v>
      </c>
      <c r="D11" t="s">
        <v>93</v>
      </c>
      <c r="E11">
        <f>23499</f>
        <v>23499</v>
      </c>
      <c r="F11">
        <v>70</v>
      </c>
      <c r="G11">
        <v>45</v>
      </c>
      <c r="H11">
        <v>50</v>
      </c>
      <c r="I11" t="s">
        <v>310</v>
      </c>
    </row>
    <row r="12" spans="1:9" x14ac:dyDescent="0.3">
      <c r="A12" t="s">
        <v>24</v>
      </c>
      <c r="C12" t="s">
        <v>24</v>
      </c>
      <c r="D12" t="s">
        <v>93</v>
      </c>
      <c r="E12" s="3">
        <f>23565</f>
        <v>23565</v>
      </c>
      <c r="F12">
        <v>40</v>
      </c>
      <c r="G12">
        <v>95</v>
      </c>
      <c r="H12">
        <v>30</v>
      </c>
      <c r="I12" t="s">
        <v>311</v>
      </c>
    </row>
    <row r="13" spans="1:9" x14ac:dyDescent="0.3">
      <c r="A13" t="s">
        <v>26</v>
      </c>
      <c r="C13" t="s">
        <v>26</v>
      </c>
      <c r="D13" t="s">
        <v>8</v>
      </c>
      <c r="E13">
        <f>23589</f>
        <v>23589</v>
      </c>
      <c r="F13">
        <v>40</v>
      </c>
      <c r="G13">
        <v>55</v>
      </c>
      <c r="H13">
        <v>45</v>
      </c>
      <c r="I13" t="s">
        <v>312</v>
      </c>
    </row>
    <row r="14" spans="1:9" x14ac:dyDescent="0.3">
      <c r="A14" t="s">
        <v>27</v>
      </c>
      <c r="C14" t="s">
        <v>27</v>
      </c>
      <c r="D14" t="s">
        <v>8</v>
      </c>
      <c r="E14">
        <f>23576</f>
        <v>23576</v>
      </c>
      <c r="F14">
        <v>70</v>
      </c>
      <c r="G14">
        <v>25</v>
      </c>
      <c r="H14">
        <v>0</v>
      </c>
      <c r="I14" t="s">
        <v>313</v>
      </c>
    </row>
    <row r="15" spans="1:9" x14ac:dyDescent="0.3">
      <c r="A15" t="s">
        <v>29</v>
      </c>
      <c r="C15" t="s">
        <v>29</v>
      </c>
      <c r="D15" t="s">
        <v>8</v>
      </c>
      <c r="E15">
        <f>23573</f>
        <v>23573</v>
      </c>
      <c r="F15">
        <v>80</v>
      </c>
      <c r="G15">
        <v>85</v>
      </c>
      <c r="H15">
        <v>80</v>
      </c>
      <c r="I15" t="s">
        <v>314</v>
      </c>
    </row>
    <row r="16" spans="1:9" x14ac:dyDescent="0.3">
      <c r="A16" t="s">
        <v>31</v>
      </c>
      <c r="C16" t="s">
        <v>31</v>
      </c>
      <c r="D16" t="s">
        <v>8</v>
      </c>
      <c r="E16">
        <f>23535</f>
        <v>23535</v>
      </c>
      <c r="F16">
        <v>30</v>
      </c>
      <c r="G16">
        <v>10</v>
      </c>
      <c r="H16">
        <v>55</v>
      </c>
      <c r="I16" t="s">
        <v>315</v>
      </c>
    </row>
    <row r="17" spans="1:9" x14ac:dyDescent="0.3">
      <c r="A17" t="s">
        <v>32</v>
      </c>
      <c r="C17" t="s">
        <v>32</v>
      </c>
      <c r="D17" t="s">
        <v>8</v>
      </c>
      <c r="E17">
        <f>23550</f>
        <v>23550</v>
      </c>
      <c r="F17">
        <v>50</v>
      </c>
      <c r="G17">
        <v>50</v>
      </c>
      <c r="H17">
        <v>70</v>
      </c>
      <c r="I17" t="s">
        <v>316</v>
      </c>
    </row>
    <row r="18" spans="1:9" x14ac:dyDescent="0.3">
      <c r="A18" t="s">
        <v>33</v>
      </c>
      <c r="C18" t="s">
        <v>33</v>
      </c>
      <c r="D18" t="s">
        <v>93</v>
      </c>
      <c r="E18">
        <f>23547</f>
        <v>23547</v>
      </c>
      <c r="F18">
        <v>80</v>
      </c>
      <c r="G18">
        <v>0</v>
      </c>
      <c r="H18">
        <v>70</v>
      </c>
      <c r="I18" t="s">
        <v>317</v>
      </c>
    </row>
    <row r="19" spans="1:9" x14ac:dyDescent="0.3">
      <c r="A19" t="s">
        <v>34</v>
      </c>
      <c r="C19" t="s">
        <v>34</v>
      </c>
      <c r="D19" t="s">
        <v>8</v>
      </c>
      <c r="E19">
        <f>23557</f>
        <v>23557</v>
      </c>
      <c r="F19">
        <v>40</v>
      </c>
      <c r="G19">
        <v>70</v>
      </c>
      <c r="H19">
        <v>60</v>
      </c>
      <c r="I19" t="s">
        <v>318</v>
      </c>
    </row>
    <row r="20" spans="1:9" x14ac:dyDescent="0.3">
      <c r="A20" t="s">
        <v>35</v>
      </c>
      <c r="C20" t="s">
        <v>35</v>
      </c>
      <c r="D20" t="s">
        <v>8</v>
      </c>
      <c r="E20">
        <f>23524</f>
        <v>23524</v>
      </c>
      <c r="F20">
        <v>60</v>
      </c>
      <c r="G20">
        <v>40</v>
      </c>
      <c r="H20">
        <v>15</v>
      </c>
      <c r="I20" t="s">
        <v>319</v>
      </c>
    </row>
    <row r="21" spans="1:9" x14ac:dyDescent="0.3">
      <c r="A21" t="s">
        <v>36</v>
      </c>
      <c r="C21" t="s">
        <v>36</v>
      </c>
      <c r="D21" t="s">
        <v>93</v>
      </c>
      <c r="E21">
        <f>23474</f>
        <v>23474</v>
      </c>
      <c r="F21">
        <v>90</v>
      </c>
      <c r="G21">
        <v>65</v>
      </c>
      <c r="H21">
        <v>20</v>
      </c>
      <c r="I21" t="s">
        <v>320</v>
      </c>
    </row>
    <row r="22" spans="1:9" x14ac:dyDescent="0.3">
      <c r="A22" t="s">
        <v>37</v>
      </c>
      <c r="C22" t="s">
        <v>37</v>
      </c>
      <c r="D22" t="s">
        <v>93</v>
      </c>
      <c r="E22">
        <f>23516</f>
        <v>23516</v>
      </c>
      <c r="F22">
        <v>10</v>
      </c>
      <c r="G22">
        <v>95</v>
      </c>
      <c r="H22">
        <v>95</v>
      </c>
      <c r="I22" t="s">
        <v>321</v>
      </c>
    </row>
    <row r="23" spans="1:9" x14ac:dyDescent="0.3">
      <c r="A23" s="5">
        <v>0.45833333333333331</v>
      </c>
      <c r="C23" s="5">
        <v>0.45833333333333331</v>
      </c>
      <c r="D23" t="s">
        <v>93</v>
      </c>
      <c r="E23">
        <f>23540</f>
        <v>23540</v>
      </c>
      <c r="F23">
        <v>90</v>
      </c>
      <c r="G23">
        <v>5</v>
      </c>
      <c r="H23">
        <v>90</v>
      </c>
      <c r="I23" t="s">
        <v>322</v>
      </c>
    </row>
    <row r="24" spans="1:9" x14ac:dyDescent="0.3">
      <c r="A24" t="s">
        <v>38</v>
      </c>
      <c r="C24" t="s">
        <v>38</v>
      </c>
      <c r="D24" t="s">
        <v>93</v>
      </c>
      <c r="E24">
        <f>23528</f>
        <v>23528</v>
      </c>
      <c r="F24">
        <v>10</v>
      </c>
      <c r="G24">
        <v>70</v>
      </c>
      <c r="H24">
        <v>65</v>
      </c>
      <c r="I24" t="s">
        <v>323</v>
      </c>
    </row>
    <row r="25" spans="1:9" x14ac:dyDescent="0.3">
      <c r="A25" t="s">
        <v>39</v>
      </c>
      <c r="C25" t="s">
        <v>39</v>
      </c>
      <c r="D25" t="s">
        <v>93</v>
      </c>
      <c r="E25">
        <f>23528</f>
        <v>23528</v>
      </c>
      <c r="F25">
        <v>40</v>
      </c>
      <c r="G25">
        <v>55</v>
      </c>
      <c r="H25">
        <v>15</v>
      </c>
      <c r="I25" t="s">
        <v>324</v>
      </c>
    </row>
    <row r="26" spans="1:9" x14ac:dyDescent="0.3">
      <c r="A26" t="s">
        <v>40</v>
      </c>
      <c r="C26" t="s">
        <v>40</v>
      </c>
      <c r="D26" t="s">
        <v>8</v>
      </c>
      <c r="E26">
        <f>23535</f>
        <v>23535</v>
      </c>
      <c r="F26">
        <v>65</v>
      </c>
      <c r="G26">
        <v>75</v>
      </c>
      <c r="H26">
        <v>25</v>
      </c>
      <c r="I26" t="s">
        <v>325</v>
      </c>
    </row>
    <row r="27" spans="1:9" x14ac:dyDescent="0.3">
      <c r="A27" t="s">
        <v>41</v>
      </c>
      <c r="C27" t="s">
        <v>41</v>
      </c>
      <c r="D27" t="s">
        <v>8</v>
      </c>
      <c r="E27">
        <f>23524</f>
        <v>23524</v>
      </c>
      <c r="F27">
        <v>75</v>
      </c>
      <c r="G27">
        <v>70</v>
      </c>
      <c r="H27">
        <v>30</v>
      </c>
      <c r="I27" t="s">
        <v>326</v>
      </c>
    </row>
    <row r="28" spans="1:9" x14ac:dyDescent="0.3">
      <c r="A28" t="s">
        <v>42</v>
      </c>
      <c r="C28" t="s">
        <v>42</v>
      </c>
      <c r="D28" t="s">
        <v>8</v>
      </c>
      <c r="E28">
        <f>23510</f>
        <v>23510</v>
      </c>
      <c r="F28">
        <v>30</v>
      </c>
      <c r="G28">
        <v>40</v>
      </c>
      <c r="H28">
        <v>40</v>
      </c>
      <c r="I28" t="s">
        <v>327</v>
      </c>
    </row>
    <row r="29" spans="1:9" x14ac:dyDescent="0.3">
      <c r="A29" t="s">
        <v>43</v>
      </c>
      <c r="C29" t="s">
        <v>43</v>
      </c>
      <c r="D29" t="s">
        <v>93</v>
      </c>
      <c r="E29">
        <f>23524</f>
        <v>23524</v>
      </c>
      <c r="F29">
        <v>60</v>
      </c>
      <c r="G29">
        <v>30</v>
      </c>
      <c r="H29">
        <v>95</v>
      </c>
      <c r="I29" t="s">
        <v>328</v>
      </c>
    </row>
    <row r="30" spans="1:9" x14ac:dyDescent="0.3">
      <c r="A30" t="s">
        <v>44</v>
      </c>
      <c r="C30" t="s">
        <v>44</v>
      </c>
      <c r="D30" t="s">
        <v>93</v>
      </c>
      <c r="E30">
        <f>23529</f>
        <v>23529</v>
      </c>
      <c r="F30">
        <v>50</v>
      </c>
      <c r="G30">
        <v>90</v>
      </c>
      <c r="H30">
        <v>20</v>
      </c>
      <c r="I30" t="s">
        <v>329</v>
      </c>
    </row>
    <row r="31" spans="1:9" x14ac:dyDescent="0.3">
      <c r="A31" t="s">
        <v>45</v>
      </c>
      <c r="C31" t="s">
        <v>45</v>
      </c>
      <c r="D31" t="s">
        <v>93</v>
      </c>
      <c r="E31">
        <f>23564</f>
        <v>23564</v>
      </c>
      <c r="F31">
        <v>30</v>
      </c>
      <c r="G31">
        <v>55</v>
      </c>
      <c r="H31">
        <v>20</v>
      </c>
      <c r="I31" t="s">
        <v>330</v>
      </c>
    </row>
    <row r="32" spans="1:9" x14ac:dyDescent="0.3">
      <c r="A32" t="s">
        <v>46</v>
      </c>
      <c r="C32" t="s">
        <v>46</v>
      </c>
      <c r="D32" t="s">
        <v>93</v>
      </c>
      <c r="E32">
        <f>23556</f>
        <v>23556</v>
      </c>
    </row>
    <row r="33" spans="1:3" x14ac:dyDescent="0.3">
      <c r="A33" t="s">
        <v>47</v>
      </c>
      <c r="C33" t="s">
        <v>47</v>
      </c>
    </row>
    <row r="34" spans="1:3" x14ac:dyDescent="0.3">
      <c r="A34" t="s">
        <v>48</v>
      </c>
      <c r="C34" t="s">
        <v>48</v>
      </c>
    </row>
    <row r="35" spans="1:3" x14ac:dyDescent="0.3">
      <c r="A35" s="5" t="s">
        <v>49</v>
      </c>
      <c r="C35" s="5" t="s">
        <v>49</v>
      </c>
    </row>
    <row r="36" spans="1:3" x14ac:dyDescent="0.3">
      <c r="A36" t="s">
        <v>50</v>
      </c>
      <c r="C36" t="s">
        <v>50</v>
      </c>
    </row>
    <row r="37" spans="1:3" x14ac:dyDescent="0.3">
      <c r="A37" t="s">
        <v>51</v>
      </c>
      <c r="C37" t="s">
        <v>51</v>
      </c>
    </row>
    <row r="38" spans="1:3" x14ac:dyDescent="0.3">
      <c r="A38" t="s">
        <v>52</v>
      </c>
      <c r="C38" t="s">
        <v>52</v>
      </c>
    </row>
    <row r="39" spans="1:3" x14ac:dyDescent="0.3">
      <c r="A39" t="s">
        <v>53</v>
      </c>
      <c r="C39" t="s">
        <v>53</v>
      </c>
    </row>
    <row r="40" spans="1:3" x14ac:dyDescent="0.3">
      <c r="A40" t="s">
        <v>54</v>
      </c>
      <c r="C40" t="s">
        <v>54</v>
      </c>
    </row>
    <row r="41" spans="1:3" x14ac:dyDescent="0.3">
      <c r="A41" t="s">
        <v>55</v>
      </c>
      <c r="C41" t="s">
        <v>55</v>
      </c>
    </row>
    <row r="42" spans="1:3" x14ac:dyDescent="0.3">
      <c r="A42" t="s">
        <v>56</v>
      </c>
      <c r="C42" t="s">
        <v>56</v>
      </c>
    </row>
    <row r="43" spans="1:3" x14ac:dyDescent="0.3">
      <c r="A43" t="s">
        <v>57</v>
      </c>
      <c r="C43" t="s">
        <v>57</v>
      </c>
    </row>
    <row r="44" spans="1:3" x14ac:dyDescent="0.3">
      <c r="A44" t="s">
        <v>58</v>
      </c>
      <c r="C44" t="s">
        <v>58</v>
      </c>
    </row>
    <row r="45" spans="1:3" x14ac:dyDescent="0.3">
      <c r="A45" t="s">
        <v>59</v>
      </c>
      <c r="C45" t="s">
        <v>59</v>
      </c>
    </row>
    <row r="46" spans="1:3" x14ac:dyDescent="0.3">
      <c r="A46" t="s">
        <v>60</v>
      </c>
      <c r="C4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06-nov</vt:lpstr>
      <vt:lpstr>04-nov</vt:lpstr>
      <vt:lpstr>05-nov</vt:lpstr>
      <vt:lpstr>07-nov</vt:lpstr>
      <vt:lpstr>Sheet1</vt:lpstr>
      <vt:lpstr>21-nov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rao pulivarthi</dc:creator>
  <cp:lastModifiedBy>lakshmi pulivarthi</cp:lastModifiedBy>
  <dcterms:created xsi:type="dcterms:W3CDTF">2024-11-04T03:45:47Z</dcterms:created>
  <dcterms:modified xsi:type="dcterms:W3CDTF">2024-11-22T08:03:56Z</dcterms:modified>
</cp:coreProperties>
</file>